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OmicScouts\hepatocytes_lysate_PBS_R1\"/>
    </mc:Choice>
  </mc:AlternateContent>
  <bookViews>
    <workbookView xWindow="0" yWindow="0" windowWidth="25200" windowHeight="119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4737" i="1" l="1"/>
  <c r="Z4736" i="1"/>
  <c r="Z4735" i="1"/>
  <c r="Z4734" i="1"/>
  <c r="Z4733" i="1"/>
  <c r="Z4732" i="1"/>
  <c r="Z4731" i="1"/>
  <c r="Z4730" i="1"/>
  <c r="Z4729" i="1"/>
  <c r="Z4728" i="1"/>
  <c r="Z4727" i="1"/>
  <c r="Z4726" i="1"/>
  <c r="Z4725" i="1"/>
  <c r="Z4724" i="1"/>
  <c r="Z4723" i="1"/>
  <c r="Z4722" i="1"/>
  <c r="Z4721" i="1"/>
  <c r="Z4720" i="1"/>
  <c r="Z4719" i="1"/>
  <c r="Z4718" i="1"/>
  <c r="Z4717" i="1"/>
  <c r="Z4716" i="1"/>
  <c r="Z4715" i="1"/>
  <c r="Z4714" i="1"/>
  <c r="Z4713" i="1"/>
  <c r="Z4712" i="1"/>
  <c r="Z4711" i="1"/>
  <c r="Z4710" i="1"/>
  <c r="Z4709" i="1"/>
  <c r="Z4708" i="1"/>
  <c r="Z4707" i="1"/>
  <c r="Z4706" i="1"/>
  <c r="Z4705" i="1"/>
  <c r="Z4704" i="1"/>
  <c r="Z4703" i="1"/>
  <c r="Z4702" i="1"/>
  <c r="Z4701" i="1"/>
  <c r="Z4700" i="1"/>
  <c r="Z4699" i="1"/>
  <c r="Z4698" i="1"/>
  <c r="Z4697" i="1"/>
  <c r="Z4696" i="1"/>
  <c r="Z4695" i="1"/>
  <c r="Z4694" i="1"/>
  <c r="Z4693" i="1"/>
  <c r="Z4692" i="1"/>
  <c r="Z4691" i="1"/>
  <c r="Z4690" i="1"/>
  <c r="Z4689" i="1"/>
  <c r="Z4688" i="1"/>
  <c r="Z4687" i="1"/>
  <c r="Z4686" i="1"/>
  <c r="Z4685" i="1"/>
  <c r="Z4684" i="1"/>
  <c r="Z4683" i="1"/>
  <c r="Z4682" i="1"/>
  <c r="Z4681" i="1"/>
  <c r="Z4680" i="1"/>
  <c r="Z4679" i="1"/>
  <c r="Z4678" i="1"/>
  <c r="Z4677" i="1"/>
  <c r="Z4676" i="1"/>
  <c r="Z4675" i="1"/>
  <c r="Z4674" i="1"/>
  <c r="Z4673" i="1"/>
  <c r="Z4672" i="1"/>
  <c r="Z4671" i="1"/>
  <c r="Z4670" i="1"/>
  <c r="Z4669" i="1"/>
  <c r="Z4668" i="1"/>
  <c r="Z4667" i="1"/>
  <c r="Z4666" i="1"/>
  <c r="Z4665" i="1"/>
  <c r="Z4664" i="1"/>
  <c r="Z4663" i="1"/>
  <c r="Z4662" i="1"/>
  <c r="Z4661" i="1"/>
  <c r="Z4660" i="1"/>
  <c r="Z4659" i="1"/>
  <c r="Z4658" i="1"/>
  <c r="Z4657" i="1"/>
  <c r="Z4656" i="1"/>
  <c r="Z4655" i="1"/>
  <c r="Z4654" i="1"/>
  <c r="Z4653" i="1"/>
  <c r="Z4652" i="1"/>
  <c r="Z4651" i="1"/>
  <c r="Z4650" i="1"/>
  <c r="Z4649" i="1"/>
  <c r="Z4648" i="1"/>
  <c r="Z4647" i="1"/>
  <c r="Z4646" i="1"/>
  <c r="Z4645" i="1"/>
  <c r="Z4644" i="1"/>
  <c r="Z4643" i="1"/>
  <c r="Z4642" i="1"/>
  <c r="Z4641" i="1"/>
  <c r="Z4640" i="1"/>
  <c r="Z4639" i="1"/>
  <c r="Z4638" i="1"/>
  <c r="Z4637" i="1"/>
  <c r="Z4636" i="1"/>
  <c r="Z4635" i="1"/>
  <c r="Z4634" i="1"/>
  <c r="Z4633" i="1"/>
  <c r="Z4632" i="1"/>
  <c r="Z4631" i="1"/>
  <c r="Z4630" i="1"/>
  <c r="Z4629" i="1"/>
  <c r="Z4628" i="1"/>
  <c r="Z4627" i="1"/>
  <c r="Z4626" i="1"/>
  <c r="Z4625" i="1"/>
  <c r="Z4624" i="1"/>
  <c r="Z4623" i="1"/>
  <c r="Z4622" i="1"/>
  <c r="Z4621" i="1"/>
  <c r="Z4620" i="1"/>
  <c r="Z4619" i="1"/>
  <c r="Z4618" i="1"/>
  <c r="Z4617" i="1"/>
  <c r="Z4616" i="1"/>
  <c r="Z4615" i="1"/>
  <c r="Z4614" i="1"/>
  <c r="Z4613" i="1"/>
  <c r="Z4612" i="1"/>
  <c r="Z4611" i="1"/>
  <c r="Z4610" i="1"/>
  <c r="Z4609" i="1"/>
  <c r="Z4608" i="1"/>
  <c r="Z4607" i="1"/>
  <c r="Z4606" i="1"/>
  <c r="Z4605" i="1"/>
  <c r="Z4604" i="1"/>
  <c r="Z4603" i="1"/>
  <c r="Z4602" i="1"/>
  <c r="Z4601" i="1"/>
  <c r="Z4600" i="1"/>
  <c r="Z4599" i="1"/>
  <c r="Z4598" i="1"/>
  <c r="Z4597" i="1"/>
  <c r="Z4596" i="1"/>
  <c r="Z4595" i="1"/>
  <c r="Z4594" i="1"/>
  <c r="Z4593" i="1"/>
  <c r="Z4592" i="1"/>
  <c r="Z4591" i="1"/>
  <c r="Z4590" i="1"/>
  <c r="Z4589" i="1"/>
  <c r="Z4588" i="1"/>
  <c r="Z4587" i="1"/>
  <c r="Z4586" i="1"/>
  <c r="Z4585" i="1"/>
  <c r="Z4584" i="1"/>
  <c r="Z4583" i="1"/>
  <c r="Z4582" i="1"/>
  <c r="Z4581" i="1"/>
  <c r="Z4580" i="1"/>
  <c r="Z4579" i="1"/>
  <c r="Z4578" i="1"/>
  <c r="Z4577" i="1"/>
  <c r="Z4576" i="1"/>
  <c r="Z4575" i="1"/>
  <c r="Z4574" i="1"/>
  <c r="Z4573" i="1"/>
  <c r="Z4572" i="1"/>
  <c r="Z4571" i="1"/>
  <c r="Z4570" i="1"/>
  <c r="Z4569" i="1"/>
  <c r="Z4568" i="1"/>
  <c r="Z4567" i="1"/>
  <c r="Z4566" i="1"/>
  <c r="Z4565" i="1"/>
  <c r="Z4564" i="1"/>
  <c r="Z4563" i="1"/>
  <c r="Z4562" i="1"/>
  <c r="Z4561" i="1"/>
  <c r="Z4560" i="1"/>
  <c r="Z4559" i="1"/>
  <c r="Z4558" i="1"/>
  <c r="Z4557" i="1"/>
  <c r="Z4556" i="1"/>
  <c r="Z4555" i="1"/>
  <c r="Z4554" i="1"/>
  <c r="Z4553" i="1"/>
  <c r="Z4552" i="1"/>
  <c r="Z4551" i="1"/>
  <c r="Z4550" i="1"/>
  <c r="Z4549" i="1"/>
  <c r="Z4548" i="1"/>
  <c r="Z4547" i="1"/>
  <c r="Z4546" i="1"/>
  <c r="Z4545" i="1"/>
  <c r="Z4544" i="1"/>
  <c r="Z4543" i="1"/>
  <c r="Z4542" i="1"/>
  <c r="Z4541" i="1"/>
  <c r="Z4540" i="1"/>
  <c r="Z4539" i="1"/>
  <c r="Z4538" i="1"/>
  <c r="Z4537" i="1"/>
  <c r="Z4536" i="1"/>
  <c r="Z4535" i="1"/>
  <c r="Z4534" i="1"/>
  <c r="Z4533" i="1"/>
  <c r="Z4532" i="1"/>
  <c r="Z4531" i="1"/>
  <c r="Z4530" i="1"/>
  <c r="Z4529" i="1"/>
  <c r="Z4528" i="1"/>
  <c r="Z4527" i="1"/>
  <c r="Z4526" i="1"/>
  <c r="Z4525" i="1"/>
  <c r="Z4524" i="1"/>
  <c r="Z4523" i="1"/>
  <c r="Z4522" i="1"/>
  <c r="Z4521" i="1"/>
  <c r="Z4520" i="1"/>
  <c r="Z4519" i="1"/>
  <c r="Z4518" i="1"/>
  <c r="Z4517" i="1"/>
  <c r="Z4516" i="1"/>
  <c r="Z4515" i="1"/>
  <c r="Z4514" i="1"/>
  <c r="Z4513" i="1"/>
  <c r="Z4512" i="1"/>
  <c r="Z4511" i="1"/>
  <c r="Z4510" i="1"/>
  <c r="Z4509" i="1"/>
  <c r="Z4508" i="1"/>
  <c r="Z4507" i="1"/>
  <c r="Z4506" i="1"/>
  <c r="Z4505" i="1"/>
  <c r="Z4504" i="1"/>
  <c r="Z4503" i="1"/>
  <c r="Z4502" i="1"/>
  <c r="Z4501" i="1"/>
  <c r="Z4500" i="1"/>
  <c r="Z4499" i="1"/>
  <c r="Z4498" i="1"/>
  <c r="Z4497" i="1"/>
  <c r="Z4496" i="1"/>
  <c r="Z4495" i="1"/>
  <c r="Z4494" i="1"/>
  <c r="Z4493" i="1"/>
  <c r="Z4492" i="1"/>
  <c r="Z4491" i="1"/>
  <c r="Z4490" i="1"/>
  <c r="Z4489" i="1"/>
  <c r="Z4488" i="1"/>
  <c r="Z4487" i="1"/>
  <c r="Z4486" i="1"/>
  <c r="Z4485" i="1"/>
  <c r="Z4484" i="1"/>
  <c r="Z4483" i="1"/>
  <c r="Z4482" i="1"/>
  <c r="Z4481" i="1"/>
  <c r="Z4480" i="1"/>
  <c r="Z4479" i="1"/>
  <c r="Z4478" i="1"/>
  <c r="Z4477" i="1"/>
  <c r="Z4476" i="1"/>
  <c r="Z4475" i="1"/>
  <c r="Z4474" i="1"/>
  <c r="Z4473" i="1"/>
  <c r="Z4472" i="1"/>
  <c r="Z4471" i="1"/>
  <c r="Z4470" i="1"/>
  <c r="Z4469" i="1"/>
  <c r="Z4468" i="1"/>
  <c r="Z4467" i="1"/>
  <c r="Z4466" i="1"/>
  <c r="Z4465" i="1"/>
  <c r="Z4464" i="1"/>
  <c r="Z4463" i="1"/>
  <c r="Z4462" i="1"/>
  <c r="Z4461" i="1"/>
  <c r="Z4460" i="1"/>
  <c r="Z4459" i="1"/>
  <c r="Z4458" i="1"/>
  <c r="Z4457" i="1"/>
  <c r="Z4456" i="1"/>
  <c r="Z4455" i="1"/>
  <c r="Z4454" i="1"/>
  <c r="Z4453" i="1"/>
  <c r="Z4452" i="1"/>
  <c r="Z4451" i="1"/>
  <c r="Z4450" i="1"/>
  <c r="Z4449" i="1"/>
  <c r="Z4448" i="1"/>
  <c r="Z4447" i="1"/>
  <c r="Z4446" i="1"/>
  <c r="Z4445" i="1"/>
  <c r="Z4444" i="1"/>
  <c r="Z4443" i="1"/>
  <c r="Z4442" i="1"/>
  <c r="Z4441" i="1"/>
  <c r="Z4440" i="1"/>
  <c r="Z4439" i="1"/>
  <c r="Z4438" i="1"/>
  <c r="Z4437" i="1"/>
  <c r="Z4436" i="1"/>
  <c r="Z4435" i="1"/>
  <c r="Z4434" i="1"/>
  <c r="Z4433" i="1"/>
  <c r="Z4432" i="1"/>
  <c r="Z4431" i="1"/>
  <c r="Z4430" i="1"/>
  <c r="Z4429" i="1"/>
  <c r="Z4428" i="1"/>
  <c r="Z4427" i="1"/>
  <c r="Z4426" i="1"/>
  <c r="Z4425" i="1"/>
  <c r="Z4424" i="1"/>
  <c r="Z4423" i="1"/>
  <c r="Z4422" i="1"/>
  <c r="Z4421" i="1"/>
  <c r="Z4420" i="1"/>
  <c r="Z4419" i="1"/>
  <c r="Z4418" i="1"/>
  <c r="Z4417" i="1"/>
  <c r="Z4416" i="1"/>
  <c r="Z4415" i="1"/>
  <c r="Z4414" i="1"/>
  <c r="Z4413" i="1"/>
  <c r="Z4412" i="1"/>
  <c r="Z4411" i="1"/>
  <c r="Z4410" i="1"/>
  <c r="Z4409" i="1"/>
  <c r="Z4408" i="1"/>
  <c r="Z4407" i="1"/>
  <c r="Z4406" i="1"/>
  <c r="Z4405" i="1"/>
  <c r="Z4404" i="1"/>
  <c r="Z4403" i="1"/>
  <c r="Z4402" i="1"/>
  <c r="Z4401" i="1"/>
  <c r="Z4400" i="1"/>
  <c r="Z4399" i="1"/>
  <c r="Z4398" i="1"/>
  <c r="Z4397" i="1"/>
  <c r="Z4396" i="1"/>
  <c r="Z4395" i="1"/>
  <c r="Z4394" i="1"/>
  <c r="Z4393" i="1"/>
  <c r="Z4392" i="1"/>
  <c r="Z4391" i="1"/>
  <c r="Z4390" i="1"/>
  <c r="Z4389" i="1"/>
  <c r="Z4388" i="1"/>
  <c r="Z4387" i="1"/>
  <c r="Z4386" i="1"/>
  <c r="Z4385" i="1"/>
  <c r="Z4384" i="1"/>
  <c r="Z4383" i="1"/>
  <c r="Z4382" i="1"/>
  <c r="Z4381" i="1"/>
  <c r="Z4380" i="1"/>
  <c r="Z4379" i="1"/>
  <c r="Z4378" i="1"/>
  <c r="Z4377" i="1"/>
  <c r="Z4376" i="1"/>
  <c r="Z4375" i="1"/>
  <c r="Z4374" i="1"/>
  <c r="Z4373" i="1"/>
  <c r="Z4372" i="1"/>
  <c r="Z4371" i="1"/>
  <c r="Z4370" i="1"/>
  <c r="Z4369" i="1"/>
  <c r="Z4368" i="1"/>
  <c r="Z4367" i="1"/>
  <c r="Z4366" i="1"/>
  <c r="Z4365" i="1"/>
  <c r="Z4364" i="1"/>
  <c r="Z4363" i="1"/>
  <c r="Z4362" i="1"/>
  <c r="Z4361" i="1"/>
  <c r="Z4360" i="1"/>
  <c r="Z4359" i="1"/>
  <c r="Z4358" i="1"/>
  <c r="Z4357" i="1"/>
  <c r="Z4356" i="1"/>
  <c r="Z4355" i="1"/>
  <c r="Z4354" i="1"/>
  <c r="Z4353" i="1"/>
  <c r="Z4352" i="1"/>
  <c r="Z4351" i="1"/>
  <c r="Z4350" i="1"/>
  <c r="Z4349" i="1"/>
  <c r="Z4348" i="1"/>
  <c r="Z4347" i="1"/>
  <c r="Z4346" i="1"/>
  <c r="Z4345" i="1"/>
  <c r="Z4344" i="1"/>
  <c r="Z4343" i="1"/>
  <c r="Z4342" i="1"/>
  <c r="Z4341" i="1"/>
  <c r="Z4340" i="1"/>
  <c r="Z4339" i="1"/>
  <c r="Z4338" i="1"/>
  <c r="Z4337" i="1"/>
  <c r="Z4336" i="1"/>
  <c r="Z4335" i="1"/>
  <c r="Z4334" i="1"/>
  <c r="Z4333" i="1"/>
  <c r="Z4332" i="1"/>
  <c r="Z4331" i="1"/>
  <c r="Z4330" i="1"/>
  <c r="Z4329" i="1"/>
  <c r="Z4328" i="1"/>
  <c r="Z4327" i="1"/>
  <c r="Z4326" i="1"/>
  <c r="Z4325" i="1"/>
  <c r="Z4324" i="1"/>
  <c r="Z4323" i="1"/>
  <c r="Z4322" i="1"/>
  <c r="Z4321" i="1"/>
  <c r="Z4320" i="1"/>
  <c r="Z4319" i="1"/>
  <c r="Z4318" i="1"/>
  <c r="Z4317" i="1"/>
  <c r="Z4316" i="1"/>
  <c r="Z4315" i="1"/>
  <c r="Z4314" i="1"/>
  <c r="Z4313" i="1"/>
  <c r="Z4312" i="1"/>
  <c r="Z4311" i="1"/>
  <c r="Z4310" i="1"/>
  <c r="Z4309" i="1"/>
  <c r="Z4308" i="1"/>
  <c r="Z4307" i="1"/>
  <c r="Z4306" i="1"/>
  <c r="Z4305" i="1"/>
  <c r="Z4304" i="1"/>
  <c r="Z4303" i="1"/>
  <c r="Z4302" i="1"/>
  <c r="Z4301" i="1"/>
  <c r="Z4300" i="1"/>
  <c r="Z4299" i="1"/>
  <c r="Z4298" i="1"/>
  <c r="Z4297" i="1"/>
  <c r="Z4296" i="1"/>
  <c r="Z4295" i="1"/>
  <c r="Z4294" i="1"/>
  <c r="Z4293" i="1"/>
  <c r="Z4292" i="1"/>
  <c r="Z4291" i="1"/>
  <c r="Z4290" i="1"/>
  <c r="Z4289" i="1"/>
  <c r="Z4288" i="1"/>
  <c r="Z4287" i="1"/>
  <c r="Z4286" i="1"/>
  <c r="Z4285" i="1"/>
  <c r="Z4284" i="1"/>
  <c r="Z4283" i="1"/>
  <c r="Z4282" i="1"/>
  <c r="Z4281" i="1"/>
  <c r="Z4280" i="1"/>
  <c r="Z4279" i="1"/>
  <c r="Z4278" i="1"/>
  <c r="Z4277" i="1"/>
  <c r="Z4276" i="1"/>
  <c r="Z4275" i="1"/>
  <c r="Z4274" i="1"/>
  <c r="Z4273" i="1"/>
  <c r="Z4272" i="1"/>
  <c r="Z4271" i="1"/>
  <c r="Z4270" i="1"/>
  <c r="Z4269" i="1"/>
  <c r="Z4268" i="1"/>
  <c r="Z4267" i="1"/>
  <c r="Z4266" i="1"/>
  <c r="Z4265" i="1"/>
  <c r="Z4264" i="1"/>
  <c r="Z4263" i="1"/>
  <c r="Z4262" i="1"/>
  <c r="Z4261" i="1"/>
  <c r="Z4260" i="1"/>
  <c r="Z4259" i="1"/>
  <c r="Z4258" i="1"/>
  <c r="Z4257" i="1"/>
  <c r="Z4256" i="1"/>
  <c r="Z4255" i="1"/>
  <c r="Z4254" i="1"/>
  <c r="Z4253" i="1"/>
  <c r="Z4252" i="1"/>
  <c r="Z4251" i="1"/>
  <c r="Z4250" i="1"/>
  <c r="Z4249" i="1"/>
  <c r="Z4248" i="1"/>
  <c r="Z4247" i="1"/>
  <c r="Z4246" i="1"/>
  <c r="Z4245" i="1"/>
  <c r="Z4244" i="1"/>
  <c r="Z4243" i="1"/>
  <c r="Z4242" i="1"/>
  <c r="Z4241" i="1"/>
  <c r="Z4240" i="1"/>
  <c r="Z4239" i="1"/>
  <c r="Z4238" i="1"/>
  <c r="Z4237" i="1"/>
  <c r="Z4236" i="1"/>
  <c r="Z4235" i="1"/>
  <c r="Z4234" i="1"/>
  <c r="Z4233" i="1"/>
  <c r="Z4232" i="1"/>
  <c r="Z4231" i="1"/>
  <c r="Z4230" i="1"/>
  <c r="Z4229" i="1"/>
  <c r="Z4228" i="1"/>
  <c r="Z4227" i="1"/>
  <c r="Z4226" i="1"/>
  <c r="Z4225" i="1"/>
  <c r="Z4224" i="1"/>
  <c r="Z4223" i="1"/>
  <c r="Z4222" i="1"/>
  <c r="Z4221" i="1"/>
  <c r="Z4220" i="1"/>
  <c r="Z4219" i="1"/>
  <c r="Z4218" i="1"/>
  <c r="Z4217" i="1"/>
  <c r="Z4216" i="1"/>
  <c r="Z4215" i="1"/>
  <c r="Z4214" i="1"/>
  <c r="Z4213" i="1"/>
  <c r="Z4212" i="1"/>
  <c r="Z4211" i="1"/>
  <c r="Z4210" i="1"/>
  <c r="Z4209" i="1"/>
  <c r="Z4208" i="1"/>
  <c r="Z4207" i="1"/>
  <c r="Z4206" i="1"/>
  <c r="Z4205" i="1"/>
  <c r="Z4204" i="1"/>
  <c r="Z4203" i="1"/>
  <c r="Z4202" i="1"/>
  <c r="Z4201" i="1"/>
  <c r="Z4200" i="1"/>
  <c r="Z4199" i="1"/>
  <c r="Z4198" i="1"/>
  <c r="Z4197" i="1"/>
  <c r="Z4196" i="1"/>
  <c r="Z4195" i="1"/>
  <c r="Z4194" i="1"/>
  <c r="Z4193" i="1"/>
  <c r="Z4192" i="1"/>
  <c r="Z4191" i="1"/>
  <c r="Z4190" i="1"/>
  <c r="Z4189" i="1"/>
  <c r="Z4188" i="1"/>
  <c r="Z4187" i="1"/>
  <c r="Z4186" i="1"/>
  <c r="Z4185" i="1"/>
  <c r="Z4184" i="1"/>
  <c r="Z4183" i="1"/>
  <c r="Z4182" i="1"/>
  <c r="Z4181" i="1"/>
  <c r="Z4180" i="1"/>
  <c r="Z4179" i="1"/>
  <c r="Z4178" i="1"/>
  <c r="Z4177" i="1"/>
  <c r="Z4176" i="1"/>
  <c r="Z4175" i="1"/>
  <c r="Z4174" i="1"/>
  <c r="Z4173" i="1"/>
  <c r="Z4172" i="1"/>
  <c r="Z4171" i="1"/>
  <c r="Z4170" i="1"/>
  <c r="Z4169" i="1"/>
  <c r="Z4168" i="1"/>
  <c r="Z4167" i="1"/>
  <c r="Z4166" i="1"/>
  <c r="Z4165" i="1"/>
  <c r="Z4164" i="1"/>
  <c r="Z4163" i="1"/>
  <c r="Z4162" i="1"/>
  <c r="Z4161" i="1"/>
  <c r="Z4160" i="1"/>
  <c r="Z4159" i="1"/>
  <c r="Z4158" i="1"/>
  <c r="Z4157" i="1"/>
  <c r="Z4156" i="1"/>
  <c r="Z4155" i="1"/>
  <c r="Z4154" i="1"/>
  <c r="Z4153" i="1"/>
  <c r="Z4152" i="1"/>
  <c r="Z4151" i="1"/>
  <c r="Z4150" i="1"/>
  <c r="Z4149" i="1"/>
  <c r="Z4148" i="1"/>
  <c r="Z4147" i="1"/>
  <c r="Z4146" i="1"/>
  <c r="Z4145" i="1"/>
  <c r="Z4144" i="1"/>
  <c r="Z4143" i="1"/>
  <c r="Z4142" i="1"/>
  <c r="Z4141" i="1"/>
  <c r="Z4140" i="1"/>
  <c r="Z4139" i="1"/>
  <c r="Z4138" i="1"/>
  <c r="Z4137" i="1"/>
  <c r="Z4136" i="1"/>
  <c r="Z4135" i="1"/>
  <c r="Z4134" i="1"/>
  <c r="Z4133" i="1"/>
  <c r="Z4132" i="1"/>
  <c r="Z4131" i="1"/>
  <c r="Z4130" i="1"/>
  <c r="Z4129" i="1"/>
  <c r="Z4128" i="1"/>
  <c r="Z4127" i="1"/>
  <c r="Z4126" i="1"/>
  <c r="Z4125" i="1"/>
  <c r="Z4124" i="1"/>
  <c r="Z4123" i="1"/>
  <c r="Z4122" i="1"/>
  <c r="Z4121" i="1"/>
  <c r="Z4120" i="1"/>
  <c r="Z4119" i="1"/>
  <c r="Z4118" i="1"/>
  <c r="Z4117" i="1"/>
  <c r="Z4116" i="1"/>
  <c r="Z4115" i="1"/>
  <c r="Z4114" i="1"/>
  <c r="Z4113" i="1"/>
  <c r="Z4112" i="1"/>
  <c r="Z4111" i="1"/>
  <c r="Z4110" i="1"/>
  <c r="Z4109" i="1"/>
  <c r="Z4108" i="1"/>
  <c r="Z4107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<sst xmlns="http://schemas.openxmlformats.org/spreadsheetml/2006/main" count="37901" uniqueCount="23563">
  <si>
    <t>Protein_ID</t>
  </si>
  <si>
    <t>plot</t>
  </si>
  <si>
    <t>uniprot_ac</t>
  </si>
  <si>
    <t>auc</t>
  </si>
  <si>
    <t>plot_link</t>
  </si>
  <si>
    <t>gene_name</t>
  </si>
  <si>
    <t>A0AVT1_UBA6</t>
  </si>
  <si>
    <t>A0JNW5_UHRF1BP1L</t>
  </si>
  <si>
    <t>A0MZ66_KIAA1598</t>
  </si>
  <si>
    <t>A1L0T0_ILVBL</t>
  </si>
  <si>
    <t>A1L170_C1orf226</t>
  </si>
  <si>
    <t>A1L188_C17orf89</t>
  </si>
  <si>
    <t>A1X283_SH3PXD2B</t>
  </si>
  <si>
    <t>A1Z1Q3-2_MACROD2</t>
  </si>
  <si>
    <t>A2RUC4_TYW5</t>
  </si>
  <si>
    <t>A2VDF0-2_FUOM</t>
  </si>
  <si>
    <t>A3KMH1-3_VWA8</t>
  </si>
  <si>
    <t>A3KN83-3_SBNO1</t>
  </si>
  <si>
    <t>A4D126-2_ISPD</t>
  </si>
  <si>
    <t>A4D1P6-2_WDR91</t>
  </si>
  <si>
    <t>A5PLN9-2_TRAPPC13</t>
  </si>
  <si>
    <t>A5YKK6-2_CNOT1</t>
  </si>
  <si>
    <t>A5YM69_ARHGEF35</t>
  </si>
  <si>
    <t>A6ND36-2_FAM83G</t>
  </si>
  <si>
    <t>A6ND91_ASPDH</t>
  </si>
  <si>
    <t>A6NDB9_PALM3</t>
  </si>
  <si>
    <t>A6NDG6_PGP</t>
  </si>
  <si>
    <t>A6NDU8_C5orf51</t>
  </si>
  <si>
    <t>A6NED2_RCCD1</t>
  </si>
  <si>
    <t>A6NEL2_SOWAHB</t>
  </si>
  <si>
    <t>A6NFY7_SDHAF1</t>
  </si>
  <si>
    <t>A6NHQ2_FBLL1</t>
  </si>
  <si>
    <t>A6NIH7_UNC119B</t>
  </si>
  <si>
    <t>A6NK44_GLOD5</t>
  </si>
  <si>
    <t>A6NK58_LIPT2</t>
  </si>
  <si>
    <t>A6NKD9_CCDC85C</t>
  </si>
  <si>
    <t>A6NKN8_PCP4L1</t>
  </si>
  <si>
    <t>A6NLP5_TTC36</t>
  </si>
  <si>
    <t>A8MSI8_LYRM9</t>
  </si>
  <si>
    <t>A8MXV4_NUDT19</t>
  </si>
  <si>
    <t>B1AJZ9-4_FHAD1</t>
  </si>
  <si>
    <t>B1AK53_ESPN</t>
  </si>
  <si>
    <t>B7ZBB8_PPP1R3G</t>
  </si>
  <si>
    <t>B9A064_IGLL5</t>
  </si>
  <si>
    <t>C4AMC7_WASH3P</t>
  </si>
  <si>
    <t>F8WCM5_INS-IGF2</t>
  </si>
  <si>
    <t>O00116_AGPS</t>
  </si>
  <si>
    <t>O00124-3_UBXN8</t>
  </si>
  <si>
    <t>O00139-2_KIF2A</t>
  </si>
  <si>
    <t>O00142_TK2</t>
  </si>
  <si>
    <t>O00148_DDX39A</t>
  </si>
  <si>
    <t>O00151_PDLIM1</t>
  </si>
  <si>
    <t>O00154-6_ACOT7</t>
  </si>
  <si>
    <t>O00161_SNAP23</t>
  </si>
  <si>
    <t>O00170_AIP</t>
  </si>
  <si>
    <t>O00178_GTPBP1</t>
  </si>
  <si>
    <t>O00214_LGALS8</t>
  </si>
  <si>
    <t>O00231_PSMD11</t>
  </si>
  <si>
    <t>O00232_PSMD12</t>
  </si>
  <si>
    <t>O00244_ATOX1</t>
  </si>
  <si>
    <t>O00257_CBX4</t>
  </si>
  <si>
    <t>O00264_PGRMC1</t>
  </si>
  <si>
    <t>O00267-2_SUPT5H</t>
  </si>
  <si>
    <t>O00273_DFFA</t>
  </si>
  <si>
    <t>O00291_HIP1</t>
  </si>
  <si>
    <t>O00299_CLIC1</t>
  </si>
  <si>
    <t>O00399_DCTN6</t>
  </si>
  <si>
    <t>O00401_WASL</t>
  </si>
  <si>
    <t>O00410_IPO5</t>
  </si>
  <si>
    <t>O00429-4_DNM1L</t>
  </si>
  <si>
    <t>O00459_PIK3R2</t>
  </si>
  <si>
    <t>O00462_MANBA</t>
  </si>
  <si>
    <t>O00468-2_AGRN</t>
  </si>
  <si>
    <t>O00471_EXOC5</t>
  </si>
  <si>
    <t>O00479_HMGN4</t>
  </si>
  <si>
    <t>O00487_PSMD14</t>
  </si>
  <si>
    <t>O00499-6_BIN1</t>
  </si>
  <si>
    <t>O00505_KPNA3</t>
  </si>
  <si>
    <t>O00506_STK25</t>
  </si>
  <si>
    <t>O00515_LAD1</t>
  </si>
  <si>
    <t>O00522_KRIT1</t>
  </si>
  <si>
    <t>O00534_VWA5A</t>
  </si>
  <si>
    <t>O00566_MPHOSPH10</t>
  </si>
  <si>
    <t>O00567_NOP56</t>
  </si>
  <si>
    <t>O00571_DDX3X</t>
  </si>
  <si>
    <t>O00625_PIR</t>
  </si>
  <si>
    <t>O00629_KPNA4</t>
  </si>
  <si>
    <t>O00635_TRIM38</t>
  </si>
  <si>
    <t>O00712_NFIB</t>
  </si>
  <si>
    <t>O00743_PPP6C</t>
  </si>
  <si>
    <t>O00748_CES2</t>
  </si>
  <si>
    <t>O00754_MAN2B1</t>
  </si>
  <si>
    <t>O00757_FBP2</t>
  </si>
  <si>
    <t>O00763_ACACB</t>
  </si>
  <si>
    <t>O00764_PDXK</t>
  </si>
  <si>
    <t>O14497_ARID1A</t>
  </si>
  <si>
    <t>O14519-2_CDK2AP1</t>
  </si>
  <si>
    <t>O14545_TRAFD1</t>
  </si>
  <si>
    <t>O14561_NDUFAB1</t>
  </si>
  <si>
    <t>O14579_COPE</t>
  </si>
  <si>
    <t>O14617-4_AP3D1</t>
  </si>
  <si>
    <t>O14686_MLL2</t>
  </si>
  <si>
    <t>O14732-2_IMPA2</t>
  </si>
  <si>
    <t>O14733_MAP2K7</t>
  </si>
  <si>
    <t>O14734_ACOT8</t>
  </si>
  <si>
    <t>O14737_PDCD5</t>
  </si>
  <si>
    <t>O14744_PRMT5</t>
  </si>
  <si>
    <t>O14745_SLC9A3R1</t>
  </si>
  <si>
    <t>O14756_HSD17B6</t>
  </si>
  <si>
    <t>O14772_FPGT</t>
  </si>
  <si>
    <t>O14773-2_TPP1</t>
  </si>
  <si>
    <t>O14776-2_TCERG1</t>
  </si>
  <si>
    <t>O14787-2_TNPO2</t>
  </si>
  <si>
    <t>O14818_PSMA7</t>
  </si>
  <si>
    <t>O14828_SCAMP3</t>
  </si>
  <si>
    <t>O14832-2_PHYH</t>
  </si>
  <si>
    <t>O14832_PHYH</t>
  </si>
  <si>
    <t>O14841_OPLAH</t>
  </si>
  <si>
    <t>O14879_IFIT3</t>
  </si>
  <si>
    <t>O14896_IRF6</t>
  </si>
  <si>
    <t>O14929_HAT1</t>
  </si>
  <si>
    <t>O14933_UBE2L6</t>
  </si>
  <si>
    <t>O14936-3_CASK</t>
  </si>
  <si>
    <t>O14949_UQCRQ</t>
  </si>
  <si>
    <t>O14964_HGS</t>
  </si>
  <si>
    <t>O14974_PPP1R12A</t>
  </si>
  <si>
    <t>O14975-2_SLC27A2</t>
  </si>
  <si>
    <t>O14976_GAK</t>
  </si>
  <si>
    <t>O14979-3_HNRPDL</t>
  </si>
  <si>
    <t>O14980_XPO1</t>
  </si>
  <si>
    <t>O14981_BTAF1</t>
  </si>
  <si>
    <t>O15014_ZNF609</t>
  </si>
  <si>
    <t>O15020_SPTBN2</t>
  </si>
  <si>
    <t>O15021-2_MAST4</t>
  </si>
  <si>
    <t>O15031_PLXNB2</t>
  </si>
  <si>
    <t>O15037_KHNYN</t>
  </si>
  <si>
    <t>O15047_SETD1A</t>
  </si>
  <si>
    <t>O15056-3_SYNJ2</t>
  </si>
  <si>
    <t>O15067_PFAS</t>
  </si>
  <si>
    <t>O15084_ANKRD28</t>
  </si>
  <si>
    <t>O15085_ARHGEF11</t>
  </si>
  <si>
    <t>O15116_LSM1</t>
  </si>
  <si>
    <t>O15143_ARPC1B</t>
  </si>
  <si>
    <t>O15144_ARPC2</t>
  </si>
  <si>
    <t>O15145_ARPC3</t>
  </si>
  <si>
    <t>O15156_ZBTB7B</t>
  </si>
  <si>
    <t>O15164-2_TRIM24</t>
  </si>
  <si>
    <t>O15173_PGRMC2</t>
  </si>
  <si>
    <t>O15212_PFDN6</t>
  </si>
  <si>
    <t>O15217_GSTA4</t>
  </si>
  <si>
    <t>O15230_LAMA5</t>
  </si>
  <si>
    <t>O15234_CASC3</t>
  </si>
  <si>
    <t>O15247_CLIC2</t>
  </si>
  <si>
    <t>O15254_ACOX3</t>
  </si>
  <si>
    <t>O15294-3_OGT</t>
  </si>
  <si>
    <t>O15305_PMM2</t>
  </si>
  <si>
    <t>O15355_PPM1G</t>
  </si>
  <si>
    <t>O15357_INPPL1</t>
  </si>
  <si>
    <t>O15372_EIF3H</t>
  </si>
  <si>
    <t>O15379_HDAC3</t>
  </si>
  <si>
    <t>O15382_BCAT2</t>
  </si>
  <si>
    <t>O15397_IPO8</t>
  </si>
  <si>
    <t>O15400-2_STX7</t>
  </si>
  <si>
    <t>O15467_CCL16</t>
  </si>
  <si>
    <t>O15488-4_GYG2</t>
  </si>
  <si>
    <t>O15498_YKT6</t>
  </si>
  <si>
    <t>O15511_ARPC5</t>
  </si>
  <si>
    <t>O15514_POLR2D</t>
  </si>
  <si>
    <t>O15541_RNF113A</t>
  </si>
  <si>
    <t>O43143_DHX15</t>
  </si>
  <si>
    <t>O43148_RNMT</t>
  </si>
  <si>
    <t>O43164-2_PJA2</t>
  </si>
  <si>
    <t>O43172-2_PRPF4</t>
  </si>
  <si>
    <t>O43175_PHGDH</t>
  </si>
  <si>
    <t>O43236-5_SEPT4</t>
  </si>
  <si>
    <t>O43237_DYNC1LI2</t>
  </si>
  <si>
    <t>O43242_PSMD3</t>
  </si>
  <si>
    <t>O43252_PAPSS1</t>
  </si>
  <si>
    <t>O43264_ZW10</t>
  </si>
  <si>
    <t>O43290_SART1</t>
  </si>
  <si>
    <t>O43310_CTIF</t>
  </si>
  <si>
    <t>O43312-4_MTSS1</t>
  </si>
  <si>
    <t>O43314-2_PPIP5K2</t>
  </si>
  <si>
    <t>O43318-2_MAP3K7</t>
  </si>
  <si>
    <t>O43325_LYRM1</t>
  </si>
  <si>
    <t>O43390_HNRNPR</t>
  </si>
  <si>
    <t>O43396_TXNL1</t>
  </si>
  <si>
    <t>O43399_TPD52L2</t>
  </si>
  <si>
    <t>O43414-3_ERI3</t>
  </si>
  <si>
    <t>O43432_EIF4G3</t>
  </si>
  <si>
    <t>O43464-3_HTRA2</t>
  </si>
  <si>
    <t>O43491-4_EPB41L2</t>
  </si>
  <si>
    <t>O43493-2_TGOLN2</t>
  </si>
  <si>
    <t>O43566-5_RGS14</t>
  </si>
  <si>
    <t>O43583_DENR</t>
  </si>
  <si>
    <t>O43592_XPOT</t>
  </si>
  <si>
    <t>O43598_DNPH1</t>
  </si>
  <si>
    <t>O43615_TIMM44</t>
  </si>
  <si>
    <t>O43617_TRAPPC3</t>
  </si>
  <si>
    <t>O43633_CHMP2A</t>
  </si>
  <si>
    <t>O43660-2_PLRG1</t>
  </si>
  <si>
    <t>O43663-3_PRC1</t>
  </si>
  <si>
    <t>O43670-2_ZNF207</t>
  </si>
  <si>
    <t>O43678_NDUFA2</t>
  </si>
  <si>
    <t>O43681_ASNA1</t>
  </si>
  <si>
    <t>O43684-2_BUB3</t>
  </si>
  <si>
    <t>O43704_SULT1B1</t>
  </si>
  <si>
    <t>O43707_ACTN4</t>
  </si>
  <si>
    <t>O43715_TRIAP1</t>
  </si>
  <si>
    <t>O43716_GATC</t>
  </si>
  <si>
    <t>O43719_HTATSF1</t>
  </si>
  <si>
    <t>O43741_PRKAB2</t>
  </si>
  <si>
    <t>O43747_AP1G1</t>
  </si>
  <si>
    <t>O43752_STX6</t>
  </si>
  <si>
    <t>O43765_SGTA</t>
  </si>
  <si>
    <t>O43766_LIAS</t>
  </si>
  <si>
    <t>O43768-2_ENSA</t>
  </si>
  <si>
    <t>O43776_NARS</t>
  </si>
  <si>
    <t>O43795-2_MYO1B</t>
  </si>
  <si>
    <t>O43805_SSNA1</t>
  </si>
  <si>
    <t>O43809_NUDT21</t>
  </si>
  <si>
    <t>O43813_LANCL1</t>
  </si>
  <si>
    <t>O43815-2_STRN</t>
  </si>
  <si>
    <t>O43818_RRP9</t>
  </si>
  <si>
    <t>O43819_SCO2</t>
  </si>
  <si>
    <t>O43820-4_HYAL3</t>
  </si>
  <si>
    <t>O43837_IDH3B</t>
  </si>
  <si>
    <t>O43847-2_NRD1</t>
  </si>
  <si>
    <t>O43852_CALU</t>
  </si>
  <si>
    <t>O43865_AHCYL1</t>
  </si>
  <si>
    <t>O43896_KIF1C</t>
  </si>
  <si>
    <t>O43924_PDE6D</t>
  </si>
  <si>
    <t>O60216_RAD21</t>
  </si>
  <si>
    <t>O60218_AKR1B10</t>
  </si>
  <si>
    <t>O60220_TIMM8A</t>
  </si>
  <si>
    <t>O60231_DHX16</t>
  </si>
  <si>
    <t>O60234_GMFG</t>
  </si>
  <si>
    <t>O60240_PLIN1</t>
  </si>
  <si>
    <t>O60256_PRPSAP2</t>
  </si>
  <si>
    <t>O60260-5_PARK2</t>
  </si>
  <si>
    <t>O60264_SMARCA5</t>
  </si>
  <si>
    <t>O60271-4_SPAG9</t>
  </si>
  <si>
    <t>O60333-2_KIF1B</t>
  </si>
  <si>
    <t>O60341_KDM1A</t>
  </si>
  <si>
    <t>O60343-2_TBC1D4</t>
  </si>
  <si>
    <t>O60344-4_ECE2</t>
  </si>
  <si>
    <t>O60437_PPL</t>
  </si>
  <si>
    <t>O60443_DFNA5</t>
  </si>
  <si>
    <t>O60447_EVI5</t>
  </si>
  <si>
    <t>O60493_SNX3</t>
  </si>
  <si>
    <t>O60504_SORBS3</t>
  </si>
  <si>
    <t>O60506-3_SYNCRIP</t>
  </si>
  <si>
    <t>O60518_RANBP6</t>
  </si>
  <si>
    <t>O60547-2_GMDS</t>
  </si>
  <si>
    <t>O60551_NMT2</t>
  </si>
  <si>
    <t>O60568_PLOD3</t>
  </si>
  <si>
    <t>O60613_SEP15</t>
  </si>
  <si>
    <t>O60645-3_EXOC3</t>
  </si>
  <si>
    <t>O60664-4_PLIN3</t>
  </si>
  <si>
    <t>O60701_UGDH</t>
  </si>
  <si>
    <t>O60716-5_CTNND1</t>
  </si>
  <si>
    <t>O60749_SNX2</t>
  </si>
  <si>
    <t>O60763_USO1</t>
  </si>
  <si>
    <t>O60826_CCDC22</t>
  </si>
  <si>
    <t>O60828-2_PQBP1</t>
  </si>
  <si>
    <t>O60832_DKC1</t>
  </si>
  <si>
    <t>O60841_EIF5B</t>
  </si>
  <si>
    <t>O60869_EDF1</t>
  </si>
  <si>
    <t>O60884_DNAJA2</t>
  </si>
  <si>
    <t>O60885_BRD4</t>
  </si>
  <si>
    <t>O60888-3_CUTA</t>
  </si>
  <si>
    <t>O60907_TBL1X</t>
  </si>
  <si>
    <t>O60925_PFDN1</t>
  </si>
  <si>
    <t>O60927_PPP1R11</t>
  </si>
  <si>
    <t>O60934_NBN</t>
  </si>
  <si>
    <t>O75052-3_NOS1AP</t>
  </si>
  <si>
    <t>O75081-2_CBFA2T3</t>
  </si>
  <si>
    <t>O75083_WDR1</t>
  </si>
  <si>
    <t>O75113_N4BP1</t>
  </si>
  <si>
    <t>O75116_ROCK2</t>
  </si>
  <si>
    <t>O75128_COBL</t>
  </si>
  <si>
    <t>O75131_CPNE3</t>
  </si>
  <si>
    <t>O75146_HIP1R</t>
  </si>
  <si>
    <t>O75150_RNF40</t>
  </si>
  <si>
    <t>O75152_ZC3H11A</t>
  </si>
  <si>
    <t>O75154-2_RAB11FIP3</t>
  </si>
  <si>
    <t>O75157-2_TSC22D2</t>
  </si>
  <si>
    <t>O75165_DNAJC13</t>
  </si>
  <si>
    <t>O75170-4_PPP6R2</t>
  </si>
  <si>
    <t>O75175_CNOT3</t>
  </si>
  <si>
    <t>O75177_SS18L1</t>
  </si>
  <si>
    <t>O75191_XYLB</t>
  </si>
  <si>
    <t>O75208_COQ9</t>
  </si>
  <si>
    <t>O75223_GGCT</t>
  </si>
  <si>
    <t>O75323_GBAS</t>
  </si>
  <si>
    <t>O75340_PDCD6</t>
  </si>
  <si>
    <t>O75347_TBCA</t>
  </si>
  <si>
    <t>O75348_ATP6V1G1</t>
  </si>
  <si>
    <t>O75351_VPS4B</t>
  </si>
  <si>
    <t>O75356_ENTPD5</t>
  </si>
  <si>
    <t>O75367-2_H2AFY</t>
  </si>
  <si>
    <t>O75368_SH3BGRL</t>
  </si>
  <si>
    <t>O75369-8_FLNB</t>
  </si>
  <si>
    <t>O75376_NCOR1</t>
  </si>
  <si>
    <t>O75380_NDUFS6</t>
  </si>
  <si>
    <t>O75396_SEC22B</t>
  </si>
  <si>
    <t>O75410-7_TACC1</t>
  </si>
  <si>
    <t>O75420_GIGYF1</t>
  </si>
  <si>
    <t>O75436_VPS26A</t>
  </si>
  <si>
    <t>O75439_PMPCB</t>
  </si>
  <si>
    <t>O75449_KATNA1</t>
  </si>
  <si>
    <t>O75452_RDH16</t>
  </si>
  <si>
    <t>O75475_PSIP1</t>
  </si>
  <si>
    <t>O75503_CLN5</t>
  </si>
  <si>
    <t>O75506_HSBP1</t>
  </si>
  <si>
    <t>O75521-2_ECI2</t>
  </si>
  <si>
    <t>O75525-2_KHDRBS3</t>
  </si>
  <si>
    <t>O75531_BANF1</t>
  </si>
  <si>
    <t>O75533_SF3B1</t>
  </si>
  <si>
    <t>O75534_CSDE1</t>
  </si>
  <si>
    <t>O75600_GCAT</t>
  </si>
  <si>
    <t>O75607_NPM3</t>
  </si>
  <si>
    <t>O75608-2_LYPLA1</t>
  </si>
  <si>
    <t>O75629_CREG1</t>
  </si>
  <si>
    <t>O75643_SNRNP200</t>
  </si>
  <si>
    <t>O75648_TRMU</t>
  </si>
  <si>
    <t>O75663_TIPRL</t>
  </si>
  <si>
    <t>O75688_PPM1B</t>
  </si>
  <si>
    <t>O75695_RP2</t>
  </si>
  <si>
    <t>O75764_TCEA3</t>
  </si>
  <si>
    <t>O75818-2_RPP40</t>
  </si>
  <si>
    <t>O75821_EIF3G</t>
  </si>
  <si>
    <t>O75822_EIF3J</t>
  </si>
  <si>
    <t>O75828_CBR3</t>
  </si>
  <si>
    <t>O75843_AP1G2</t>
  </si>
  <si>
    <t>O75865_TRAPPC6A</t>
  </si>
  <si>
    <t>O75874_IDH1</t>
  </si>
  <si>
    <t>O75882-2_ATRN</t>
  </si>
  <si>
    <t>O75884_RBBP9</t>
  </si>
  <si>
    <t>O75886_STAM2</t>
  </si>
  <si>
    <t>O75891_ALDH1L1</t>
  </si>
  <si>
    <t>O75896_TUSC2</t>
  </si>
  <si>
    <t>O75915_ARL6IP5</t>
  </si>
  <si>
    <t>O75934_BCAS2</t>
  </si>
  <si>
    <t>O75935_DCTN3</t>
  </si>
  <si>
    <t>O75936_BBOX1</t>
  </si>
  <si>
    <t>O75937_DNAJC8</t>
  </si>
  <si>
    <t>O75940_SMNDC1</t>
  </si>
  <si>
    <t>O75970-3_MPDZ</t>
  </si>
  <si>
    <t>O75976_CPD</t>
  </si>
  <si>
    <t>O76003_GLRX3</t>
  </si>
  <si>
    <t>O76024_WFS1</t>
  </si>
  <si>
    <t>O76031_CLPX</t>
  </si>
  <si>
    <t>O76041_NEBL</t>
  </si>
  <si>
    <t>O76054_SEC14L2</t>
  </si>
  <si>
    <t>O76071_CIAO1</t>
  </si>
  <si>
    <t>O76094_SRP72</t>
  </si>
  <si>
    <t>O94760_DDAH1</t>
  </si>
  <si>
    <t>O94763_URI1</t>
  </si>
  <si>
    <t>O94776_MTA2</t>
  </si>
  <si>
    <t>O94788-4_ALDH1A2</t>
  </si>
  <si>
    <t>O94811_TPPP</t>
  </si>
  <si>
    <t>O94817_ATG12</t>
  </si>
  <si>
    <t>O94819_KBTBD11</t>
  </si>
  <si>
    <t>O94822_LTN1</t>
  </si>
  <si>
    <t>O94826_TOMM70A</t>
  </si>
  <si>
    <t>O94829_IPO13</t>
  </si>
  <si>
    <t>O94851-5_MICAL2</t>
  </si>
  <si>
    <t>O94855_SEC24D</t>
  </si>
  <si>
    <t>O94874_UFL1</t>
  </si>
  <si>
    <t>O94875-12_SORBS2</t>
  </si>
  <si>
    <t>O94880_PHF14</t>
  </si>
  <si>
    <t>O94887_FARP2</t>
  </si>
  <si>
    <t>O94888_UBXN7</t>
  </si>
  <si>
    <t>O94903_PROSC</t>
  </si>
  <si>
    <t>O94913_PCF11</t>
  </si>
  <si>
    <t>O94925_GLS</t>
  </si>
  <si>
    <t>O94929-2_ABLIM3</t>
  </si>
  <si>
    <t>O94966-7_USP19</t>
  </si>
  <si>
    <t>O94973_AP2A2</t>
  </si>
  <si>
    <t>O94979-6_SEC31A</t>
  </si>
  <si>
    <t>O94992_HEXIM1</t>
  </si>
  <si>
    <t>O95081_AGFG2</t>
  </si>
  <si>
    <t>O95104-3_SCAF4</t>
  </si>
  <si>
    <t>O95149_SNUPN</t>
  </si>
  <si>
    <t>O95154_AKR7A3</t>
  </si>
  <si>
    <t>O95155-2_UBE4B</t>
  </si>
  <si>
    <t>O95163_IKBKAP</t>
  </si>
  <si>
    <t>O95202_LETM1</t>
  </si>
  <si>
    <t>O95210_STBD1</t>
  </si>
  <si>
    <t>O95218-2_ZRANB2</t>
  </si>
  <si>
    <t>O95219_SNX4</t>
  </si>
  <si>
    <t>O95232_LUC7L3</t>
  </si>
  <si>
    <t>O95243-3_MBD4</t>
  </si>
  <si>
    <t>O95248_SBF1</t>
  </si>
  <si>
    <t>O95251-2_KAT7</t>
  </si>
  <si>
    <t>O95278-6_EPM2A</t>
  </si>
  <si>
    <t>O95292_VAPB</t>
  </si>
  <si>
    <t>O95295_SNAPIN</t>
  </si>
  <si>
    <t>O95302_FKBP9</t>
  </si>
  <si>
    <t>O95336_PGLS</t>
  </si>
  <si>
    <t>O95340_PAPSS2</t>
  </si>
  <si>
    <t>O95352_ATG7</t>
  </si>
  <si>
    <t>O95363_FARS2</t>
  </si>
  <si>
    <t>O95365_ZBTB7A</t>
  </si>
  <si>
    <t>O95372_LYPLA2</t>
  </si>
  <si>
    <t>O95373_IPO7</t>
  </si>
  <si>
    <t>O95376_ARIH2</t>
  </si>
  <si>
    <t>O95394_PGM3</t>
  </si>
  <si>
    <t>O95396_MOCS3</t>
  </si>
  <si>
    <t>O95399_UTS2</t>
  </si>
  <si>
    <t>O95400_CD2BP2</t>
  </si>
  <si>
    <t>O95405_ZFYVE9</t>
  </si>
  <si>
    <t>O95425-2_SVIL</t>
  </si>
  <si>
    <t>O95429-2_BAG4</t>
  </si>
  <si>
    <t>O95433_AHSA1</t>
  </si>
  <si>
    <t>O95453-2_PARN</t>
  </si>
  <si>
    <t>O95456_PSMG1</t>
  </si>
  <si>
    <t>O95479_H6PD</t>
  </si>
  <si>
    <t>O95486_SEC24A</t>
  </si>
  <si>
    <t>O95487-2_SEC24B</t>
  </si>
  <si>
    <t>O95497_VNN1</t>
  </si>
  <si>
    <t>O95544_NADK</t>
  </si>
  <si>
    <t>O95551_TDP2</t>
  </si>
  <si>
    <t>O95571_ETHE1</t>
  </si>
  <si>
    <t>O95628-5_CNOT4</t>
  </si>
  <si>
    <t>O95630_STAMBP</t>
  </si>
  <si>
    <t>O95671-2_ASMTL</t>
  </si>
  <si>
    <t>O95684_FGFR1OP</t>
  </si>
  <si>
    <t>O95721_SNAP29</t>
  </si>
  <si>
    <t>O95747_OXSR1</t>
  </si>
  <si>
    <t>O95757_HSPA4L</t>
  </si>
  <si>
    <t>O95777_NAA38</t>
  </si>
  <si>
    <t>O95782-2_AP2A1</t>
  </si>
  <si>
    <t>O95786-2_DDX58</t>
  </si>
  <si>
    <t>O95801_TTC4</t>
  </si>
  <si>
    <t>O95810_SDPR</t>
  </si>
  <si>
    <t>O95816_BAG2</t>
  </si>
  <si>
    <t>O95817_BAG3</t>
  </si>
  <si>
    <t>O95822_MLYCD</t>
  </si>
  <si>
    <t>O95825_CRYZL1</t>
  </si>
  <si>
    <t>O95831-3_AIFM1</t>
  </si>
  <si>
    <t>O95834_EML2</t>
  </si>
  <si>
    <t>O95848_NUDT14</t>
  </si>
  <si>
    <t>O95865_DDAH2</t>
  </si>
  <si>
    <t>O95881_TXNDC12</t>
  </si>
  <si>
    <t>O95954_FTCD</t>
  </si>
  <si>
    <t>O95985_TOP3B</t>
  </si>
  <si>
    <t>O95989_NUDT3</t>
  </si>
  <si>
    <t>O95999_BCL10</t>
  </si>
  <si>
    <t>O96006_ZBED1</t>
  </si>
  <si>
    <t>O96007_MOCS2</t>
  </si>
  <si>
    <t>O96013-4_PAK4</t>
  </si>
  <si>
    <t>O96019_ACTL6A</t>
  </si>
  <si>
    <t>O96033_MOCS2</t>
  </si>
  <si>
    <t>P00325_ADH1B</t>
  </si>
  <si>
    <t>P00326_ADH1C</t>
  </si>
  <si>
    <t>P00338_LDHA</t>
  </si>
  <si>
    <t>P00352_ALDH1A1</t>
  </si>
  <si>
    <t>P00374_DHFR</t>
  </si>
  <si>
    <t>P00387-2_CYB5R3</t>
  </si>
  <si>
    <t>P00390-2_GSR</t>
  </si>
  <si>
    <t>P00403_MT-CO2</t>
  </si>
  <si>
    <t>P00439_PAH</t>
  </si>
  <si>
    <t>P00450_CP</t>
  </si>
  <si>
    <t>P00480_OTC</t>
  </si>
  <si>
    <t>P00491_PNP</t>
  </si>
  <si>
    <t>P00492_HPRT1</t>
  </si>
  <si>
    <t>P00505_GOT2</t>
  </si>
  <si>
    <t>P00558_PGK1</t>
  </si>
  <si>
    <t>P00568_AK1</t>
  </si>
  <si>
    <t>P00734_F2</t>
  </si>
  <si>
    <t>P00736_C1R</t>
  </si>
  <si>
    <t>P00738_HP</t>
  </si>
  <si>
    <t>P00739_HPR</t>
  </si>
  <si>
    <t>P00740_F9</t>
  </si>
  <si>
    <t>P00742_F10</t>
  </si>
  <si>
    <t>P00747_PLG</t>
  </si>
  <si>
    <t>P00748_F12</t>
  </si>
  <si>
    <t>P00966_ASS1</t>
  </si>
  <si>
    <t>P01009_SERPINA1</t>
  </si>
  <si>
    <t>P01011_SERPINA3</t>
  </si>
  <si>
    <t>P01019_AGT</t>
  </si>
  <si>
    <t>P01023_A2M</t>
  </si>
  <si>
    <t>P01024_C3</t>
  </si>
  <si>
    <t>P01034_CST3</t>
  </si>
  <si>
    <t>P01040_CSTA</t>
  </si>
  <si>
    <t>P01042-2_KNG1</t>
  </si>
  <si>
    <t>P01111_NRAS</t>
  </si>
  <si>
    <t>P01116-2_KRAS</t>
  </si>
  <si>
    <t>P01116_KRAS</t>
  </si>
  <si>
    <t>P01598_</t>
  </si>
  <si>
    <t>P01608_</t>
  </si>
  <si>
    <t>P01617_</t>
  </si>
  <si>
    <t>P01743_</t>
  </si>
  <si>
    <t>P01764_</t>
  </si>
  <si>
    <t>P01766_</t>
  </si>
  <si>
    <t>P01834_IGKC</t>
  </si>
  <si>
    <t>P01857_IGHG1</t>
  </si>
  <si>
    <t>P01859_IGHG2</t>
  </si>
  <si>
    <t>P01860_IGHG3</t>
  </si>
  <si>
    <t>P01871_IGHM</t>
  </si>
  <si>
    <t>P01876_IGHA1</t>
  </si>
  <si>
    <t>P01877_IGHA2</t>
  </si>
  <si>
    <t>P02008_HBZ</t>
  </si>
  <si>
    <t>P02452_COL1A1</t>
  </si>
  <si>
    <t>P02458-3_COL2A1</t>
  </si>
  <si>
    <t>P02462_COL4A1</t>
  </si>
  <si>
    <t>P02533_KRT14</t>
  </si>
  <si>
    <t>P02538_KRT6A</t>
  </si>
  <si>
    <t>P02545_LMNA</t>
  </si>
  <si>
    <t>P02647_APOA1</t>
  </si>
  <si>
    <t>P02649_APOE</t>
  </si>
  <si>
    <t>P02652_APOA2</t>
  </si>
  <si>
    <t>P02656_APOC3</t>
  </si>
  <si>
    <t>P02671-2_FGA</t>
  </si>
  <si>
    <t>P02675_FGB</t>
  </si>
  <si>
    <t>P02679-2_FGG</t>
  </si>
  <si>
    <t>P02743_APCS</t>
  </si>
  <si>
    <t>P02748_C9</t>
  </si>
  <si>
    <t>P02749_APOH</t>
  </si>
  <si>
    <t>P02750_LRG1</t>
  </si>
  <si>
    <t>P02751-10_FN1</t>
  </si>
  <si>
    <t>P02760_AMBP</t>
  </si>
  <si>
    <t>P02763_ORM1</t>
  </si>
  <si>
    <t>P02765_AHSG</t>
  </si>
  <si>
    <t>P02766_TTR</t>
  </si>
  <si>
    <t>P02771_AFP</t>
  </si>
  <si>
    <t>P02774_GC</t>
  </si>
  <si>
    <t>P02790_HPX</t>
  </si>
  <si>
    <t>P02792_FTL</t>
  </si>
  <si>
    <t>P02794_FTH1</t>
  </si>
  <si>
    <t>P02795_MT2A</t>
  </si>
  <si>
    <t>P03950_ANG</t>
  </si>
  <si>
    <t>P03952_KLKB1</t>
  </si>
  <si>
    <t>P04003_C4BPA</t>
  </si>
  <si>
    <t>P04004_VTN</t>
  </si>
  <si>
    <t>P04066_FUCA1</t>
  </si>
  <si>
    <t>P04080_CSTB</t>
  </si>
  <si>
    <t>P04114_APOB</t>
  </si>
  <si>
    <t>P04150-7_NR3C1</t>
  </si>
  <si>
    <t>P04179_SOD2</t>
  </si>
  <si>
    <t>P04181_OAT</t>
  </si>
  <si>
    <t>P04196_HRG</t>
  </si>
  <si>
    <t>P04206_</t>
  </si>
  <si>
    <t>P04217_A1BG</t>
  </si>
  <si>
    <t>P04259_KRT6B</t>
  </si>
  <si>
    <t>P04264_KRT1</t>
  </si>
  <si>
    <t>P04275_VWF</t>
  </si>
  <si>
    <t>P04406_GAPDH</t>
  </si>
  <si>
    <t>P04424_ASL</t>
  </si>
  <si>
    <t>P04632_CAPNS1</t>
  </si>
  <si>
    <t>P04731_MT1A</t>
  </si>
  <si>
    <t>P04732_MT1E</t>
  </si>
  <si>
    <t>P04733_MT1F</t>
  </si>
  <si>
    <t>P04792_HSPB1</t>
  </si>
  <si>
    <t>P04843_RPN1</t>
  </si>
  <si>
    <t>P04899_GNAI2</t>
  </si>
  <si>
    <t>P05023-3_ATP1A1</t>
  </si>
  <si>
    <t>P05062_ALDOB</t>
  </si>
  <si>
    <t>P05089_ARG1</t>
  </si>
  <si>
    <t>P05090_APOD</t>
  </si>
  <si>
    <t>P05091_ALDH2</t>
  </si>
  <si>
    <t>P05109_S100A8</t>
  </si>
  <si>
    <t>P05114_HMGN1</t>
  </si>
  <si>
    <t>P05141_SLC25A5</t>
  </si>
  <si>
    <t>P05154_SERPINA5</t>
  </si>
  <si>
    <t>P05155_SERPING1</t>
  </si>
  <si>
    <t>P05161_ISG15</t>
  </si>
  <si>
    <t>P05164-2_MPO</t>
  </si>
  <si>
    <t>P05165_PCCA</t>
  </si>
  <si>
    <t>P05166_PCCB</t>
  </si>
  <si>
    <t>P05177_CYP1A2</t>
  </si>
  <si>
    <t>P05181_CYP2E1</t>
  </si>
  <si>
    <t>P05186_ALPL</t>
  </si>
  <si>
    <t>P05198_EIF2S1</t>
  </si>
  <si>
    <t>P05204_HMGN2</t>
  </si>
  <si>
    <t>P05387_RPLP2</t>
  </si>
  <si>
    <t>P05455_SSB</t>
  </si>
  <si>
    <t>P05543_SERPINA7</t>
  </si>
  <si>
    <t>P05546_SERPIND1</t>
  </si>
  <si>
    <t>P05556_ITGB1</t>
  </si>
  <si>
    <t>P05783_KRT18</t>
  </si>
  <si>
    <t>P05787_KRT8</t>
  </si>
  <si>
    <t>P05976-2_MYL1</t>
  </si>
  <si>
    <t>P06132_UROD</t>
  </si>
  <si>
    <t>P06133_UGT2B4</t>
  </si>
  <si>
    <t>P06280_GLA</t>
  </si>
  <si>
    <t>P06576_ATP5B</t>
  </si>
  <si>
    <t>P06681_C2</t>
  </si>
  <si>
    <t>P06702_S100A9</t>
  </si>
  <si>
    <t>P06727_APOA4</t>
  </si>
  <si>
    <t>P06730_EIF4E</t>
  </si>
  <si>
    <t>P06733_ENO1</t>
  </si>
  <si>
    <t>P06737_PYGL</t>
  </si>
  <si>
    <t>P06744_GPI</t>
  </si>
  <si>
    <t>P06748_NPM1</t>
  </si>
  <si>
    <t>P06753-2_TPM3</t>
  </si>
  <si>
    <t>P06865_HEXA</t>
  </si>
  <si>
    <t>P07099_EPHX1</t>
  </si>
  <si>
    <t>P07108_DBI</t>
  </si>
  <si>
    <t>P07148_FABP1</t>
  </si>
  <si>
    <t>P07195_LDHB</t>
  </si>
  <si>
    <t>P07203_GPX1</t>
  </si>
  <si>
    <t>P07205_PGK2</t>
  </si>
  <si>
    <t>P07237_P4HB</t>
  </si>
  <si>
    <t>P07305_H1F0</t>
  </si>
  <si>
    <t>P07306-2_ASGR1</t>
  </si>
  <si>
    <t>P07307-3_ASGR2</t>
  </si>
  <si>
    <t>P07327_ADH1A</t>
  </si>
  <si>
    <t>P07332-3_FES</t>
  </si>
  <si>
    <t>P07355_ANXA2</t>
  </si>
  <si>
    <t>P07357_C8A</t>
  </si>
  <si>
    <t>P07360_C8G</t>
  </si>
  <si>
    <t>P07384_CAPN1</t>
  </si>
  <si>
    <t>P07438_MT1B</t>
  </si>
  <si>
    <t>P07602_PSAP</t>
  </si>
  <si>
    <t>P07686_HEXB</t>
  </si>
  <si>
    <t>P07711_CTSL1</t>
  </si>
  <si>
    <t>P07737_PFN1</t>
  </si>
  <si>
    <t>P07738_BPGM</t>
  </si>
  <si>
    <t>P07741_APRT</t>
  </si>
  <si>
    <t>P07814_EPRS</t>
  </si>
  <si>
    <t>P07858_CTSB</t>
  </si>
  <si>
    <t>P07900_HSP90AA1</t>
  </si>
  <si>
    <t>P07902_GALT</t>
  </si>
  <si>
    <t>P07919_UQCRH</t>
  </si>
  <si>
    <t>P07947_YES1</t>
  </si>
  <si>
    <t>P07948-2_LYN</t>
  </si>
  <si>
    <t>P07954-2_FH</t>
  </si>
  <si>
    <t>P07996_THBS1</t>
  </si>
  <si>
    <t>P08107_HSPA1A</t>
  </si>
  <si>
    <t>P08123_COL1A2</t>
  </si>
  <si>
    <t>P08133_ANXA6</t>
  </si>
  <si>
    <t>P08185_SERPINA6</t>
  </si>
  <si>
    <t>P08236-2_GUSB</t>
  </si>
  <si>
    <t>P08238_HSP90AB1</t>
  </si>
  <si>
    <t>P08240-2_SRPR</t>
  </si>
  <si>
    <t>P08294_SOD3</t>
  </si>
  <si>
    <t>P08319_ADH4</t>
  </si>
  <si>
    <t>P08397-2_HMBS</t>
  </si>
  <si>
    <t>P08519_LPA</t>
  </si>
  <si>
    <t>P08559-3_PDHA1</t>
  </si>
  <si>
    <t>P08567_PLEK</t>
  </si>
  <si>
    <t>P08571_CD14</t>
  </si>
  <si>
    <t>P08572_COL4A2</t>
  </si>
  <si>
    <t>P08579_SNRPB2</t>
  </si>
  <si>
    <t>P08581_MET</t>
  </si>
  <si>
    <t>P08603_CFH</t>
  </si>
  <si>
    <t>P08621-2_SNRNP70</t>
  </si>
  <si>
    <t>P08651-2_NFIC</t>
  </si>
  <si>
    <t>P08670_VIM</t>
  </si>
  <si>
    <t>P08684_CYP3A4</t>
  </si>
  <si>
    <t>P08697_SERPINF2</t>
  </si>
  <si>
    <t>P08727_KRT19</t>
  </si>
  <si>
    <t>P08729_KRT7</t>
  </si>
  <si>
    <t>P08754_GNAI3</t>
  </si>
  <si>
    <t>P08779_KRT16</t>
  </si>
  <si>
    <t>P09012_SNRPA</t>
  </si>
  <si>
    <t>P09110_ACAA1</t>
  </si>
  <si>
    <t>P09132_SRP19</t>
  </si>
  <si>
    <t>P09210_GSTA2</t>
  </si>
  <si>
    <t>P09234_SNRPC</t>
  </si>
  <si>
    <t>P09327_VIL1</t>
  </si>
  <si>
    <t>P09382_LGALS1</t>
  </si>
  <si>
    <t>P09417_QDPR</t>
  </si>
  <si>
    <t>P09429_HMGB1</t>
  </si>
  <si>
    <t>P09467_FBP1</t>
  </si>
  <si>
    <t>P09493-3_TPM1</t>
  </si>
  <si>
    <t>P09496-2_CLTA</t>
  </si>
  <si>
    <t>P09497-2_CLTB</t>
  </si>
  <si>
    <t>P09525_ANXA4</t>
  </si>
  <si>
    <t>P09543-2_CNP</t>
  </si>
  <si>
    <t>P09601_HMOX1</t>
  </si>
  <si>
    <t>P09622_DLD</t>
  </si>
  <si>
    <t>P09651-3_HNRNPA1</t>
  </si>
  <si>
    <t>P09661_SNRPA1</t>
  </si>
  <si>
    <t>P09668_CTSH</t>
  </si>
  <si>
    <t>P09871_C1S</t>
  </si>
  <si>
    <t>P09874_PARP1</t>
  </si>
  <si>
    <t>P09913_IFIT2</t>
  </si>
  <si>
    <t>P09960_LTA4H</t>
  </si>
  <si>
    <t>P09972_ALDOC</t>
  </si>
  <si>
    <t>P0C0L5_C4B</t>
  </si>
  <si>
    <t>P0C7P0_CISD3</t>
  </si>
  <si>
    <t>P0C7T5_ATXN1L</t>
  </si>
  <si>
    <t>P0C7U0_ELFN1</t>
  </si>
  <si>
    <t>P0C870_JMJD7</t>
  </si>
  <si>
    <t>P0CAP1-11_MYZAP</t>
  </si>
  <si>
    <t>P0CG05_IGLC2</t>
  </si>
  <si>
    <t>P0CW22_RPS17L</t>
  </si>
  <si>
    <t>P0DI82_TRAPPC2P1</t>
  </si>
  <si>
    <t>P0DJI8_SAA1</t>
  </si>
  <si>
    <t>P10109_FDX1</t>
  </si>
  <si>
    <t>P10153_RNASE2</t>
  </si>
  <si>
    <t>P10155_TROVE2</t>
  </si>
  <si>
    <t>P10253_GAA</t>
  </si>
  <si>
    <t>P10301_RRAS</t>
  </si>
  <si>
    <t>P10398_ARAF</t>
  </si>
  <si>
    <t>P10412_HIST1H1E</t>
  </si>
  <si>
    <t>P10515_DLAT</t>
  </si>
  <si>
    <t>P10586-2_PTPRF</t>
  </si>
  <si>
    <t>P10588_NR2F6</t>
  </si>
  <si>
    <t>P10606_COX5B</t>
  </si>
  <si>
    <t>P10619_CTSA</t>
  </si>
  <si>
    <t>P10632_CYP2C8</t>
  </si>
  <si>
    <t>P10635_CYP2D6</t>
  </si>
  <si>
    <t>P10643_C7</t>
  </si>
  <si>
    <t>P10644_PRKAR1A</t>
  </si>
  <si>
    <t>P10746_UROS</t>
  </si>
  <si>
    <t>P10768_ESD</t>
  </si>
  <si>
    <t>P10809_HSPD1</t>
  </si>
  <si>
    <t>P10909-4_CLU</t>
  </si>
  <si>
    <t>P11021_HSPA5</t>
  </si>
  <si>
    <t>P11047_LAMC1</t>
  </si>
  <si>
    <t>P11142_HSPA8</t>
  </si>
  <si>
    <t>P11171-4_EPB41</t>
  </si>
  <si>
    <t>P11172_UMPS</t>
  </si>
  <si>
    <t>P11177-2_PDHB</t>
  </si>
  <si>
    <t>P11182_DBT</t>
  </si>
  <si>
    <t>P11216_PYGB</t>
  </si>
  <si>
    <t>P11226_MBL2</t>
  </si>
  <si>
    <t>P11245_NAT2</t>
  </si>
  <si>
    <t>P11274-2_BCR</t>
  </si>
  <si>
    <t>P11279_LAMP1</t>
  </si>
  <si>
    <t>P11310_ACADM</t>
  </si>
  <si>
    <t>P11387_TOP1</t>
  </si>
  <si>
    <t>P11413_G6PD</t>
  </si>
  <si>
    <t>P11441_UBL4A</t>
  </si>
  <si>
    <t>P11498_PC</t>
  </si>
  <si>
    <t>P11509_CYP2A6</t>
  </si>
  <si>
    <t>P11532-3_DMD</t>
  </si>
  <si>
    <t>P11586_MTHFD1</t>
  </si>
  <si>
    <t>P11712_CYP2C9</t>
  </si>
  <si>
    <t>P11717_IGF2R</t>
  </si>
  <si>
    <t>P11766_ADH5</t>
  </si>
  <si>
    <t>P11802_CDK4</t>
  </si>
  <si>
    <t>P11908_PRPS2</t>
  </si>
  <si>
    <t>P11940_PABPC1</t>
  </si>
  <si>
    <t>P12004_PCNA</t>
  </si>
  <si>
    <t>P12109_COL6A1</t>
  </si>
  <si>
    <t>P12270_TPR</t>
  </si>
  <si>
    <t>P12694_BCKDHA</t>
  </si>
  <si>
    <t>P12724_RNASE3</t>
  </si>
  <si>
    <t>P12814_ACTN1</t>
  </si>
  <si>
    <t>P12931_SRC</t>
  </si>
  <si>
    <t>P12955_PEPD</t>
  </si>
  <si>
    <t>P12956_XRCC6</t>
  </si>
  <si>
    <t>P13010_XRCC5</t>
  </si>
  <si>
    <t>P13073_COX4I1</t>
  </si>
  <si>
    <t>P13196_ALAS1</t>
  </si>
  <si>
    <t>P13284_IFI30</t>
  </si>
  <si>
    <t>P13473_LAMP2</t>
  </si>
  <si>
    <t>P13489_RNH1</t>
  </si>
  <si>
    <t>P13498_CYBA</t>
  </si>
  <si>
    <t>P13639_EEF2</t>
  </si>
  <si>
    <t>P13640-2_MT1G</t>
  </si>
  <si>
    <t>P13640_MT1G</t>
  </si>
  <si>
    <t>P13647_KRT5</t>
  </si>
  <si>
    <t>P13667_PDIA4</t>
  </si>
  <si>
    <t>P13671_C6</t>
  </si>
  <si>
    <t>P13674-2_P4HA1</t>
  </si>
  <si>
    <t>P13693_TPT1</t>
  </si>
  <si>
    <t>P13796_LCP1</t>
  </si>
  <si>
    <t>P13797_PLS3</t>
  </si>
  <si>
    <t>P13798_APEH</t>
  </si>
  <si>
    <t>P13804_ETFA</t>
  </si>
  <si>
    <t>P13861_PRKAR2A</t>
  </si>
  <si>
    <t>P13929_ENO3</t>
  </si>
  <si>
    <t>P13984_GTF2F2</t>
  </si>
  <si>
    <t>P14174_MIF</t>
  </si>
  <si>
    <t>P14209-3_CD99</t>
  </si>
  <si>
    <t>P14210-3_HGF</t>
  </si>
  <si>
    <t>P14317_HCLS1</t>
  </si>
  <si>
    <t>P14324-2_FDPS</t>
  </si>
  <si>
    <t>P14543_NID1</t>
  </si>
  <si>
    <t>P14550_AKR1A1</t>
  </si>
  <si>
    <t>P14618_PKM</t>
  </si>
  <si>
    <t>P14621_ACYP2</t>
  </si>
  <si>
    <t>P14625_HSP90B1</t>
  </si>
  <si>
    <t>P14649_MYL6B</t>
  </si>
  <si>
    <t>P14735_IDE</t>
  </si>
  <si>
    <t>P14854_COX6B1</t>
  </si>
  <si>
    <t>P14866_HNRNPL</t>
  </si>
  <si>
    <t>P14868_DARS</t>
  </si>
  <si>
    <t>P14920_DAO</t>
  </si>
  <si>
    <t>P14923_JUP</t>
  </si>
  <si>
    <t>P15104_GLUL</t>
  </si>
  <si>
    <t>P15121_AKR1B1</t>
  </si>
  <si>
    <t>P15144_ANPEP</t>
  </si>
  <si>
    <t>P15170-2_GSPT1</t>
  </si>
  <si>
    <t>P15289-2_ARSA</t>
  </si>
  <si>
    <t>P15289_ARSA</t>
  </si>
  <si>
    <t>P15311_EZR</t>
  </si>
  <si>
    <t>P15336-3_ATF2</t>
  </si>
  <si>
    <t>P15374_UCHL3</t>
  </si>
  <si>
    <t>P15428_HPGD</t>
  </si>
  <si>
    <t>P15531_NME1</t>
  </si>
  <si>
    <t>P15735-2_PHKG2</t>
  </si>
  <si>
    <t>P15848_ARSB</t>
  </si>
  <si>
    <t>P15907_ST6GAL1</t>
  </si>
  <si>
    <t>P15924_DSP</t>
  </si>
  <si>
    <t>P15927_RPA2</t>
  </si>
  <si>
    <t>P16112-3_ACAN</t>
  </si>
  <si>
    <t>P16118_PFKFB1</t>
  </si>
  <si>
    <t>P16152_CBR1</t>
  </si>
  <si>
    <t>P16219_ACADS</t>
  </si>
  <si>
    <t>P16220-3_CREB1</t>
  </si>
  <si>
    <t>P16278-3_GLB1</t>
  </si>
  <si>
    <t>P16298-3_PPP3CB</t>
  </si>
  <si>
    <t>P16333_NCK1</t>
  </si>
  <si>
    <t>P16383-2_GCFC2</t>
  </si>
  <si>
    <t>P16401_HIST1H1B</t>
  </si>
  <si>
    <t>P16435_POR</t>
  </si>
  <si>
    <t>P16455_MGMT</t>
  </si>
  <si>
    <t>P16662_UGT2B7</t>
  </si>
  <si>
    <t>P16885_PLCG2</t>
  </si>
  <si>
    <t>P16930_FAH</t>
  </si>
  <si>
    <t>P16949_STMN1</t>
  </si>
  <si>
    <t>P16989-2_YBX3</t>
  </si>
  <si>
    <t>P17028_ZNF24</t>
  </si>
  <si>
    <t>P17029_ZKSCAN1</t>
  </si>
  <si>
    <t>P17050_NAGA</t>
  </si>
  <si>
    <t>P17066_HSPA6</t>
  </si>
  <si>
    <t>P17096-2_HMGA1</t>
  </si>
  <si>
    <t>P17174_GOT1</t>
  </si>
  <si>
    <t>P17480-2_UBTF</t>
  </si>
  <si>
    <t>P17516_AKR1C4</t>
  </si>
  <si>
    <t>P17544-5_ATF7</t>
  </si>
  <si>
    <t>P17612_PRKACA</t>
  </si>
  <si>
    <t>P17655_CAPN2</t>
  </si>
  <si>
    <t>P17676_CEBPB</t>
  </si>
  <si>
    <t>P17735_TAT</t>
  </si>
  <si>
    <t>P17812_CTPS1</t>
  </si>
  <si>
    <t>P17858_PFKL</t>
  </si>
  <si>
    <t>P17900_GM2A</t>
  </si>
  <si>
    <t>P17931_LGALS3</t>
  </si>
  <si>
    <t>P17987_TCP1</t>
  </si>
  <si>
    <t>P18031_PTPN1</t>
  </si>
  <si>
    <t>P18054_ALOX12</t>
  </si>
  <si>
    <t>P18065_IGFBP2</t>
  </si>
  <si>
    <t>P18085_ARF4</t>
  </si>
  <si>
    <t>P18206-2_VCL</t>
  </si>
  <si>
    <t>P18283_GPX2</t>
  </si>
  <si>
    <t>P18428_LBP</t>
  </si>
  <si>
    <t>P18440_NAT1</t>
  </si>
  <si>
    <t>P18510-4_IL1RN</t>
  </si>
  <si>
    <t>P18583-6_SON</t>
  </si>
  <si>
    <t>P18615_NELFE</t>
  </si>
  <si>
    <t>P18669_PGAM1</t>
  </si>
  <si>
    <t>P18827_SDC1</t>
  </si>
  <si>
    <t>P18859_ATP5J</t>
  </si>
  <si>
    <t>P19105_MYL12A</t>
  </si>
  <si>
    <t>P19174_PLCG1</t>
  </si>
  <si>
    <t>P19338_NCL</t>
  </si>
  <si>
    <t>P19367-4_HK1</t>
  </si>
  <si>
    <t>P19388_POLR2E</t>
  </si>
  <si>
    <t>P19404_NDUFV2</t>
  </si>
  <si>
    <t>P19525_EIF2AK2</t>
  </si>
  <si>
    <t>P19623_SRM</t>
  </si>
  <si>
    <t>P19652_ORM2</t>
  </si>
  <si>
    <t>P19784_CSNK2A2</t>
  </si>
  <si>
    <t>P19827_ITIH1</t>
  </si>
  <si>
    <t>P19838_NFKB1</t>
  </si>
  <si>
    <t>P19971_TYMP</t>
  </si>
  <si>
    <t>P20042_EIF2S2</t>
  </si>
  <si>
    <t>P20132_SDS</t>
  </si>
  <si>
    <t>P20290_BTF3</t>
  </si>
  <si>
    <t>P20338_RAB4A</t>
  </si>
  <si>
    <t>P20340-2_RAB6A</t>
  </si>
  <si>
    <t>P20585_MSH3</t>
  </si>
  <si>
    <t>P20591_MX1</t>
  </si>
  <si>
    <t>P20618_PSMB1</t>
  </si>
  <si>
    <t>P20674_COX5A</t>
  </si>
  <si>
    <t>P20700_LMNB1</t>
  </si>
  <si>
    <t>P20711_DDC</t>
  </si>
  <si>
    <t>P20742_PZP</t>
  </si>
  <si>
    <t>P20810-5_CAST</t>
  </si>
  <si>
    <t>P20810-6_CAST</t>
  </si>
  <si>
    <t>P20813_CYP2B6</t>
  </si>
  <si>
    <t>P20823-3_HNF1A</t>
  </si>
  <si>
    <t>P20933_AGA</t>
  </si>
  <si>
    <t>P20936-2_RASA1</t>
  </si>
  <si>
    <t>P20962_PTMS</t>
  </si>
  <si>
    <t>P21127-8_CDK11B</t>
  </si>
  <si>
    <t>P21266_GSTM3</t>
  </si>
  <si>
    <t>P21281_ATP6V1B2</t>
  </si>
  <si>
    <t>P21283_ATP6V1C1</t>
  </si>
  <si>
    <t>P21291_CSRP1</t>
  </si>
  <si>
    <t>P21397-2_MAOA</t>
  </si>
  <si>
    <t>P21399_ACO1</t>
  </si>
  <si>
    <t>P21549_AGXT</t>
  </si>
  <si>
    <t>P21580_TNFAIP3</t>
  </si>
  <si>
    <t>P21589-2_NT5E</t>
  </si>
  <si>
    <t>P21695-2_GPD1</t>
  </si>
  <si>
    <t>P21912_SDHB</t>
  </si>
  <si>
    <t>P21953_BCKDHB</t>
  </si>
  <si>
    <t>P21964-2_COMT</t>
  </si>
  <si>
    <t>P21980_TGM2</t>
  </si>
  <si>
    <t>P22033_MUT</t>
  </si>
  <si>
    <t>P22059_OSBP</t>
  </si>
  <si>
    <t>P22061_PCMT1</t>
  </si>
  <si>
    <t>P22102_GART</t>
  </si>
  <si>
    <t>P22234_PAICS</t>
  </si>
  <si>
    <t>P22307-2_SCP2</t>
  </si>
  <si>
    <t>P22307_SCP2</t>
  </si>
  <si>
    <t>P22310_UGT1A4</t>
  </si>
  <si>
    <t>P22314_UBA1</t>
  </si>
  <si>
    <t>P22352_GPX3</t>
  </si>
  <si>
    <t>P22392-2_NME2</t>
  </si>
  <si>
    <t>P22570_FDXR</t>
  </si>
  <si>
    <t>P22626_HNRNPA2B1</t>
  </si>
  <si>
    <t>P22694-4_PRKACB</t>
  </si>
  <si>
    <t>P22830_FECH</t>
  </si>
  <si>
    <t>P23141_CES1</t>
  </si>
  <si>
    <t>P23142-3_FBLN1</t>
  </si>
  <si>
    <t>P23193_TCEA1</t>
  </si>
  <si>
    <t>P23246_SFPQ</t>
  </si>
  <si>
    <t>P23284_PPIB</t>
  </si>
  <si>
    <t>P23368_ME2</t>
  </si>
  <si>
    <t>P23378_GLDC</t>
  </si>
  <si>
    <t>P23381_WARS</t>
  </si>
  <si>
    <t>P23396_RPS3</t>
  </si>
  <si>
    <t>P23409_MYF6</t>
  </si>
  <si>
    <t>P23434_GCSH</t>
  </si>
  <si>
    <t>P23497_SP100</t>
  </si>
  <si>
    <t>P23508-2_MCC</t>
  </si>
  <si>
    <t>P23526_AHCY</t>
  </si>
  <si>
    <t>P23528_CFL1</t>
  </si>
  <si>
    <t>P23588_EIF4B</t>
  </si>
  <si>
    <t>P23610_F8A1</t>
  </si>
  <si>
    <t>P23786_CPT2</t>
  </si>
  <si>
    <t>P23919_DTYMK</t>
  </si>
  <si>
    <t>P23921_RRM1</t>
  </si>
  <si>
    <t>P24158_PRTN3</t>
  </si>
  <si>
    <t>P24298_GPT</t>
  </si>
  <si>
    <t>P24385_CCND1</t>
  </si>
  <si>
    <t>P24534_EEF1B2</t>
  </si>
  <si>
    <t>P24666_ACP1</t>
  </si>
  <si>
    <t>P24752_ACAT1</t>
  </si>
  <si>
    <t>P24928_POLR2A</t>
  </si>
  <si>
    <t>P24941_CDK2</t>
  </si>
  <si>
    <t>P25098_ADRBK1</t>
  </si>
  <si>
    <t>P25205_MCM3</t>
  </si>
  <si>
    <t>P25311_AZGP1</t>
  </si>
  <si>
    <t>P25398_RPS12</t>
  </si>
  <si>
    <t>P25440_BRD2</t>
  </si>
  <si>
    <t>P25685_DNAJB1</t>
  </si>
  <si>
    <t>P25686_DNAJB2</t>
  </si>
  <si>
    <t>P25705_ATP5A1</t>
  </si>
  <si>
    <t>P25774_CTSS</t>
  </si>
  <si>
    <t>P25786_PSMA1</t>
  </si>
  <si>
    <t>P25787_PSMA2</t>
  </si>
  <si>
    <t>P25788-2_PSMA3</t>
  </si>
  <si>
    <t>P25789_PSMA4</t>
  </si>
  <si>
    <t>P25815_S100P</t>
  </si>
  <si>
    <t>P26038_MSN</t>
  </si>
  <si>
    <t>P26196_DDX6</t>
  </si>
  <si>
    <t>P26358_DNMT1</t>
  </si>
  <si>
    <t>P26368-2_U2AF2</t>
  </si>
  <si>
    <t>P26373_RPL13</t>
  </si>
  <si>
    <t>P26440_IVD</t>
  </si>
  <si>
    <t>P26447_S100A4</t>
  </si>
  <si>
    <t>P26583_HMGB2</t>
  </si>
  <si>
    <t>P26599_PTBP1</t>
  </si>
  <si>
    <t>P26639_TARS</t>
  </si>
  <si>
    <t>P26640_VARS</t>
  </si>
  <si>
    <t>P26641_EEF1G</t>
  </si>
  <si>
    <t>P26651_ZFP36</t>
  </si>
  <si>
    <t>P26885_FKBP2</t>
  </si>
  <si>
    <t>P26927_MST1</t>
  </si>
  <si>
    <t>P27144_AK4</t>
  </si>
  <si>
    <t>P27169_PON1</t>
  </si>
  <si>
    <t>P27348_YWHAQ</t>
  </si>
  <si>
    <t>P27540-2_ARNT</t>
  </si>
  <si>
    <t>P27694_RPA1</t>
  </si>
  <si>
    <t>P27695_APEX1</t>
  </si>
  <si>
    <t>P27797_CALR</t>
  </si>
  <si>
    <t>P27816_MAP4</t>
  </si>
  <si>
    <t>P27824_CANX</t>
  </si>
  <si>
    <t>P27986_PIK3R1</t>
  </si>
  <si>
    <t>P28062-2_PSMB8</t>
  </si>
  <si>
    <t>P28066_PSMA5</t>
  </si>
  <si>
    <t>P28070_PSMB4</t>
  </si>
  <si>
    <t>P28072_PSMB6</t>
  </si>
  <si>
    <t>P28074_PSMB5</t>
  </si>
  <si>
    <t>P28330_ACADL</t>
  </si>
  <si>
    <t>P28331_NDUFS1</t>
  </si>
  <si>
    <t>P28332_ADH6</t>
  </si>
  <si>
    <t>P28340_POLD1</t>
  </si>
  <si>
    <t>P28482_MAPK1</t>
  </si>
  <si>
    <t>P28715_ERCC5</t>
  </si>
  <si>
    <t>P28799_GRN</t>
  </si>
  <si>
    <t>P28838-2_LAP3</t>
  </si>
  <si>
    <t>P28845_HSD11B1</t>
  </si>
  <si>
    <t>P29083_GTF2E1</t>
  </si>
  <si>
    <t>P29084_GTF2E2</t>
  </si>
  <si>
    <t>P29144_TPP2</t>
  </si>
  <si>
    <t>P29218_IMPA1</t>
  </si>
  <si>
    <t>P29350_PTPN6</t>
  </si>
  <si>
    <t>P29353-7_SHC1</t>
  </si>
  <si>
    <t>P29372-5_MPG</t>
  </si>
  <si>
    <t>P29374-3_ARID4A</t>
  </si>
  <si>
    <t>P29401_TKT</t>
  </si>
  <si>
    <t>P29590_PML</t>
  </si>
  <si>
    <t>P29692-3_EEF1D</t>
  </si>
  <si>
    <t>P29966_MARCKS</t>
  </si>
  <si>
    <t>P30038_ALDH4A1</t>
  </si>
  <si>
    <t>P30039_PBLD</t>
  </si>
  <si>
    <t>P30040_ERP29</t>
  </si>
  <si>
    <t>P30041_PRDX6</t>
  </si>
  <si>
    <t>P30042_C21orf33</t>
  </si>
  <si>
    <t>P30043_BLVRB</t>
  </si>
  <si>
    <t>P30044-2_PRDX5</t>
  </si>
  <si>
    <t>P30046_DDT</t>
  </si>
  <si>
    <t>P30047_GCHFR</t>
  </si>
  <si>
    <t>P30049_ATP5D</t>
  </si>
  <si>
    <t>P30050_RPL12</t>
  </si>
  <si>
    <t>P30084_ECHS1</t>
  </si>
  <si>
    <t>P30085_CMPK1</t>
  </si>
  <si>
    <t>P30086_PEBP1</t>
  </si>
  <si>
    <t>P30153_PPP2R1A</t>
  </si>
  <si>
    <t>P30154_PPP2R1B</t>
  </si>
  <si>
    <t>P30405_PPIF</t>
  </si>
  <si>
    <t>P30419_NMT1</t>
  </si>
  <si>
    <t>P30519_HMOX2</t>
  </si>
  <si>
    <t>P30520_ADSS</t>
  </si>
  <si>
    <t>P30533_LRPAP1</t>
  </si>
  <si>
    <t>P30566_ADSL</t>
  </si>
  <si>
    <t>P30613-2_PKLR</t>
  </si>
  <si>
    <t>P30622-2_CLIP1</t>
  </si>
  <si>
    <t>P30711_GSTT1</t>
  </si>
  <si>
    <t>P30740_SERPINB1</t>
  </si>
  <si>
    <t>P30793_GCH1</t>
  </si>
  <si>
    <t>P30837_ALDH1B1</t>
  </si>
  <si>
    <t>P31040_SDHA</t>
  </si>
  <si>
    <t>P31146_CORO1A</t>
  </si>
  <si>
    <t>P31150_GDI1</t>
  </si>
  <si>
    <t>P31153_MAT2A</t>
  </si>
  <si>
    <t>P31321_PRKAR1B</t>
  </si>
  <si>
    <t>P31327-2_CPS1</t>
  </si>
  <si>
    <t>P31327_CPS1</t>
  </si>
  <si>
    <t>P31350_RRM2</t>
  </si>
  <si>
    <t>P31513_FMO3</t>
  </si>
  <si>
    <t>P31689_DNAJA1</t>
  </si>
  <si>
    <t>P31749_AKT1</t>
  </si>
  <si>
    <t>P31751_AKT2</t>
  </si>
  <si>
    <t>P31930_UQCRC1</t>
  </si>
  <si>
    <t>P31937_HIBADH</t>
  </si>
  <si>
    <t>P31939_ATIC</t>
  </si>
  <si>
    <t>P31942-2_HNRNPH3</t>
  </si>
  <si>
    <t>P31944_CASP14</t>
  </si>
  <si>
    <t>P31946-2_YWHAB</t>
  </si>
  <si>
    <t>P31947-2_SFN</t>
  </si>
  <si>
    <t>P31948_STIP1</t>
  </si>
  <si>
    <t>P31949_S100A11</t>
  </si>
  <si>
    <t>P32119_PRDX2</t>
  </si>
  <si>
    <t>P32121-5_ARRB2</t>
  </si>
  <si>
    <t>P32189-1_GK</t>
  </si>
  <si>
    <t>P32320_CDA</t>
  </si>
  <si>
    <t>P32321_DCTD</t>
  </si>
  <si>
    <t>P32455_GBP1</t>
  </si>
  <si>
    <t>P32456_GBP2</t>
  </si>
  <si>
    <t>P32519-2_ELF1</t>
  </si>
  <si>
    <t>P32754-2_HPD</t>
  </si>
  <si>
    <t>P32754_HPD</t>
  </si>
  <si>
    <t>P32929_CTH</t>
  </si>
  <si>
    <t>P33121_ACSL1</t>
  </si>
  <si>
    <t>P33176_KIF5B</t>
  </si>
  <si>
    <t>P33240-2_CSTF2</t>
  </si>
  <si>
    <t>P33241_LSP1</t>
  </si>
  <si>
    <t>P33261_CYP2C19</t>
  </si>
  <si>
    <t>P33316-2_DUT</t>
  </si>
  <si>
    <t>P33316_DUT</t>
  </si>
  <si>
    <t>P33908_MAN1A1</t>
  </si>
  <si>
    <t>P33991_MCM4</t>
  </si>
  <si>
    <t>P33992_MCM5</t>
  </si>
  <si>
    <t>P33993_MCM7</t>
  </si>
  <si>
    <t>P34059_GALNS</t>
  </si>
  <si>
    <t>P34096_RNASE4</t>
  </si>
  <si>
    <t>P34896_SHMT1</t>
  </si>
  <si>
    <t>P34897-3_SHMT2</t>
  </si>
  <si>
    <t>P34913_EPHX2</t>
  </si>
  <si>
    <t>P34931_HSPA1L</t>
  </si>
  <si>
    <t>P34932_HSPA4</t>
  </si>
  <si>
    <t>P35030-2_PRSS3</t>
  </si>
  <si>
    <t>P35218_CA5A</t>
  </si>
  <si>
    <t>P35221_CTNNA1</t>
  </si>
  <si>
    <t>P35237_SERPINB6</t>
  </si>
  <si>
    <t>P35241_RDX</t>
  </si>
  <si>
    <t>P35251-2_RFC1</t>
  </si>
  <si>
    <t>P35268_RPL22</t>
  </si>
  <si>
    <t>P35269_GTF2F1</t>
  </si>
  <si>
    <t>P35270_SPR</t>
  </si>
  <si>
    <t>P35520_CBS</t>
  </si>
  <si>
    <t>P35542_SAA4</t>
  </si>
  <si>
    <t>P35555_FBN1</t>
  </si>
  <si>
    <t>P35558_PCK1</t>
  </si>
  <si>
    <t>P35568_IRS1</t>
  </si>
  <si>
    <t>P35573_AGL</t>
  </si>
  <si>
    <t>P35579_MYH9</t>
  </si>
  <si>
    <t>P35580_MYH10</t>
  </si>
  <si>
    <t>P35606_COPB2</t>
  </si>
  <si>
    <t>P35611-2_ADD1</t>
  </si>
  <si>
    <t>P35637-2_FUS</t>
  </si>
  <si>
    <t>P35658-2_NUP214</t>
  </si>
  <si>
    <t>P35659_DEK</t>
  </si>
  <si>
    <t>P35749-4_MYH11</t>
  </si>
  <si>
    <t>P35754_GLRX</t>
  </si>
  <si>
    <t>P35790-2_CHKA</t>
  </si>
  <si>
    <t>P35813_PPM1A</t>
  </si>
  <si>
    <t>P35858_IGFALS</t>
  </si>
  <si>
    <t>P35914_HMGCL</t>
  </si>
  <si>
    <t>P35998_PSMC2</t>
  </si>
  <si>
    <t>P36404_ARL2</t>
  </si>
  <si>
    <t>P36405_ARL3</t>
  </si>
  <si>
    <t>P36507_MAP2K2</t>
  </si>
  <si>
    <t>P36543_ATP6V1E1</t>
  </si>
  <si>
    <t>P36551_CPOX</t>
  </si>
  <si>
    <t>P36578_RPL4</t>
  </si>
  <si>
    <t>P36639-4_NUDT1</t>
  </si>
  <si>
    <t>P36871_PGM1</t>
  </si>
  <si>
    <t>P36915_GNL1</t>
  </si>
  <si>
    <t>P36955_SERPINF1</t>
  </si>
  <si>
    <t>P36957_DLST</t>
  </si>
  <si>
    <t>P36959_GMPR</t>
  </si>
  <si>
    <t>P36969-2_GPX4</t>
  </si>
  <si>
    <t>P36980-2_CFHR2</t>
  </si>
  <si>
    <t>P37059_HSD17B2</t>
  </si>
  <si>
    <t>P37108_SRP14</t>
  </si>
  <si>
    <t>P37198_NUP62</t>
  </si>
  <si>
    <t>P37235_HPCAL1</t>
  </si>
  <si>
    <t>P37802_TAGLN2</t>
  </si>
  <si>
    <t>P37837_TALDO1</t>
  </si>
  <si>
    <t>P38117_ETFB</t>
  </si>
  <si>
    <t>P38159_RBMX</t>
  </si>
  <si>
    <t>P38432_COIL</t>
  </si>
  <si>
    <t>P38606_ATP6V1A</t>
  </si>
  <si>
    <t>P38646_HSPA9</t>
  </si>
  <si>
    <t>P38919_EIF4A3</t>
  </si>
  <si>
    <t>P39687_ANP32A</t>
  </si>
  <si>
    <t>P39748_FEN1</t>
  </si>
  <si>
    <t>P40123_CAP2</t>
  </si>
  <si>
    <t>P40222_TXLNA</t>
  </si>
  <si>
    <t>P40227_CCT6A</t>
  </si>
  <si>
    <t>P40261_NNMT</t>
  </si>
  <si>
    <t>P40306_PSMB10</t>
  </si>
  <si>
    <t>P40394_ADH7</t>
  </si>
  <si>
    <t>P40763-2_STAT3</t>
  </si>
  <si>
    <t>P40763_STAT3</t>
  </si>
  <si>
    <t>P40818_USP8</t>
  </si>
  <si>
    <t>P40925_MDH1</t>
  </si>
  <si>
    <t>P40926_MDH2</t>
  </si>
  <si>
    <t>P40939_HADHA</t>
  </si>
  <si>
    <t>P41091_EIF2S3</t>
  </si>
  <si>
    <t>P41208_CETN2</t>
  </si>
  <si>
    <t>P41223_BUD31</t>
  </si>
  <si>
    <t>P41226_UBA7</t>
  </si>
  <si>
    <t>P41227-2_NAA10</t>
  </si>
  <si>
    <t>P41235-7_HNF4A</t>
  </si>
  <si>
    <t>P41236_PPP1R2</t>
  </si>
  <si>
    <t>P41240_CSK</t>
  </si>
  <si>
    <t>P41250_GARS</t>
  </si>
  <si>
    <t>P41252_IARS</t>
  </si>
  <si>
    <t>P41567_EIF1</t>
  </si>
  <si>
    <t>P41743_PRKCI</t>
  </si>
  <si>
    <t>P42025_ACTR1B</t>
  </si>
  <si>
    <t>P42126-2_ECI1</t>
  </si>
  <si>
    <t>P42166_TMPO</t>
  </si>
  <si>
    <t>P42167_TMPO</t>
  </si>
  <si>
    <t>P42224_STAT1</t>
  </si>
  <si>
    <t>P42226_STAT6</t>
  </si>
  <si>
    <t>P42285_SKIV2L2</t>
  </si>
  <si>
    <t>P42330_AKR1C3</t>
  </si>
  <si>
    <t>P42336_PIK3CA</t>
  </si>
  <si>
    <t>P42338_PIK3CB</t>
  </si>
  <si>
    <t>P42345_MTOR</t>
  </si>
  <si>
    <t>P42356_PI4KA</t>
  </si>
  <si>
    <t>P42357_HAL</t>
  </si>
  <si>
    <t>P42566_EPS15</t>
  </si>
  <si>
    <t>P42574_CASP3</t>
  </si>
  <si>
    <t>P42704_LRPPRC</t>
  </si>
  <si>
    <t>P42765_ACAA2</t>
  </si>
  <si>
    <t>P42768_WAS</t>
  </si>
  <si>
    <t>P42773_CDKN2C</t>
  </si>
  <si>
    <t>P42785_PRCP</t>
  </si>
  <si>
    <t>P42858_HTT</t>
  </si>
  <si>
    <t>P42898_MTHFR</t>
  </si>
  <si>
    <t>P43034_PAFAH1B1</t>
  </si>
  <si>
    <t>P43155-2_CRAT</t>
  </si>
  <si>
    <t>P43246_MSH2</t>
  </si>
  <si>
    <t>P43487_RANBP1</t>
  </si>
  <si>
    <t>P43490_NAMPT</t>
  </si>
  <si>
    <t>P43652_AFM</t>
  </si>
  <si>
    <t>P43686_PSMC4</t>
  </si>
  <si>
    <t>P43694_GATA4</t>
  </si>
  <si>
    <t>P43897_TSFM</t>
  </si>
  <si>
    <t>P45381_ASPA</t>
  </si>
  <si>
    <t>P45877_PPIC</t>
  </si>
  <si>
    <t>P45954_ACADSB</t>
  </si>
  <si>
    <t>P45973_CBX5</t>
  </si>
  <si>
    <t>P45974-2_USP5</t>
  </si>
  <si>
    <t>P45983-3_MAPK8</t>
  </si>
  <si>
    <t>P45984-2_MAPK9</t>
  </si>
  <si>
    <t>P45985_MAP2K4</t>
  </si>
  <si>
    <t>P46013-2_MKI67</t>
  </si>
  <si>
    <t>P46019_PHKA2</t>
  </si>
  <si>
    <t>P46060_RANGAP1</t>
  </si>
  <si>
    <t>P46063_RECQL</t>
  </si>
  <si>
    <t>P46087-2_NOP2</t>
  </si>
  <si>
    <t>P46100-2_ATRX</t>
  </si>
  <si>
    <t>P46108_CRK</t>
  </si>
  <si>
    <t>P46109_CRKL</t>
  </si>
  <si>
    <t>P46199_MTIF2</t>
  </si>
  <si>
    <t>P46527_CDKN1B</t>
  </si>
  <si>
    <t>P46734-2_MAP2K3</t>
  </si>
  <si>
    <t>P46736-2_BRCC3</t>
  </si>
  <si>
    <t>P46777_RPL5</t>
  </si>
  <si>
    <t>P46779-4_RPL28</t>
  </si>
  <si>
    <t>P46781_RPS9</t>
  </si>
  <si>
    <t>P46783_RPS10</t>
  </si>
  <si>
    <t>P46926_GNPDA1</t>
  </si>
  <si>
    <t>P46934-4_NEDD4</t>
  </si>
  <si>
    <t>P46937_YAP1</t>
  </si>
  <si>
    <t>P46939_UTRN</t>
  </si>
  <si>
    <t>P46940_IQGAP1</t>
  </si>
  <si>
    <t>P46952_HAAO</t>
  </si>
  <si>
    <t>P46976-2_GYG1</t>
  </si>
  <si>
    <t>P47224_RABIF</t>
  </si>
  <si>
    <t>P47755_CAPZA2</t>
  </si>
  <si>
    <t>P47813_EIF1AX</t>
  </si>
  <si>
    <t>P47897_QARS</t>
  </si>
  <si>
    <t>P47914_RPL29</t>
  </si>
  <si>
    <t>P47985_UQCRFS1</t>
  </si>
  <si>
    <t>P47989_XDH</t>
  </si>
  <si>
    <t>P48047_ATP5O</t>
  </si>
  <si>
    <t>P48059_LIMS1</t>
  </si>
  <si>
    <t>P48147_PREP</t>
  </si>
  <si>
    <t>P48163_ME1</t>
  </si>
  <si>
    <t>P48200_IREB2</t>
  </si>
  <si>
    <t>P48444_ARCN1</t>
  </si>
  <si>
    <t>P48449-3_LSS</t>
  </si>
  <si>
    <t>P48506_GCLC</t>
  </si>
  <si>
    <t>P48507_GCLM</t>
  </si>
  <si>
    <t>P48553_TRAPPC10</t>
  </si>
  <si>
    <t>P48634_PRRC2A</t>
  </si>
  <si>
    <t>P48637_GSS</t>
  </si>
  <si>
    <t>P48643_CCT5</t>
  </si>
  <si>
    <t>P48668_KRT6C</t>
  </si>
  <si>
    <t>P48728_AMT</t>
  </si>
  <si>
    <t>P48735_IDH2</t>
  </si>
  <si>
    <t>P48739_PITPNB</t>
  </si>
  <si>
    <t>P48740_MASP1</t>
  </si>
  <si>
    <t>P48775_TDO2</t>
  </si>
  <si>
    <t>P49005_POLD2</t>
  </si>
  <si>
    <t>P49006_MARCKSL1</t>
  </si>
  <si>
    <t>P49023-2_PXN</t>
  </si>
  <si>
    <t>P49116_NR2C2</t>
  </si>
  <si>
    <t>P49189_ALDH9A1</t>
  </si>
  <si>
    <t>P49247_RPIA</t>
  </si>
  <si>
    <t>P49257_LMAN1</t>
  </si>
  <si>
    <t>P49321_NASP</t>
  </si>
  <si>
    <t>P49326_FMO5</t>
  </si>
  <si>
    <t>P49327_FASN</t>
  </si>
  <si>
    <t>P49354_FNTA</t>
  </si>
  <si>
    <t>P49356_FNTB</t>
  </si>
  <si>
    <t>P49366_DHPS</t>
  </si>
  <si>
    <t>P49368_CCT3</t>
  </si>
  <si>
    <t>P49407-2_ARRB1</t>
  </si>
  <si>
    <t>P49411_TUFM</t>
  </si>
  <si>
    <t>P49419-2_ALDH7A1</t>
  </si>
  <si>
    <t>P49427_CDC34</t>
  </si>
  <si>
    <t>P49441_INPP1</t>
  </si>
  <si>
    <t>P49448_GLUD2</t>
  </si>
  <si>
    <t>P49458_SRP9</t>
  </si>
  <si>
    <t>P49459_UBE2A</t>
  </si>
  <si>
    <t>P49585_PCYT1A</t>
  </si>
  <si>
    <t>P49588_AARS</t>
  </si>
  <si>
    <t>P49589-3_CARS</t>
  </si>
  <si>
    <t>P49590_HARS2</t>
  </si>
  <si>
    <t>P49591_SARS</t>
  </si>
  <si>
    <t>P49638_TTPA</t>
  </si>
  <si>
    <t>P49662-2_CASP4</t>
  </si>
  <si>
    <t>P49674_CSNK1E</t>
  </si>
  <si>
    <t>P49720_PSMB3</t>
  </si>
  <si>
    <t>P49721_PSMB2</t>
  </si>
  <si>
    <t>P49736_MCM2</t>
  </si>
  <si>
    <t>P49748_ACADVL</t>
  </si>
  <si>
    <t>P49750-4_YLPM1</t>
  </si>
  <si>
    <t>P49753_ACOT2</t>
  </si>
  <si>
    <t>P49755_TMED10</t>
  </si>
  <si>
    <t>P49756_RBM25</t>
  </si>
  <si>
    <t>P49757-3_NUMB</t>
  </si>
  <si>
    <t>P49770_EIF2B2</t>
  </si>
  <si>
    <t>P49773_HINT1</t>
  </si>
  <si>
    <t>P49789_FHIT</t>
  </si>
  <si>
    <t>P49790_NUP153</t>
  </si>
  <si>
    <t>P49792_RANBP2</t>
  </si>
  <si>
    <t>P49821-2_NDUFV1</t>
  </si>
  <si>
    <t>P49840_GSK3A</t>
  </si>
  <si>
    <t>P49841_GSK3B</t>
  </si>
  <si>
    <t>P49888_SULT1E1</t>
  </si>
  <si>
    <t>P49902_NT5C2</t>
  </si>
  <si>
    <t>P49903_SEPHS1</t>
  </si>
  <si>
    <t>P49914_MTHFS</t>
  </si>
  <si>
    <t>P49959_MRE11A</t>
  </si>
  <si>
    <t>P50053-2_KHK</t>
  </si>
  <si>
    <t>P50053_KHK</t>
  </si>
  <si>
    <t>P50135_HNMT</t>
  </si>
  <si>
    <t>P50151_GNG10</t>
  </si>
  <si>
    <t>P50213_IDH3A</t>
  </si>
  <si>
    <t>P50224_SULT1A3</t>
  </si>
  <si>
    <t>P50225_SULT1A1</t>
  </si>
  <si>
    <t>P50226_SULT1A2</t>
  </si>
  <si>
    <t>P50336_PPOX</t>
  </si>
  <si>
    <t>P50395_GDI2</t>
  </si>
  <si>
    <t>P50402_EMD</t>
  </si>
  <si>
    <t>P50440-2_GATM</t>
  </si>
  <si>
    <t>P50452_SERPINB8</t>
  </si>
  <si>
    <t>P50453_SERPINB9</t>
  </si>
  <si>
    <t>P50454_SERPINH1</t>
  </si>
  <si>
    <t>P50502_ST13</t>
  </si>
  <si>
    <t>P50542-2_PEX5</t>
  </si>
  <si>
    <t>P50552_VASP</t>
  </si>
  <si>
    <t>P50570_DNM2</t>
  </si>
  <si>
    <t>P50579_METAP2</t>
  </si>
  <si>
    <t>P50583_NUDT2</t>
  </si>
  <si>
    <t>P50747_HLCS</t>
  </si>
  <si>
    <t>P50748_KNTC1</t>
  </si>
  <si>
    <t>P50750_CDK9</t>
  </si>
  <si>
    <t>P50895_BCAM</t>
  </si>
  <si>
    <t>P50897_PPT1</t>
  </si>
  <si>
    <t>P50991_CCT4</t>
  </si>
  <si>
    <t>P51003_PAPOLA</t>
  </si>
  <si>
    <t>P51116_FXR2</t>
  </si>
  <si>
    <t>P51148_RAB5C</t>
  </si>
  <si>
    <t>P51149_RAB7A</t>
  </si>
  <si>
    <t>P51153_RAB13</t>
  </si>
  <si>
    <t>P51178-2_PLCD1</t>
  </si>
  <si>
    <t>P51398-2_DAP3</t>
  </si>
  <si>
    <t>P51452_DUSP3</t>
  </si>
  <si>
    <t>P51531-2_SMARCA2</t>
  </si>
  <si>
    <t>P51532-5_SMARCA4</t>
  </si>
  <si>
    <t>P51553_IDH3G</t>
  </si>
  <si>
    <t>P51570_GALK1</t>
  </si>
  <si>
    <t>P51572_BCAP31</t>
  </si>
  <si>
    <t>P51580_TPMT</t>
  </si>
  <si>
    <t>P51589_CYP2J2</t>
  </si>
  <si>
    <t>P51608_MECP2</t>
  </si>
  <si>
    <t>P51610-4_HCFC1</t>
  </si>
  <si>
    <t>P51649_ALDH5A1</t>
  </si>
  <si>
    <t>P51659_HSD17B4</t>
  </si>
  <si>
    <t>P51665_PSMD7</t>
  </si>
  <si>
    <t>P51687_SUOX</t>
  </si>
  <si>
    <t>P51688_SGSH</t>
  </si>
  <si>
    <t>P51692_STAT5B</t>
  </si>
  <si>
    <t>P51808_DYNLT3</t>
  </si>
  <si>
    <t>P51857_AKR1D1</t>
  </si>
  <si>
    <t>P51858_HDGF</t>
  </si>
  <si>
    <t>P51884_LUM</t>
  </si>
  <si>
    <t>P51948-2_MNAT1</t>
  </si>
  <si>
    <t>P51991_HNRNPA3</t>
  </si>
  <si>
    <t>P52272-2_HNRNPM</t>
  </si>
  <si>
    <t>P52292_KPNA2</t>
  </si>
  <si>
    <t>P52294_KPNA1</t>
  </si>
  <si>
    <t>P52306_RAP1GDS1</t>
  </si>
  <si>
    <t>P52565_ARHGDIA</t>
  </si>
  <si>
    <t>P52594-2_AGFG1</t>
  </si>
  <si>
    <t>P52597_HNRNPF</t>
  </si>
  <si>
    <t>P52630-4_STAT2</t>
  </si>
  <si>
    <t>P52701_MSH6</t>
  </si>
  <si>
    <t>P52735-3_VAV2</t>
  </si>
  <si>
    <t>P52756_RBM5</t>
  </si>
  <si>
    <t>P52758_HRSP12</t>
  </si>
  <si>
    <t>P52788_SMS</t>
  </si>
  <si>
    <t>P52790_HK3</t>
  </si>
  <si>
    <t>P52888_THOP1</t>
  </si>
  <si>
    <t>P52895_AKR1C2</t>
  </si>
  <si>
    <t>P52907_CAPZA1</t>
  </si>
  <si>
    <t>P52943_CRIP2</t>
  </si>
  <si>
    <t>P52948-6_NUP98</t>
  </si>
  <si>
    <t>P53004_BLVRA</t>
  </si>
  <si>
    <t>P53007_SLC25A1</t>
  </si>
  <si>
    <t>P53365-2_ARFIP2</t>
  </si>
  <si>
    <t>P53367_ARFIP1</t>
  </si>
  <si>
    <t>P53370_NUDT6</t>
  </si>
  <si>
    <t>P53384-2_NUBP1</t>
  </si>
  <si>
    <t>P53396_ACLY</t>
  </si>
  <si>
    <t>P53582_METAP1</t>
  </si>
  <si>
    <t>P53597_SUCLG1</t>
  </si>
  <si>
    <t>P53602_MVD</t>
  </si>
  <si>
    <t>P53609_PGGT1B</t>
  </si>
  <si>
    <t>P53611_RABGGTB</t>
  </si>
  <si>
    <t>P53618_COPB1</t>
  </si>
  <si>
    <t>P53621_COPA</t>
  </si>
  <si>
    <t>P53634_CTSC</t>
  </si>
  <si>
    <t>P53675-2_CLTCL1</t>
  </si>
  <si>
    <t>P53680_AP2S1</t>
  </si>
  <si>
    <t>P53805_RCAN1</t>
  </si>
  <si>
    <t>P53990-2_IST1</t>
  </si>
  <si>
    <t>P53992_SEC24C</t>
  </si>
  <si>
    <t>P53999_SUB1</t>
  </si>
  <si>
    <t>P54136_RARS</t>
  </si>
  <si>
    <t>P54253_ATXN1</t>
  </si>
  <si>
    <t>P54278-3_PMS2</t>
  </si>
  <si>
    <t>P54577_YARS</t>
  </si>
  <si>
    <t>P54578-2_USP14</t>
  </si>
  <si>
    <t>P54619-2_PRKAG1</t>
  </si>
  <si>
    <t>P54687-5_BCAT1</t>
  </si>
  <si>
    <t>P54727_RAD23B</t>
  </si>
  <si>
    <t>P54802_NAGLU</t>
  </si>
  <si>
    <t>P54840_GYS2</t>
  </si>
  <si>
    <t>P54855_UGT2B15</t>
  </si>
  <si>
    <t>P54868_HMGCS2</t>
  </si>
  <si>
    <t>P54886-2_ALDH18A1</t>
  </si>
  <si>
    <t>P54920_NAPA</t>
  </si>
  <si>
    <t>P55008_AIF1</t>
  </si>
  <si>
    <t>P55010_EIF5</t>
  </si>
  <si>
    <t>P55036_PSMD4</t>
  </si>
  <si>
    <t>P55039_DRG2</t>
  </si>
  <si>
    <t>P55058_PLTP</t>
  </si>
  <si>
    <t>P55060-3_CSE1L</t>
  </si>
  <si>
    <t>P55072_VCP</t>
  </si>
  <si>
    <t>P55081_MFAP1</t>
  </si>
  <si>
    <t>P55084_HADHB</t>
  </si>
  <si>
    <t>P55103_INHBC</t>
  </si>
  <si>
    <t>P55145_MANF</t>
  </si>
  <si>
    <t>P55157_MTTP</t>
  </si>
  <si>
    <t>P55196-3_MLLT4</t>
  </si>
  <si>
    <t>P55196_MLLT4</t>
  </si>
  <si>
    <t>P55210_CASP7</t>
  </si>
  <si>
    <t>P55212_CASP6</t>
  </si>
  <si>
    <t>P55263_ADK</t>
  </si>
  <si>
    <t>P55265-3_ADAR</t>
  </si>
  <si>
    <t>P55268_LAMB2</t>
  </si>
  <si>
    <t>P55290-3_CDH13</t>
  </si>
  <si>
    <t>P55327-2_TPD52</t>
  </si>
  <si>
    <t>P55735_SEC13</t>
  </si>
  <si>
    <t>P55769_NHP2L1</t>
  </si>
  <si>
    <t>P55789_GFER</t>
  </si>
  <si>
    <t>P55795_HNRNPH2</t>
  </si>
  <si>
    <t>P55854_SUMO3</t>
  </si>
  <si>
    <t>P55884_EIF3B</t>
  </si>
  <si>
    <t>P56181-2_NDUFV3</t>
  </si>
  <si>
    <t>P56181_NDUFV3</t>
  </si>
  <si>
    <t>P56192_MARS</t>
  </si>
  <si>
    <t>P56277_CMC4</t>
  </si>
  <si>
    <t>P56385_ATP5I</t>
  </si>
  <si>
    <t>P56470_LGALS4</t>
  </si>
  <si>
    <t>P56524_HDAC4</t>
  </si>
  <si>
    <t>P56537_EIF6</t>
  </si>
  <si>
    <t>P57060_RWDD2B</t>
  </si>
  <si>
    <t>P57076_C21orf59</t>
  </si>
  <si>
    <t>P57081-2_WDR4</t>
  </si>
  <si>
    <t>P57105_SYNJ2BP</t>
  </si>
  <si>
    <t>P57737-3_CORO7</t>
  </si>
  <si>
    <t>P57764_GSDMD</t>
  </si>
  <si>
    <t>P57772_EEFSEC</t>
  </si>
  <si>
    <t>P58004_SESN2</t>
  </si>
  <si>
    <t>P58546_MTPN</t>
  </si>
  <si>
    <t>P59282_TPPP2</t>
  </si>
  <si>
    <t>P59666_DEFA3</t>
  </si>
  <si>
    <t>P59998_ARPC4</t>
  </si>
  <si>
    <t>P60174-1_TPI1</t>
  </si>
  <si>
    <t>P60228_EIF3E</t>
  </si>
  <si>
    <t>P60468_SEC61B</t>
  </si>
  <si>
    <t>P60604-2_UBE2G2</t>
  </si>
  <si>
    <t>P60763_RAC3</t>
  </si>
  <si>
    <t>P60842_EIF4A1</t>
  </si>
  <si>
    <t>P60891_PRPS1</t>
  </si>
  <si>
    <t>P60900_PSMA6</t>
  </si>
  <si>
    <t>P60903_S100A10</t>
  </si>
  <si>
    <t>P60953_CDC42</t>
  </si>
  <si>
    <t>P60981-2_DSTN</t>
  </si>
  <si>
    <t>P60983_GMFB</t>
  </si>
  <si>
    <t>P61006_RAB8A</t>
  </si>
  <si>
    <t>P61011_SRP54</t>
  </si>
  <si>
    <t>P61019_RAB2A</t>
  </si>
  <si>
    <t>P61020_RAB5B</t>
  </si>
  <si>
    <t>P61026_RAB10</t>
  </si>
  <si>
    <t>P61077_UBE2D3</t>
  </si>
  <si>
    <t>P61081_UBE2M</t>
  </si>
  <si>
    <t>P61086_UBE2K</t>
  </si>
  <si>
    <t>P61088_UBE2N</t>
  </si>
  <si>
    <t>P61106_RAB14</t>
  </si>
  <si>
    <t>P61158_ACTR3</t>
  </si>
  <si>
    <t>P61160_ACTR2</t>
  </si>
  <si>
    <t>P61163_ACTR1A</t>
  </si>
  <si>
    <t>P61201_COPS2</t>
  </si>
  <si>
    <t>P61221_ABCE1</t>
  </si>
  <si>
    <t>P61224-3_RAP1B</t>
  </si>
  <si>
    <t>P61247_RPS3A</t>
  </si>
  <si>
    <t>P61289_PSME3</t>
  </si>
  <si>
    <t>P61326_MAGOH</t>
  </si>
  <si>
    <t>P61457_PCBD1</t>
  </si>
  <si>
    <t>P61586_RHOA</t>
  </si>
  <si>
    <t>P61604_HSPE1</t>
  </si>
  <si>
    <t>P61758_VBP1</t>
  </si>
  <si>
    <t>P61923_COPZ1</t>
  </si>
  <si>
    <t>P61956-2_SUMO2</t>
  </si>
  <si>
    <t>P61962_DCAF7</t>
  </si>
  <si>
    <t>P61964_WDR5</t>
  </si>
  <si>
    <t>P61966_AP1S1</t>
  </si>
  <si>
    <t>P61970_NUTF2</t>
  </si>
  <si>
    <t>P61978-3_HNRNPK</t>
  </si>
  <si>
    <t>P61981_YWHAG</t>
  </si>
  <si>
    <t>P62070_RRAS2</t>
  </si>
  <si>
    <t>P62072_TIMM10</t>
  </si>
  <si>
    <t>P62136_PPP1CA</t>
  </si>
  <si>
    <t>P62140_PPP1CB</t>
  </si>
  <si>
    <t>P62158_CALM1</t>
  </si>
  <si>
    <t>P62191_PSMC1</t>
  </si>
  <si>
    <t>P62195-2_PSMC5</t>
  </si>
  <si>
    <t>P62241_RPS8</t>
  </si>
  <si>
    <t>P62258_YWHAE</t>
  </si>
  <si>
    <t>P62263_RPS14</t>
  </si>
  <si>
    <t>P62269_RPS18</t>
  </si>
  <si>
    <t>P62277_RPS13</t>
  </si>
  <si>
    <t>P62280_RPS11</t>
  </si>
  <si>
    <t>P62304_SNRPE</t>
  </si>
  <si>
    <t>P62306_SNRPF</t>
  </si>
  <si>
    <t>P62308_SNRPG</t>
  </si>
  <si>
    <t>P62310_LSM3</t>
  </si>
  <si>
    <t>P62312_LSM6</t>
  </si>
  <si>
    <t>P62314_SNRPD1</t>
  </si>
  <si>
    <t>P62316_SNRPD2</t>
  </si>
  <si>
    <t>P62328_TMSB4X</t>
  </si>
  <si>
    <t>P62330_ARF6</t>
  </si>
  <si>
    <t>P62333_PSMC6</t>
  </si>
  <si>
    <t>P62424_RPL7A</t>
  </si>
  <si>
    <t>P62487_POLR2G</t>
  </si>
  <si>
    <t>P62495_ETF1</t>
  </si>
  <si>
    <t>P62633-2_CNBP</t>
  </si>
  <si>
    <t>P62701_RPS4X</t>
  </si>
  <si>
    <t>P62714_PPP2CB</t>
  </si>
  <si>
    <t>P62750_RPL23A</t>
  </si>
  <si>
    <t>P62753_RPS6</t>
  </si>
  <si>
    <t>P62760_VSNL1</t>
  </si>
  <si>
    <t>P62805_HIST1H4A</t>
  </si>
  <si>
    <t>P62807_HIST1H2BC</t>
  </si>
  <si>
    <t>P62820_RAB1A</t>
  </si>
  <si>
    <t>P62826_RAN</t>
  </si>
  <si>
    <t>P62829_RPL23</t>
  </si>
  <si>
    <t>P62834_RAP1A</t>
  </si>
  <si>
    <t>P62837_UBE2D2</t>
  </si>
  <si>
    <t>P62851_RPS25</t>
  </si>
  <si>
    <t>P62854_RPS26</t>
  </si>
  <si>
    <t>P62857_RPS28</t>
  </si>
  <si>
    <t>P62873_GNB1</t>
  </si>
  <si>
    <t>P62877_RBX1</t>
  </si>
  <si>
    <t>P62913-2_RPL11</t>
  </si>
  <si>
    <t>P62942_FKBP1A</t>
  </si>
  <si>
    <t>P62993_GRB2</t>
  </si>
  <si>
    <t>P62995-3_TRA2B</t>
  </si>
  <si>
    <t>P63000_RAC1</t>
  </si>
  <si>
    <t>P63010_AP2B1</t>
  </si>
  <si>
    <t>P63092-3_GNAS</t>
  </si>
  <si>
    <t>P63096_GNAI1</t>
  </si>
  <si>
    <t>P63104_YWHAZ</t>
  </si>
  <si>
    <t>P63151_PPP2R2A</t>
  </si>
  <si>
    <t>P63167_DYNLL1</t>
  </si>
  <si>
    <t>P63244_GNB2L1</t>
  </si>
  <si>
    <t>P63261_ACTG1</t>
  </si>
  <si>
    <t>P63313_TMSB10</t>
  </si>
  <si>
    <t>P67775_PPP2CA</t>
  </si>
  <si>
    <t>P67809_YBX1</t>
  </si>
  <si>
    <t>P67870_CSNK2B</t>
  </si>
  <si>
    <t>P67936_TPM4</t>
  </si>
  <si>
    <t>P68036_UBE2L3</t>
  </si>
  <si>
    <t>P68133_ACTA1</t>
  </si>
  <si>
    <t>P68363_TUBA1B</t>
  </si>
  <si>
    <t>P68371_TUBB4B</t>
  </si>
  <si>
    <t>P68402_PAFAH1B2</t>
  </si>
  <si>
    <t>P78314_SH3BP2</t>
  </si>
  <si>
    <t>P78318_IGBP1</t>
  </si>
  <si>
    <t>P78329_CYP4F2</t>
  </si>
  <si>
    <t>P78332_RBM6</t>
  </si>
  <si>
    <t>P78346_RPP30</t>
  </si>
  <si>
    <t>P78347-2_GTF2I</t>
  </si>
  <si>
    <t>P78356_PIP4K2B</t>
  </si>
  <si>
    <t>P78362_SRPK2</t>
  </si>
  <si>
    <t>P78371_CCT2</t>
  </si>
  <si>
    <t>P78406_RAE1</t>
  </si>
  <si>
    <t>P78417_GSTO1</t>
  </si>
  <si>
    <t>P78524_ST5</t>
  </si>
  <si>
    <t>P78560_CRADD</t>
  </si>
  <si>
    <t>P80188-2_LCN2</t>
  </si>
  <si>
    <t>P80217_IFI35</t>
  </si>
  <si>
    <t>P80294_MT1H</t>
  </si>
  <si>
    <t>P80297_MT1X</t>
  </si>
  <si>
    <t>P80303_NUCB2</t>
  </si>
  <si>
    <t>P80404_ABAT</t>
  </si>
  <si>
    <t>P80723_BASP1</t>
  </si>
  <si>
    <t>P81605_DCD</t>
  </si>
  <si>
    <t>P82094_TMF1</t>
  </si>
  <si>
    <t>P82673_MRPS35</t>
  </si>
  <si>
    <t>P82675_MRPS5</t>
  </si>
  <si>
    <t>P82909_MRPS36</t>
  </si>
  <si>
    <t>P82914_MRPS15</t>
  </si>
  <si>
    <t>P82930_MRPS34</t>
  </si>
  <si>
    <t>P82932_MRPS6</t>
  </si>
  <si>
    <t>P82933_MRPS9</t>
  </si>
  <si>
    <t>P82979_SARNP</t>
  </si>
  <si>
    <t>P82980_RBP5</t>
  </si>
  <si>
    <t>P83111_LACTB</t>
  </si>
  <si>
    <t>P83436_COG7</t>
  </si>
  <si>
    <t>P83876_TXNL4A</t>
  </si>
  <si>
    <t>P84077_ARF1</t>
  </si>
  <si>
    <t>P84085_ARF5</t>
  </si>
  <si>
    <t>P84090_ERH</t>
  </si>
  <si>
    <t>P84095_RHOG</t>
  </si>
  <si>
    <t>P85037_FOXK1</t>
  </si>
  <si>
    <t>P86397_RPP14</t>
  </si>
  <si>
    <t>P86791_CCZ1</t>
  </si>
  <si>
    <t>P98082-2_DAB2</t>
  </si>
  <si>
    <t>P98160_HSPG2</t>
  </si>
  <si>
    <t>P98170_XIAP</t>
  </si>
  <si>
    <t>P98175-2_RBM10</t>
  </si>
  <si>
    <t>P98179_RBM3</t>
  </si>
  <si>
    <t>Q00013-2_MPP1</t>
  </si>
  <si>
    <t>Q00059_TFAM</t>
  </si>
  <si>
    <t>Q00169_PITPNA</t>
  </si>
  <si>
    <t>Q00266_MAT1A</t>
  </si>
  <si>
    <t>Q00341_HDLBP</t>
  </si>
  <si>
    <t>Q00403_GTF2B</t>
  </si>
  <si>
    <t>Q00534_CDK6</t>
  </si>
  <si>
    <t>Q00535_CDK5</t>
  </si>
  <si>
    <t>Q00577_PURA</t>
  </si>
  <si>
    <t>Q00610-2_CLTC</t>
  </si>
  <si>
    <t>Q00688_FKBP3</t>
  </si>
  <si>
    <t>Q00796_SORD</t>
  </si>
  <si>
    <t>Q00839_HNRNPU</t>
  </si>
  <si>
    <t>Q00G26_PLIN5</t>
  </si>
  <si>
    <t>Q01081_U2AF1</t>
  </si>
  <si>
    <t>Q01082-3_SPTBN1</t>
  </si>
  <si>
    <t>Q01082_SPTBN1</t>
  </si>
  <si>
    <t>Q01085-2_TIAL1</t>
  </si>
  <si>
    <t>Q01105_SET</t>
  </si>
  <si>
    <t>Q01433-2_AMPD2</t>
  </si>
  <si>
    <t>Q01459_CTBS</t>
  </si>
  <si>
    <t>Q01469_FABP5</t>
  </si>
  <si>
    <t>Q01518-2_CAP1</t>
  </si>
  <si>
    <t>Q01581_HMGCS1</t>
  </si>
  <si>
    <t>Q01658_DR1</t>
  </si>
  <si>
    <t>Q01804_OTUD4</t>
  </si>
  <si>
    <t>Q01813_PFKP</t>
  </si>
  <si>
    <t>Q01844-6_EWSR1</t>
  </si>
  <si>
    <t>Q01968-2_OCRL</t>
  </si>
  <si>
    <t>Q01970-2_PLCB3</t>
  </si>
  <si>
    <t>Q02083-2_NAAA</t>
  </si>
  <si>
    <t>Q02086-2_SP2</t>
  </si>
  <si>
    <t>Q02252_ALDH6A1</t>
  </si>
  <si>
    <t>Q02318_CYP27A1</t>
  </si>
  <si>
    <t>Q02325_PLGLB1</t>
  </si>
  <si>
    <t>Q02410_APBA1</t>
  </si>
  <si>
    <t>Q02413_DSG1</t>
  </si>
  <si>
    <t>Q02447-4_SP3</t>
  </si>
  <si>
    <t>Q02487-2_DSC2</t>
  </si>
  <si>
    <t>Q02487_DSC2</t>
  </si>
  <si>
    <t>Q02750_MAP2K1</t>
  </si>
  <si>
    <t>Q02790_FKBP4</t>
  </si>
  <si>
    <t>Q02818_NUCB1</t>
  </si>
  <si>
    <t>Q02928_CYP4A11</t>
  </si>
  <si>
    <t>Q02952-3_AKAP12</t>
  </si>
  <si>
    <t>Q02985-2_CFHR3</t>
  </si>
  <si>
    <t>Q03001-8_DST</t>
  </si>
  <si>
    <t>Q03013-2_GSTM4</t>
  </si>
  <si>
    <t>Q03154_ACY1</t>
  </si>
  <si>
    <t>Q03252_LMNB2</t>
  </si>
  <si>
    <t>Q03591_CFHR1</t>
  </si>
  <si>
    <t>Q04446_GBE1</t>
  </si>
  <si>
    <t>Q04637-5_EIF4G1</t>
  </si>
  <si>
    <t>Q04695_KRT17</t>
  </si>
  <si>
    <t>Q04721_NOTCH2</t>
  </si>
  <si>
    <t>Q04724_TLE1</t>
  </si>
  <si>
    <t>Q04726-2_TLE3</t>
  </si>
  <si>
    <t>Q04756_HGFAC</t>
  </si>
  <si>
    <t>Q04760_GLO1</t>
  </si>
  <si>
    <t>Q04828_AKR1C1</t>
  </si>
  <si>
    <t>Q04837_SSBP1</t>
  </si>
  <si>
    <t>Q04917_YWHAH</t>
  </si>
  <si>
    <t>Q05048_CSTF1</t>
  </si>
  <si>
    <t>Q05086-3_UBE3A</t>
  </si>
  <si>
    <t>Q05209_PTPN12</t>
  </si>
  <si>
    <t>Q05513-2_PRKCZ</t>
  </si>
  <si>
    <t>Q05519-2_SRSF11</t>
  </si>
  <si>
    <t>Q05639_EEF1A2</t>
  </si>
  <si>
    <t>Q05682-5_CALD1</t>
  </si>
  <si>
    <t>Q06033-2_ITIH3</t>
  </si>
  <si>
    <t>Q06124-2_PTPN11</t>
  </si>
  <si>
    <t>Q06203_PPAT</t>
  </si>
  <si>
    <t>Q06210-2_GFPT1</t>
  </si>
  <si>
    <t>Q06265_EXOSC9</t>
  </si>
  <si>
    <t>Q06278_AOX1</t>
  </si>
  <si>
    <t>Q06323_PSME1</t>
  </si>
  <si>
    <t>Q06520_SULT2A1</t>
  </si>
  <si>
    <t>Q06546_GABPA</t>
  </si>
  <si>
    <t>Q07021_C1QBP</t>
  </si>
  <si>
    <t>Q07075_ENPEP</t>
  </si>
  <si>
    <t>Q07157_TJP1</t>
  </si>
  <si>
    <t>Q07283_TCHH</t>
  </si>
  <si>
    <t>Q07666_KHDRBS1</t>
  </si>
  <si>
    <t>Q07812-5_BAX</t>
  </si>
  <si>
    <t>Q07820_MCL1</t>
  </si>
  <si>
    <t>Q07912_TNK2</t>
  </si>
  <si>
    <t>Q07954_LRP1</t>
  </si>
  <si>
    <t>Q07955_SRSF1</t>
  </si>
  <si>
    <t>Q07960_ARHGAP1</t>
  </si>
  <si>
    <t>Q08170_SRSF4</t>
  </si>
  <si>
    <t>Q08174-2_PCDH1</t>
  </si>
  <si>
    <t>Q08209-2_PPP3CA</t>
  </si>
  <si>
    <t>Q08211_DHX9</t>
  </si>
  <si>
    <t>Q08257_CRYZ</t>
  </si>
  <si>
    <t>Q08378_GOLGA3</t>
  </si>
  <si>
    <t>Q08379_GOLGA2</t>
  </si>
  <si>
    <t>Q08380_LGALS3BP</t>
  </si>
  <si>
    <t>Q08426_EHHADH</t>
  </si>
  <si>
    <t>Q08477-2_CYP4F3</t>
  </si>
  <si>
    <t>Q08495-2_EPB49</t>
  </si>
  <si>
    <t>Q08752_PPID</t>
  </si>
  <si>
    <t>Q08830_FGL1</t>
  </si>
  <si>
    <t>Q08945_SSRP1</t>
  </si>
  <si>
    <t>Q08AG7_MZT1</t>
  </si>
  <si>
    <t>Q08AH1_ACSM1</t>
  </si>
  <si>
    <t>Q08AH3_ACSM2A</t>
  </si>
  <si>
    <t>Q08AM6_VAC14</t>
  </si>
  <si>
    <t>Q08J23_NSUN2</t>
  </si>
  <si>
    <t>Q09028-3_RBBP4</t>
  </si>
  <si>
    <t>Q09161_NCBP1</t>
  </si>
  <si>
    <t>Q09472_EP300</t>
  </si>
  <si>
    <t>Q09666_AHNAK</t>
  </si>
  <si>
    <t>Q0JRZ9_FCHO2</t>
  </si>
  <si>
    <t>Q0VDG4_SCRN3</t>
  </si>
  <si>
    <t>Q0VF96_CGNL1</t>
  </si>
  <si>
    <t>Q10567-2_AP1B1</t>
  </si>
  <si>
    <t>Q10567-3_AP1B1</t>
  </si>
  <si>
    <t>Q10570_CPSF1</t>
  </si>
  <si>
    <t>Q10713_PMPCA</t>
  </si>
  <si>
    <t>Q12768_KIAA0196</t>
  </si>
  <si>
    <t>Q12769_NUP160</t>
  </si>
  <si>
    <t>Q12774_ARHGEF5</t>
  </si>
  <si>
    <t>Q12789-3_GTF3C1</t>
  </si>
  <si>
    <t>Q12792_TWF1</t>
  </si>
  <si>
    <t>Q12794-7_HYAL1</t>
  </si>
  <si>
    <t>Q12797-10_ASPH</t>
  </si>
  <si>
    <t>Q12802-4_AKAP13</t>
  </si>
  <si>
    <t>Q12849-5_GRSF1</t>
  </si>
  <si>
    <t>Q12872_SFSWAP</t>
  </si>
  <si>
    <t>Q12874_SF3A3</t>
  </si>
  <si>
    <t>Q12882_DPYD</t>
  </si>
  <si>
    <t>Q12888_TP53BP1</t>
  </si>
  <si>
    <t>Q12899_TRIM26</t>
  </si>
  <si>
    <t>Q12904_AIMP1</t>
  </si>
  <si>
    <t>Q12905_ILF2</t>
  </si>
  <si>
    <t>Q12906-4_ILF3</t>
  </si>
  <si>
    <t>Q12929_EPS8</t>
  </si>
  <si>
    <t>Q12933-4_TRAF2</t>
  </si>
  <si>
    <t>Q12959-5_DLG1</t>
  </si>
  <si>
    <t>Q12962_TAF10</t>
  </si>
  <si>
    <t>Q12965_MYO1E</t>
  </si>
  <si>
    <t>Q12972_PPP1R8</t>
  </si>
  <si>
    <t>Q12974_PTP4A2</t>
  </si>
  <si>
    <t>Q12986-3_NFX1</t>
  </si>
  <si>
    <t>Q12996_CSTF3</t>
  </si>
  <si>
    <t>Q13011_ECH1</t>
  </si>
  <si>
    <t>Q13017-2_ARHGAP5</t>
  </si>
  <si>
    <t>Q13033-2_STRN3</t>
  </si>
  <si>
    <t>Q13043-2_STK4</t>
  </si>
  <si>
    <t>Q13045-2_FLII</t>
  </si>
  <si>
    <t>Q13045_FLII</t>
  </si>
  <si>
    <t>Q13057_COASY</t>
  </si>
  <si>
    <t>Q13085_ACACA</t>
  </si>
  <si>
    <t>Q13107-2_USP4</t>
  </si>
  <si>
    <t>Q13123_IK</t>
  </si>
  <si>
    <t>Q13126_MTAP</t>
  </si>
  <si>
    <t>Q13131_PRKAA1</t>
  </si>
  <si>
    <t>Q13136-2_PPFIA1</t>
  </si>
  <si>
    <t>Q13148_TARDBP</t>
  </si>
  <si>
    <t>Q13151_HNRNPA0</t>
  </si>
  <si>
    <t>Q13153_PAK1</t>
  </si>
  <si>
    <t>Q13155_AIMP2</t>
  </si>
  <si>
    <t>Q13158_FADD</t>
  </si>
  <si>
    <t>Q13162_PRDX4</t>
  </si>
  <si>
    <t>Q13177_PAK2</t>
  </si>
  <si>
    <t>Q13185_CBX3</t>
  </si>
  <si>
    <t>Q13188_STK3</t>
  </si>
  <si>
    <t>Q13200_PSMD2</t>
  </si>
  <si>
    <t>Q13206_DDX10</t>
  </si>
  <si>
    <t>Q13217_DNAJC3</t>
  </si>
  <si>
    <t>Q13228_SELENBP1</t>
  </si>
  <si>
    <t>Q13232_NME3</t>
  </si>
  <si>
    <t>Q13243-3_SRSF5</t>
  </si>
  <si>
    <t>Q13247-3_SRSF6</t>
  </si>
  <si>
    <t>Q13257_MAD2L1</t>
  </si>
  <si>
    <t>Q13263_TRIM28</t>
  </si>
  <si>
    <t>Q13283_G3BP1</t>
  </si>
  <si>
    <t>Q13287_NMI</t>
  </si>
  <si>
    <t>Q13310-3_PABPC4</t>
  </si>
  <si>
    <t>Q13310_PABPC4</t>
  </si>
  <si>
    <t>Q13315_ATM</t>
  </si>
  <si>
    <t>Q13325_IFIT5</t>
  </si>
  <si>
    <t>Q13330-3_MTA1</t>
  </si>
  <si>
    <t>Q13347_EIF3I</t>
  </si>
  <si>
    <t>Q13362-4_PPP2R5C</t>
  </si>
  <si>
    <t>Q13363-2_CTBP1</t>
  </si>
  <si>
    <t>Q13404_UBE2V1</t>
  </si>
  <si>
    <t>Q13409-6_DYNC1I2</t>
  </si>
  <si>
    <t>Q13418_ILK</t>
  </si>
  <si>
    <t>Q13423_NNT</t>
  </si>
  <si>
    <t>Q13424_SNTA1</t>
  </si>
  <si>
    <t>Q13426-2_XRCC4</t>
  </si>
  <si>
    <t>Q13427-2_PPIG</t>
  </si>
  <si>
    <t>Q13428-4_TCOF1</t>
  </si>
  <si>
    <t>Q13435_SF3B2</t>
  </si>
  <si>
    <t>Q13442_PDAP1</t>
  </si>
  <si>
    <t>Q13451_FKBP5</t>
  </si>
  <si>
    <t>Q13459-2_MYO9B</t>
  </si>
  <si>
    <t>Q13464_ROCK1</t>
  </si>
  <si>
    <t>Q13490-2_BIRC2</t>
  </si>
  <si>
    <t>Q13492-3_PICALM</t>
  </si>
  <si>
    <t>Q13496_MTM1</t>
  </si>
  <si>
    <t>Q13501-2_SQSTM1</t>
  </si>
  <si>
    <t>Q13522_PPP1R1A</t>
  </si>
  <si>
    <t>Q13526_PIN1</t>
  </si>
  <si>
    <t>Q13541_EIF4EBP1</t>
  </si>
  <si>
    <t>Q13542_EIF4EBP2</t>
  </si>
  <si>
    <t>Q13546_RIPK1</t>
  </si>
  <si>
    <t>Q13547_HDAC1</t>
  </si>
  <si>
    <t>Q13554-7_CAMK2B</t>
  </si>
  <si>
    <t>Q13555-10_CAMK2G</t>
  </si>
  <si>
    <t>Q13557-8_CAMK2D</t>
  </si>
  <si>
    <t>Q13561_DCTN2</t>
  </si>
  <si>
    <t>Q13572_ITPK1</t>
  </si>
  <si>
    <t>Q13573_SNW1</t>
  </si>
  <si>
    <t>Q13576_IQGAP2</t>
  </si>
  <si>
    <t>Q13586_STIM1</t>
  </si>
  <si>
    <t>Q13596_SNX1</t>
  </si>
  <si>
    <t>Q13610_PWP1</t>
  </si>
  <si>
    <t>Q13616_CUL1</t>
  </si>
  <si>
    <t>Q13617_CUL2</t>
  </si>
  <si>
    <t>Q13618_CUL3</t>
  </si>
  <si>
    <t>Q13619_CUL4A</t>
  </si>
  <si>
    <t>Q13620-1_CUL4B</t>
  </si>
  <si>
    <t>Q13625_TP53BP2</t>
  </si>
  <si>
    <t>Q13627-3_DYRK1A</t>
  </si>
  <si>
    <t>Q13630_TSTA3</t>
  </si>
  <si>
    <t>Q13642-1_FHL1</t>
  </si>
  <si>
    <t>Q13643_FHL3</t>
  </si>
  <si>
    <t>Q13686_ALKBH1</t>
  </si>
  <si>
    <t>Q13796_SHROOM2</t>
  </si>
  <si>
    <t>Q13813-2_SPTAN1</t>
  </si>
  <si>
    <t>Q13813_SPTAN1</t>
  </si>
  <si>
    <t>Q13825_AUH</t>
  </si>
  <si>
    <t>Q13838_DDX39B</t>
  </si>
  <si>
    <t>Q13867_BLMH</t>
  </si>
  <si>
    <t>Q13868_EXOSC2</t>
  </si>
  <si>
    <t>Q13884_SNTB1</t>
  </si>
  <si>
    <t>Q13885_TUBB2A</t>
  </si>
  <si>
    <t>Q13907_IDI1</t>
  </si>
  <si>
    <t>Q13938_CAPS</t>
  </si>
  <si>
    <t>Q13951-2_CBFB</t>
  </si>
  <si>
    <t>Q14004-2_CDK13</t>
  </si>
  <si>
    <t>Q14005-3_IL16</t>
  </si>
  <si>
    <t>Q14008-2_CKAP5</t>
  </si>
  <si>
    <t>Q14011_CIRBP</t>
  </si>
  <si>
    <t>Q14012_CAMK1</t>
  </si>
  <si>
    <t>Q14019_COTL1</t>
  </si>
  <si>
    <t>Q14032_BAAT</t>
  </si>
  <si>
    <t>Q14061_COX17</t>
  </si>
  <si>
    <t>Q14103-3_HNRNPD</t>
  </si>
  <si>
    <t>Q14103-4_HNRNPD</t>
  </si>
  <si>
    <t>Q14116-2_IL18</t>
  </si>
  <si>
    <t>Q14117_DPYS</t>
  </si>
  <si>
    <t>Q14118_DAG1</t>
  </si>
  <si>
    <t>Q14126_DSG2</t>
  </si>
  <si>
    <t>Q14137_BOP1</t>
  </si>
  <si>
    <t>Q14139_UBE4A</t>
  </si>
  <si>
    <t>Q14141-2_SEPT6</t>
  </si>
  <si>
    <t>Q14151_SAFB2</t>
  </si>
  <si>
    <t>Q14155-1_ARHGEF7</t>
  </si>
  <si>
    <t>Q14157_UBAP2L</t>
  </si>
  <si>
    <t>Q14160_SCRIB</t>
  </si>
  <si>
    <t>Q14161_GIT2</t>
  </si>
  <si>
    <t>Q14166_TTLL12</t>
  </si>
  <si>
    <t>Q14181_POLA2</t>
  </si>
  <si>
    <t>Q14185_DOCK1</t>
  </si>
  <si>
    <t>Q14192_FHL2</t>
  </si>
  <si>
    <t>Q14203-6_DCTN1</t>
  </si>
  <si>
    <t>Q14204_DYNC1H1</t>
  </si>
  <si>
    <t>Q14232_EIF2B1</t>
  </si>
  <si>
    <t>Q14240_EIF4A2</t>
  </si>
  <si>
    <t>Q14241_TCEB3</t>
  </si>
  <si>
    <t>Q14244-2_MAP7</t>
  </si>
  <si>
    <t>Q14247-3_CTTN</t>
  </si>
  <si>
    <t>Q14247_CTTN</t>
  </si>
  <si>
    <t>Q14249_ENDOG</t>
  </si>
  <si>
    <t>Q14257_RCN2</t>
  </si>
  <si>
    <t>Q14258_TRIM25</t>
  </si>
  <si>
    <t>Q14289-2_PTK2B</t>
  </si>
  <si>
    <t>Q14318-2_FKBP8</t>
  </si>
  <si>
    <t>Q14318_FKBP8</t>
  </si>
  <si>
    <t>Q14320_FAM50A</t>
  </si>
  <si>
    <t>Q14353_GAMT</t>
  </si>
  <si>
    <t>Q14376_GALE</t>
  </si>
  <si>
    <t>Q14397_GCKR</t>
  </si>
  <si>
    <t>Q14444-2_CAPRIN1</t>
  </si>
  <si>
    <t>Q14498-2_RBM39</t>
  </si>
  <si>
    <t>Q14520-2_HABP2</t>
  </si>
  <si>
    <t>Q14527_HLTF</t>
  </si>
  <si>
    <t>Q14554_PDIA5</t>
  </si>
  <si>
    <t>Q14558_PRPSAP1</t>
  </si>
  <si>
    <t>Q14566_MCM6</t>
  </si>
  <si>
    <t>Q14596-2_NBR1</t>
  </si>
  <si>
    <t>Q14624_ITIH4</t>
  </si>
  <si>
    <t>Q14651_PLS1</t>
  </si>
  <si>
    <t>Q14653_IRF3</t>
  </si>
  <si>
    <t>Q14657_LAGE3</t>
  </si>
  <si>
    <t>Q14669_TRIP12</t>
  </si>
  <si>
    <t>Q14676-3_MDC1</t>
  </si>
  <si>
    <t>Q14677_CLINT1</t>
  </si>
  <si>
    <t>Q14678-2_KANK1</t>
  </si>
  <si>
    <t>Q14683_SMC1A</t>
  </si>
  <si>
    <t>Q14684-2_RRP1B</t>
  </si>
  <si>
    <t>Q14687-2_GSE1</t>
  </si>
  <si>
    <t>Q14689-6_DIP2A</t>
  </si>
  <si>
    <t>Q14690_PDCD11</t>
  </si>
  <si>
    <t>Q14694_USP10</t>
  </si>
  <si>
    <t>Q14696_MESDC2</t>
  </si>
  <si>
    <t>Q14697-2_GANAB</t>
  </si>
  <si>
    <t>Q14697_GANAB</t>
  </si>
  <si>
    <t>Q14749_GNMT</t>
  </si>
  <si>
    <t>Q14789_GOLGB1</t>
  </si>
  <si>
    <t>Q14790_CASP8</t>
  </si>
  <si>
    <t>Q147X3_NAA30</t>
  </si>
  <si>
    <t>Q14814-6_MEF2D</t>
  </si>
  <si>
    <t>Q14847_LASP1</t>
  </si>
  <si>
    <t>Q14894_CRYM</t>
  </si>
  <si>
    <t>Q14914-2_PTGR1</t>
  </si>
  <si>
    <t>Q14938-5_NFIX</t>
  </si>
  <si>
    <t>Q14966_ZNF638</t>
  </si>
  <si>
    <t>Q14974_KPNB1</t>
  </si>
  <si>
    <t>Q14978_NOLC1</t>
  </si>
  <si>
    <t>Q14980_NUMA1</t>
  </si>
  <si>
    <t>Q14997_PSME4</t>
  </si>
  <si>
    <t>Q14C86-4_GAPVD1</t>
  </si>
  <si>
    <t>Q14CX7-2_NAA25</t>
  </si>
  <si>
    <t>Q14CZ8_HEPACAM</t>
  </si>
  <si>
    <t>Q15007_WTAP</t>
  </si>
  <si>
    <t>Q15008_PSMD6</t>
  </si>
  <si>
    <t>Q15018_FAM175B</t>
  </si>
  <si>
    <t>Q15019_SEPT2</t>
  </si>
  <si>
    <t>Q15020_SART3</t>
  </si>
  <si>
    <t>Q15024_EXOSC7</t>
  </si>
  <si>
    <t>Q15029-2_EFTUD2</t>
  </si>
  <si>
    <t>Q15036-2_SNX17</t>
  </si>
  <si>
    <t>Q15043-2_SLC39A14</t>
  </si>
  <si>
    <t>Q15046_KARS</t>
  </si>
  <si>
    <t>Q15048_LRRC14</t>
  </si>
  <si>
    <t>Q15052_ARHGEF6</t>
  </si>
  <si>
    <t>Q15056-2_EIF4H</t>
  </si>
  <si>
    <t>Q15057_ACAP2</t>
  </si>
  <si>
    <t>Q15059_BRD3</t>
  </si>
  <si>
    <t>Q15063-4_POSTN</t>
  </si>
  <si>
    <t>Q15067-2_ACOX1</t>
  </si>
  <si>
    <t>Q15067_ACOX1</t>
  </si>
  <si>
    <t>Q15075_EEA1</t>
  </si>
  <si>
    <t>Q15102_PAFAH1B3</t>
  </si>
  <si>
    <t>Q15118_PDK1</t>
  </si>
  <si>
    <t>Q15119_PDK2</t>
  </si>
  <si>
    <t>Q15120_PDK3</t>
  </si>
  <si>
    <t>Q15124-2_PGM5</t>
  </si>
  <si>
    <t>Q15126_PMVK</t>
  </si>
  <si>
    <t>Q15149-8_PLEC</t>
  </si>
  <si>
    <t>Q15170-2_TCEAL1</t>
  </si>
  <si>
    <t>Q15172_PPP2R5A</t>
  </si>
  <si>
    <t>Q15181_PPA1</t>
  </si>
  <si>
    <t>Q15208_STK38</t>
  </si>
  <si>
    <t>Q15233_NONO</t>
  </si>
  <si>
    <t>Q15257-2_PPP2R4</t>
  </si>
  <si>
    <t>Q15257_PPP2R4</t>
  </si>
  <si>
    <t>Q15262_PTPRK</t>
  </si>
  <si>
    <t>Q15274_QPRT</t>
  </si>
  <si>
    <t>Q15276_RABEP1</t>
  </si>
  <si>
    <t>Q15283-2_RASA2</t>
  </si>
  <si>
    <t>Q15291_RBBP5</t>
  </si>
  <si>
    <t>Q15293_RCN1</t>
  </si>
  <si>
    <t>Q15311_RALBP1</t>
  </si>
  <si>
    <t>Q15345_LRRC41</t>
  </si>
  <si>
    <t>Q15365_PCBP1</t>
  </si>
  <si>
    <t>Q15382_RHEB</t>
  </si>
  <si>
    <t>Q15386_UBE3C</t>
  </si>
  <si>
    <t>Q15393_SF3B3</t>
  </si>
  <si>
    <t>Q15404_RSU1</t>
  </si>
  <si>
    <t>Q15417_CNN3</t>
  </si>
  <si>
    <t>Q15424_SAFB</t>
  </si>
  <si>
    <t>Q15427_SF3B4</t>
  </si>
  <si>
    <t>Q15428_SF3A2</t>
  </si>
  <si>
    <t>Q15435_PPP1R7</t>
  </si>
  <si>
    <t>Q15437_SEC23B</t>
  </si>
  <si>
    <t>Q15459_SF3A1</t>
  </si>
  <si>
    <t>Q15477_SKIV2L</t>
  </si>
  <si>
    <t>Q15493_RGN</t>
  </si>
  <si>
    <t>Q15526-2_SURF1</t>
  </si>
  <si>
    <t>Q15527_SURF2</t>
  </si>
  <si>
    <t>Q15554_TERF2</t>
  </si>
  <si>
    <t>Q15555-4_MAPRE2</t>
  </si>
  <si>
    <t>Q15596_NCOA2</t>
  </si>
  <si>
    <t>Q15599_SLC9A3R2</t>
  </si>
  <si>
    <t>Q15628_TRADD</t>
  </si>
  <si>
    <t>Q15633-2_TARBP2</t>
  </si>
  <si>
    <t>Q15637-5_SF1</t>
  </si>
  <si>
    <t>Q15642_TRIP10</t>
  </si>
  <si>
    <t>Q15643_TRIP11</t>
  </si>
  <si>
    <t>Q15650_TRIP4</t>
  </si>
  <si>
    <t>Q15651_HMGN3</t>
  </si>
  <si>
    <t>Q15652_JMJD1C</t>
  </si>
  <si>
    <t>Q15654_TRIP6</t>
  </si>
  <si>
    <t>Q15691_MAPRE1</t>
  </si>
  <si>
    <t>Q15714-2_TSC22D1</t>
  </si>
  <si>
    <t>Q15717_ELAVL1</t>
  </si>
  <si>
    <t>Q15738_NSDHL</t>
  </si>
  <si>
    <t>Q15746-2_MYLK</t>
  </si>
  <si>
    <t>Q15750-2_TAB1</t>
  </si>
  <si>
    <t>Q15785_TOMM34</t>
  </si>
  <si>
    <t>Q15813_TBCE</t>
  </si>
  <si>
    <t>Q15814_TBCC</t>
  </si>
  <si>
    <t>Q15819_UBE2V2</t>
  </si>
  <si>
    <t>Q15833_STXBP2</t>
  </si>
  <si>
    <t>Q15847_ADIRF</t>
  </si>
  <si>
    <t>Q15907_RAB11B</t>
  </si>
  <si>
    <t>Q15942_ZYX</t>
  </si>
  <si>
    <t>Q16134_ETFDH</t>
  </si>
  <si>
    <t>Q16181_SEPT7</t>
  </si>
  <si>
    <t>Q16186_ADRM1</t>
  </si>
  <si>
    <t>Q16204_CCDC6</t>
  </si>
  <si>
    <t>Q16222-2_UAP1</t>
  </si>
  <si>
    <t>Q16270-2_IGFBP7</t>
  </si>
  <si>
    <t>Q16401-2_PSMD5</t>
  </si>
  <si>
    <t>Q16513-3_PKN2</t>
  </si>
  <si>
    <t>Q16531_DDB1</t>
  </si>
  <si>
    <t>Q16539_MAPK14</t>
  </si>
  <si>
    <t>Q16543_CDC37</t>
  </si>
  <si>
    <t>Q16555-2_DPYSL2</t>
  </si>
  <si>
    <t>Q16576_RBBP7</t>
  </si>
  <si>
    <t>Q16625-5_OCLN</t>
  </si>
  <si>
    <t>Q16626_MEA1</t>
  </si>
  <si>
    <t>Q16629-3_SRSF7</t>
  </si>
  <si>
    <t>Q16644_MAPKAPK3</t>
  </si>
  <si>
    <t>Q16654_PDK4</t>
  </si>
  <si>
    <t>Q16658_FSCN1</t>
  </si>
  <si>
    <t>Q16719_KYNU</t>
  </si>
  <si>
    <t>Q16740_CLPP</t>
  </si>
  <si>
    <t>Q16762_TST</t>
  </si>
  <si>
    <t>Q16773_CCBL1</t>
  </si>
  <si>
    <t>Q16775_HAGH</t>
  </si>
  <si>
    <t>Q16822_PCK2</t>
  </si>
  <si>
    <t>Q16825_PTPN21</t>
  </si>
  <si>
    <t>Q16831_UPP1</t>
  </si>
  <si>
    <t>Q16836_HADH</t>
  </si>
  <si>
    <t>Q16851-2_UGP2</t>
  </si>
  <si>
    <t>Q16851_UGP2</t>
  </si>
  <si>
    <t>Q16854_DGUOK</t>
  </si>
  <si>
    <t>Q16864_ATP6V1F</t>
  </si>
  <si>
    <t>Q16878_CDO1</t>
  </si>
  <si>
    <t>Q17R31-5_TATDN3</t>
  </si>
  <si>
    <t>Q17RC7_EXOC3L4</t>
  </si>
  <si>
    <t>Q17RN3_FAM98C</t>
  </si>
  <si>
    <t>Q1W6H9_FAM110C</t>
  </si>
  <si>
    <t>Q27J81_INF2</t>
  </si>
  <si>
    <t>Q29836_HLA-B</t>
  </si>
  <si>
    <t>Q29RF7_PDS5A</t>
  </si>
  <si>
    <t>Q2KHT3_CLEC16A</t>
  </si>
  <si>
    <t>Q2M389_KIAA1033</t>
  </si>
  <si>
    <t>Q2NL82_TSR1</t>
  </si>
  <si>
    <t>Q2PPJ7-3_RALGAPA2</t>
  </si>
  <si>
    <t>Q2T9J0_TYSND1</t>
  </si>
  <si>
    <t>Q2TAY7_SMU1</t>
  </si>
  <si>
    <t>Q32M88_ATHL1</t>
  </si>
  <si>
    <t>Q32MZ4-2_LRRFIP1</t>
  </si>
  <si>
    <t>Q32MZ4-3_LRRFIP1</t>
  </si>
  <si>
    <t>Q32MZ4-4_LRRFIP1</t>
  </si>
  <si>
    <t>Q32P41_TRMT5</t>
  </si>
  <si>
    <t>Q32P44_EML3</t>
  </si>
  <si>
    <t>Q3B7J2_GFOD2</t>
  </si>
  <si>
    <t>Q3LXA3_DAK</t>
  </si>
  <si>
    <t>Q3MHD2_LSM12</t>
  </si>
  <si>
    <t>Q3MIT2_PUS10</t>
  </si>
  <si>
    <t>Q3YEC7_RABL6</t>
  </si>
  <si>
    <t>Q3ZCM7_TUBB8</t>
  </si>
  <si>
    <t>Q3ZCW2_LGALSL</t>
  </si>
  <si>
    <t>Q49A26-5_GLYR1</t>
  </si>
  <si>
    <t>Q49AH0_CDNF</t>
  </si>
  <si>
    <t>Q49AR2-2_C5orf22</t>
  </si>
  <si>
    <t>Q49B96_COX19</t>
  </si>
  <si>
    <t>Q4G0F5_VPS26B</t>
  </si>
  <si>
    <t>Q4G0J3_LARP7</t>
  </si>
  <si>
    <t>Q4G0N4_NADKD1</t>
  </si>
  <si>
    <t>Q4G0X4_KCTD21</t>
  </si>
  <si>
    <t>Q4G176_ACSF3</t>
  </si>
  <si>
    <t>Q4J6C6-4_PREPL</t>
  </si>
  <si>
    <t>Q4KMP7_TBC1D10B</t>
  </si>
  <si>
    <t>Q4KMQ1-2_TPRN</t>
  </si>
  <si>
    <t>Q4KWH8-3_PLCH1</t>
  </si>
  <si>
    <t>Q4LE39-3_ARID4B</t>
  </si>
  <si>
    <t>Q4V328_GRIPAP1</t>
  </si>
  <si>
    <t>Q4V348_ZNF658B</t>
  </si>
  <si>
    <t>Q504Q3-2_PAN2</t>
  </si>
  <si>
    <t>Q52LJ0-2_FAM98B</t>
  </si>
  <si>
    <t>Q52LW3_ARHGAP29</t>
  </si>
  <si>
    <t>Q53EL6-2_PDCD4</t>
  </si>
  <si>
    <t>Q53F19_C17orf85</t>
  </si>
  <si>
    <t>Q53FA7_TP53I3</t>
  </si>
  <si>
    <t>Q53FZ2_ACSM3</t>
  </si>
  <si>
    <t>Q53GS9-3_USP39</t>
  </si>
  <si>
    <t>Q53H82_LACTB2</t>
  </si>
  <si>
    <t>Q53HC9_TSSC1</t>
  </si>
  <si>
    <t>Q53HV7_SMUG1</t>
  </si>
  <si>
    <t>Q53LP3_SOWAHC</t>
  </si>
  <si>
    <t>Q53S33_BOLA3</t>
  </si>
  <si>
    <t>Q53SF7-4_COBLL1</t>
  </si>
  <si>
    <t>Q53T59_HS1BP3</t>
  </si>
  <si>
    <t>Q58FF8_HSP90AB2P</t>
  </si>
  <si>
    <t>Q58WW2_DCAF6</t>
  </si>
  <si>
    <t>Q59GN2_RPL39P5</t>
  </si>
  <si>
    <t>Q5BKU9_OXLD1</t>
  </si>
  <si>
    <t>Q5BKZ1_ZNF326</t>
  </si>
  <si>
    <t>Q5C9Z4_NOM1</t>
  </si>
  <si>
    <t>Q5D862_FLG2</t>
  </si>
  <si>
    <t>Q5EBL4-2_RILPL1</t>
  </si>
  <si>
    <t>Q5EBL8_PDZD11</t>
  </si>
  <si>
    <t>Q5EBM0_CMPK2</t>
  </si>
  <si>
    <t>Q5F1R6_DNAJC21</t>
  </si>
  <si>
    <t>Q5GLZ8-3_HERC4</t>
  </si>
  <si>
    <t>Q5HYK7-3_SH3D19</t>
  </si>
  <si>
    <t>Q5I0X7_TTC32</t>
  </si>
  <si>
    <t>Q5JRX3_PITRM1</t>
  </si>
  <si>
    <t>Q5JS37_NHLRC3</t>
  </si>
  <si>
    <t>Q5JS54_PSMG4</t>
  </si>
  <si>
    <t>Q5JSH3-2_WDR44</t>
  </si>
  <si>
    <t>Q5JSZ5-5_PRRC2B</t>
  </si>
  <si>
    <t>Q5JTC6-2_AMER1</t>
  </si>
  <si>
    <t>Q5JTD0-2_TJAP1</t>
  </si>
  <si>
    <t>Q5JTJ3-3_COA6</t>
  </si>
  <si>
    <t>Q5JTV8_TOR1AIP1</t>
  </si>
  <si>
    <t>Q5JTZ9_AARS2</t>
  </si>
  <si>
    <t>Q5JVF3-3_PCID2</t>
  </si>
  <si>
    <t>Q5KU26_COLEC12</t>
  </si>
  <si>
    <t>Q5MIZ7-3_SMEK2</t>
  </si>
  <si>
    <t>Q5MNZ9-2_WIPI1</t>
  </si>
  <si>
    <t>Q5NDL2_EOGT</t>
  </si>
  <si>
    <t>Q5QJ74_TBCEL</t>
  </si>
  <si>
    <t>Q5R372-4_RABGAP1L</t>
  </si>
  <si>
    <t>Q5R3I4_TTC38</t>
  </si>
  <si>
    <t>Q5RHP9_C1orf173</t>
  </si>
  <si>
    <t>Q5RKV6_EXOSC6</t>
  </si>
  <si>
    <t>Q5SRE7_PHYHD1</t>
  </si>
  <si>
    <t>Q5SSJ5_HP1BP3</t>
  </si>
  <si>
    <t>Q5ST30_VARS2</t>
  </si>
  <si>
    <t>Q5SW79-2_CEP170</t>
  </si>
  <si>
    <t>Q5SXM8_DNLZ</t>
  </si>
  <si>
    <t>Q5SYE7-2_NHSL1</t>
  </si>
  <si>
    <t>Q5T0N5-3_FNBP1L</t>
  </si>
  <si>
    <t>Q5T160_RARS2</t>
  </si>
  <si>
    <t>Q5T1C6_THEM4</t>
  </si>
  <si>
    <t>Q5T1M5_FKBP15</t>
  </si>
  <si>
    <t>Q5T200_ZC3H13</t>
  </si>
  <si>
    <t>Q5T2E6_C10orf76</t>
  </si>
  <si>
    <t>Q5T2W1_PDZK1</t>
  </si>
  <si>
    <t>Q5T440_IBA57</t>
  </si>
  <si>
    <t>Q5T447_HECTD3</t>
  </si>
  <si>
    <t>Q5T4F4-6_ZFYVE27</t>
  </si>
  <si>
    <t>Q5T4S7-3_UBR4</t>
  </si>
  <si>
    <t>Q5T5P2_KIAA1217</t>
  </si>
  <si>
    <t>Q5T5U3_ARHGAP21</t>
  </si>
  <si>
    <t>Q5T6J7_IDNK</t>
  </si>
  <si>
    <t>Q5T6V5_C9orf64</t>
  </si>
  <si>
    <t>Q5T749_KPRP</t>
  </si>
  <si>
    <t>Q5T7V8_GORAB</t>
  </si>
  <si>
    <t>Q5T8D3-2_ACBD5</t>
  </si>
  <si>
    <t>Q5T8D3_ACBD5</t>
  </si>
  <si>
    <t>Q5T8P6-2_RBM26</t>
  </si>
  <si>
    <t>Q5TA50_GLTPD1</t>
  </si>
  <si>
    <t>Q5TBA9_FRY</t>
  </si>
  <si>
    <t>Q5TC12_ATPAF1</t>
  </si>
  <si>
    <t>Q5TCQ9-4_MAGI3</t>
  </si>
  <si>
    <t>Q5TDH0_DDI2</t>
  </si>
  <si>
    <t>Q5TEU4_NDUFAF5</t>
  </si>
  <si>
    <t>Q5TFE4_NT5DC1</t>
  </si>
  <si>
    <t>Q5TFQ8_SIRPB1</t>
  </si>
  <si>
    <t>Q5TGL8_PXDC1</t>
  </si>
  <si>
    <t>Q5TZA2_CROCC</t>
  </si>
  <si>
    <t>Q5U5X0_LYRM7</t>
  </si>
  <si>
    <t>Q5UIP0-2_RIF1</t>
  </si>
  <si>
    <t>Q5VIR6-4_VPS53</t>
  </si>
  <si>
    <t>Q5VSL9_STRIP1</t>
  </si>
  <si>
    <t>Q5VSY0-2_GKAP1</t>
  </si>
  <si>
    <t>Q5VT06_CEP350</t>
  </si>
  <si>
    <t>Q5VT52_RPRD2</t>
  </si>
  <si>
    <t>Q5VTE0_EEF1A1P5</t>
  </si>
  <si>
    <t>Q5VTQ0-5_TTC39B</t>
  </si>
  <si>
    <t>Q5VTR2_RNF20</t>
  </si>
  <si>
    <t>Q5VTU8_ATP5EP2</t>
  </si>
  <si>
    <t>Q5VUA4_ZNF318</t>
  </si>
  <si>
    <t>Q5VUE5_C1orf53</t>
  </si>
  <si>
    <t>Q5VUM1_C6orf57</t>
  </si>
  <si>
    <t>Q5VV41_ARHGEF16</t>
  </si>
  <si>
    <t>Q5VVQ6-2_YOD1</t>
  </si>
  <si>
    <t>Q5VW32_BROX</t>
  </si>
  <si>
    <t>Q5VW36_FOCAD</t>
  </si>
  <si>
    <t>Q5VWJ9_SNX30</t>
  </si>
  <si>
    <t>Q5VWP3_MLIP</t>
  </si>
  <si>
    <t>Q5VWQ8-3_DAB2IP</t>
  </si>
  <si>
    <t>Q5VWZ2_LYPLAL1</t>
  </si>
  <si>
    <t>Q5VYK3_ECM29</t>
  </si>
  <si>
    <t>Q5VYS8-6_ZCCHC6</t>
  </si>
  <si>
    <t>Q5VYX0-2_RNLS</t>
  </si>
  <si>
    <t>Q5VZE5_NAA35</t>
  </si>
  <si>
    <t>Q5VZK9_LRRC16A</t>
  </si>
  <si>
    <t>Q5W0V3_FAM160B1</t>
  </si>
  <si>
    <t>Q5W111_SPRYD7</t>
  </si>
  <si>
    <t>Q5XPI4_RNF123</t>
  </si>
  <si>
    <t>Q63HM1_AFMID</t>
  </si>
  <si>
    <t>Q63HN8_RNF213</t>
  </si>
  <si>
    <t>Q63ZY3-3_KANK2</t>
  </si>
  <si>
    <t>Q658Y4_FAM91A1</t>
  </si>
  <si>
    <t>Q659C4-9_LARP1B</t>
  </si>
  <si>
    <t>Q66K14-2_TBC1D9B</t>
  </si>
  <si>
    <t>Q66LE6_PPP2R2D</t>
  </si>
  <si>
    <t>Q66PJ3-5_ARL6IP4</t>
  </si>
  <si>
    <t>Q66PJ3_ARL6IP4</t>
  </si>
  <si>
    <t>Q676U5-2_ATG16L1</t>
  </si>
  <si>
    <t>Q68CK6_ACSM2B</t>
  </si>
  <si>
    <t>Q68CZ2_TNS3</t>
  </si>
  <si>
    <t>Q68D10-3_SPTY2D1</t>
  </si>
  <si>
    <t>Q68DH5_LMBRD2</t>
  </si>
  <si>
    <t>Q68E01-2_INTS3</t>
  </si>
  <si>
    <t>Q68EM7-6_ARHGAP17</t>
  </si>
  <si>
    <t>Q69YN2_CWF19L1</t>
  </si>
  <si>
    <t>Q69YN4-3_KIAA1429</t>
  </si>
  <si>
    <t>Q69YQ0-2_SPECC1L</t>
  </si>
  <si>
    <t>Q6A1A2_PDPK2</t>
  </si>
  <si>
    <t>Q6AWC2-3_WWC2</t>
  </si>
  <si>
    <t>Q6DD87_ZNF787</t>
  </si>
  <si>
    <t>Q6DD88_ATL3</t>
  </si>
  <si>
    <t>Q6DHV7-2_ADAL</t>
  </si>
  <si>
    <t>Q6DKK2_TTC19</t>
  </si>
  <si>
    <t>Q6DN90-2_IQSEC1</t>
  </si>
  <si>
    <t>Q6EMK4_VASN</t>
  </si>
  <si>
    <t>Q6FI81-3_CIAPIN1</t>
  </si>
  <si>
    <t>Q6FIF0-2_ZFAND6</t>
  </si>
  <si>
    <t>Q6GMV2_SMYD5</t>
  </si>
  <si>
    <t>Q6GMV3_PTRHD1</t>
  </si>
  <si>
    <t>Q6GQQ9-2_OTUD7B</t>
  </si>
  <si>
    <t>Q6GYQ0-4_RALGAPA1</t>
  </si>
  <si>
    <t>Q6IA69_NADSYN1</t>
  </si>
  <si>
    <t>Q6IA86-2_ELP2</t>
  </si>
  <si>
    <t>Q6IB77_GLYAT</t>
  </si>
  <si>
    <t>Q6IBS0_TWF2</t>
  </si>
  <si>
    <t>Q6IC98_GRAMD4</t>
  </si>
  <si>
    <t>Q6ICG6-3_KIAA0930</t>
  </si>
  <si>
    <t>Q6IN85-2_SMEK1</t>
  </si>
  <si>
    <t>Q6IPR1_LYRM5</t>
  </si>
  <si>
    <t>Q6IQ22_RAB12</t>
  </si>
  <si>
    <t>Q6IQ23-2_PLEKHA7</t>
  </si>
  <si>
    <t>Q6IQ49-3_SDE2</t>
  </si>
  <si>
    <t>Q6JBY9-2_RCSD1</t>
  </si>
  <si>
    <t>Q6JQN1_ACAD10</t>
  </si>
  <si>
    <t>Q6KB66-2_KRT80</t>
  </si>
  <si>
    <t>Q6KC79-2_NIPBL</t>
  </si>
  <si>
    <t>Q6N043-2_ZNF280D</t>
  </si>
  <si>
    <t>Q6N063_OGFOD2</t>
  </si>
  <si>
    <t>Q6NUM9_RETSAT</t>
  </si>
  <si>
    <t>Q6NUN0_ACSM5</t>
  </si>
  <si>
    <t>Q6NUQ1_RINT1</t>
  </si>
  <si>
    <t>Q6NUQ4-2_TMEM214</t>
  </si>
  <si>
    <t>Q6NVY1_HIBCH</t>
  </si>
  <si>
    <t>Q6NY19-2_KANK3</t>
  </si>
  <si>
    <t>Q6NYC8_PPP1R18</t>
  </si>
  <si>
    <t>Q6NZY4_ZCCHC8</t>
  </si>
  <si>
    <t>Q6P1J9_CDC73</t>
  </si>
  <si>
    <t>Q6P1M3-2_LLGL2</t>
  </si>
  <si>
    <t>Q6P1N0-2_CC2D1A</t>
  </si>
  <si>
    <t>Q6P1N9_TATDN1</t>
  </si>
  <si>
    <t>Q6P1R4_DUS1L</t>
  </si>
  <si>
    <t>Q6P1X6_C8orf82</t>
  </si>
  <si>
    <t>Q6P2E9_EDC4</t>
  </si>
  <si>
    <t>Q6P2P2_PRMT10</t>
  </si>
  <si>
    <t>Q6P2Q9_PRPF8</t>
  </si>
  <si>
    <t>Q6P3W7_SCYL2</t>
  </si>
  <si>
    <t>Q6P3X3_TTC27</t>
  </si>
  <si>
    <t>Q6P4A8_PLBD1</t>
  </si>
  <si>
    <t>Q6P4F2_FDX1L</t>
  </si>
  <si>
    <t>Q6P4R8-3_NFRKB</t>
  </si>
  <si>
    <t>Q6P587_FAHD1</t>
  </si>
  <si>
    <t>Q6P6B1_C8orf47</t>
  </si>
  <si>
    <t>Q6P6C2_ALKBH5</t>
  </si>
  <si>
    <t>Q6PD62_CTR9</t>
  </si>
  <si>
    <t>Q6PD74_AAGAB</t>
  </si>
  <si>
    <t>Q6PGP7_TTC37</t>
  </si>
  <si>
    <t>Q6PI48_DARS2</t>
  </si>
  <si>
    <t>Q6PIJ6-2_FBXO38</t>
  </si>
  <si>
    <t>Q6PJG6_BRAT1</t>
  </si>
  <si>
    <t>Q6PJT7-4_ZC3H14</t>
  </si>
  <si>
    <t>Q6PK81-2_ZNF773</t>
  </si>
  <si>
    <t>Q6PKG0_LARP1</t>
  </si>
  <si>
    <t>Q6PL24_TMED8</t>
  </si>
  <si>
    <t>Q6Q6R5-3_CRIP3</t>
  </si>
  <si>
    <t>Q6QHF9-3_PAOX</t>
  </si>
  <si>
    <t>Q6QNY0_BLOC1S3</t>
  </si>
  <si>
    <t>Q6QNY1-2_BLOC1S2</t>
  </si>
  <si>
    <t>Q6SPF0_SAMD1</t>
  </si>
  <si>
    <t>Q6UB28_METAP1D</t>
  </si>
  <si>
    <t>Q6ULP2-5_AFTPH</t>
  </si>
  <si>
    <t>Q6UN15-4_FIP1L1</t>
  </si>
  <si>
    <t>Q6UW63_KDELC1</t>
  </si>
  <si>
    <t>Q6UWE0_LRSAM1</t>
  </si>
  <si>
    <t>Q6UWP2_DHRS11</t>
  </si>
  <si>
    <t>Q6UWP8_SBSN</t>
  </si>
  <si>
    <t>Q6UWW8_CES3</t>
  </si>
  <si>
    <t>Q6UX04-2_CWC27</t>
  </si>
  <si>
    <t>Q6UX53_METTL7B</t>
  </si>
  <si>
    <t>Q6UXH1-4_CRELD2</t>
  </si>
  <si>
    <t>Q6UXN9_WDR82</t>
  </si>
  <si>
    <t>Q6UXV4_APOOL</t>
  </si>
  <si>
    <t>Q6VMQ6-2_ATF7IP</t>
  </si>
  <si>
    <t>Q6VY07_PACS1</t>
  </si>
  <si>
    <t>Q6WCQ1_MPRIP</t>
  </si>
  <si>
    <t>Q6WKZ4-3_RAB11FIP1</t>
  </si>
  <si>
    <t>Q6XQN6_NAPRT1</t>
  </si>
  <si>
    <t>Q6XZF7_DNMBP</t>
  </si>
  <si>
    <t>Q6Y7W6-4_GIGYF2</t>
  </si>
  <si>
    <t>Q6YN16_HSDL2</t>
  </si>
  <si>
    <t>Q6YP21-3_CCBL2</t>
  </si>
  <si>
    <t>Q6ZMI0_PPP1R21</t>
  </si>
  <si>
    <t>Q6ZMZ3-3_SYNE3</t>
  </si>
  <si>
    <t>Q6ZNW5_GDPGP1</t>
  </si>
  <si>
    <t>Q6ZRS2-3_SRCAP</t>
  </si>
  <si>
    <t>Q6ZS17-2_FAM65A</t>
  </si>
  <si>
    <t>Q6ZS30_NBEAL1</t>
  </si>
  <si>
    <t>Q6ZSZ5-2_ARHGEF18</t>
  </si>
  <si>
    <t>Q6ZT12_UBR3</t>
  </si>
  <si>
    <t>Q6ZUJ8_PIK3AP1</t>
  </si>
  <si>
    <t>Q6ZVM7_TOM1L2</t>
  </si>
  <si>
    <t>Q709C8-3_VPS13C</t>
  </si>
  <si>
    <t>Q709F0_ACAD11</t>
  </si>
  <si>
    <t>Q70E73-7_RAPH1</t>
  </si>
  <si>
    <t>Q70E73_RAPH1</t>
  </si>
  <si>
    <t>Q70EL4-4_USP43</t>
  </si>
  <si>
    <t>Q70IA6_MOB2</t>
  </si>
  <si>
    <t>Q712K3_UBE2R2</t>
  </si>
  <si>
    <t>Q71RC2-6_LARP4</t>
  </si>
  <si>
    <t>Q71U36-2_TUBA1A</t>
  </si>
  <si>
    <t>Q71UI9_H2AFV</t>
  </si>
  <si>
    <t>Q765P7_MTSS1L</t>
  </si>
  <si>
    <t>Q76FK4-3_NOL8</t>
  </si>
  <si>
    <t>Q7KZ85_SUPT6H</t>
  </si>
  <si>
    <t>Q7KZF4_SND1</t>
  </si>
  <si>
    <t>Q7KZI7-12_MARK2</t>
  </si>
  <si>
    <t>Q7L014_DDX46</t>
  </si>
  <si>
    <t>Q7L099-4_RUFY3</t>
  </si>
  <si>
    <t>Q7L0Y3_TRMT10C</t>
  </si>
  <si>
    <t>Q7L1Q6_BZW1</t>
  </si>
  <si>
    <t>Q7L266_ASRGL1</t>
  </si>
  <si>
    <t>Q7L2J0_MEPCE</t>
  </si>
  <si>
    <t>Q7L3T8_PARS2</t>
  </si>
  <si>
    <t>Q7L4I2_RSRC2</t>
  </si>
  <si>
    <t>Q7L576_CYFIP1</t>
  </si>
  <si>
    <t>Q7L592_NDUFAF7</t>
  </si>
  <si>
    <t>Q7L5D6_GET4</t>
  </si>
  <si>
    <t>Q7L5Y1_ENOSF1</t>
  </si>
  <si>
    <t>Q7L775_EPM2AIP1</t>
  </si>
  <si>
    <t>Q7L7X3-3_TAOK1</t>
  </si>
  <si>
    <t>Q7L8L6_FASTKD5</t>
  </si>
  <si>
    <t>Q7L9B9_EEPD1</t>
  </si>
  <si>
    <t>Q7LBC6_KDM3B</t>
  </si>
  <si>
    <t>Q7LBR1_CHMP1B</t>
  </si>
  <si>
    <t>Q7LG56_RRM2B</t>
  </si>
  <si>
    <t>Q7RTP6_MICAL3</t>
  </si>
  <si>
    <t>Q7RTV0_PHF5A</t>
  </si>
  <si>
    <t>Q7Z2W4_ZC3HAV1</t>
  </si>
  <si>
    <t>Q7Z2Z2_EFTUD1</t>
  </si>
  <si>
    <t>Q7Z392-3_TRAPPC11</t>
  </si>
  <si>
    <t>Q7Z3E2_C10orf118</t>
  </si>
  <si>
    <t>Q7Z3J2_C16orf62</t>
  </si>
  <si>
    <t>Q7Z3T8_ZFYVE16</t>
  </si>
  <si>
    <t>Q7Z406_MYH14</t>
  </si>
  <si>
    <t>Q7Z417_NUFIP2</t>
  </si>
  <si>
    <t>Q7Z422-2_SZRD1</t>
  </si>
  <si>
    <t>Q7Z434_MAVS</t>
  </si>
  <si>
    <t>Q7Z460-2_CLASP1</t>
  </si>
  <si>
    <t>Q7Z478_DHX29</t>
  </si>
  <si>
    <t>Q7Z4G1_COMMD6</t>
  </si>
  <si>
    <t>Q7Z4G4-2_TRMT11</t>
  </si>
  <si>
    <t>Q7Z4H3-2_HDDC2</t>
  </si>
  <si>
    <t>Q7Z4H8_KDELC2</t>
  </si>
  <si>
    <t>Q7Z4I7-3_LIMS2</t>
  </si>
  <si>
    <t>Q7Z4Q2_HEATR3</t>
  </si>
  <si>
    <t>Q7Z4S6-3_KIF21A</t>
  </si>
  <si>
    <t>Q7Z4V5_HDGFRP2</t>
  </si>
  <si>
    <t>Q7Z4W1_DCXR</t>
  </si>
  <si>
    <t>Q7Z5K2_WAPAL</t>
  </si>
  <si>
    <t>Q7Z5L9-2_IRF2BP2</t>
  </si>
  <si>
    <t>Q7Z5P4_HSD17B13</t>
  </si>
  <si>
    <t>Q7Z5Q1-7_CPEB2</t>
  </si>
  <si>
    <t>Q7Z5R6_APBB1IP</t>
  </si>
  <si>
    <t>Q7Z6B0-2_CCDC91</t>
  </si>
  <si>
    <t>Q7Z6E9-4_RBBP6</t>
  </si>
  <si>
    <t>Q7Z6K3_PTAR1</t>
  </si>
  <si>
    <t>Q7Z6M1_RABEPK</t>
  </si>
  <si>
    <t>Q7Z6M4_MTERFD2</t>
  </si>
  <si>
    <t>Q7Z6Z7-2_HUWE1</t>
  </si>
  <si>
    <t>Q7Z794_KRT77</t>
  </si>
  <si>
    <t>Q7Z7E8-2_UBE2Q1</t>
  </si>
  <si>
    <t>Q7Z7K0_CMC1</t>
  </si>
  <si>
    <t>Q7Z7K6-3_CENPV</t>
  </si>
  <si>
    <t>Q7Z7L7_ZER1</t>
  </si>
  <si>
    <t>Q86SQ0-3_PHLDB2</t>
  </si>
  <si>
    <t>Q86SQ0_PHLDB2</t>
  </si>
  <si>
    <t>Q86SX6_GLRX5</t>
  </si>
  <si>
    <t>Q86SZ2_TRAPPC6B</t>
  </si>
  <si>
    <t>Q86TB9-4_PATL1</t>
  </si>
  <si>
    <t>Q86TI2_DPP9</t>
  </si>
  <si>
    <t>Q86TP1_PRUNE</t>
  </si>
  <si>
    <t>Q86TU7_SETD3</t>
  </si>
  <si>
    <t>Q86TX2_ACOT1</t>
  </si>
  <si>
    <t>Q86U17_SERPINA11</t>
  </si>
  <si>
    <t>Q86U28_ISCA2</t>
  </si>
  <si>
    <t>Q86U42-2_PABPN1</t>
  </si>
  <si>
    <t>Q86U44_METTL3</t>
  </si>
  <si>
    <t>Q86U70-3_LDB1</t>
  </si>
  <si>
    <t>Q86U90_YRDC</t>
  </si>
  <si>
    <t>Q86UA1_PRPF39</t>
  </si>
  <si>
    <t>Q86UE4_MTDH</t>
  </si>
  <si>
    <t>Q86UK7-2_ZNF598</t>
  </si>
  <si>
    <t>Q86UP2_KTN1</t>
  </si>
  <si>
    <t>Q86US8_SMG6</t>
  </si>
  <si>
    <t>Q86UU0-4_BCL9L</t>
  </si>
  <si>
    <t>Q86UV5-2_USP48</t>
  </si>
  <si>
    <t>Q86UX6-2_STK32C</t>
  </si>
  <si>
    <t>Q86UX7-2_FERMT3</t>
  </si>
  <si>
    <t>Q86UY8-2_NT5DC3</t>
  </si>
  <si>
    <t>Q86V48-2_LUZP1</t>
  </si>
  <si>
    <t>Q86V81_ALYREF</t>
  </si>
  <si>
    <t>Q86VM9_ZC3H18</t>
  </si>
  <si>
    <t>Q86VN1-2_VPS36</t>
  </si>
  <si>
    <t>Q86VP6_CAND1</t>
  </si>
  <si>
    <t>Q86VQ6_TXNRD3</t>
  </si>
  <si>
    <t>Q86VR2_FAM134C</t>
  </si>
  <si>
    <t>Q86VS8_HOOK3</t>
  </si>
  <si>
    <t>Q86VX2-2_COMMD7</t>
  </si>
  <si>
    <t>Q86W50_METTL16</t>
  </si>
  <si>
    <t>Q86W92-4_PPFIBP1</t>
  </si>
  <si>
    <t>Q86WA6_BPHL</t>
  </si>
  <si>
    <t>Q86WA8_LONP2</t>
  </si>
  <si>
    <t>Q86WB0-3_ZC3HC1</t>
  </si>
  <si>
    <t>Q86WP2-4_GPBP1</t>
  </si>
  <si>
    <t>Q86WQ0_NR2C2AP</t>
  </si>
  <si>
    <t>Q86WR0_CCDC25</t>
  </si>
  <si>
    <t>Q86WR7_PROSER2</t>
  </si>
  <si>
    <t>Q86WU2-2_LDHD</t>
  </si>
  <si>
    <t>Q86X10-3_RALGAPB</t>
  </si>
  <si>
    <t>Q86X27_RALGPS2</t>
  </si>
  <si>
    <t>Q86X55-1_CARM1</t>
  </si>
  <si>
    <t>Q86X76-2_NIT1</t>
  </si>
  <si>
    <t>Q86X83_COMMD2</t>
  </si>
  <si>
    <t>Q86XE5_HOGA1</t>
  </si>
  <si>
    <t>Q86XP3_DDX42</t>
  </si>
  <si>
    <t>Q86Y07-4_VRK2</t>
  </si>
  <si>
    <t>Q86Y82_STX12</t>
  </si>
  <si>
    <t>Q86YB7_ECHDC2</t>
  </si>
  <si>
    <t>Q86YB8_ERO1LB</t>
  </si>
  <si>
    <t>Q86YH6_PDSS2</t>
  </si>
  <si>
    <t>Q86YJ6-4_THNSL2</t>
  </si>
  <si>
    <t>Q86YL5_TDRP</t>
  </si>
  <si>
    <t>Q86YP4-2_GATAD2A</t>
  </si>
  <si>
    <t>Q86YS6_RAB43</t>
  </si>
  <si>
    <t>Q86YS7_C2CD5</t>
  </si>
  <si>
    <t>Q8IU81_IRF2BP1</t>
  </si>
  <si>
    <t>Q8IUC4_RHPN2</t>
  </si>
  <si>
    <t>Q8IUD2_ERC1</t>
  </si>
  <si>
    <t>Q8IUF8-2_MINA</t>
  </si>
  <si>
    <t>Q8IUR0_TRAPPC5</t>
  </si>
  <si>
    <t>Q8IUZ5_AGXT2L2</t>
  </si>
  <si>
    <t>Q8IV03_LURAP1L</t>
  </si>
  <si>
    <t>Q8IV08_PLD3</t>
  </si>
  <si>
    <t>Q8IV20_LACC1</t>
  </si>
  <si>
    <t>Q8IV38_ANKMY2</t>
  </si>
  <si>
    <t>Q8IVD9_NUDCD3</t>
  </si>
  <si>
    <t>Q8IVH4_MMAA</t>
  </si>
  <si>
    <t>Q8IVM0-2_CCDC50</t>
  </si>
  <si>
    <t>Q8IVM0_CCDC50</t>
  </si>
  <si>
    <t>Q8IVS2_MCAT</t>
  </si>
  <si>
    <t>Q8IVS8_GLYCTK</t>
  </si>
  <si>
    <t>Q8IW45_CARKD</t>
  </si>
  <si>
    <t>Q8IWB7_WDFY1</t>
  </si>
  <si>
    <t>Q8IWB9_TEX2</t>
  </si>
  <si>
    <t>Q8IWE2_FAM114A1</t>
  </si>
  <si>
    <t>Q8IWJ2_GCC2</t>
  </si>
  <si>
    <t>Q8IWL3_HSCB</t>
  </si>
  <si>
    <t>Q8IWR0_ZC3H7A</t>
  </si>
  <si>
    <t>Q8IWU2_LMTK2</t>
  </si>
  <si>
    <t>Q8IWV7_UBR1</t>
  </si>
  <si>
    <t>Q8IWV8-4_UBR2</t>
  </si>
  <si>
    <t>Q8IWW6-2_ARHGAP12</t>
  </si>
  <si>
    <t>Q8IWW8_ADHFE1</t>
  </si>
  <si>
    <t>Q8IWX8_CHERP</t>
  </si>
  <si>
    <t>Q8IWZ3_ANKHD1</t>
  </si>
  <si>
    <t>Q8IWZ8_SUGP1</t>
  </si>
  <si>
    <t>Q8IX04-6_UEVLD</t>
  </si>
  <si>
    <t>Q8IX12-2_CCAR1</t>
  </si>
  <si>
    <t>Q8IXH7-4_NELFCD</t>
  </si>
  <si>
    <t>Q8IXJ6-2_SIRT2</t>
  </si>
  <si>
    <t>Q8IXK0-2_PHC2</t>
  </si>
  <si>
    <t>Q8IXQ4_KIAA1704</t>
  </si>
  <si>
    <t>Q8IXQ6-2_PARP9</t>
  </si>
  <si>
    <t>Q8IXW5-2_RPAP2</t>
  </si>
  <si>
    <t>Q8IY33-4_MICALL2</t>
  </si>
  <si>
    <t>Q8IY81_FTSJ3</t>
  </si>
  <si>
    <t>Q8IYB5-3_SMAP1</t>
  </si>
  <si>
    <t>Q8IYB7_DIS3L2</t>
  </si>
  <si>
    <t>Q8IYB8_SUPV3L1</t>
  </si>
  <si>
    <t>Q8IYD1_GSPT2</t>
  </si>
  <si>
    <t>Q8IYI6_EXOC8</t>
  </si>
  <si>
    <t>Q8IYL3_C1orf174</t>
  </si>
  <si>
    <t>Q8IYQ7_THNSL1</t>
  </si>
  <si>
    <t>Q8IYS1_PM20D2</t>
  </si>
  <si>
    <t>Q8IYT2_FTSJD1</t>
  </si>
  <si>
    <t>Q8IZ07_ANKRD13A</t>
  </si>
  <si>
    <t>Q8IZ21-3_PHACTR4</t>
  </si>
  <si>
    <t>Q8IZ69_TRMT2A</t>
  </si>
  <si>
    <t>Q8IZ83_ALDH16A1</t>
  </si>
  <si>
    <t>Q8IZD4_DCP1B</t>
  </si>
  <si>
    <t>Q8IZH2-2_XRN1</t>
  </si>
  <si>
    <t>Q8IZP0-10_ABI1</t>
  </si>
  <si>
    <t>Q8IZV5_RDH10</t>
  </si>
  <si>
    <t>Q8N0T1_C8orf59</t>
  </si>
  <si>
    <t>Q8N0U4_FAM185A</t>
  </si>
  <si>
    <t>Q8N0W3_FUK</t>
  </si>
  <si>
    <t>Q8N0X4_CLYBL</t>
  </si>
  <si>
    <t>Q8N0X7_SPG20</t>
  </si>
  <si>
    <t>Q8N108-17_MIER1</t>
  </si>
  <si>
    <t>Q8N129_CNPY4</t>
  </si>
  <si>
    <t>Q8N142_ADSSL1</t>
  </si>
  <si>
    <t>Q8N163_KIAA1967</t>
  </si>
  <si>
    <t>Q8N1B4_VPS52</t>
  </si>
  <si>
    <t>Q8N1F7_NUP93</t>
  </si>
  <si>
    <t>Q8N1G2_FTSJD2</t>
  </si>
  <si>
    <t>Q8N1G4_LRRC47</t>
  </si>
  <si>
    <t>Q8N1I0_DOCK4</t>
  </si>
  <si>
    <t>Q8N201_INTS1</t>
  </si>
  <si>
    <t>Q8N283_ANKRD35</t>
  </si>
  <si>
    <t>Q8N2H3_PYROXD2</t>
  </si>
  <si>
    <t>Q8N302_AGGF1</t>
  </si>
  <si>
    <t>Q8N335_GPD1L</t>
  </si>
  <si>
    <t>Q8N371_KDM8</t>
  </si>
  <si>
    <t>Q8N392-2_ARHGAP18</t>
  </si>
  <si>
    <t>Q8N3D4_EHBP1L1</t>
  </si>
  <si>
    <t>Q8N3F8_MICALL1</t>
  </si>
  <si>
    <t>Q8N3P4-3_VPS8</t>
  </si>
  <si>
    <t>Q8N3V7-2_SYNPO</t>
  </si>
  <si>
    <t>Q8N3X1_FNBP4</t>
  </si>
  <si>
    <t>Q8N442_GUF1</t>
  </si>
  <si>
    <t>Q8N465_D2HGDH</t>
  </si>
  <si>
    <t>Q8N488_RYBP</t>
  </si>
  <si>
    <t>Q8N490-4_PNKD</t>
  </si>
  <si>
    <t>Q8N4C8-4_MINK1</t>
  </si>
  <si>
    <t>Q8N4J0_C9orf41</t>
  </si>
  <si>
    <t>Q8N4P3_HDDC3</t>
  </si>
  <si>
    <t>Q8N4Q0_ZADH2</t>
  </si>
  <si>
    <t>Q8N4Q1_CHCHD4</t>
  </si>
  <si>
    <t>Q8N4T8_CBR4</t>
  </si>
  <si>
    <t>Q8N573-8_OXR1</t>
  </si>
  <si>
    <t>Q8N584_TTC39C</t>
  </si>
  <si>
    <t>Q8N5A5-3_ZGPAT</t>
  </si>
  <si>
    <t>Q8N5G2_TMEM57</t>
  </si>
  <si>
    <t>Q8N5I9_C12orf45</t>
  </si>
  <si>
    <t>Q8N5J2_FAM63A</t>
  </si>
  <si>
    <t>Q8N5K1_CISD2</t>
  </si>
  <si>
    <t>Q8N5L8_RPP25L</t>
  </si>
  <si>
    <t>Q8N5M1_ATPAF2</t>
  </si>
  <si>
    <t>Q8N5N7_MRPL50</t>
  </si>
  <si>
    <t>Q8N5P1_ZC3H8</t>
  </si>
  <si>
    <t>Q8N5V2_NGEF</t>
  </si>
  <si>
    <t>Q8N5Z0_AADAT</t>
  </si>
  <si>
    <t>Q8N612_FAM160A2</t>
  </si>
  <si>
    <t>Q8N684-2_CPSF7</t>
  </si>
  <si>
    <t>Q8N6H7_ARFGAP2</t>
  </si>
  <si>
    <t>Q8N6N3-2_C1orf52</t>
  </si>
  <si>
    <t>Q8N6R0-3_METTL13</t>
  </si>
  <si>
    <t>Q8N8N7_PTGR2</t>
  </si>
  <si>
    <t>Q8N8R5_C2orf69</t>
  </si>
  <si>
    <t>Q8N8S7_ENAH</t>
  </si>
  <si>
    <t>Q8N8V2_GBP7</t>
  </si>
  <si>
    <t>Q8N9L9_ACOT4</t>
  </si>
  <si>
    <t>Q8N9N7_LRRC57</t>
  </si>
  <si>
    <t>Q8N9R8_SCAI</t>
  </si>
  <si>
    <t>Q8N9V3-2_WDSUB1</t>
  </si>
  <si>
    <t>Q8NAF0_ZNF579</t>
  </si>
  <si>
    <t>Q8NB15-2_ZNF511</t>
  </si>
  <si>
    <t>Q8NB37_PDDC1</t>
  </si>
  <si>
    <t>Q8NBF2_NHLRC2</t>
  </si>
  <si>
    <t>Q8NBJ4-2_GOLM1</t>
  </si>
  <si>
    <t>Q8NBJ5_COLGALT1</t>
  </si>
  <si>
    <t>Q8NBJ7_SUMF2</t>
  </si>
  <si>
    <t>Q8NBK3-4_SUMF1</t>
  </si>
  <si>
    <t>Q8NBL1_POGLUT1</t>
  </si>
  <si>
    <t>Q8NBN7-2_RDH13</t>
  </si>
  <si>
    <t>Q8NBX0_SCCPDH</t>
  </si>
  <si>
    <t>Q8NC06_ACBD4</t>
  </si>
  <si>
    <t>Q8NC51-4_SERBP1</t>
  </si>
  <si>
    <t>Q8NC96_NECAP1</t>
  </si>
  <si>
    <t>Q8NCA5-2_FAM98A</t>
  </si>
  <si>
    <t>Q8NCC3_PLA2G15</t>
  </si>
  <si>
    <t>Q8NCE2-3_MTMR14</t>
  </si>
  <si>
    <t>Q8NCF5_NFATC2IP</t>
  </si>
  <si>
    <t>Q8NCN4_RNF169</t>
  </si>
  <si>
    <t>Q8NCN5_PDPR</t>
  </si>
  <si>
    <t>Q8NCW5_APOA1BP</t>
  </si>
  <si>
    <t>Q8ND23-2_LRRC16B</t>
  </si>
  <si>
    <t>Q8ND24_RNF214</t>
  </si>
  <si>
    <t>Q8ND30_PPFIBP2</t>
  </si>
  <si>
    <t>Q8ND76-3_CCNY</t>
  </si>
  <si>
    <t>Q8NDH3_NPEPL1</t>
  </si>
  <si>
    <t>Q8NDI1-3_EHBP1</t>
  </si>
  <si>
    <t>Q8NE62_CHDH</t>
  </si>
  <si>
    <t>Q8NE71_ABCF1</t>
  </si>
  <si>
    <t>Q8NEB9_PIK3C3</t>
  </si>
  <si>
    <t>Q8NEN9_PDZD8</t>
  </si>
  <si>
    <t>Q8NEU8_APPL2</t>
  </si>
  <si>
    <t>Q8NEY8-6_PPHLN1</t>
  </si>
  <si>
    <t>Q8NEZ2-2_VPS37A</t>
  </si>
  <si>
    <t>Q8NEZ5_FBXO22</t>
  </si>
  <si>
    <t>Q8NFC6_BOD1L1</t>
  </si>
  <si>
    <t>Q8NFF5-2_FLAD1</t>
  </si>
  <si>
    <t>Q8NFH3_NUP43</t>
  </si>
  <si>
    <t>Q8NFH4_NUP37</t>
  </si>
  <si>
    <t>Q8NFH8-4_REPS2</t>
  </si>
  <si>
    <t>Q8NFI3_ENGASE</t>
  </si>
  <si>
    <t>Q8NFQ8_TOR1AIP2</t>
  </si>
  <si>
    <t>Q8NFU3-4_TSTD1</t>
  </si>
  <si>
    <t>Q8NFU3_TSTD1</t>
  </si>
  <si>
    <t>Q8NFV4_ABHD11</t>
  </si>
  <si>
    <t>Q8NFW8_CMAS</t>
  </si>
  <si>
    <t>Q8NHG8_ZNRF2</t>
  </si>
  <si>
    <t>Q8NHM4_TRY6</t>
  </si>
  <si>
    <t>Q8NHP8_PLBD2</t>
  </si>
  <si>
    <t>Q8NHU6_TDRD7</t>
  </si>
  <si>
    <t>Q8NHZ8_CDC26</t>
  </si>
  <si>
    <t>Q8NI08-2_NCOA7</t>
  </si>
  <si>
    <t>Q8NI22-2_MCFD2</t>
  </si>
  <si>
    <t>Q8NI35_INADL</t>
  </si>
  <si>
    <t>Q8NI37_PPTC7</t>
  </si>
  <si>
    <t>Q8TAF3_WDR48</t>
  </si>
  <si>
    <t>Q8TAQ2-2_SMARCC2</t>
  </si>
  <si>
    <t>Q8TAT6_NPLOC4</t>
  </si>
  <si>
    <t>Q8TB03_CXorf38</t>
  </si>
  <si>
    <t>Q8TB22_SPATA20</t>
  </si>
  <si>
    <t>Q8TB24_RIN3</t>
  </si>
  <si>
    <t>Q8TB37_NUBPL</t>
  </si>
  <si>
    <t>Q8TB45_DEPTOR</t>
  </si>
  <si>
    <t>Q8TB72-2_PUM2</t>
  </si>
  <si>
    <t>Q8TBA6-2_GOLGA5</t>
  </si>
  <si>
    <t>Q8TBC4_UBA3</t>
  </si>
  <si>
    <t>Q8TBC5_ZSCAN18</t>
  </si>
  <si>
    <t>Q8TBE9_NANP</t>
  </si>
  <si>
    <t>Q8TBF2-4_FAM213B</t>
  </si>
  <si>
    <t>Q8TBG4-3_AGXT2L1</t>
  </si>
  <si>
    <t>Q8TBX8_PIP4K2C</t>
  </si>
  <si>
    <t>Q8TC07-2_TBC1D15</t>
  </si>
  <si>
    <t>Q8TC12_RDH11</t>
  </si>
  <si>
    <t>Q8TCA0_LRRC20</t>
  </si>
  <si>
    <t>Q8TCD1_C18orf32</t>
  </si>
  <si>
    <t>Q8TCD5_NT5C</t>
  </si>
  <si>
    <t>Q8TCE6-2_FAM45A</t>
  </si>
  <si>
    <t>Q8TCS8_PNPT1</t>
  </si>
  <si>
    <t>Q8TD16_BICD2</t>
  </si>
  <si>
    <t>Q8TD19_NEK9</t>
  </si>
  <si>
    <t>Q8TD30_GPT2</t>
  </si>
  <si>
    <t>Q8TDB6_DTX3L</t>
  </si>
  <si>
    <t>Q8TDD1-2_DDX54</t>
  </si>
  <si>
    <t>Q8TDH9-2_BLOC1S5</t>
  </si>
  <si>
    <t>Q8TDX5-2_ACMSD</t>
  </si>
  <si>
    <t>Q8TDX5_ACMSD</t>
  </si>
  <si>
    <t>Q8TDX7_NEK7</t>
  </si>
  <si>
    <t>Q8TE04-2_PANK1</t>
  </si>
  <si>
    <t>Q8TE77_SSH3</t>
  </si>
  <si>
    <t>Q8TEA1_NSUN6</t>
  </si>
  <si>
    <t>Q8TEA7-3_TBCK</t>
  </si>
  <si>
    <t>Q8TEA8_DTD1</t>
  </si>
  <si>
    <t>Q8TEB1-2_DCAF11</t>
  </si>
  <si>
    <t>Q8TEH3_DENND1A</t>
  </si>
  <si>
    <t>Q8TEQ6_GEMIN5</t>
  </si>
  <si>
    <t>Q8TER0-5_SNED1</t>
  </si>
  <si>
    <t>Q8TER5_ARHGEF40</t>
  </si>
  <si>
    <t>Q8TET4_GANC</t>
  </si>
  <si>
    <t>Q8TEW0-5_PARD3</t>
  </si>
  <si>
    <t>Q8TEW8-5_PARD3B</t>
  </si>
  <si>
    <t>Q8TEX9_IPO4</t>
  </si>
  <si>
    <t>Q8TF01_PNISR</t>
  </si>
  <si>
    <t>Q8TF05-2_PPP4R1</t>
  </si>
  <si>
    <t>Q8TF65_GIPC2</t>
  </si>
  <si>
    <t>Q8TF72_SHROOM3</t>
  </si>
  <si>
    <t>Q8TF74_WIPF2</t>
  </si>
  <si>
    <t>Q8WTS6_SETD7</t>
  </si>
  <si>
    <t>Q8WTV0-3_SCARB1</t>
  </si>
  <si>
    <t>Q8WU39_MZB1</t>
  </si>
  <si>
    <t>Q8WU79-2_SMAP2</t>
  </si>
  <si>
    <t>Q8WU90_ZC3H15</t>
  </si>
  <si>
    <t>Q8WUA2_PPIL4</t>
  </si>
  <si>
    <t>Q8WUD1_RAB2B</t>
  </si>
  <si>
    <t>Q8WUF5_PPP1R13L</t>
  </si>
  <si>
    <t>Q8WUH6_C12orf23</t>
  </si>
  <si>
    <t>Q8WUJ0_STYX</t>
  </si>
  <si>
    <t>Q8WUM4_PDCD6IP</t>
  </si>
  <si>
    <t>Q8WUN7_UBTD2</t>
  </si>
  <si>
    <t>Q8WUR7_C15orf40</t>
  </si>
  <si>
    <t>Q8WUW1_BRK1</t>
  </si>
  <si>
    <t>Q8WUX9_CHMP7</t>
  </si>
  <si>
    <t>Q8WV28_BLNK</t>
  </si>
  <si>
    <t>Q8WV41_SNX33</t>
  </si>
  <si>
    <t>Q8WV74_NUDT8</t>
  </si>
  <si>
    <t>Q8WVC0_LEO1</t>
  </si>
  <si>
    <t>Q8WVJ2_NUDCD2</t>
  </si>
  <si>
    <t>Q8WVM8_SCFD1</t>
  </si>
  <si>
    <t>Q8WVT3_TRAPPC12</t>
  </si>
  <si>
    <t>Q8WVY7_UBLCP1</t>
  </si>
  <si>
    <t>Q8WVZ9_KBTBD7</t>
  </si>
  <si>
    <t>Q8WW12_PCNP</t>
  </si>
  <si>
    <t>Q8WW59_SPRYD4</t>
  </si>
  <si>
    <t>Q8WWH5_TRUB1</t>
  </si>
  <si>
    <t>Q8WWM7_ATXN2L</t>
  </si>
  <si>
    <t>Q8WWQ0_PHIP</t>
  </si>
  <si>
    <t>Q8WWV3_RTN4IP1</t>
  </si>
  <si>
    <t>Q8WWX9_SELM</t>
  </si>
  <si>
    <t>Q8WWY3_PRPF31</t>
  </si>
  <si>
    <t>Q8WX92_NELFB</t>
  </si>
  <si>
    <t>Q8WX93-4_PALLD</t>
  </si>
  <si>
    <t>Q8WXA9-2_SREK1</t>
  </si>
  <si>
    <t>Q8WXD5_GEMIN6</t>
  </si>
  <si>
    <t>Q8WXE0_CASKIN2</t>
  </si>
  <si>
    <t>Q8WXE1-2_ATRIP</t>
  </si>
  <si>
    <t>Q8WXF1_PSPC1</t>
  </si>
  <si>
    <t>Q8WXH0_SYNE2</t>
  </si>
  <si>
    <t>Q8WXI9_GATAD2B</t>
  </si>
  <si>
    <t>Q8WXX5_DNAJC9</t>
  </si>
  <si>
    <t>Q8WY91-2_THAP4</t>
  </si>
  <si>
    <t>Q8WYK0_ACOT12</t>
  </si>
  <si>
    <t>Q8WYP5_AHCTF1</t>
  </si>
  <si>
    <t>Q8WYQ3_CHCHD10</t>
  </si>
  <si>
    <t>Q8WZ42-3_TTN</t>
  </si>
  <si>
    <t>Q8WZ73-3_RFFL</t>
  </si>
  <si>
    <t>Q8WZ82_OVCA2</t>
  </si>
  <si>
    <t>Q8WZA0_LZIC</t>
  </si>
  <si>
    <t>Q8WZA9_IRGQ</t>
  </si>
  <si>
    <t>Q92466_DDB2</t>
  </si>
  <si>
    <t>Q92499_DDX1</t>
  </si>
  <si>
    <t>Q92506_HSD17B8</t>
  </si>
  <si>
    <t>Q92520_FAM3C</t>
  </si>
  <si>
    <t>Q92522_H1FX</t>
  </si>
  <si>
    <t>Q92538_GBF1</t>
  </si>
  <si>
    <t>Q92539_LPIN2</t>
  </si>
  <si>
    <t>Q92541_RTF1</t>
  </si>
  <si>
    <t>Q92546_RGP1</t>
  </si>
  <si>
    <t>Q92551_IP6K1</t>
  </si>
  <si>
    <t>Q92552_MRPS27</t>
  </si>
  <si>
    <t>Q92556_ELMO1</t>
  </si>
  <si>
    <t>Q92572_AP3S1</t>
  </si>
  <si>
    <t>Q92574-2_TSC1</t>
  </si>
  <si>
    <t>Q92575_UBXN4</t>
  </si>
  <si>
    <t>Q92576-2_PHF3</t>
  </si>
  <si>
    <t>Q92597_NDRG1</t>
  </si>
  <si>
    <t>Q92598-2_HSPH1</t>
  </si>
  <si>
    <t>Q92599-2_SEPT8</t>
  </si>
  <si>
    <t>Q92600_RQCD1</t>
  </si>
  <si>
    <t>Q92609_TBC1D5</t>
  </si>
  <si>
    <t>Q92614-4_MYO18A</t>
  </si>
  <si>
    <t>Q92615_LARP4B</t>
  </si>
  <si>
    <t>Q92616_GCN1L1</t>
  </si>
  <si>
    <t>Q92620_DHX38</t>
  </si>
  <si>
    <t>Q92621_NUP205</t>
  </si>
  <si>
    <t>Q92665_MRPS31</t>
  </si>
  <si>
    <t>Q92667_AKAP1</t>
  </si>
  <si>
    <t>Q92688-2_ANP32B</t>
  </si>
  <si>
    <t>Q92692_PVRL2</t>
  </si>
  <si>
    <t>Q92696_RABGGTA</t>
  </si>
  <si>
    <t>Q92734-2_TFG</t>
  </si>
  <si>
    <t>Q92738_USP6NL</t>
  </si>
  <si>
    <t>Q92747_ARPC1A</t>
  </si>
  <si>
    <t>Q92748_THRSP</t>
  </si>
  <si>
    <t>Q92766_RREB1</t>
  </si>
  <si>
    <t>Q92783-2_STAM</t>
  </si>
  <si>
    <t>Q92785_DPF2</t>
  </si>
  <si>
    <t>Q92786_PROX1</t>
  </si>
  <si>
    <t>Q92793-2_CREBBP</t>
  </si>
  <si>
    <t>Q92797_SYMPK</t>
  </si>
  <si>
    <t>Q92804-2_TAF15</t>
  </si>
  <si>
    <t>Q92805_GOLGA1</t>
  </si>
  <si>
    <t>Q92817_EVPL</t>
  </si>
  <si>
    <t>Q92820_GGH</t>
  </si>
  <si>
    <t>Q92841_DDX17</t>
  </si>
  <si>
    <t>Q92851_CASP10</t>
  </si>
  <si>
    <t>Q92878_RAD50</t>
  </si>
  <si>
    <t>Q92879-5_CELF1</t>
  </si>
  <si>
    <t>Q92882_OSTF1</t>
  </si>
  <si>
    <t>Q92888-2_ARHGEF1</t>
  </si>
  <si>
    <t>Q92889_ERCC4</t>
  </si>
  <si>
    <t>Q92890_UFD1L</t>
  </si>
  <si>
    <t>Q92896_GLG1</t>
  </si>
  <si>
    <t>Q92900-2_UPF1</t>
  </si>
  <si>
    <t>Q92905_COPS5</t>
  </si>
  <si>
    <t>Q92917_GPKOW</t>
  </si>
  <si>
    <t>Q92922_SMARCC1</t>
  </si>
  <si>
    <t>Q92934_BAD</t>
  </si>
  <si>
    <t>Q92945_KHSRP</t>
  </si>
  <si>
    <t>Q92947_GCDH</t>
  </si>
  <si>
    <t>Q92954-3_PRG4</t>
  </si>
  <si>
    <t>Q92973-2_TNPO1</t>
  </si>
  <si>
    <t>Q92989-2_CLP1</t>
  </si>
  <si>
    <t>Q92990_GLMN</t>
  </si>
  <si>
    <t>Q92995_USP13</t>
  </si>
  <si>
    <t>Q93008_USP9X</t>
  </si>
  <si>
    <t>Q93015_NAT6</t>
  </si>
  <si>
    <t>Q93034_CUL5</t>
  </si>
  <si>
    <t>Q93052_LPP</t>
  </si>
  <si>
    <t>Q93062-4_RBPMS</t>
  </si>
  <si>
    <t>Q93073-2_SECISBP2L</t>
  </si>
  <si>
    <t>Q93077_HIST1H2AC</t>
  </si>
  <si>
    <t>Q93088_BHMT</t>
  </si>
  <si>
    <t>Q93096_PTP4A1</t>
  </si>
  <si>
    <t>Q93099_HGD</t>
  </si>
  <si>
    <t>Q93100-4_PHKB</t>
  </si>
  <si>
    <t>Q969G6_RFK</t>
  </si>
  <si>
    <t>Q969H8_C19orf10</t>
  </si>
  <si>
    <t>Q969I3_GLYATL1</t>
  </si>
  <si>
    <t>Q969K3_RNF34</t>
  </si>
  <si>
    <t>Q969M3_YIPF5</t>
  </si>
  <si>
    <t>Q969Q0_RPL36AL</t>
  </si>
  <si>
    <t>Q969S9-2_GFM2</t>
  </si>
  <si>
    <t>Q969T7-2_NT5C3B</t>
  </si>
  <si>
    <t>Q969Y2-3_GTPBP3</t>
  </si>
  <si>
    <t>Q969Z0_TBRG4</t>
  </si>
  <si>
    <t>Q969Z3_MARC2</t>
  </si>
  <si>
    <t>Q96A33_CCDC47</t>
  </si>
  <si>
    <t>Q96A49_SYAP1</t>
  </si>
  <si>
    <t>Q96A65_EXOC4</t>
  </si>
  <si>
    <t>Q96AB3_ISOC2</t>
  </si>
  <si>
    <t>Q96AC1_FERMT2</t>
  </si>
  <si>
    <t>Q96AE4-2_FUBP1</t>
  </si>
  <si>
    <t>Q96AE4_FUBP1</t>
  </si>
  <si>
    <t>Q96AG4_LRRC59</t>
  </si>
  <si>
    <t>Q96AJ9-1_VTI1A</t>
  </si>
  <si>
    <t>Q96AT1_KIAA1143</t>
  </si>
  <si>
    <t>Q96AT9_RPE</t>
  </si>
  <si>
    <t>Q96B26_EXOSC8</t>
  </si>
  <si>
    <t>Q96B36_AKT1S1</t>
  </si>
  <si>
    <t>Q96B45_C10orf32</t>
  </si>
  <si>
    <t>Q96B54_ZNF428</t>
  </si>
  <si>
    <t>Q96B70_LENG9</t>
  </si>
  <si>
    <t>Q96B97_SH3KBP1</t>
  </si>
  <si>
    <t>Q96BH1_RNF25</t>
  </si>
  <si>
    <t>Q96BJ3_AIDA</t>
  </si>
  <si>
    <t>Q96BN8_FAM105B</t>
  </si>
  <si>
    <t>Q96BP3_PPWD1</t>
  </si>
  <si>
    <t>Q96BR5_SELRC1</t>
  </si>
  <si>
    <t>Q96BW5-2_PTER</t>
  </si>
  <si>
    <t>Q96BY7_ATG2B</t>
  </si>
  <si>
    <t>Q96BZ8_LENG1</t>
  </si>
  <si>
    <t>Q96C01_FAM136A</t>
  </si>
  <si>
    <t>Q96C11_FGGY</t>
  </si>
  <si>
    <t>Q96C19_EFHD2</t>
  </si>
  <si>
    <t>Q96C23_GALM</t>
  </si>
  <si>
    <t>Q96C24_SYTL4</t>
  </si>
  <si>
    <t>Q96C86_DCPS</t>
  </si>
  <si>
    <t>Q96C90_PPP1R14B</t>
  </si>
  <si>
    <t>Q96CB8_INTS12</t>
  </si>
  <si>
    <t>Q96CD0_FBXL8</t>
  </si>
  <si>
    <t>Q96CF2_CHMP4C</t>
  </si>
  <si>
    <t>Q96CG3_TIFA</t>
  </si>
  <si>
    <t>Q96CN7_ISOC1</t>
  </si>
  <si>
    <t>Q96CP2_FLYWCH2</t>
  </si>
  <si>
    <t>Q96CS3_FAF2</t>
  </si>
  <si>
    <t>Q96CT7_CCDC124</t>
  </si>
  <si>
    <t>Q96CU9-3_FOXRED1</t>
  </si>
  <si>
    <t>Q96CV9_OPTN</t>
  </si>
  <si>
    <t>Q96CW1-2_AP2M1</t>
  </si>
  <si>
    <t>Q96CW5-2_TUBGCP3</t>
  </si>
  <si>
    <t>Q96CW6_SLC7A6OS</t>
  </si>
  <si>
    <t>Q96CX2_KCTD12</t>
  </si>
  <si>
    <t>Q96D46_NMD3</t>
  </si>
  <si>
    <t>Q96D71-2_REPS1</t>
  </si>
  <si>
    <t>Q96DC7_TMCO6</t>
  </si>
  <si>
    <t>Q96DC8_ECHDC3</t>
  </si>
  <si>
    <t>Q96DE0_NUDT16</t>
  </si>
  <si>
    <t>Q96DG6_CMBL</t>
  </si>
  <si>
    <t>Q96DI7_SNRNP40</t>
  </si>
  <si>
    <t>Q96DP5_MTFMT</t>
  </si>
  <si>
    <t>Q96DR7_ARHGEF26</t>
  </si>
  <si>
    <t>Q96DT5_DNAH11</t>
  </si>
  <si>
    <t>Q96DV4_MRPL38</t>
  </si>
  <si>
    <t>Q96DX5_ASB9</t>
  </si>
  <si>
    <t>Q96E09_FAM122A</t>
  </si>
  <si>
    <t>Q96E11-3_MRRF</t>
  </si>
  <si>
    <t>Q96E39_RBMXL1</t>
  </si>
  <si>
    <t>Q96EB1_ELP4</t>
  </si>
  <si>
    <t>Q96EB6_SIRT1</t>
  </si>
  <si>
    <t>Q96ED9-2_HOOK2</t>
  </si>
  <si>
    <t>Q96EE3_SEH1L</t>
  </si>
  <si>
    <t>Q96EI5_TCEAL4</t>
  </si>
  <si>
    <t>Q96EK5_KIAA1279</t>
  </si>
  <si>
    <t>Q96EK6_GNPNAT1</t>
  </si>
  <si>
    <t>Q96EM0_L3HYPDH</t>
  </si>
  <si>
    <t>Q96EN8_MOCOS</t>
  </si>
  <si>
    <t>Q96EP0_RNF31</t>
  </si>
  <si>
    <t>Q96EP5-2_DAZAP1</t>
  </si>
  <si>
    <t>Q96EV2_RBM33</t>
  </si>
  <si>
    <t>Q96EV8_DTNBP1</t>
  </si>
  <si>
    <t>Q96EY1-2_DNAJA3</t>
  </si>
  <si>
    <t>Q96EY7_PTCD3</t>
  </si>
  <si>
    <t>Q96EY8_MMAB</t>
  </si>
  <si>
    <t>Q96EY9_ADAT3</t>
  </si>
  <si>
    <t>Q96F10_SAT2</t>
  </si>
  <si>
    <t>Q96F24-2_NRBF2</t>
  </si>
  <si>
    <t>Q96F63_CCDC97</t>
  </si>
  <si>
    <t>Q96FH0_MEF2BNB</t>
  </si>
  <si>
    <t>Q96FJ2_DYNLL2</t>
  </si>
  <si>
    <t>Q96FV2_SCRN2</t>
  </si>
  <si>
    <t>Q96FX7_TRMT61A</t>
  </si>
  <si>
    <t>Q96G01-3_BICD1</t>
  </si>
  <si>
    <t>Q96G03_PGM2</t>
  </si>
  <si>
    <t>Q96G46_DUS3L</t>
  </si>
  <si>
    <t>Q96GA7_SDSL</t>
  </si>
  <si>
    <t>Q96GD0_PDXP</t>
  </si>
  <si>
    <t>Q96GE6-2_CALML4</t>
  </si>
  <si>
    <t>Q96GF1_RNF185</t>
  </si>
  <si>
    <t>Q96GG9_DCUN1D1</t>
  </si>
  <si>
    <t>Q96GK7_FAHD2A</t>
  </si>
  <si>
    <t>Q96GS4_C17orf59</t>
  </si>
  <si>
    <t>Q96GW9_MARS2</t>
  </si>
  <si>
    <t>Q96GX2_ATXN7L3B</t>
  </si>
  <si>
    <t>Q96GX9_APIP</t>
  </si>
  <si>
    <t>Q96H20_SNF8</t>
  </si>
  <si>
    <t>Q96HC4_PDLIM5</t>
  </si>
  <si>
    <t>Q96HD9_ACY3</t>
  </si>
  <si>
    <t>Q96HE7_ERO1L</t>
  </si>
  <si>
    <t>Q96HJ9-2_C7orf55</t>
  </si>
  <si>
    <t>Q96HJ9_C7orf55</t>
  </si>
  <si>
    <t>Q96HN2-4_AHCYL2</t>
  </si>
  <si>
    <t>Q96HP4_OXNAD1</t>
  </si>
  <si>
    <t>Q96HQ2-2_CDKN2AIPNL</t>
  </si>
  <si>
    <t>Q96HR9_REEP6</t>
  </si>
  <si>
    <t>Q96HS1_PGAM5</t>
  </si>
  <si>
    <t>Q96HY6_DDRGK1</t>
  </si>
  <si>
    <t>Q96HY7_DHTKD1</t>
  </si>
  <si>
    <t>Q96I15_SCLY</t>
  </si>
  <si>
    <t>Q96I23_PYURF</t>
  </si>
  <si>
    <t>Q96I24_FUBP3</t>
  </si>
  <si>
    <t>Q96I25_RBM17</t>
  </si>
  <si>
    <t>Q96I34_PPP1R16A</t>
  </si>
  <si>
    <t>Q96I51_WBSCR16</t>
  </si>
  <si>
    <t>Q96I59_NARS2</t>
  </si>
  <si>
    <t>Q96I99_SUCLG2</t>
  </si>
  <si>
    <t>Q96IF1_AJUBA</t>
  </si>
  <si>
    <t>Q96IJ6_GMPPA</t>
  </si>
  <si>
    <t>Q96IU4_ABHD14B</t>
  </si>
  <si>
    <t>Q96IV0-2_NGLY1</t>
  </si>
  <si>
    <t>Q96IY1_NSL1</t>
  </si>
  <si>
    <t>Q96IY4_CPB2</t>
  </si>
  <si>
    <t>Q96IZ0_PAWR</t>
  </si>
  <si>
    <t>Q96J02-2_ITCH</t>
  </si>
  <si>
    <t>Q96JB2_COG3</t>
  </si>
  <si>
    <t>Q96JB5_CDK5RAP3</t>
  </si>
  <si>
    <t>Q96JE7_SEC16B</t>
  </si>
  <si>
    <t>Q96JG6-3_CCDC132</t>
  </si>
  <si>
    <t>Q96JH7_VCPIP1</t>
  </si>
  <si>
    <t>Q96JM3_CHAMP1</t>
  </si>
  <si>
    <t>Q96JP2_MYO15B</t>
  </si>
  <si>
    <t>Q96JP5-2_ZFP91</t>
  </si>
  <si>
    <t>Q96JQ2_CLMN</t>
  </si>
  <si>
    <t>Q96JY6_PDLIM2</t>
  </si>
  <si>
    <t>Q96K17-2_BTF3L4</t>
  </si>
  <si>
    <t>Q96KC8_DNAJC1</t>
  </si>
  <si>
    <t>Q96KG9-3_SCYL1</t>
  </si>
  <si>
    <t>Q96KM6_ZNF512B</t>
  </si>
  <si>
    <t>Q96KP1_EXOC2</t>
  </si>
  <si>
    <t>Q96KP4_CNDP2</t>
  </si>
  <si>
    <t>Q96KR1_ZFR</t>
  </si>
  <si>
    <t>Q96L91-3_EP400</t>
  </si>
  <si>
    <t>Q96L92-3_SNX27</t>
  </si>
  <si>
    <t>Q96LD8_SENP8</t>
  </si>
  <si>
    <t>Q96LJ7_DHRS1</t>
  </si>
  <si>
    <t>Q96M27_PRRC1</t>
  </si>
  <si>
    <t>Q96ME1-4_FBXL18</t>
  </si>
  <si>
    <t>Q96MG8_PCMTD1</t>
  </si>
  <si>
    <t>Q96MH2_HEXIM2</t>
  </si>
  <si>
    <t>Q96MU7-2_YTHDC1</t>
  </si>
  <si>
    <t>Q96MW1_CCDC43</t>
  </si>
  <si>
    <t>Q96MX6_WDR92</t>
  </si>
  <si>
    <t>Q96N76_UROC1</t>
  </si>
  <si>
    <t>Q96NA2_RILP</t>
  </si>
  <si>
    <t>Q96NB3_ZNF830</t>
  </si>
  <si>
    <t>Q96NC0_ZMAT2</t>
  </si>
  <si>
    <t>Q96NL8_C8orf37</t>
  </si>
  <si>
    <t>Q96NU7_AMDHD1</t>
  </si>
  <si>
    <t>Q96NZ9_PRAP1</t>
  </si>
  <si>
    <t>Q96P11_NSUN5</t>
  </si>
  <si>
    <t>Q96P16-3_RPRD1A</t>
  </si>
  <si>
    <t>Q96P47_AGAP3</t>
  </si>
  <si>
    <t>Q96P48-7_ARAP1</t>
  </si>
  <si>
    <t>Q96P70_IPO9</t>
  </si>
  <si>
    <t>Q96PD5_PGLYRP2</t>
  </si>
  <si>
    <t>Q96PE7_MCEE</t>
  </si>
  <si>
    <t>Q96PK6_RBM14</t>
  </si>
  <si>
    <t>Q96PM5-3_RCHY1</t>
  </si>
  <si>
    <t>Q96PP9_GBP4</t>
  </si>
  <si>
    <t>Q96PU5-3_NEDD4L</t>
  </si>
  <si>
    <t>Q96PU8-5_QKI</t>
  </si>
  <si>
    <t>Q96PU8-9_QKI</t>
  </si>
  <si>
    <t>Q96PV6_LENG8</t>
  </si>
  <si>
    <t>Q96PZ0_PUS7</t>
  </si>
  <si>
    <t>Q96Q05-3_TRAPPC9</t>
  </si>
  <si>
    <t>Q96Q06-2_PLIN4</t>
  </si>
  <si>
    <t>Q96Q11-2_TRNT1</t>
  </si>
  <si>
    <t>Q96Q42_ALS2</t>
  </si>
  <si>
    <t>Q96Q83_ALKBH3</t>
  </si>
  <si>
    <t>Q96QC0_PPP1R10</t>
  </si>
  <si>
    <t>Q96QK1_VPS35</t>
  </si>
  <si>
    <t>Q96QR8_PURB</t>
  </si>
  <si>
    <t>Q96QU8_XPO6</t>
  </si>
  <si>
    <t>Q96QZ7-3_MAGI1</t>
  </si>
  <si>
    <t>Q96R06_SPAG5</t>
  </si>
  <si>
    <t>Q96RE7_NACC1</t>
  </si>
  <si>
    <t>Q96RF0-2_SNX18</t>
  </si>
  <si>
    <t>Q96RL1_UIMC1</t>
  </si>
  <si>
    <t>Q96RL7-4_VPS13A</t>
  </si>
  <si>
    <t>Q96RN5-3_MED15</t>
  </si>
  <si>
    <t>Q96RP9_GFM1</t>
  </si>
  <si>
    <t>Q96RQ3_MCCC1</t>
  </si>
  <si>
    <t>Q96RS6-3_NUDCD1</t>
  </si>
  <si>
    <t>Q96RT1-9_ERBB2IP</t>
  </si>
  <si>
    <t>Q96RU2-2_USP28</t>
  </si>
  <si>
    <t>Q96RU3-4_FNBP1</t>
  </si>
  <si>
    <t>Q96RW7-2_HMCN1</t>
  </si>
  <si>
    <t>Q96S19_C16orf13</t>
  </si>
  <si>
    <t>Q96S44_TP53RK</t>
  </si>
  <si>
    <t>Q96S55-2_WRNIP1</t>
  </si>
  <si>
    <t>Q96S66-4_CLCC1</t>
  </si>
  <si>
    <t>Q96S99_PLEKHF1</t>
  </si>
  <si>
    <t>Q96SB3_PPP1R9B</t>
  </si>
  <si>
    <t>Q96SI9-2_STRBP</t>
  </si>
  <si>
    <t>Q96ST2_IWS1</t>
  </si>
  <si>
    <t>Q96ST3_SIN3A</t>
  </si>
  <si>
    <t>Q96SU4-7_OSBPL9</t>
  </si>
  <si>
    <t>Q96SZ5_ADO</t>
  </si>
  <si>
    <t>Q96T37-2_RBM15</t>
  </si>
  <si>
    <t>Q96T51_RUFY1</t>
  </si>
  <si>
    <t>Q96T58_SPEN</t>
  </si>
  <si>
    <t>Q96T76_MMS19</t>
  </si>
  <si>
    <t>Q96TA1-2_FAM129B</t>
  </si>
  <si>
    <t>Q96TA2-3_YME1L1</t>
  </si>
  <si>
    <t>Q99417_MYCBP</t>
  </si>
  <si>
    <t>Q99424_ACOX2</t>
  </si>
  <si>
    <t>Q99426_TBCB</t>
  </si>
  <si>
    <t>Q99436_PSMB7</t>
  </si>
  <si>
    <t>Q99447-3_PCYT2</t>
  </si>
  <si>
    <t>Q99459_CDC5L</t>
  </si>
  <si>
    <t>Q99460_PSMD1</t>
  </si>
  <si>
    <t>Q99470_SDF2</t>
  </si>
  <si>
    <t>Q99471_PFDN5</t>
  </si>
  <si>
    <t>Q99487_PAFAH2</t>
  </si>
  <si>
    <t>Q99489_DDO</t>
  </si>
  <si>
    <t>Q99496_RNF2</t>
  </si>
  <si>
    <t>Q99497_PARK7</t>
  </si>
  <si>
    <t>Q99519_NEU1</t>
  </si>
  <si>
    <t>Q99536_VAT1</t>
  </si>
  <si>
    <t>Q99538_LGMN</t>
  </si>
  <si>
    <t>Q99543_DNAJC2</t>
  </si>
  <si>
    <t>Q99549_MPHOSPH8</t>
  </si>
  <si>
    <t>Q99567_NUP88</t>
  </si>
  <si>
    <t>Q99569-2_PKP4</t>
  </si>
  <si>
    <t>Q99570_PIK3R4</t>
  </si>
  <si>
    <t>Q99575_POP1</t>
  </si>
  <si>
    <t>Q99584_S100A13</t>
  </si>
  <si>
    <t>Q99590-2_SCAF11</t>
  </si>
  <si>
    <t>Q99598_TSNAX</t>
  </si>
  <si>
    <t>Q99611_SEPHS2</t>
  </si>
  <si>
    <t>Q99614_TTC1</t>
  </si>
  <si>
    <t>Q99615_DNAJC7</t>
  </si>
  <si>
    <t>Q99622_C12orf57</t>
  </si>
  <si>
    <t>Q99624_SLC38A3</t>
  </si>
  <si>
    <t>Q99627-2_COPS8</t>
  </si>
  <si>
    <t>Q99653_CHP1</t>
  </si>
  <si>
    <t>Q99685_MGLL</t>
  </si>
  <si>
    <t>Q99700-4_ATXN2</t>
  </si>
  <si>
    <t>Q99707_MTR</t>
  </si>
  <si>
    <t>Q99714_HSD17B10</t>
  </si>
  <si>
    <t>Q99733_NAP1L4</t>
  </si>
  <si>
    <t>Q99747_NAPG</t>
  </si>
  <si>
    <t>Q99757_TXN2</t>
  </si>
  <si>
    <t>Q99766_ATP5S</t>
  </si>
  <si>
    <t>Q99797_MIPEP</t>
  </si>
  <si>
    <t>Q99798_ACO2</t>
  </si>
  <si>
    <t>Q99807-2_COQ7</t>
  </si>
  <si>
    <t>Q99832_CCT7</t>
  </si>
  <si>
    <t>Q99836_MYD88</t>
  </si>
  <si>
    <t>Q99878_HIST1H2AJ</t>
  </si>
  <si>
    <t>Q99952_PTPN18</t>
  </si>
  <si>
    <t>Q99959-2_PKP2</t>
  </si>
  <si>
    <t>Q99961_SH3GL1</t>
  </si>
  <si>
    <t>Q99996-5_AKAP9</t>
  </si>
  <si>
    <t>Q9BPW8_NIPSNAP1</t>
  </si>
  <si>
    <t>Q9BPX5_ARPC5L</t>
  </si>
  <si>
    <t>Q9BQ24_ZFYVE21</t>
  </si>
  <si>
    <t>Q9BQ52_ELAC2</t>
  </si>
  <si>
    <t>Q9BQ61_C19orf43</t>
  </si>
  <si>
    <t>Q9BQ67_GRWD1</t>
  </si>
  <si>
    <t>Q9BQ69_MACROD1</t>
  </si>
  <si>
    <t>Q9BQ90_KLHDC3</t>
  </si>
  <si>
    <t>Q9BQA1_WDR77</t>
  </si>
  <si>
    <t>Q9BQC3_DPH2</t>
  </si>
  <si>
    <t>Q9BQE3_TUBA1C</t>
  </si>
  <si>
    <t>Q9BQE5_APOL2</t>
  </si>
  <si>
    <t>Q9BQG0_MYBBP1A</t>
  </si>
  <si>
    <t>Q9BQG2_NUDT12</t>
  </si>
  <si>
    <t>Q9BQK8-2_LPIN3</t>
  </si>
  <si>
    <t>Q9BQP7_MGME1</t>
  </si>
  <si>
    <t>Q9BQS8_FYCO1</t>
  </si>
  <si>
    <t>Q9BR61_ACBD6</t>
  </si>
  <si>
    <t>Q9BR76_CORO1B</t>
  </si>
  <si>
    <t>Q9BRA2_TXNDC17</t>
  </si>
  <si>
    <t>Q9BRF8_CPPED1</t>
  </si>
  <si>
    <t>Q9BRG1_VPS25</t>
  </si>
  <si>
    <t>Q9BRK5_SDF4</t>
  </si>
  <si>
    <t>Q9BRP4_PAAF1</t>
  </si>
  <si>
    <t>Q9BRP8-2_WIBG</t>
  </si>
  <si>
    <t>Q9BRQ8-2_AIFM2</t>
  </si>
  <si>
    <t>Q9BRT3_MIEN1</t>
  </si>
  <si>
    <t>Q9BRZ2_TRIM56</t>
  </si>
  <si>
    <t>Q9BS26_ERP44</t>
  </si>
  <si>
    <t>Q9BSD7_NTPCR</t>
  </si>
  <si>
    <t>Q9BSE5_AGMAT</t>
  </si>
  <si>
    <t>Q9BSH4_TACO1</t>
  </si>
  <si>
    <t>Q9BSH5_HDHD3</t>
  </si>
  <si>
    <t>Q9BSJ5-3_C17orf80</t>
  </si>
  <si>
    <t>Q9BSJ8_ESYT1</t>
  </si>
  <si>
    <t>Q9BSL1_UBAC1</t>
  </si>
  <si>
    <t>Q9BST9_RTKN</t>
  </si>
  <si>
    <t>Q9BSU1_C16orf70</t>
  </si>
  <si>
    <t>Q9BSY4_CHCHD5</t>
  </si>
  <si>
    <t>Q9BT09_CNPY3</t>
  </si>
  <si>
    <t>Q9BT30_ALKBH7</t>
  </si>
  <si>
    <t>Q9BT73_PSMG3</t>
  </si>
  <si>
    <t>Q9BT78_COPS4</t>
  </si>
  <si>
    <t>Q9BTA9-2_WAC</t>
  </si>
  <si>
    <t>Q9BTC0_DIDO1</t>
  </si>
  <si>
    <t>Q9BTE1-2_DCTN5</t>
  </si>
  <si>
    <t>Q9BTE3-2_MCMBP</t>
  </si>
  <si>
    <t>Q9BTE6_AARSD1</t>
  </si>
  <si>
    <t>Q9BTL3_FAM103A1</t>
  </si>
  <si>
    <t>Q9BTT0_ANP32E</t>
  </si>
  <si>
    <t>Q9BTW9_TBCD</t>
  </si>
  <si>
    <t>Q9BTX7_TTPAL</t>
  </si>
  <si>
    <t>Q9BTY2_FUCA2</t>
  </si>
  <si>
    <t>Q9BTY7_FAM203A</t>
  </si>
  <si>
    <t>Q9BTZ2_DHRS4</t>
  </si>
  <si>
    <t>Q9BU02_THTPA</t>
  </si>
  <si>
    <t>Q9BU61_NDUFAF3</t>
  </si>
  <si>
    <t>Q9BU89_DOHH</t>
  </si>
  <si>
    <t>Q9BUE6_ISCA1</t>
  </si>
  <si>
    <t>Q9BUH6_C9orf142</t>
  </si>
  <si>
    <t>Q9BUJ2-2_HNRNPUL1</t>
  </si>
  <si>
    <t>Q9BUP0_EFHD1</t>
  </si>
  <si>
    <t>Q9BUQ8_DDX23</t>
  </si>
  <si>
    <t>Q9BUT1_BDH2</t>
  </si>
  <si>
    <t>Q9BUT9_FAM195A</t>
  </si>
  <si>
    <t>Q9BV19_C1orf50</t>
  </si>
  <si>
    <t>Q9BV20_MRI1</t>
  </si>
  <si>
    <t>Q9BV44_THUMPD3</t>
  </si>
  <si>
    <t>Q9BV57_ADI1</t>
  </si>
  <si>
    <t>Q9BV79_MECR</t>
  </si>
  <si>
    <t>Q9BV86_NTMT1</t>
  </si>
  <si>
    <t>Q9BVG4_PBDC1</t>
  </si>
  <si>
    <t>Q9BVJ6-3_UTP14A</t>
  </si>
  <si>
    <t>Q9BVJ7_DUSP23</t>
  </si>
  <si>
    <t>Q9BVL4_SELO</t>
  </si>
  <si>
    <t>Q9BVM4_GGACT</t>
  </si>
  <si>
    <t>Q9BVS5_TRMT61B</t>
  </si>
  <si>
    <t>Q9BW27_NUP85</t>
  </si>
  <si>
    <t>Q9BW61_DDA1</t>
  </si>
  <si>
    <t>Q9BW71_HIRIP3</t>
  </si>
  <si>
    <t>Q9BW83-2_IFT27</t>
  </si>
  <si>
    <t>Q9BW85_CCDC94</t>
  </si>
  <si>
    <t>Q9BW91-2_NUDT9</t>
  </si>
  <si>
    <t>Q9BW92_TARS2</t>
  </si>
  <si>
    <t>Q9BWD1_ACAT2</t>
  </si>
  <si>
    <t>Q9BWE0_REPIN1</t>
  </si>
  <si>
    <t>Q9BWH6-2_RPAP1</t>
  </si>
  <si>
    <t>Q9BWJ5_SF3B5</t>
  </si>
  <si>
    <t>Q9BWS9-3_CHID1</t>
  </si>
  <si>
    <t>Q9BWU0_SLC4A1AP</t>
  </si>
  <si>
    <t>Q9BX66-5_SORBS1</t>
  </si>
  <si>
    <t>Q9BX66-9_SORBS1</t>
  </si>
  <si>
    <t>Q9BX68_HINT2</t>
  </si>
  <si>
    <t>Q9BX95_SGPP1</t>
  </si>
  <si>
    <t>Q9BXB4_OSBPL11</t>
  </si>
  <si>
    <t>Q9BXI6_TBC1D10A</t>
  </si>
  <si>
    <t>Q9BXJ9_NAA15</t>
  </si>
  <si>
    <t>Q9BXK5_BCL2L13</t>
  </si>
  <si>
    <t>Q9BXP5-5_SRRT</t>
  </si>
  <si>
    <t>Q9BXR0_QTRT1</t>
  </si>
  <si>
    <t>Q9BXS5_AP1M1</t>
  </si>
  <si>
    <t>Q9BXS6-7_NUSAP1</t>
  </si>
  <si>
    <t>Q9BXV9_C14orf142</t>
  </si>
  <si>
    <t>Q9BXW6_OSBPL1A</t>
  </si>
  <si>
    <t>Q9BXW7-2_CECR5</t>
  </si>
  <si>
    <t>Q9BY32_ITPA</t>
  </si>
  <si>
    <t>Q9BY42_RTFDC1</t>
  </si>
  <si>
    <t>Q9BY43_CHMP4A</t>
  </si>
  <si>
    <t>Q9BY49_PECR</t>
  </si>
  <si>
    <t>Q9BY67-2_CADM1</t>
  </si>
  <si>
    <t>Q9BY77_POLDIP3</t>
  </si>
  <si>
    <t>Q9BY89_KIAA1671</t>
  </si>
  <si>
    <t>Q9BYD6_MRPL1</t>
  </si>
  <si>
    <t>Q9BYM8_RBCK1</t>
  </si>
  <si>
    <t>Q9BYN0_SRXN1</t>
  </si>
  <si>
    <t>Q9BYN8_MRPS26</t>
  </si>
  <si>
    <t>Q9BYP7-3_WNK3</t>
  </si>
  <si>
    <t>Q9BYT8_NLN</t>
  </si>
  <si>
    <t>Q9BYV1_AGXT2</t>
  </si>
  <si>
    <t>Q9BYV7-4_BCO2</t>
  </si>
  <si>
    <t>Q9BYX2-4_TBC1D2</t>
  </si>
  <si>
    <t>Q9BYX4_IFIH1</t>
  </si>
  <si>
    <t>Q9BZ23-3_PANK2</t>
  </si>
  <si>
    <t>Q9BZE2_PUS3</t>
  </si>
  <si>
    <t>Q9BZE9_ASPSCR1</t>
  </si>
  <si>
    <t>Q9BZF1-3_OSBPL8</t>
  </si>
  <si>
    <t>Q9BZH6_WDR11</t>
  </si>
  <si>
    <t>Q9BZI7-2_UPF3B</t>
  </si>
  <si>
    <t>Q9BZK7_TBL1XR1</t>
  </si>
  <si>
    <t>Q9BZL1_UBL5</t>
  </si>
  <si>
    <t>Q9BZL4_PPP1R12C</t>
  </si>
  <si>
    <t>Q9BZZ5-2_API5</t>
  </si>
  <si>
    <t>Q9C005_DPY30</t>
  </si>
  <si>
    <t>Q9C035-6_TRIM5</t>
  </si>
  <si>
    <t>Q9C0B0_UNK</t>
  </si>
  <si>
    <t>Q9C0B1_FTO</t>
  </si>
  <si>
    <t>Q9C0B5-2_ZDHHC5</t>
  </si>
  <si>
    <t>Q9C0B7_TANGO6</t>
  </si>
  <si>
    <t>Q9C0C2_TNKS1BP1</t>
  </si>
  <si>
    <t>Q9C0C9_UBE2O</t>
  </si>
  <si>
    <t>Q9C0H9-5_SRCIN1</t>
  </si>
  <si>
    <t>Q9C0I1_MTMR12</t>
  </si>
  <si>
    <t>Q9C0J8_WDR33</t>
  </si>
  <si>
    <t>Q9GZM5_YIPF3</t>
  </si>
  <si>
    <t>Q9GZM7-3_TINAGL1</t>
  </si>
  <si>
    <t>Q9GZN8_C20orf27</t>
  </si>
  <si>
    <t>Q9GZP4_PITHD1</t>
  </si>
  <si>
    <t>Q9GZQ3_COMMD5</t>
  </si>
  <si>
    <t>Q9GZT3-2_SLIRP</t>
  </si>
  <si>
    <t>Q9GZT8-2_NIF3L1</t>
  </si>
  <si>
    <t>Q9GZT9_EGLN1</t>
  </si>
  <si>
    <t>Q9GZU8_FAM192A</t>
  </si>
  <si>
    <t>Q9GZY8-2_MFF</t>
  </si>
  <si>
    <t>Q9GZZ9_UBA5</t>
  </si>
  <si>
    <t>Q9H008_LHPP</t>
  </si>
  <si>
    <t>Q9H074_PAIP1</t>
  </si>
  <si>
    <t>Q9H078-2_CLPB</t>
  </si>
  <si>
    <t>Q9H098_FAM107B</t>
  </si>
  <si>
    <t>Q9H0A8_COMMD4</t>
  </si>
  <si>
    <t>Q9H0C8_ILKAP</t>
  </si>
  <si>
    <t>Q9H0D6_XRN2</t>
  </si>
  <si>
    <t>Q9H0E2_TOLLIP</t>
  </si>
  <si>
    <t>Q9H0E3_SAP130</t>
  </si>
  <si>
    <t>Q9H0F6_SHARPIN</t>
  </si>
  <si>
    <t>Q9H0G5_NSRP1</t>
  </si>
  <si>
    <t>Q9H0K1_SIK2</t>
  </si>
  <si>
    <t>Q9H0L4_CSTF2T</t>
  </si>
  <si>
    <t>Q9H0P0-1_NT5C3A</t>
  </si>
  <si>
    <t>Q9H0R4_HDHD2</t>
  </si>
  <si>
    <t>Q9H0R6_QRSL1</t>
  </si>
  <si>
    <t>Q9H0U4_RAB1B</t>
  </si>
  <si>
    <t>Q9H0W9_C11orf54</t>
  </si>
  <si>
    <t>Q9H173_SIL1</t>
  </si>
  <si>
    <t>Q9H1B7_IRF2BPL</t>
  </si>
  <si>
    <t>Q9H1E3_NUCKS1</t>
  </si>
  <si>
    <t>Q9H1H9-3_KIF13A</t>
  </si>
  <si>
    <t>Q9H1J1_UPF3A</t>
  </si>
  <si>
    <t>Q9H1K0_ZFYVE20</t>
  </si>
  <si>
    <t>Q9H1K1_ISCU</t>
  </si>
  <si>
    <t>Q9H1Y0_ATG5</t>
  </si>
  <si>
    <t>Q9H1Z4_WDR13</t>
  </si>
  <si>
    <t>Q9H223_EHD4</t>
  </si>
  <si>
    <t>Q9H227_GBA3</t>
  </si>
  <si>
    <t>Q9H267_VPS33B</t>
  </si>
  <si>
    <t>Q9H270_VPS11</t>
  </si>
  <si>
    <t>Q9H2A2_ALDH8A1</t>
  </si>
  <si>
    <t>Q9H2D6-3_TRIOBP</t>
  </si>
  <si>
    <t>Q9H2G2_SLK</t>
  </si>
  <si>
    <t>Q9H2H8_PPIL3</t>
  </si>
  <si>
    <t>Q9H2K8_TAOK3</t>
  </si>
  <si>
    <t>Q9H2M3_BHMT2</t>
  </si>
  <si>
    <t>Q9H2M9_RAB3GAP2</t>
  </si>
  <si>
    <t>Q9H2P0_ADNP</t>
  </si>
  <si>
    <t>Q9H2P9-3_DPH5</t>
  </si>
  <si>
    <t>Q9H2U1-3_DHX36</t>
  </si>
  <si>
    <t>Q9H2U2_PPA2</t>
  </si>
  <si>
    <t>Q9H2W6_MRPL46</t>
  </si>
  <si>
    <t>Q9H2X3-10_CLEC4M</t>
  </si>
  <si>
    <t>Q9H307_PNN</t>
  </si>
  <si>
    <t>Q9H329-2_EPB41L4B</t>
  </si>
  <si>
    <t>Q9H3G5_CPVL</t>
  </si>
  <si>
    <t>Q9H3H3_C11orf68</t>
  </si>
  <si>
    <t>Q9H3K6_BOLA2</t>
  </si>
  <si>
    <t>Q9H3N1_TMX1</t>
  </si>
  <si>
    <t>Q9H3P2_NELFA</t>
  </si>
  <si>
    <t>Q9H3P7_ACBD3</t>
  </si>
  <si>
    <t>Q9H3Q1_CDC42EP4</t>
  </si>
  <si>
    <t>Q9H3S7_PTPN23</t>
  </si>
  <si>
    <t>Q9H3U1-2_UNC45A</t>
  </si>
  <si>
    <t>Q9H400-2_LIME1</t>
  </si>
  <si>
    <t>Q9H444_CHMP4B</t>
  </si>
  <si>
    <t>Q9H477_RBKS</t>
  </si>
  <si>
    <t>Q9H479_FN3K</t>
  </si>
  <si>
    <t>Q9H488_POFUT1</t>
  </si>
  <si>
    <t>Q9H4A4_RNPEP</t>
  </si>
  <si>
    <t>Q9H4A6_GOLPH3</t>
  </si>
  <si>
    <t>Q9H4B0_OSGEPL1</t>
  </si>
  <si>
    <t>Q9H4I2_ZHX3</t>
  </si>
  <si>
    <t>Q9H4L7_SMARCAD1</t>
  </si>
  <si>
    <t>Q9H4M9_EHD1</t>
  </si>
  <si>
    <t>Q9H4Z3_PCIF1</t>
  </si>
  <si>
    <t>Q9H5N1_RABEP2</t>
  </si>
  <si>
    <t>Q9H5Q4_TFB2M</t>
  </si>
  <si>
    <t>Q9H5V9-2_CXorf56</t>
  </si>
  <si>
    <t>Q9H668_OBFC1</t>
  </si>
  <si>
    <t>Q9H6E5_TUT1</t>
  </si>
  <si>
    <t>Q9H6F5_CCDC86</t>
  </si>
  <si>
    <t>Q9H6Q4_NARFL</t>
  </si>
  <si>
    <t>Q9H6R3_ACSS3</t>
  </si>
  <si>
    <t>Q9H6S0_YTHDC2</t>
  </si>
  <si>
    <t>Q9H6S3_EPS8L2</t>
  </si>
  <si>
    <t>Q9H6T0-2_ESRP2</t>
  </si>
  <si>
    <t>Q9H6T3-2_RPAP3</t>
  </si>
  <si>
    <t>Q9H6U6-2_BCAS3</t>
  </si>
  <si>
    <t>Q9H773_DCTPP1</t>
  </si>
  <si>
    <t>Q9H777_ELAC1</t>
  </si>
  <si>
    <t>Q9H788_SH2D4A</t>
  </si>
  <si>
    <t>Q9H7C9_AAMDC</t>
  </si>
  <si>
    <t>Q9H7D0_DOCK5</t>
  </si>
  <si>
    <t>Q9H7E2-3_TDRD3</t>
  </si>
  <si>
    <t>Q9H7N4_SCAF1</t>
  </si>
  <si>
    <t>Q9H7Z6_KAT8</t>
  </si>
  <si>
    <t>Q9H7Z7_PTGES2</t>
  </si>
  <si>
    <t>Q9H814_PHAX</t>
  </si>
  <si>
    <t>Q9H832_UBE2Z</t>
  </si>
  <si>
    <t>Q9H845_ACAD9</t>
  </si>
  <si>
    <t>Q9H8G2-2_CAAP1</t>
  </si>
  <si>
    <t>Q9H8M7_FAM188A</t>
  </si>
  <si>
    <t>Q9H8S9_MOB1A</t>
  </si>
  <si>
    <t>Q9H8T0_AKTIP</t>
  </si>
  <si>
    <t>Q9H8U3_ZFAND3</t>
  </si>
  <si>
    <t>Q9H8W4_PLEKHF2</t>
  </si>
  <si>
    <t>Q9H8Y8_GORASP2</t>
  </si>
  <si>
    <t>Q9H939_PSTPIP2</t>
  </si>
  <si>
    <t>Q9H974_QTRTD1</t>
  </si>
  <si>
    <t>Q9H993_C6orf211</t>
  </si>
  <si>
    <t>Q9H999_PANK3</t>
  </si>
  <si>
    <t>Q9H9A5-2_CNOT10</t>
  </si>
  <si>
    <t>Q9H9A6_LRRC40</t>
  </si>
  <si>
    <t>Q9H9B1-3_EHMT1</t>
  </si>
  <si>
    <t>Q9H9B4_SFXN1</t>
  </si>
  <si>
    <t>Q9H9C1-2_VIPAS39</t>
  </si>
  <si>
    <t>Q9H9E3_COG4</t>
  </si>
  <si>
    <t>Q9H9G7_AGO3</t>
  </si>
  <si>
    <t>Q9H9J2_MRPL44</t>
  </si>
  <si>
    <t>Q9H9T3-2_ELP3</t>
  </si>
  <si>
    <t>Q9HA64_FN3KRP</t>
  </si>
  <si>
    <t>Q9HA65_TBC1D17</t>
  </si>
  <si>
    <t>Q9HA77_CARS2</t>
  </si>
  <si>
    <t>Q9HAB8_PPCS</t>
  </si>
  <si>
    <t>Q9HAC7-4_C7orf10</t>
  </si>
  <si>
    <t>Q9HAN9_NMNAT1</t>
  </si>
  <si>
    <t>Q9HAT2-2_SIAE</t>
  </si>
  <si>
    <t>Q9HAU0_PLEKHA5</t>
  </si>
  <si>
    <t>Q9HAU5_UPF2</t>
  </si>
  <si>
    <t>Q9HAV4_XPO5</t>
  </si>
  <si>
    <t>Q9HAV7_GRPEL1</t>
  </si>
  <si>
    <t>Q9HB07_C12orf10</t>
  </si>
  <si>
    <t>Q9HB40_SCPEP1</t>
  </si>
  <si>
    <t>Q9HB71_CACYBP</t>
  </si>
  <si>
    <t>Q9HB90_RRAGC</t>
  </si>
  <si>
    <t>Q9HBB8-2_CDHR5</t>
  </si>
  <si>
    <t>Q9HBF4-2_ZFYVE1</t>
  </si>
  <si>
    <t>Q9HBH1_PDF</t>
  </si>
  <si>
    <t>Q9HBI1_PARVB</t>
  </si>
  <si>
    <t>Q9HBK9_AS3MT</t>
  </si>
  <si>
    <t>Q9HBL8_NMRAL1</t>
  </si>
  <si>
    <t>Q9HC35_EML4</t>
  </si>
  <si>
    <t>Q9HC38-2_GLOD4</t>
  </si>
  <si>
    <t>Q9HC52_CBX8</t>
  </si>
  <si>
    <t>Q9HC78-2_ZBTB20</t>
  </si>
  <si>
    <t>Q9HCC0_MCCC2</t>
  </si>
  <si>
    <t>Q9HCC9-5_ZFYVE28</t>
  </si>
  <si>
    <t>Q9HCE1_MOV10</t>
  </si>
  <si>
    <t>Q9HCE5_METTL14</t>
  </si>
  <si>
    <t>Q9HCE6-3_ARHGEF10L</t>
  </si>
  <si>
    <t>Q9HCM4-2_EPB41L5</t>
  </si>
  <si>
    <t>Q9HCN4-3_GPN1</t>
  </si>
  <si>
    <t>Q9HCN8_SDF2L1</t>
  </si>
  <si>
    <t>Q9HCX3_ZNF304</t>
  </si>
  <si>
    <t>Q9HD15_SRA1</t>
  </si>
  <si>
    <t>Q9HD26-2_GOPC</t>
  </si>
  <si>
    <t>Q9HD34_LYRM4</t>
  </si>
  <si>
    <t>Q9HD40_SEPSECS</t>
  </si>
  <si>
    <t>Q9HD42_CHMP1A</t>
  </si>
  <si>
    <t>Q9HD47-4_RANGRF</t>
  </si>
  <si>
    <t>Q9HD89_RETN</t>
  </si>
  <si>
    <t>Q9NNW7-2_TXNRD2</t>
  </si>
  <si>
    <t>Q9NP61_ARFGAP3</t>
  </si>
  <si>
    <t>Q9NP71-4_MLXIPL</t>
  </si>
  <si>
    <t>Q9NP72_RAB18</t>
  </si>
  <si>
    <t>Q9NP73-2_ALG13</t>
  </si>
  <si>
    <t>Q9NP74_PALMD</t>
  </si>
  <si>
    <t>Q9NP77_SSU72</t>
  </si>
  <si>
    <t>Q9NP79_VTA1</t>
  </si>
  <si>
    <t>Q9NP97_DYNLRB1</t>
  </si>
  <si>
    <t>Q9NPA8-2_ENY2</t>
  </si>
  <si>
    <t>Q9NPB8_GPCPD1</t>
  </si>
  <si>
    <t>Q9NPD3_EXOSC4</t>
  </si>
  <si>
    <t>Q9NPE3_NOP10</t>
  </si>
  <si>
    <t>Q9NPF4_OSGEP</t>
  </si>
  <si>
    <t>Q9NPG3-2_UBN1</t>
  </si>
  <si>
    <t>Q9NPH0_ACP6</t>
  </si>
  <si>
    <t>Q9NPJ3_ACOT13</t>
  </si>
  <si>
    <t>Q9NPQ8-4_RIC8A</t>
  </si>
  <si>
    <t>Q9NQ88_TIGAR</t>
  </si>
  <si>
    <t>Q9NQ94-2_A1CF</t>
  </si>
  <si>
    <t>Q9NQG5_RPRD1B</t>
  </si>
  <si>
    <t>Q9NQG6_SMCR7L</t>
  </si>
  <si>
    <t>Q9NQH7-2_XPNPEP3</t>
  </si>
  <si>
    <t>Q9NQP4_PFDN4</t>
  </si>
  <si>
    <t>Q9NQR4_NIT2</t>
  </si>
  <si>
    <t>Q9NQS1_AVEN</t>
  </si>
  <si>
    <t>Q9NQT4_EXOSC5</t>
  </si>
  <si>
    <t>Q9NQT8_KIF13B</t>
  </si>
  <si>
    <t>Q9NQW7-3_XPNPEP1</t>
  </si>
  <si>
    <t>Q9NQX3_GPHN</t>
  </si>
  <si>
    <t>Q9NR09_BIRC6</t>
  </si>
  <si>
    <t>Q9NR19_ACSS2</t>
  </si>
  <si>
    <t>Q9NR28-2_DIABLO</t>
  </si>
  <si>
    <t>Q9NR30_DDX21</t>
  </si>
  <si>
    <t>Q9NR31_SAR1A</t>
  </si>
  <si>
    <t>Q9NR45_NANS</t>
  </si>
  <si>
    <t>Q9NR50-3_EIF2B3</t>
  </si>
  <si>
    <t>Q9NRF8_CTPS2</t>
  </si>
  <si>
    <t>Q9NRF9_POLE3</t>
  </si>
  <si>
    <t>Q9NRN7_AASDHPPT</t>
  </si>
  <si>
    <t>Q9NRP4_ACN9</t>
  </si>
  <si>
    <t>Q9NRR5_UBQLN4</t>
  </si>
  <si>
    <t>Q9NRS6-2_SNX15</t>
  </si>
  <si>
    <t>Q9NRV9_HEBP1</t>
  </si>
  <si>
    <t>Q9NRW7_VPS45</t>
  </si>
  <si>
    <t>Q9NRX4_PHPT1</t>
  </si>
  <si>
    <t>Q9NRY4_ARHGAP35</t>
  </si>
  <si>
    <t>Q9NRY5_FAM114A2</t>
  </si>
  <si>
    <t>Q9NS86_LANCL2</t>
  </si>
  <si>
    <t>Q9NS91_RAD18</t>
  </si>
  <si>
    <t>Q9NSB8-2_HOMER2</t>
  </si>
  <si>
    <t>Q9NSD9_FARSB</t>
  </si>
  <si>
    <t>Q9NSE4_IARS2</t>
  </si>
  <si>
    <t>Q9NSK0_KLC4</t>
  </si>
  <si>
    <t>Q9NSY0_NRBP2</t>
  </si>
  <si>
    <t>Q9NSY2_STARD5</t>
  </si>
  <si>
    <t>Q9NT62_ATG3</t>
  </si>
  <si>
    <t>Q9NTG7_SIRT3</t>
  </si>
  <si>
    <t>Q9NTI5-2_PDS5B</t>
  </si>
  <si>
    <t>Q9NTJ4-3_MAN2C1</t>
  </si>
  <si>
    <t>Q9NTK5_OLA1</t>
  </si>
  <si>
    <t>Q9NTM9_CUTC</t>
  </si>
  <si>
    <t>Q9NTN9_SEMA4G</t>
  </si>
  <si>
    <t>Q9NTX5-6_ECHDC1</t>
  </si>
  <si>
    <t>Q9NTZ6_RBM12</t>
  </si>
  <si>
    <t>Q9NU23_LYRM2</t>
  </si>
  <si>
    <t>Q9NUG6_PDRG1</t>
  </si>
  <si>
    <t>Q9NUI1-2_DECR2</t>
  </si>
  <si>
    <t>Q9NUI1_DECR2</t>
  </si>
  <si>
    <t>Q9NUJ1_ABHD10</t>
  </si>
  <si>
    <t>Q9NUL5-4_C19orf66</t>
  </si>
  <si>
    <t>Q9NUP7_TRMT13</t>
  </si>
  <si>
    <t>Q9NUP9_LIN7C</t>
  </si>
  <si>
    <t>Q9NUQ3_TXLNG</t>
  </si>
  <si>
    <t>Q9NUQ6_SPATS2L</t>
  </si>
  <si>
    <t>Q9NUQ8-2_ABCF3</t>
  </si>
  <si>
    <t>Q9NUQ9_FAM49B</t>
  </si>
  <si>
    <t>Q9NUV9_GIMAP4</t>
  </si>
  <si>
    <t>Q9NUY8-2_TBC1D23</t>
  </si>
  <si>
    <t>Q9NV35_NUDT15</t>
  </si>
  <si>
    <t>Q9NV56_MRGBP</t>
  </si>
  <si>
    <t>Q9NV70-2_EXOC1</t>
  </si>
  <si>
    <t>Q9NVD7_PARVA</t>
  </si>
  <si>
    <t>Q9NVE7_PANK4</t>
  </si>
  <si>
    <t>Q9NVF9_ETNK2</t>
  </si>
  <si>
    <t>Q9NVG8_TBC1D13</t>
  </si>
  <si>
    <t>Q9NVH0-2_EXD2</t>
  </si>
  <si>
    <t>Q9NVH6_TMLHE</t>
  </si>
  <si>
    <t>Q9NVM6_DNAJC17</t>
  </si>
  <si>
    <t>Q9NVR5_DNAAF2</t>
  </si>
  <si>
    <t>Q9NVS9_PNPO</t>
  </si>
  <si>
    <t>Q9NVT9_ARMC1</t>
  </si>
  <si>
    <t>Q9NVU7-2_SDAD1</t>
  </si>
  <si>
    <t>Q9NVX2_NLE1</t>
  </si>
  <si>
    <t>Q9NVZ3_NECAP2</t>
  </si>
  <si>
    <t>Q9NW13_RBM28</t>
  </si>
  <si>
    <t>Q9NW64_RBM22</t>
  </si>
  <si>
    <t>Q9NW68-4_BSDC1</t>
  </si>
  <si>
    <t>Q9NW68-8_BSDC1</t>
  </si>
  <si>
    <t>Q9NW82_WDR70</t>
  </si>
  <si>
    <t>Q9NWB6_ARGLU1</t>
  </si>
  <si>
    <t>Q9NWH9_SLTM</t>
  </si>
  <si>
    <t>Q9NWK9-2_ZNHIT6</t>
  </si>
  <si>
    <t>Q9NWU1_OXSM</t>
  </si>
  <si>
    <t>Q9NWU2_GID8</t>
  </si>
  <si>
    <t>Q9NWV4_C1orf123</t>
  </si>
  <si>
    <t>Q9NWX6_THG1L</t>
  </si>
  <si>
    <t>Q9NWY4_C4orf27</t>
  </si>
  <si>
    <t>Q9NWZ3_IRAK4</t>
  </si>
  <si>
    <t>Q9NWZ5-3_UCKL1</t>
  </si>
  <si>
    <t>Q9NX01_TXNL4B</t>
  </si>
  <si>
    <t>Q9NX08_COMMD8</t>
  </si>
  <si>
    <t>Q9NX38_FAM206A</t>
  </si>
  <si>
    <t>Q9NX46_ADPRHL2</t>
  </si>
  <si>
    <t>Q9NX55_HYPK</t>
  </si>
  <si>
    <t>Q9NXA8_SIRT5</t>
  </si>
  <si>
    <t>Q9NXD2_MTMR10</t>
  </si>
  <si>
    <t>Q9NXG2_THUMPD1</t>
  </si>
  <si>
    <t>Q9NXG6-2_P4HTM</t>
  </si>
  <si>
    <t>Q9NXH9_TRMT1</t>
  </si>
  <si>
    <t>Q9NXR7-4_BRE</t>
  </si>
  <si>
    <t>Q9NXU5_ARL15</t>
  </si>
  <si>
    <t>Q9NXV6_CDKN2AIP</t>
  </si>
  <si>
    <t>Q9NXW2_DNAJB12</t>
  </si>
  <si>
    <t>Q9NXW9_ALKBH4</t>
  </si>
  <si>
    <t>Q9NY12-2_GAR1</t>
  </si>
  <si>
    <t>Q9NY27_PPP4R2</t>
  </si>
  <si>
    <t>Q9NY33_DPP3</t>
  </si>
  <si>
    <t>Q9NYB0_TERF2IP</t>
  </si>
  <si>
    <t>Q9NYF8-2_BCLAF1</t>
  </si>
  <si>
    <t>Q9NYJ1_COA4</t>
  </si>
  <si>
    <t>Q9NYJ8_TAB2</t>
  </si>
  <si>
    <t>Q9NYL2_MLTK</t>
  </si>
  <si>
    <t>Q9NYL9_TMOD3</t>
  </si>
  <si>
    <t>Q9NYQ3_HAO2</t>
  </si>
  <si>
    <t>Q9NYU2-2_UGGT1</t>
  </si>
  <si>
    <t>Q9NYV4-2_CDK12</t>
  </si>
  <si>
    <t>Q9NYY8-2_FASTKD2</t>
  </si>
  <si>
    <t>Q9NZ08_ERAP1</t>
  </si>
  <si>
    <t>Q9NZ09-2_UBAP1</t>
  </si>
  <si>
    <t>Q9NZ32_ACTR10</t>
  </si>
  <si>
    <t>Q9NZ45_CISD1</t>
  </si>
  <si>
    <t>Q9NZ63_C9orf78</t>
  </si>
  <si>
    <t>Q9NZB2_FAM120A</t>
  </si>
  <si>
    <t>Q9NZB8-2_MOCS1</t>
  </si>
  <si>
    <t>Q9NZD2_GLTP</t>
  </si>
  <si>
    <t>Q9NZD8-2_SPG21</t>
  </si>
  <si>
    <t>Q9NZJ4-2_SACS</t>
  </si>
  <si>
    <t>Q9NZJ6_COQ3</t>
  </si>
  <si>
    <t>Q9NZJ9_NUDT4</t>
  </si>
  <si>
    <t>Q9NZL4_HSPBP1</t>
  </si>
  <si>
    <t>Q9NZL9_MAT2B</t>
  </si>
  <si>
    <t>Q9NZM3-2_ITSN2</t>
  </si>
  <si>
    <t>Q9NZN5-2_ARHGEF12</t>
  </si>
  <si>
    <t>Q9NZN8-4_CNOT2</t>
  </si>
  <si>
    <t>Q9NZN9-3_AIPL1</t>
  </si>
  <si>
    <t>Q9NZP8_C1RL</t>
  </si>
  <si>
    <t>Q9NZT2-2_OGFR</t>
  </si>
  <si>
    <t>Q9NZU5_LMCD1</t>
  </si>
  <si>
    <t>Q9NZZ3_CHMP5</t>
  </si>
  <si>
    <t>Q9P000_COMMD9</t>
  </si>
  <si>
    <t>Q9P013_CWC15</t>
  </si>
  <si>
    <t>Q9P016_THYN1</t>
  </si>
  <si>
    <t>Q9P035_PTPLAD1</t>
  </si>
  <si>
    <t>Q9P0J1_PDP1</t>
  </si>
  <si>
    <t>Q9P0J7_KCMF1</t>
  </si>
  <si>
    <t>Q9P0K7-3_RAI14</t>
  </si>
  <si>
    <t>Q9P0L0_VAPA</t>
  </si>
  <si>
    <t>Q9P0M2_AKAP7</t>
  </si>
  <si>
    <t>Q9P0P8_C6orf203</t>
  </si>
  <si>
    <t>Q9P0R6_GSKIP</t>
  </si>
  <si>
    <t>Q9P0Z9_PIPOX</t>
  </si>
  <si>
    <t>Q9P1F3_ABRACL</t>
  </si>
  <si>
    <t>Q9P1U1_ACTR3B</t>
  </si>
  <si>
    <t>Q9P1Y5_CAMSAP3</t>
  </si>
  <si>
    <t>Q9P1Z2-2_CALCOCO1</t>
  </si>
  <si>
    <t>Q9P206-2_KIAA1522</t>
  </si>
  <si>
    <t>Q9P258_RCC2</t>
  </si>
  <si>
    <t>Q9P260-2_KIAA1468</t>
  </si>
  <si>
    <t>Q9P260_KIAA1468</t>
  </si>
  <si>
    <t>Q9P265_DIP2B</t>
  </si>
  <si>
    <t>Q9P266_KIAA1462</t>
  </si>
  <si>
    <t>Q9P270_SLAIN2</t>
  </si>
  <si>
    <t>Q9P287_BCCIP</t>
  </si>
  <si>
    <t>Q9P299_COPZ2</t>
  </si>
  <si>
    <t>Q9P2D0-2_IBTK</t>
  </si>
  <si>
    <t>Q9P2D3-3_HEATR5B</t>
  </si>
  <si>
    <t>Q9P2E9-2_RRBP1</t>
  </si>
  <si>
    <t>Q9P2E9_RRBP1</t>
  </si>
  <si>
    <t>Q9P2I0_CPSF2</t>
  </si>
  <si>
    <t>Q9P2K8-2_EIF2AK4</t>
  </si>
  <si>
    <t>Q9P2M7_CGN</t>
  </si>
  <si>
    <t>Q9P2N5_RBM27</t>
  </si>
  <si>
    <t>Q9P2R3_ANKFY1</t>
  </si>
  <si>
    <t>Q9P2R6-2_RERE</t>
  </si>
  <si>
    <t>Q9P2X3_IMPACT</t>
  </si>
  <si>
    <t>Q9P2Y5_UVRAG</t>
  </si>
  <si>
    <t>Q9UBB4_ATXN10</t>
  </si>
  <si>
    <t>Q9UBB5_MBD2</t>
  </si>
  <si>
    <t>Q9UBB6-2_NCDN</t>
  </si>
  <si>
    <t>Q9UBC2-3_EPS15L1</t>
  </si>
  <si>
    <t>Q9UBE0_SAE1</t>
  </si>
  <si>
    <t>Q9UBF2_COPG2</t>
  </si>
  <si>
    <t>Q9UBF6_RNF7</t>
  </si>
  <si>
    <t>Q9UBF8-2_PI4KB</t>
  </si>
  <si>
    <t>Q9UBI1_COMMD3</t>
  </si>
  <si>
    <t>Q9UBI6_GNG12</t>
  </si>
  <si>
    <t>Q9UBK8-2_MTRR</t>
  </si>
  <si>
    <t>Q9UBN7_HDAC6</t>
  </si>
  <si>
    <t>Q9UBP0-3_SPAST</t>
  </si>
  <si>
    <t>Q9UBP6_METTL1</t>
  </si>
  <si>
    <t>Q9UBQ0_VPS29</t>
  </si>
  <si>
    <t>Q9UBQ7_GRHPR</t>
  </si>
  <si>
    <t>Q9UBR1_UPB1</t>
  </si>
  <si>
    <t>Q9UBR2_CTSZ</t>
  </si>
  <si>
    <t>Q9UBS4_DNAJB11</t>
  </si>
  <si>
    <t>Q9UBS8_RNF14</t>
  </si>
  <si>
    <t>Q9UBT2_UBA2</t>
  </si>
  <si>
    <t>Q9UBU6_FAM8A1</t>
  </si>
  <si>
    <t>Q9UBV8_PEF1</t>
  </si>
  <si>
    <t>Q9UBW7-2_ZMYM2</t>
  </si>
  <si>
    <t>Q9UBW8_COPS7A</t>
  </si>
  <si>
    <t>Q9UBX1_CTSF</t>
  </si>
  <si>
    <t>Q9UDR5_AASS</t>
  </si>
  <si>
    <t>Q9UDX3_SEC14L4</t>
  </si>
  <si>
    <t>Q9UDY2_TJP2</t>
  </si>
  <si>
    <t>Q9UEU0_VTI1B</t>
  </si>
  <si>
    <t>Q9UEY8-2_ADD3</t>
  </si>
  <si>
    <t>Q9UFC0_LRWD1</t>
  </si>
  <si>
    <t>Q9UFG5_C19orf25</t>
  </si>
  <si>
    <t>Q9UFN0_NIPSNAP3A</t>
  </si>
  <si>
    <t>Q9UFW8_CGGBP1</t>
  </si>
  <si>
    <t>Q9UGC7_MTRF1L</t>
  </si>
  <si>
    <t>Q9UGI8_TES</t>
  </si>
  <si>
    <t>Q9UGJ0-2_PRKAG2</t>
  </si>
  <si>
    <t>Q9UGK3_STAP2</t>
  </si>
  <si>
    <t>Q9UGK8_SERGEF</t>
  </si>
  <si>
    <t>Q9UGM6_WARS2</t>
  </si>
  <si>
    <t>Q9UGP4_LIMD1</t>
  </si>
  <si>
    <t>Q9UGP8_SEC63</t>
  </si>
  <si>
    <t>Q9UH62_ARMCX3</t>
  </si>
  <si>
    <t>Q9UH65_SWAP70</t>
  </si>
  <si>
    <t>Q9UHA4_LAMTOR3</t>
  </si>
  <si>
    <t>Q9UHB6-4_LIMA1</t>
  </si>
  <si>
    <t>Q9UHB6_LIMA1</t>
  </si>
  <si>
    <t>Q9UHB7-2_AFF4</t>
  </si>
  <si>
    <t>Q9UHB9_SRP68</t>
  </si>
  <si>
    <t>Q9UHD1_CHORDC1</t>
  </si>
  <si>
    <t>Q9UHD2_TBK1</t>
  </si>
  <si>
    <t>Q9UHD8_SEPT9</t>
  </si>
  <si>
    <t>Q9UHD9_UBQLN2</t>
  </si>
  <si>
    <t>Q9UHJ6_SHPK</t>
  </si>
  <si>
    <t>Q9UHL4_DPP7</t>
  </si>
  <si>
    <t>Q9UHP3_USP25</t>
  </si>
  <si>
    <t>Q9UHR4_BAIAP2L1</t>
  </si>
  <si>
    <t>Q9UHR5-2_SAP30BP</t>
  </si>
  <si>
    <t>Q9UHV9_PFDN2</t>
  </si>
  <si>
    <t>Q9UHX1-4_PUF60</t>
  </si>
  <si>
    <t>Q9UHY7_ENOPH1</t>
  </si>
  <si>
    <t>Q9UI08_EVL</t>
  </si>
  <si>
    <t>Q9UI10-3_EIF2B4</t>
  </si>
  <si>
    <t>Q9UI10_EIF2B4</t>
  </si>
  <si>
    <t>Q9UI12-2_ATP6V1H</t>
  </si>
  <si>
    <t>Q9UI17_DMGDH</t>
  </si>
  <si>
    <t>Q9UI32_GLS2</t>
  </si>
  <si>
    <t>Q9UIA9_XPO7</t>
  </si>
  <si>
    <t>Q9UID3_VPS51</t>
  </si>
  <si>
    <t>Q9UIG0-2_BAZ1B</t>
  </si>
  <si>
    <t>Q9UII2_ATPIF1</t>
  </si>
  <si>
    <t>Q9UIJ7_AK3</t>
  </si>
  <si>
    <t>Q9UIL1-3_SCOC</t>
  </si>
  <si>
    <t>Q9UIM3_FKBPL</t>
  </si>
  <si>
    <t>Q9UIV1-2_CNOT7</t>
  </si>
  <si>
    <t>Q9UJ41-2_RABGEF1</t>
  </si>
  <si>
    <t>Q9UJ68-5_MSRA</t>
  </si>
  <si>
    <t>Q9UJ70_NAGK</t>
  </si>
  <si>
    <t>Q9UJA5_TRMT6</t>
  </si>
  <si>
    <t>Q9UJC5_SH3BGRL2</t>
  </si>
  <si>
    <t>Q9UJM3_ERRFI1</t>
  </si>
  <si>
    <t>Q9UJM8_HAO1</t>
  </si>
  <si>
    <t>Q9UJS0_SLC25A13</t>
  </si>
  <si>
    <t>Q9UJU6-2_DBNL</t>
  </si>
  <si>
    <t>Q9UJU6_DBNL</t>
  </si>
  <si>
    <t>Q9UJW0_DCTN4</t>
  </si>
  <si>
    <t>Q9UJY4_GGA2</t>
  </si>
  <si>
    <t>Q9UJY5-4_GGA1</t>
  </si>
  <si>
    <t>Q9UK22_FBXO2</t>
  </si>
  <si>
    <t>Q9UK45_LSM7</t>
  </si>
  <si>
    <t>Q9UK55_SERPINA10</t>
  </si>
  <si>
    <t>Q9UK59_DBR1</t>
  </si>
  <si>
    <t>Q9UK99_FBXO3</t>
  </si>
  <si>
    <t>Q9UKA4_AKAP11</t>
  </si>
  <si>
    <t>Q9UKB3_DNAJC12</t>
  </si>
  <si>
    <t>Q9UKE5-8_TNIK</t>
  </si>
  <si>
    <t>Q9UKF6_CPSF3</t>
  </si>
  <si>
    <t>Q9UKG1_APPL1</t>
  </si>
  <si>
    <t>Q9UKG9_CROT</t>
  </si>
  <si>
    <t>Q9UKJ3_GPATCH8</t>
  </si>
  <si>
    <t>Q9UKK9_NUDT5</t>
  </si>
  <si>
    <t>Q9UKL0_RCOR1</t>
  </si>
  <si>
    <t>Q9UKL6_PCTP</t>
  </si>
  <si>
    <t>Q9UKN8_GTF3C4</t>
  </si>
  <si>
    <t>Q9UKS6_PACSIN3</t>
  </si>
  <si>
    <t>Q9UKT5_FBXO4</t>
  </si>
  <si>
    <t>Q9UKU7_ACAD8</t>
  </si>
  <si>
    <t>Q9UKV8_AGO2</t>
  </si>
  <si>
    <t>Q9UKX7_NUP50</t>
  </si>
  <si>
    <t>Q9UKY1_ZHX1</t>
  </si>
  <si>
    <t>Q9UKY7-2_CDV3</t>
  </si>
  <si>
    <t>Q9UKZ1_CNOT11</t>
  </si>
  <si>
    <t>Q9UL12_SARDH</t>
  </si>
  <si>
    <t>Q9UL25_RAB21</t>
  </si>
  <si>
    <t>Q9UL33-2_TRAPPC2L</t>
  </si>
  <si>
    <t>Q9UL42_PNMA2</t>
  </si>
  <si>
    <t>Q9UL46_PSME2</t>
  </si>
  <si>
    <t>Q9ULA0_DNPEP</t>
  </si>
  <si>
    <t>Q9ULC4_MCTS1</t>
  </si>
  <si>
    <t>Q9ULC5_ACSL5</t>
  </si>
  <si>
    <t>Q9ULD0_OGDHL</t>
  </si>
  <si>
    <t>Q9ULD2-2_MTUS1</t>
  </si>
  <si>
    <t>Q9ULH7-4_MKL2</t>
  </si>
  <si>
    <t>Q9ULJ6_ZMIZ1</t>
  </si>
  <si>
    <t>Q9ULP9-2_TBC1D24</t>
  </si>
  <si>
    <t>Q9ULR5_PAIP2B</t>
  </si>
  <si>
    <t>Q9ULT8_HECTD1</t>
  </si>
  <si>
    <t>Q9ULU4-4_ZMYND8</t>
  </si>
  <si>
    <t>Q9ULV4_CORO1C</t>
  </si>
  <si>
    <t>Q9ULW0_TPX2</t>
  </si>
  <si>
    <t>Q9ULZ3-2_PYCARD</t>
  </si>
  <si>
    <t>Q9UMN6_WBP7</t>
  </si>
  <si>
    <t>Q9UMS0-3_NFU1</t>
  </si>
  <si>
    <t>Q9UMS4_PRPF19</t>
  </si>
  <si>
    <t>Q9UMX0-2_UBQLN1</t>
  </si>
  <si>
    <t>Q9UMX5_NENF</t>
  </si>
  <si>
    <t>Q9UMY4-2_SNX12</t>
  </si>
  <si>
    <t>Q9UMZ2-6_SYNRG</t>
  </si>
  <si>
    <t>Q9UN36_NDRG2</t>
  </si>
  <si>
    <t>Q9UN86-2_G3BP2</t>
  </si>
  <si>
    <t>Q9UNE7_STUB1</t>
  </si>
  <si>
    <t>Q9UNF0_PACSIN2</t>
  </si>
  <si>
    <t>Q9UNF1_MAGED2</t>
  </si>
  <si>
    <t>Q9UNH6_SNX7</t>
  </si>
  <si>
    <t>Q9UNH7_SNX6</t>
  </si>
  <si>
    <t>Q9UNM6_PSMD13</t>
  </si>
  <si>
    <t>Q9UNN5_FAF1</t>
  </si>
  <si>
    <t>Q9UNS2_COPS3</t>
  </si>
  <si>
    <t>Q9UNW1_MINPP1</t>
  </si>
  <si>
    <t>Q9UNZ2_NSFL1C</t>
  </si>
  <si>
    <t>Q9UP83_COG5</t>
  </si>
  <si>
    <t>Q9UPN6_SCAF8</t>
  </si>
  <si>
    <t>Q9UPN7_PPP6R1</t>
  </si>
  <si>
    <t>Q9UPP1-4_PHF8</t>
  </si>
  <si>
    <t>Q9UPQ3-2_AGAP1</t>
  </si>
  <si>
    <t>Q9UPQ9-1_TNRC6B</t>
  </si>
  <si>
    <t>Q9UPR0_PLCL2</t>
  </si>
  <si>
    <t>Q9UPT5-2_EXOC7</t>
  </si>
  <si>
    <t>Q9UPT8_ZC3H4</t>
  </si>
  <si>
    <t>Q9UPU5_USP24</t>
  </si>
  <si>
    <t>Q9UPU7_TBC1D2B</t>
  </si>
  <si>
    <t>Q9UPX8-3_SHANK2</t>
  </si>
  <si>
    <t>Q9UPY3_DICER1</t>
  </si>
  <si>
    <t>Q9UPY8-2_MAPRE3</t>
  </si>
  <si>
    <t>Q9UQ13-2_SHOC2</t>
  </si>
  <si>
    <t>Q9UQ35_SRRM2</t>
  </si>
  <si>
    <t>Q9UQ80_PA2G4</t>
  </si>
  <si>
    <t>Q9UQB8-5_BAIAP2</t>
  </si>
  <si>
    <t>Q9UQE7_SMC3</t>
  </si>
  <si>
    <t>Q9Y217_MTMR6</t>
  </si>
  <si>
    <t>Q9Y223-2_GNE</t>
  </si>
  <si>
    <t>Q9Y224_C14orf166</t>
  </si>
  <si>
    <t>Q9Y230_RUVBL2</t>
  </si>
  <si>
    <t>Q9Y237_PIN4</t>
  </si>
  <si>
    <t>Q9Y259_CHKB</t>
  </si>
  <si>
    <t>Q9Y262_EIF3L</t>
  </si>
  <si>
    <t>Q9Y263_PLAA</t>
  </si>
  <si>
    <t>Q9Y265_RUVBL1</t>
  </si>
  <si>
    <t>Q9Y266_NUDC</t>
  </si>
  <si>
    <t>Q9Y281_CFL2</t>
  </si>
  <si>
    <t>Q9Y294_ASF1A</t>
  </si>
  <si>
    <t>Q9Y295_DRG1</t>
  </si>
  <si>
    <t>Q9Y296_TRAPPC4</t>
  </si>
  <si>
    <t>Q9Y2A7_NCKAP1</t>
  </si>
  <si>
    <t>Q9Y2B0_CNPY2</t>
  </si>
  <si>
    <t>Q9Y2D4_EXOC6B</t>
  </si>
  <si>
    <t>Q9Y2D5-6_AKAP2</t>
  </si>
  <si>
    <t>Q9Y2E4_DIP2C</t>
  </si>
  <si>
    <t>Q9Y2I1-4_NISCH</t>
  </si>
  <si>
    <t>Q9Y2J2-2_EPB41L3</t>
  </si>
  <si>
    <t>Q9Y2K7-4_KDM2A</t>
  </si>
  <si>
    <t>Q9Y2L1_DIS3</t>
  </si>
  <si>
    <t>Q9Y2P5_SLC27A5</t>
  </si>
  <si>
    <t>Q9Y2Q3_GSTK1</t>
  </si>
  <si>
    <t>Q9Y2Q5_LAMTOR2</t>
  </si>
  <si>
    <t>Q9Y2R9_MRPS7</t>
  </si>
  <si>
    <t>Q9Y2S2_CRYL1</t>
  </si>
  <si>
    <t>Q9Y2S6_TMA7</t>
  </si>
  <si>
    <t>Q9Y2S7_POLDIP2</t>
  </si>
  <si>
    <t>Q9Y2T2_AP3M1</t>
  </si>
  <si>
    <t>Q9Y2T3-3_GDA</t>
  </si>
  <si>
    <t>Q9Y2U5_MAP3K2</t>
  </si>
  <si>
    <t>Q9Y2U8_LEMD3</t>
  </si>
  <si>
    <t>Q9Y2V2_CARHSP1</t>
  </si>
  <si>
    <t>Q9Y2V7_COG6</t>
  </si>
  <si>
    <t>Q9Y2W1_THRAP3</t>
  </si>
  <si>
    <t>Q9Y2X3_NOP58</t>
  </si>
  <si>
    <t>Q9Y2X7_GIT1</t>
  </si>
  <si>
    <t>Q9Y2Z0_SUGT1</t>
  </si>
  <si>
    <t>Q9Y2Z2-5_MTO1</t>
  </si>
  <si>
    <t>Q9Y2Z4_YARS2</t>
  </si>
  <si>
    <t>Q9Y2Z9-3_COQ6</t>
  </si>
  <si>
    <t>Q9Y303_AMDHD2</t>
  </si>
  <si>
    <t>Q9Y305_ACOT9</t>
  </si>
  <si>
    <t>Q9Y314_NOSIP</t>
  </si>
  <si>
    <t>Q9Y315_DERA</t>
  </si>
  <si>
    <t>Q9Y316_MEMO1</t>
  </si>
  <si>
    <t>Q9Y371_SH3GLB1</t>
  </si>
  <si>
    <t>Q9Y376_CAB39</t>
  </si>
  <si>
    <t>Q9Y383_LUC7L2</t>
  </si>
  <si>
    <t>Q9Y399_MRPS2</t>
  </si>
  <si>
    <t>Q9Y3A3-2_MOB4</t>
  </si>
  <si>
    <t>Q9Y3A5_SBDS</t>
  </si>
  <si>
    <t>Q9Y3B9_RRP15</t>
  </si>
  <si>
    <t>Q9Y3C1_NOP16</t>
  </si>
  <si>
    <t>Q9Y3C4-2_TPRKB</t>
  </si>
  <si>
    <t>Q9Y3C6_PPIL1</t>
  </si>
  <si>
    <t>Q9Y3C8_UFC1</t>
  </si>
  <si>
    <t>Q9Y3D0_FAM96B</t>
  </si>
  <si>
    <t>Q9Y3D2_MSRB2</t>
  </si>
  <si>
    <t>Q9Y3D6_FIS1</t>
  </si>
  <si>
    <t>Q9Y3D8-2_TAF9</t>
  </si>
  <si>
    <t>Q9Y3D9_MRPS23</t>
  </si>
  <si>
    <t>Q9Y3E2_BOLA1</t>
  </si>
  <si>
    <t>Q9Y3F4_STRAP</t>
  </si>
  <si>
    <t>Q9Y3I0_C22orf28</t>
  </si>
  <si>
    <t>Q9Y3I1_FBXO7</t>
  </si>
  <si>
    <t>Q9Y3L5_RAP2C</t>
  </si>
  <si>
    <t>Q9Y3P9_RABGAP1</t>
  </si>
  <si>
    <t>Q9Y3R5-2_DOPEY2</t>
  </si>
  <si>
    <t>Q9Y3S2_ZNF330</t>
  </si>
  <si>
    <t>Q9Y3X0_CCDC9</t>
  </si>
  <si>
    <t>Q9Y3Y2-4_CHTOP</t>
  </si>
  <si>
    <t>Q9Y3Z3_SAMHD1</t>
  </si>
  <si>
    <t>Q9Y450-4_HBS1L</t>
  </si>
  <si>
    <t>Q9Y478_PRKAB1</t>
  </si>
  <si>
    <t>Q9Y490_TLN1</t>
  </si>
  <si>
    <t>Q9Y4B6-3_VPRBP</t>
  </si>
  <si>
    <t>Q9Y4C2-2_FAM115A</t>
  </si>
  <si>
    <t>Q9Y4E8-2_USP15</t>
  </si>
  <si>
    <t>Q9Y4F1_FARP1</t>
  </si>
  <si>
    <t>Q9Y4G6_TLN2</t>
  </si>
  <si>
    <t>Q9Y4H2_IRS2</t>
  </si>
  <si>
    <t>Q9Y4I1-2_MYO5A</t>
  </si>
  <si>
    <t>Q9Y4K1_AIM1</t>
  </si>
  <si>
    <t>Q9Y4K3_TRAF6</t>
  </si>
  <si>
    <t>Q9Y4K4_MAP4K5</t>
  </si>
  <si>
    <t>Q9Y4P8-4_WIPI2</t>
  </si>
  <si>
    <t>Q9Y4U1_MMACHC</t>
  </si>
  <si>
    <t>Q9Y4W6_AFG3L2</t>
  </si>
  <si>
    <t>Q9Y4X4_KLF12</t>
  </si>
  <si>
    <t>Q9Y4X5_ARIH1</t>
  </si>
  <si>
    <t>Q9Y4Z0_LSM4</t>
  </si>
  <si>
    <t>Q9Y508_RNF114</t>
  </si>
  <si>
    <t>Q9Y520-4_PRRC2C</t>
  </si>
  <si>
    <t>Q9Y547_HSPB11</t>
  </si>
  <si>
    <t>Q9Y570_PPME1</t>
  </si>
  <si>
    <t>Q9Y597-2_KCTD3</t>
  </si>
  <si>
    <t>Q9Y5A7-2_NUB1</t>
  </si>
  <si>
    <t>Q9Y5A9-2_YTHDF2</t>
  </si>
  <si>
    <t>Q9Y5B0_CTDP1</t>
  </si>
  <si>
    <t>Q9Y5B9_SUPT16H</t>
  </si>
  <si>
    <t>Q9Y5J7_TIMM9</t>
  </si>
  <si>
    <t>Q9Y5K5-2_UCHL5</t>
  </si>
  <si>
    <t>Q9Y5K6_CD2AP</t>
  </si>
  <si>
    <t>Q9Y5K8_ATP6V1D</t>
  </si>
  <si>
    <t>Q9Y5L0_TNPO3</t>
  </si>
  <si>
    <t>Q9Y5L4_TIMM13</t>
  </si>
  <si>
    <t>Q9Y5N5_N6AMT1</t>
  </si>
  <si>
    <t>Q9Y5P4-2_COL4A3BP</t>
  </si>
  <si>
    <t>Q9Y5P6_GMPPB</t>
  </si>
  <si>
    <t>Q9Y5Q9_GTF3C3</t>
  </si>
  <si>
    <t>Q9Y5R8_TRAPPC1</t>
  </si>
  <si>
    <t>Q9Y5S2_CDC42BPB</t>
  </si>
  <si>
    <t>Q9Y5S9_RBM8A</t>
  </si>
  <si>
    <t>Q9Y5U2-2_TSSC4</t>
  </si>
  <si>
    <t>Q9Y5V0_ZNF706</t>
  </si>
  <si>
    <t>Q9Y5X1_SNX9</t>
  </si>
  <si>
    <t>Q9Y5X2_SNX8</t>
  </si>
  <si>
    <t>Q9Y5X3_SNX5</t>
  </si>
  <si>
    <t>Q9Y5Y2_NUBP2</t>
  </si>
  <si>
    <t>Q9Y5Z4_HEBP2</t>
  </si>
  <si>
    <t>Q9Y600-2_CSAD</t>
  </si>
  <si>
    <t>Q9Y608-4_LRRFIP2</t>
  </si>
  <si>
    <t>Q9Y617_PSAT1</t>
  </si>
  <si>
    <t>Q9Y646_CPQ</t>
  </si>
  <si>
    <t>Q9Y678_COPG1</t>
  </si>
  <si>
    <t>Q9Y680-3_FKBP7</t>
  </si>
  <si>
    <t>Q9Y696_CLIC4</t>
  </si>
  <si>
    <t>Q9Y697-2_NFS1</t>
  </si>
  <si>
    <t>Q9Y6A4_C16orf80</t>
  </si>
  <si>
    <t>Q9Y6D5_ARFGEF2</t>
  </si>
  <si>
    <t>Q9Y6D6_ARFGEF1</t>
  </si>
  <si>
    <t>Q9Y6D9_MAD1L1</t>
  </si>
  <si>
    <t>Q9Y6G5_COMMD10</t>
  </si>
  <si>
    <t>Q9Y6G9_DYNC1LI1</t>
  </si>
  <si>
    <t>Q9Y6H1_CHCHD2</t>
  </si>
  <si>
    <t>Q9Y6I3-3_EPN1</t>
  </si>
  <si>
    <t>Q9Y6I9_TEX264</t>
  </si>
  <si>
    <t>Q9Y6K5_OAS3</t>
  </si>
  <si>
    <t>Q9Y6K9_IKBKG</t>
  </si>
  <si>
    <t>Q9Y6M5_SLC30A1</t>
  </si>
  <si>
    <t>Q9Y6N5_SQRDL</t>
  </si>
  <si>
    <t>Q9Y6P5_SESN1</t>
  </si>
  <si>
    <t>Q9Y6V0-2_PCLO</t>
  </si>
  <si>
    <t>Q9Y6W3_CAPN7</t>
  </si>
  <si>
    <t>Q9Y6W5_WASF2</t>
  </si>
  <si>
    <t>Q9Y6X5_ENPP4</t>
  </si>
  <si>
    <t>Q9Y6X8_ZHX2</t>
  </si>
  <si>
    <t>Q9Y6X9-2_MORC2</t>
  </si>
  <si>
    <t>A1A5A8_KIAA0999</t>
  </si>
  <si>
    <t>A1BQX2_MARVELD2</t>
  </si>
  <si>
    <t>A2ACR1_PSMB9</t>
  </si>
  <si>
    <t>A6H8Z3_RAB3GAP1</t>
  </si>
  <si>
    <t>A6ND22_MRPS16</t>
  </si>
  <si>
    <t>A6NDT1_MLIP</t>
  </si>
  <si>
    <t>A6NG64_C10orf11</t>
  </si>
  <si>
    <t>A6NG79_PRCC</t>
  </si>
  <si>
    <t>A6NGP5_HN1L</t>
  </si>
  <si>
    <t>A6NJX6_CHCHD1</t>
  </si>
  <si>
    <t>A6NKZ2_RENBP</t>
  </si>
  <si>
    <t>A6NML8_DIAPH2</t>
  </si>
  <si>
    <t>A6NN40_SHROOM1</t>
  </si>
  <si>
    <t>A6ZJ12_TRIM39R</t>
  </si>
  <si>
    <t>A8CTX8_ITSN1</t>
  </si>
  <si>
    <t>A8MQB8_FMR1</t>
  </si>
  <si>
    <t>A8MTY9_DSCR3</t>
  </si>
  <si>
    <t>A8MU28_NAE1</t>
  </si>
  <si>
    <t>A8MU44_HOOK1</t>
  </si>
  <si>
    <t>A8MUB1_TUBA4A</t>
  </si>
  <si>
    <t>A8MVQ8_GGPS1</t>
  </si>
  <si>
    <t>A8MWK3_CDH2</t>
  </si>
  <si>
    <t>A8MWR6_TSC22D4</t>
  </si>
  <si>
    <t>A8MXP9_MATR3</t>
  </si>
  <si>
    <t>A8MYC1_POP4</t>
  </si>
  <si>
    <t>A8MYV2_LUC7L</t>
  </si>
  <si>
    <t>A9Z1X7_SRRM1</t>
  </si>
  <si>
    <t>B0FLL2_PFKFB2</t>
  </si>
  <si>
    <t>B0UX83_BAG6</t>
  </si>
  <si>
    <t>B1AJY7_PSMD10</t>
  </si>
  <si>
    <t>B1AK87_CAPZB</t>
  </si>
  <si>
    <t>B1AKL4_EIF4ENIF1</t>
  </si>
  <si>
    <t>B1AKN7_NFIA</t>
  </si>
  <si>
    <t>B1AKV3_UQCC</t>
  </si>
  <si>
    <t>B1AKZ5_PEA15</t>
  </si>
  <si>
    <t>B1AL33_UHRF2</t>
  </si>
  <si>
    <t>B1AL69_CDC37L1</t>
  </si>
  <si>
    <t>B1ALB7_NCF2</t>
  </si>
  <si>
    <t>B1ALY0_PALM2-AKAP2</t>
  </si>
  <si>
    <t>B1ANH0_GUK1</t>
  </si>
  <si>
    <t>B1AT46_GMEB1</t>
  </si>
  <si>
    <t>B2WTI3_JMJD6</t>
  </si>
  <si>
    <t>B3KRS5_HDAC2</t>
  </si>
  <si>
    <t>B3KSI9_LZTFL1</t>
  </si>
  <si>
    <t>B3KVH8_PHF23</t>
  </si>
  <si>
    <t>B3KY83_RXRA</t>
  </si>
  <si>
    <t>B4DDD1_RPUSD2</t>
  </si>
  <si>
    <t>B4DDF4_CNN2</t>
  </si>
  <si>
    <t>B4DDZ0_MON1B</t>
  </si>
  <si>
    <t>B4DE16_CTNNBL1</t>
  </si>
  <si>
    <t>B4DEM7_CCT8</t>
  </si>
  <si>
    <t>B4DEW9_EIF3F</t>
  </si>
  <si>
    <t>B4DFA2_NSF</t>
  </si>
  <si>
    <t>B4DFG6_MRPS18B</t>
  </si>
  <si>
    <t>B4DFQ4_COMMD1</t>
  </si>
  <si>
    <t>B4DGU4_CTNNB1</t>
  </si>
  <si>
    <t>B4DGX2_PIP4K2A</t>
  </si>
  <si>
    <t>B4DH53_MAP1S</t>
  </si>
  <si>
    <t>B4DHJ7_BNIP3</t>
  </si>
  <si>
    <t>B4DHT5_ACSF2</t>
  </si>
  <si>
    <t>B4DJA5_RAB5A</t>
  </si>
  <si>
    <t>B4DJE5_FDFT1</t>
  </si>
  <si>
    <t>B4DJP7_SNRPD3</t>
  </si>
  <si>
    <t>B4DJV2_CS</t>
  </si>
  <si>
    <t>B4DK95_ZYG11B</t>
  </si>
  <si>
    <t>B4DKG8_EXOSC10</t>
  </si>
  <si>
    <t>B4DKJ3_COMP</t>
  </si>
  <si>
    <t>B4DKL4_LSR</t>
  </si>
  <si>
    <t>B4DL14_ATP5C1</t>
  </si>
  <si>
    <t>B4DL54_CHURC1-FNTB</t>
  </si>
  <si>
    <t>B4DLN1_SLC25A10</t>
  </si>
  <si>
    <t>B4DLW8_DDX5</t>
  </si>
  <si>
    <t>B4DLZ9_RNF220</t>
  </si>
  <si>
    <t>B4DMX0_KDSR</t>
  </si>
  <si>
    <t>B4DNC9_ISCU</t>
  </si>
  <si>
    <t>B4DP21_PTGES3</t>
  </si>
  <si>
    <t>B4DPR4_MKRN2</t>
  </si>
  <si>
    <t>B4DPY8_TOX4</t>
  </si>
  <si>
    <t>B4DQ14_EIF2A</t>
  </si>
  <si>
    <t>B4DQ94_SH3BP5L</t>
  </si>
  <si>
    <t>B4DQA8_GOSR1</t>
  </si>
  <si>
    <t>B4DQJ8_PGD</t>
  </si>
  <si>
    <t>B4DR80_STK24</t>
  </si>
  <si>
    <t>B4DRL9_CHM</t>
  </si>
  <si>
    <t>B4DT77_ANXA7</t>
  </si>
  <si>
    <t>B4DTG6_LSM14A</t>
  </si>
  <si>
    <t>B4DTU4_LIG1</t>
  </si>
  <si>
    <t>B4DUS9_BPNT1</t>
  </si>
  <si>
    <t>B4DVY1_EIF3D</t>
  </si>
  <si>
    <t>B4DWI1_HACL1</t>
  </si>
  <si>
    <t>B4DXK4_KRT72</t>
  </si>
  <si>
    <t>B4DXX7_DDX3Y</t>
  </si>
  <si>
    <t>B4DXZ6_FXR1</t>
  </si>
  <si>
    <t>B4DYB4_NUP35</t>
  </si>
  <si>
    <t>B4DZ67_NUP107</t>
  </si>
  <si>
    <t>B4DZW6_RMDN1</t>
  </si>
  <si>
    <t>B4E072_ACAA1</t>
  </si>
  <si>
    <t>B4E107_ATE1</t>
  </si>
  <si>
    <t>B4E1N1_ARMC6</t>
  </si>
  <si>
    <t>B4E1Z4_CFB</t>
  </si>
  <si>
    <t>B4E241_SFRS3</t>
  </si>
  <si>
    <t>B4E2V5_STOM</t>
  </si>
  <si>
    <t>B4E351_IGFBP4</t>
  </si>
  <si>
    <t>B4E3Q4_CECR1</t>
  </si>
  <si>
    <t>B5MC59_RPA3</t>
  </si>
  <si>
    <t>B5MCF9_PES1</t>
  </si>
  <si>
    <t>B5MCQ5_PDIA6</t>
  </si>
  <si>
    <t>B5MCT7_PPM1F</t>
  </si>
  <si>
    <t>B5MCU0_R3HDM2</t>
  </si>
  <si>
    <t>B5MEB3_CABIN1</t>
  </si>
  <si>
    <t>B7WP27_CWC22</t>
  </si>
  <si>
    <t>B7Z1T4_CYTH1</t>
  </si>
  <si>
    <t>B7Z1W9_CHN2</t>
  </si>
  <si>
    <t>B7Z242_MAOB</t>
  </si>
  <si>
    <t>B7Z291_MTMR9</t>
  </si>
  <si>
    <t>B7Z2Y2_COG2</t>
  </si>
  <si>
    <t>B7Z341_NDRG3</t>
  </si>
  <si>
    <t>B7Z3B9_GAB1</t>
  </si>
  <si>
    <t>B7Z3I9_ALAD</t>
  </si>
  <si>
    <t>B7Z4K6_DNASE2</t>
  </si>
  <si>
    <t>B7Z4M2_WBP4</t>
  </si>
  <si>
    <t>B7Z4R0_ERF</t>
  </si>
  <si>
    <t>B7Z583_TANGO2</t>
  </si>
  <si>
    <t>B7Z5N6_DDX59</t>
  </si>
  <si>
    <t>B7Z637_ARMC8</t>
  </si>
  <si>
    <t>B7Z6B8_DECR1</t>
  </si>
  <si>
    <t>B7Z729_SMPDL3A</t>
  </si>
  <si>
    <t>B7Z7F3_RANBP3</t>
  </si>
  <si>
    <t>B7Z7F9_GRB14</t>
  </si>
  <si>
    <t>B7Z7X8_ATL2</t>
  </si>
  <si>
    <t>B7Z815_USP7</t>
  </si>
  <si>
    <t>B7Z848_RFX5</t>
  </si>
  <si>
    <t>B7Z8K9_PTPN3</t>
  </si>
  <si>
    <t>B7Z8V7_NADK2</t>
  </si>
  <si>
    <t>B7Z9S8_ATP1B1</t>
  </si>
  <si>
    <t>B7ZA47_C2orf43</t>
  </si>
  <si>
    <t>B7ZAX5_GALK2</t>
  </si>
  <si>
    <t>B7ZBQ3_MED20</t>
  </si>
  <si>
    <t>B7ZC39_SH3GLB2</t>
  </si>
  <si>
    <t>B7ZKK9_PPP2R5E</t>
  </si>
  <si>
    <t>B7ZLZ2_EDEM3</t>
  </si>
  <si>
    <t>B7ZM37_PDE3B</t>
  </si>
  <si>
    <t>B7ZM82_WIZ</t>
  </si>
  <si>
    <t>B8ZZC8_METTL5</t>
  </si>
  <si>
    <t>B8ZZF3_</t>
  </si>
  <si>
    <t>B8ZZF5_EVA1A</t>
  </si>
  <si>
    <t>B8ZZG1_MPP6</t>
  </si>
  <si>
    <t>B8ZZK4_RPL31</t>
  </si>
  <si>
    <t>B8ZZQ6_PTMA</t>
  </si>
  <si>
    <t>B8ZZS4_ANKZF1</t>
  </si>
  <si>
    <t>B8ZZT4_VAMP8</t>
  </si>
  <si>
    <t>B8ZZU8_TCEB2</t>
  </si>
  <si>
    <t>B8ZZX2_COQ10B</t>
  </si>
  <si>
    <t>B9A057_COA5</t>
  </si>
  <si>
    <t>B9ZVN9_POLR1A</t>
  </si>
  <si>
    <t>C0H5X6_PEX7</t>
  </si>
  <si>
    <t>C9IZA5_VCP</t>
  </si>
  <si>
    <t>C9J0A7_CHMP2B</t>
  </si>
  <si>
    <t>C9J0K6_SRI</t>
  </si>
  <si>
    <t>C9J123_MAGIX</t>
  </si>
  <si>
    <t>C9J1C6_RNF181</t>
  </si>
  <si>
    <t>C9J212_UBE2F</t>
  </si>
  <si>
    <t>C9J2P9_CBLL1</t>
  </si>
  <si>
    <t>C9J2V2_IKBKG</t>
  </si>
  <si>
    <t>C9J406_IMMT</t>
  </si>
  <si>
    <t>C9J4M6_POLR2B</t>
  </si>
  <si>
    <t>C9J4W5_EIF5A2</t>
  </si>
  <si>
    <t>C9J5C3_PDCD10</t>
  </si>
  <si>
    <t>C9J6H2_IGFBP1</t>
  </si>
  <si>
    <t>C9J712_PFN2</t>
  </si>
  <si>
    <t>C9J815_APOBR</t>
  </si>
  <si>
    <t>C9J8B8_HDAC10</t>
  </si>
  <si>
    <t>C9J9K3_RPSA</t>
  </si>
  <si>
    <t>C9JAV3_MBLAC1</t>
  </si>
  <si>
    <t>C9JAX1_FXN</t>
  </si>
  <si>
    <t>C9JB56_ARHGAP25</t>
  </si>
  <si>
    <t>C9JBI3_PSPH</t>
  </si>
  <si>
    <t>C9JBJ6_POLR2H</t>
  </si>
  <si>
    <t>C9JE98_NCOR2</t>
  </si>
  <si>
    <t>C9JEL3_EIF4E2</t>
  </si>
  <si>
    <t>C9JFE4_GPS1</t>
  </si>
  <si>
    <t>C9JFR9_CYP8B1</t>
  </si>
  <si>
    <t>C9JG87_MRPL39</t>
  </si>
  <si>
    <t>C9JG97_AAMP</t>
  </si>
  <si>
    <t>C9JGB2_RMDN2</t>
  </si>
  <si>
    <t>C9JIK8_ATG4B</t>
  </si>
  <si>
    <t>C9JLV4_APAF1</t>
  </si>
  <si>
    <t>C9JMG3_AP4M1</t>
  </si>
  <si>
    <t>C9JNE2_OARD1</t>
  </si>
  <si>
    <t>C9JQ41_CCDC58</t>
  </si>
  <si>
    <t>C9JQB1_NME6</t>
  </si>
  <si>
    <t>C9JQD1_GCK</t>
  </si>
  <si>
    <t>C9JQD4_PPIH</t>
  </si>
  <si>
    <t>C9JQV3_STK11IP</t>
  </si>
  <si>
    <t>C9JSG1_DPP8</t>
  </si>
  <si>
    <t>C9JTA6_SMARCB1</t>
  </si>
  <si>
    <t>C9JTW6_GRB10</t>
  </si>
  <si>
    <t>C9JUH3_CCM2</t>
  </si>
  <si>
    <t>C9JVN9_L2HGDH</t>
  </si>
  <si>
    <t>C9JVR1_TENC1</t>
  </si>
  <si>
    <t>C9JW69_RCC1</t>
  </si>
  <si>
    <t>C9JXK0_LBR</t>
  </si>
  <si>
    <t>C9JXK9_LPP</t>
  </si>
  <si>
    <t>C9JYK5_BAG1</t>
  </si>
  <si>
    <t>C9JYM0_POP7</t>
  </si>
  <si>
    <t>C9JZP6_DHRS2</t>
  </si>
  <si>
    <t>C9JZY6_UBE2H</t>
  </si>
  <si>
    <t>D3DR31_IFIT1</t>
  </si>
  <si>
    <t>D3YHP0_CXADR</t>
  </si>
  <si>
    <t>D3YTE0_KRI1</t>
  </si>
  <si>
    <t>D6R954_TRMT10A</t>
  </si>
  <si>
    <t>D6R966_CXXC5</t>
  </si>
  <si>
    <t>D6R9D6_RBM47</t>
  </si>
  <si>
    <t>D6R9G1_CDK7</t>
  </si>
  <si>
    <t>D6R9P3_HNRNPAB</t>
  </si>
  <si>
    <t>D6RAL3_SH3RF1</t>
  </si>
  <si>
    <t>D6RB01_FAM169A</t>
  </si>
  <si>
    <t>D6RB81_AMACR</t>
  </si>
  <si>
    <t>D6RBN5_OCIAD1</t>
  </si>
  <si>
    <t>D6RBV0_LEMD2</t>
  </si>
  <si>
    <t>D6RBV2_LMAN2</t>
  </si>
  <si>
    <t>D6RC71_STX18</t>
  </si>
  <si>
    <t>D6RCD0_HSD17B11</t>
  </si>
  <si>
    <t>D6RD17_IGJ</t>
  </si>
  <si>
    <t>D6REA0_PET112</t>
  </si>
  <si>
    <t>D6REX5_SEPP1</t>
  </si>
  <si>
    <t>D6RF92_CXCL6</t>
  </si>
  <si>
    <t>D6RGI3_SEPT11</t>
  </si>
  <si>
    <t>D6RGK9_CNOT6L</t>
  </si>
  <si>
    <t>D6RHI7_CCNH</t>
  </si>
  <si>
    <t>D6RHI9_RNASET2</t>
  </si>
  <si>
    <t>E2QRD5_C15orf38-AP3S2</t>
  </si>
  <si>
    <t>E5RFZ0_ASCC3</t>
  </si>
  <si>
    <t>E5RGQ3_RWDD1</t>
  </si>
  <si>
    <t>E5RGX5_STMN2</t>
  </si>
  <si>
    <t>E5RHG8_TCEB1</t>
  </si>
  <si>
    <t>E5RHY8_C5orf45</t>
  </si>
  <si>
    <t>E5RI99_RPL30</t>
  </si>
  <si>
    <t>E5RJ08_CHCHD7</t>
  </si>
  <si>
    <t>E5RJ68_AP3B1</t>
  </si>
  <si>
    <t>E5RJB8_SDC2</t>
  </si>
  <si>
    <t>E5RJD2_DECR1</t>
  </si>
  <si>
    <t>E5RJR5_SKP1</t>
  </si>
  <si>
    <t>E7EM64_COPS6</t>
  </si>
  <si>
    <t>E7EM82_PCSK6</t>
  </si>
  <si>
    <t>E7EMM4_ASAH1</t>
  </si>
  <si>
    <t>E7EMV7_TNIP1</t>
  </si>
  <si>
    <t>E7EMZ9_TACC2</t>
  </si>
  <si>
    <t>E7EN68_SETMAR</t>
  </si>
  <si>
    <t>E7END2_SSFA2</t>
  </si>
  <si>
    <t>E7ENN3_SYNE1</t>
  </si>
  <si>
    <t>E7EPD0_TOM1</t>
  </si>
  <si>
    <t>E7EPL4_PDXDC1</t>
  </si>
  <si>
    <t>E7EQ69_NAA50</t>
  </si>
  <si>
    <t>E7EQA9_TANK</t>
  </si>
  <si>
    <t>E7EQB9_POLR1C</t>
  </si>
  <si>
    <t>E7EQT4_ACIN1</t>
  </si>
  <si>
    <t>E7EQV9_RPL15</t>
  </si>
  <si>
    <t>E7ERH1_TNS1</t>
  </si>
  <si>
    <t>E7ES08_HMGB3</t>
  </si>
  <si>
    <t>E7ESS4_ICAM1</t>
  </si>
  <si>
    <t>E7ESU4_NAT10</t>
  </si>
  <si>
    <t>E7ET15_U2SURP</t>
  </si>
  <si>
    <t>E7ETA6_PCM1</t>
  </si>
  <si>
    <t>E7ETD6_BPTF</t>
  </si>
  <si>
    <t>E7ETU5_RBMS1</t>
  </si>
  <si>
    <t>E7ETZ4_BZW2</t>
  </si>
  <si>
    <t>E7EU96_CSNK2A1</t>
  </si>
  <si>
    <t>E7EUL7_SSFA2</t>
  </si>
  <si>
    <t>E7EUY0_PRKDC</t>
  </si>
  <si>
    <t>E7EV62_ARFGAP1</t>
  </si>
  <si>
    <t>E7EVD1_PRPF3</t>
  </si>
  <si>
    <t>E7EVG2_PBRM1</t>
  </si>
  <si>
    <t>E7EVJ5_CYFIP2</t>
  </si>
  <si>
    <t>E7EVX9_PTPRM</t>
  </si>
  <si>
    <t>E7EW69_SEPT10</t>
  </si>
  <si>
    <t>E7EW80_PPIL2</t>
  </si>
  <si>
    <t>E7EW84_EXOC6</t>
  </si>
  <si>
    <t>E7EWG4_UBAP2</t>
  </si>
  <si>
    <t>E7EX83_MAP4K4</t>
  </si>
  <si>
    <t>E9PAR5_NCBP2</t>
  </si>
  <si>
    <t>E9PB09_HEATR5A</t>
  </si>
  <si>
    <t>E9PB14_PDHX</t>
  </si>
  <si>
    <t>E9PB51_RBM4</t>
  </si>
  <si>
    <t>E9PBK6_WDR6</t>
  </si>
  <si>
    <t>E9PBL8_COG1</t>
  </si>
  <si>
    <t>E9PC74_EIF2B5</t>
  </si>
  <si>
    <t>E9PCG9_BDH1</t>
  </si>
  <si>
    <t>E9PCJ7_UBR7</t>
  </si>
  <si>
    <t>E9PCS8_MTA3</t>
  </si>
  <si>
    <t>E9PCY7_HNRNPH1</t>
  </si>
  <si>
    <t>E9PDC3_ARVCF</t>
  </si>
  <si>
    <t>E9PE72_ENPP1</t>
  </si>
  <si>
    <t>E9PE75_PEX1</t>
  </si>
  <si>
    <t>E9PEG3_AR</t>
  </si>
  <si>
    <t>E9PEZ3_DIAPH1</t>
  </si>
  <si>
    <t>E9PF10_NUP155</t>
  </si>
  <si>
    <t>E9PF19_TBL2</t>
  </si>
  <si>
    <t>E9PFC1_CEP170B</t>
  </si>
  <si>
    <t>E9PFD7_EGFR</t>
  </si>
  <si>
    <t>E9PFK5_NOP14</t>
  </si>
  <si>
    <t>E9PFR3_PPP2R5D</t>
  </si>
  <si>
    <t>E9PG46_AAK1</t>
  </si>
  <si>
    <t>E9PGF5_TNS1</t>
  </si>
  <si>
    <t>E9PGF9_MGEA5</t>
  </si>
  <si>
    <t>E9PGM7_FAM13A</t>
  </si>
  <si>
    <t>E9PGT1_TSN</t>
  </si>
  <si>
    <t>E9PH29_PRDX3</t>
  </si>
  <si>
    <t>E9PHH9_POLR3C</t>
  </si>
  <si>
    <t>E9PHK0_CLEC3B</t>
  </si>
  <si>
    <t>E9PHM2_LARS2</t>
  </si>
  <si>
    <t>E9PHY8_MROH1</t>
  </si>
  <si>
    <t>E9PIB9_GLI1</t>
  </si>
  <si>
    <t>E9PIC2_STX17</t>
  </si>
  <si>
    <t>E9PIR7_TXNRD1</t>
  </si>
  <si>
    <t>E9PIV9_CYB5R2</t>
  </si>
  <si>
    <t>E9PJ24_PHRF1</t>
  </si>
  <si>
    <t>E9PJ81_UBXN1</t>
  </si>
  <si>
    <t>E9PJB2_C11orf73</t>
  </si>
  <si>
    <t>E9PJD7_CYHR1</t>
  </si>
  <si>
    <t>E9PJH1_MKNK1</t>
  </si>
  <si>
    <t>E9PK01_EEF1D</t>
  </si>
  <si>
    <t>E9PK67_PARP10</t>
  </si>
  <si>
    <t>E9PKB0_SORL1</t>
  </si>
  <si>
    <t>E9PKC0_PLEKHA7</t>
  </si>
  <si>
    <t>E9PKF3_ACAT1</t>
  </si>
  <si>
    <t>E9PKG1_PRMT1</t>
  </si>
  <si>
    <t>E9PKV8_TTC9C</t>
  </si>
  <si>
    <t>E9PKY5_PPIE</t>
  </si>
  <si>
    <t>E9PL22_HYOU1</t>
  </si>
  <si>
    <t>E9PL24_PDE4DIP</t>
  </si>
  <si>
    <t>E9PL57_NEDD8-MDP1</t>
  </si>
  <si>
    <t>E9PLD2_MTFR1L</t>
  </si>
  <si>
    <t>E9PLD3_</t>
  </si>
  <si>
    <t>E9PLK3_NPEPPS</t>
  </si>
  <si>
    <t>E9PM46_USP47</t>
  </si>
  <si>
    <t>E9PM92_C11orf58</t>
  </si>
  <si>
    <t>E9PMI6_CLNS1A</t>
  </si>
  <si>
    <t>E9PMS6_LMO7</t>
  </si>
  <si>
    <t>E9PNC7_DRAP1</t>
  </si>
  <si>
    <t>E9PNK6_TPD52L1</t>
  </si>
  <si>
    <t>E9PNN3_PTS</t>
  </si>
  <si>
    <t>E9PNU4_STX5</t>
  </si>
  <si>
    <t>E9PP36_RPL8</t>
  </si>
  <si>
    <t>E9PP68_ANO1</t>
  </si>
  <si>
    <t>E9PPR2_ATG13</t>
  </si>
  <si>
    <t>E9PQ38_KBTBD4</t>
  </si>
  <si>
    <t>E9PQ47_ZFPL1</t>
  </si>
  <si>
    <t>E9PQ74_GAS2</t>
  </si>
  <si>
    <t>E9PQD0_EIF1AD</t>
  </si>
  <si>
    <t>E9PQR7_VPS28</t>
  </si>
  <si>
    <t>E9PQW4_MAPK3</t>
  </si>
  <si>
    <t>E9PQY3_ACP2</t>
  </si>
  <si>
    <t>E9PR76_MAF1</t>
  </si>
  <si>
    <t>E9PRD9_VNN2</t>
  </si>
  <si>
    <t>E9PRE7_PC</t>
  </si>
  <si>
    <t>E9PRF4_SETDB1</t>
  </si>
  <si>
    <t>E9PRI4_RPS6KA1</t>
  </si>
  <si>
    <t>E9PRR7_FRG1</t>
  </si>
  <si>
    <t>F2Z2E1_FAM120B</t>
  </si>
  <si>
    <t>F2Z2I2_PFKFB3</t>
  </si>
  <si>
    <t>F2Z2T2_XPA</t>
  </si>
  <si>
    <t>F2Z2V0_CPNE1</t>
  </si>
  <si>
    <t>F2Z2X4_XPO4</t>
  </si>
  <si>
    <t>F2Z3K9_ESYT2</t>
  </si>
  <si>
    <t>F2Z3M0_TSEN15</t>
  </si>
  <si>
    <t>F5GWI4_ADA</t>
  </si>
  <si>
    <t>F5GWI9_CCDC53</t>
  </si>
  <si>
    <t>F5GWP8_JUP</t>
  </si>
  <si>
    <t>F5GWT4_WNK1</t>
  </si>
  <si>
    <t>F5GWU7_SMAD5</t>
  </si>
  <si>
    <t>F5GWX5_CHD4</t>
  </si>
  <si>
    <t>F5GX77_TRMT112</t>
  </si>
  <si>
    <t>F5GXC8_SUCLA2</t>
  </si>
  <si>
    <t>F5GXJ9_ALCAM</t>
  </si>
  <si>
    <t>F5GXU7_SH2B1</t>
  </si>
  <si>
    <t>F5GY03_SPARC</t>
  </si>
  <si>
    <t>F5GY80_C8B</t>
  </si>
  <si>
    <t>F5GYA2_UNG</t>
  </si>
  <si>
    <t>F5GYC4_RPS6KA3</t>
  </si>
  <si>
    <t>F5GYJ5_</t>
  </si>
  <si>
    <t>F5GYK2_STRN4</t>
  </si>
  <si>
    <t>F5GYN4_OTUB1</t>
  </si>
  <si>
    <t>F5GZ54_MCEE</t>
  </si>
  <si>
    <t>F5GZY0_APLP2</t>
  </si>
  <si>
    <t>F5GZZ9_CD163</t>
  </si>
  <si>
    <t>F5H012_TRIM21</t>
  </si>
  <si>
    <t>F5H0C8_ENO2</t>
  </si>
  <si>
    <t>F5H0E9_ESRRA</t>
  </si>
  <si>
    <t>F5H0L8_SEC23IP</t>
  </si>
  <si>
    <t>F5H157_RAB35</t>
  </si>
  <si>
    <t>F5H1L4_TXNRD2</t>
  </si>
  <si>
    <t>F5H1S8_MLEC</t>
  </si>
  <si>
    <t>F5H1X8_LRBA</t>
  </si>
  <si>
    <t>F5H1Z6_STARD10</t>
  </si>
  <si>
    <t>F5H2B9_UACA</t>
  </si>
  <si>
    <t>F5H2Q7_KIAA1715</t>
  </si>
  <si>
    <t>F5H2U2_PRPF4B</t>
  </si>
  <si>
    <t>F5H2X0_TJP3</t>
  </si>
  <si>
    <t>F5H335_EIF3A</t>
  </si>
  <si>
    <t>F5H365_SEC23A</t>
  </si>
  <si>
    <t>F5H442_TSG101</t>
  </si>
  <si>
    <t>F5H4F1_RAD9A</t>
  </si>
  <si>
    <t>F5H4G7_KPNA6</t>
  </si>
  <si>
    <t>F5H4J2_PEX14</t>
  </si>
  <si>
    <t>F5H4R2_SOD2</t>
  </si>
  <si>
    <t>F5H4S0_CYP3A5</t>
  </si>
  <si>
    <t>F5H5C2_NUP133</t>
  </si>
  <si>
    <t>F5H604_CLASP2</t>
  </si>
  <si>
    <t>F5H658_DHX8</t>
  </si>
  <si>
    <t>F5H698_LARS</t>
  </si>
  <si>
    <t>F5H6G7_NOL10</t>
  </si>
  <si>
    <t>F5H721_WBP11</t>
  </si>
  <si>
    <t>F5H780_TXNRD1</t>
  </si>
  <si>
    <t>F5H7F6_MGST1</t>
  </si>
  <si>
    <t>F5H7X2_GHR</t>
  </si>
  <si>
    <t>F5H801_OGDH</t>
  </si>
  <si>
    <t>F5H897_TRAP1</t>
  </si>
  <si>
    <t>F5H8B0_F7</t>
  </si>
  <si>
    <t>F5H8D7_XRCC1</t>
  </si>
  <si>
    <t>F5H8F7_ASH2L</t>
  </si>
  <si>
    <t>F5H8H2_MVK</t>
  </si>
  <si>
    <t>F5H8H4_POGZ</t>
  </si>
  <si>
    <t>F5H8L0_RABGAP1L</t>
  </si>
  <si>
    <t>F6RY50_SIPA1</t>
  </si>
  <si>
    <t>F6T1Q0_PDE12</t>
  </si>
  <si>
    <t>F6TQG2_SMARCA1</t>
  </si>
  <si>
    <t>F6U1T9_PPP3R1</t>
  </si>
  <si>
    <t>F6XY72_NME2</t>
  </si>
  <si>
    <t>F8VPD4_CAD</t>
  </si>
  <si>
    <t>F8VQR7_CSRP2</t>
  </si>
  <si>
    <t>F8VQX6_METTL7A</t>
  </si>
  <si>
    <t>F8VRD9_SLC38A4</t>
  </si>
  <si>
    <t>F8VSL3_NFYB</t>
  </si>
  <si>
    <t>F8VU65_RPLP0</t>
  </si>
  <si>
    <t>F8VUA6_RPL18</t>
  </si>
  <si>
    <t>F8VVA0_C12orf44</t>
  </si>
  <si>
    <t>F8VVM2_SLC25A3</t>
  </si>
  <si>
    <t>F8VVX6_COQ5</t>
  </si>
  <si>
    <t>F8VWA6_MON2</t>
  </si>
  <si>
    <t>F8VWL3_FGD4</t>
  </si>
  <si>
    <t>F8VXY3_OAS1</t>
  </si>
  <si>
    <t>F8VZJ2_NACA</t>
  </si>
  <si>
    <t>F8W038_C17orf49</t>
  </si>
  <si>
    <t>F8W0J4_YEATS4</t>
  </si>
  <si>
    <t>F8W118_NAP1L1</t>
  </si>
  <si>
    <t>F8W1A4_AK2</t>
  </si>
  <si>
    <t>F8W1Q3_BTD</t>
  </si>
  <si>
    <t>F8W1R7_MYL6</t>
  </si>
  <si>
    <t>F8W6D9_SENP6</t>
  </si>
  <si>
    <t>F8W6W2_PKLR</t>
  </si>
  <si>
    <t>F8W720_GMPS</t>
  </si>
  <si>
    <t>F8W785_GOLIM4</t>
  </si>
  <si>
    <t>F8W7F7_TMED4</t>
  </si>
  <si>
    <t>F8W7U3_FAM21A</t>
  </si>
  <si>
    <t>F8W8I6_TIA1</t>
  </si>
  <si>
    <t>F8W8M3_PPP1R12B</t>
  </si>
  <si>
    <t>F8W8M4_ABLIM1</t>
  </si>
  <si>
    <t>F8W914_RTN4</t>
  </si>
  <si>
    <t>F8W9I4_MLLT4</t>
  </si>
  <si>
    <t>F8W9X7_CCDC93</t>
  </si>
  <si>
    <t>F8WAK8_STAG2</t>
  </si>
  <si>
    <t>F8WBL2_BYSL</t>
  </si>
  <si>
    <t>F8WCC1_CHTF18</t>
  </si>
  <si>
    <t>F8WCM7_TPK1</t>
  </si>
  <si>
    <t>F8WDV0_IPO11</t>
  </si>
  <si>
    <t>F8WEE4_ZFAND2B</t>
  </si>
  <si>
    <t>F8WF49_DLGAP4</t>
  </si>
  <si>
    <t>F8WJN3_CPSF6</t>
  </si>
  <si>
    <t>G3V0E8_PCBP2</t>
  </si>
  <si>
    <t>G3V169_CASP1</t>
  </si>
  <si>
    <t>G3V1P3_LOH12CR1</t>
  </si>
  <si>
    <t>G3V1Y8_ASPG</t>
  </si>
  <si>
    <t>G3V238_METTL10</t>
  </si>
  <si>
    <t>G3V2T6_</t>
  </si>
  <si>
    <t>G3V2U7_ACYP1</t>
  </si>
  <si>
    <t>G3V357_RNASE1</t>
  </si>
  <si>
    <t>G3V3D2_SPATA7</t>
  </si>
  <si>
    <t>G3V3G9_DCAF8</t>
  </si>
  <si>
    <t>G3V3R7_ATXN3</t>
  </si>
  <si>
    <t>G3V4C1_HNRNPC</t>
  </si>
  <si>
    <t>G3V4J7_DCAF5</t>
  </si>
  <si>
    <t>G3V4S8_CHD2</t>
  </si>
  <si>
    <t>G3V4W0_HNRNPC</t>
  </si>
  <si>
    <t>G3V500_EML1</t>
  </si>
  <si>
    <t>G3V529_DDX24</t>
  </si>
  <si>
    <t>G3V599_CTAGE5</t>
  </si>
  <si>
    <t>G3V5E1_CCNK</t>
  </si>
  <si>
    <t>G3V5T0_GSTZ1</t>
  </si>
  <si>
    <t>G3V5V3_NEMF</t>
  </si>
  <si>
    <t>G3XA91_METAP2</t>
  </si>
  <si>
    <t>G3XAA0_ARID1B</t>
  </si>
  <si>
    <t>G3XAJ6_RFTN1</t>
  </si>
  <si>
    <t>G3XAK4_PON2</t>
  </si>
  <si>
    <t>G3XAL9_SLC12A2</t>
  </si>
  <si>
    <t>G3XAM2_CFI</t>
  </si>
  <si>
    <t>G3XAN8_TIMM8B</t>
  </si>
  <si>
    <t>G5E9C8_SOS1</t>
  </si>
  <si>
    <t>G5E9N1_MON1A</t>
  </si>
  <si>
    <t>G5E9U6_FKBP1B</t>
  </si>
  <si>
    <t>G5E9W7_MRPS22</t>
  </si>
  <si>
    <t>G5E9X3_FNDC3A</t>
  </si>
  <si>
    <t>G5EA02_C4orf21</t>
  </si>
  <si>
    <t>G5EA52_PDIA3</t>
  </si>
  <si>
    <t>G8JL86_COBLL1</t>
  </si>
  <si>
    <t>G8JLB3_PUS1</t>
  </si>
  <si>
    <t>G8JLC6_MIA3</t>
  </si>
  <si>
    <t>G8JLE5_TIPIN</t>
  </si>
  <si>
    <t>G8JLI5_WDR45</t>
  </si>
  <si>
    <t>H0Y300_HP</t>
  </si>
  <si>
    <t>H0Y304_DMD</t>
  </si>
  <si>
    <t>H0Y320_KMO</t>
  </si>
  <si>
    <t>H0Y3A0_RPL35</t>
  </si>
  <si>
    <t>H0Y3P2_EIF4G2</t>
  </si>
  <si>
    <t>H0Y3V3_LPHN2</t>
  </si>
  <si>
    <t>H0Y465_NF1</t>
  </si>
  <si>
    <t>H0Y4R1_IMPDH2</t>
  </si>
  <si>
    <t>H0Y5G7_NBAS</t>
  </si>
  <si>
    <t>H0Y612_TRIM33</t>
  </si>
  <si>
    <t>H0Y614_UFM1</t>
  </si>
  <si>
    <t>H0Y6A0_ARFGAP3</t>
  </si>
  <si>
    <t>H0Y6C3_PYCRL</t>
  </si>
  <si>
    <t>H0Y6I0_GOLGA4</t>
  </si>
  <si>
    <t>H0Y7P1_MED12</t>
  </si>
  <si>
    <t>H0Y7U4_THOC2</t>
  </si>
  <si>
    <t>H0Y8L5_MLIP</t>
  </si>
  <si>
    <t>H0Y9C8_FAT1</t>
  </si>
  <si>
    <t>H0Y9D7_TGFBI</t>
  </si>
  <si>
    <t>H0YA52_PCBD2</t>
  </si>
  <si>
    <t>H0YA68_MAN2B2</t>
  </si>
  <si>
    <t>H0YAJ5_APBB2</t>
  </si>
  <si>
    <t>H0YAL7_EEF1E1</t>
  </si>
  <si>
    <t>H0YAT2_MRPS28</t>
  </si>
  <si>
    <t>H0YBE8_WWC1</t>
  </si>
  <si>
    <t>H0YBY0_STAU2</t>
  </si>
  <si>
    <t>H0YBZ4_MTFR1</t>
  </si>
  <si>
    <t>H0YBZ9_SMN1</t>
  </si>
  <si>
    <t>H0YCU9_TAGLN</t>
  </si>
  <si>
    <t>H0YDQ3_LMO7</t>
  </si>
  <si>
    <t>H0YDU8_PPP5C</t>
  </si>
  <si>
    <t>H0YE28_C11orf31</t>
  </si>
  <si>
    <t>H0YEB6_SSSCA1</t>
  </si>
  <si>
    <t>H0YEG5_TMEM126B</t>
  </si>
  <si>
    <t>H0YEH2_PUM1</t>
  </si>
  <si>
    <t>H0YEN5_RPS2</t>
  </si>
  <si>
    <t>H0YEP5_SMPD1</t>
  </si>
  <si>
    <t>H0YER1_RSF1</t>
  </si>
  <si>
    <t>H0YFI1_LAMTOR1</t>
  </si>
  <si>
    <t>H0YG38_PRPF40A</t>
  </si>
  <si>
    <t>H0YGR4_REXO2</t>
  </si>
  <si>
    <t>H0YGX7_ARHGDIB</t>
  </si>
  <si>
    <t>H0YH69_ETNK1</t>
  </si>
  <si>
    <t>H0YI02_RAB3IP</t>
  </si>
  <si>
    <t>H0YJV3_NID2</t>
  </si>
  <si>
    <t>H0YKF0_ETFA</t>
  </si>
  <si>
    <t>H0YLA4_SORD</t>
  </si>
  <si>
    <t>H0YLB5_POU2F1</t>
  </si>
  <si>
    <t>H0YLN8_TRPM7</t>
  </si>
  <si>
    <t>H0YM11_KNSTRN</t>
  </si>
  <si>
    <t>H0YM23_ANKRD17</t>
  </si>
  <si>
    <t>H0YM74_ZNF592</t>
  </si>
  <si>
    <t>H0YMB0_IRF9</t>
  </si>
  <si>
    <t>H0YMB1_RMDN3</t>
  </si>
  <si>
    <t>H0YMB3_GMPR2</t>
  </si>
  <si>
    <t>H0YMM7_SHF</t>
  </si>
  <si>
    <t>H0YN78_C15orf57</t>
  </si>
  <si>
    <t>H0YN81_WDR61</t>
  </si>
  <si>
    <t>H0YNE9_RAB8B</t>
  </si>
  <si>
    <t>H0YNU5_BLM</t>
  </si>
  <si>
    <t>H3BLU7_AKR7A2</t>
  </si>
  <si>
    <t>H3BM67_NOL3</t>
  </si>
  <si>
    <t>H3BMM5_</t>
  </si>
  <si>
    <t>H3BND3_NUDT21</t>
  </si>
  <si>
    <t>H3BNU9_CARHSP1</t>
  </si>
  <si>
    <t>H3BPB8_MPI</t>
  </si>
  <si>
    <t>H3BPE1_MACF1</t>
  </si>
  <si>
    <t>H3BPZ6_CDAN1</t>
  </si>
  <si>
    <t>H3BQ52_ARPP19</t>
  </si>
  <si>
    <t>H3BQ58_RNF166</t>
  </si>
  <si>
    <t>H3BQP5_EDC3</t>
  </si>
  <si>
    <t>H3BQV3_COG8</t>
  </si>
  <si>
    <t>H3BQZ7_hCG_2044799</t>
  </si>
  <si>
    <t>H3BR03_SOLH</t>
  </si>
  <si>
    <t>H3BR95_WDR59</t>
  </si>
  <si>
    <t>H3BRF9_ZFYVE19</t>
  </si>
  <si>
    <t>H3BRG4_UQCRC2</t>
  </si>
  <si>
    <t>H3BRL3_UBFD1</t>
  </si>
  <si>
    <t>H3BRQ0_PPCDC</t>
  </si>
  <si>
    <t>H3BRQ8_NUDT7</t>
  </si>
  <si>
    <t>H3BRT1_ABAT</t>
  </si>
  <si>
    <t>H3BRV0_EIF3C</t>
  </si>
  <si>
    <t>H3BTA2_PPP4C</t>
  </si>
  <si>
    <t>H3BTB7_EARS2</t>
  </si>
  <si>
    <t>H3BTL2_BCKDK</t>
  </si>
  <si>
    <t>H3BU49_ARL2BP</t>
  </si>
  <si>
    <t>H3BUU5_SP1</t>
  </si>
  <si>
    <t>H3BV16_NDUFB10</t>
  </si>
  <si>
    <t>H7BXH2_PPP6R3</t>
  </si>
  <si>
    <t>H7BXV2_TMEM209</t>
  </si>
  <si>
    <t>H7BXV5_COL18A1</t>
  </si>
  <si>
    <t>H7BYD0_NDUFA5</t>
  </si>
  <si>
    <t>H7BYY1_TPM1</t>
  </si>
  <si>
    <t>H7BZ00_NR4A2</t>
  </si>
  <si>
    <t>H7BZJ3_PDIA3</t>
  </si>
  <si>
    <t>H7BZL0_MKI67IP</t>
  </si>
  <si>
    <t>H7C0E5_ZNF259</t>
  </si>
  <si>
    <t>H7C0G7_NHEJ1</t>
  </si>
  <si>
    <t>H7C0I1_AVL9</t>
  </si>
  <si>
    <t>H7C0V9_APP</t>
  </si>
  <si>
    <t>H7C0Y4_DUSP22</t>
  </si>
  <si>
    <t>H7C1I7_ZMYM4</t>
  </si>
  <si>
    <t>H7C1J4_UHRF1BP1</t>
  </si>
  <si>
    <t>H7C1U3_CC2D1B</t>
  </si>
  <si>
    <t>H7C1V3_MLXIPL</t>
  </si>
  <si>
    <t>H7C2B1_NOL7</t>
  </si>
  <si>
    <t>H7C2G2_ART4</t>
  </si>
  <si>
    <t>H7C2Z6_GCA</t>
  </si>
  <si>
    <t>H7C331_SDCCAG3</t>
  </si>
  <si>
    <t>H7C3D5_FAM134A</t>
  </si>
  <si>
    <t>H7C3G7_CWF19L2</t>
  </si>
  <si>
    <t>H7C3P4_GNS</t>
  </si>
  <si>
    <t>H7C3T2_ATG2A</t>
  </si>
  <si>
    <t>H7C462_BUD13</t>
  </si>
  <si>
    <t>H7C4T5_MBNL1</t>
  </si>
  <si>
    <t>H7C4Y3_PARP14</t>
  </si>
  <si>
    <t>H7C5G1_IAH1</t>
  </si>
  <si>
    <t>I3L097_</t>
  </si>
  <si>
    <t>I3L0A5_SOX5</t>
  </si>
  <si>
    <t>I3L0H8_DDX19A</t>
  </si>
  <si>
    <t>I3L0K7_TRAP1</t>
  </si>
  <si>
    <t>I3L1H5_DPH1</t>
  </si>
  <si>
    <t>I3L1K7_GOSR2</t>
  </si>
  <si>
    <t>I3L2B0_CLUH</t>
  </si>
  <si>
    <t>I3L2J0_CIC</t>
  </si>
  <si>
    <t>I3L2L5_FAM195B</t>
  </si>
  <si>
    <t>I3L397_EIF5A</t>
  </si>
  <si>
    <t>I3L3G9_NDE1</t>
  </si>
  <si>
    <t>I3L3P7_RPS15A</t>
  </si>
  <si>
    <t>I3L4B1_MYL4</t>
  </si>
  <si>
    <t>I3L4C3_SPAG7</t>
  </si>
  <si>
    <t>I3L4X3_NFKBIB</t>
  </si>
  <si>
    <t>I3L4X7_GPS2</t>
  </si>
  <si>
    <t>I3L521_</t>
  </si>
  <si>
    <t>J3KMY5_NPC2</t>
  </si>
  <si>
    <t>J3KN29_PSMD9</t>
  </si>
  <si>
    <t>J3KN66_TOR1AIP1</t>
  </si>
  <si>
    <t>J3KN75_TBC1D8B</t>
  </si>
  <si>
    <t>J3KN93_ANKRD44</t>
  </si>
  <si>
    <t>J3KNC0_GTF2A1</t>
  </si>
  <si>
    <t>J3KND1_SAAL1</t>
  </si>
  <si>
    <t>J3KNE2_INO80E</t>
  </si>
  <si>
    <t>J3KNF4_CCS</t>
  </si>
  <si>
    <t>J3KNL6_SEC16A</t>
  </si>
  <si>
    <t>J3KNN7_BRAP</t>
  </si>
  <si>
    <t>J3KP15_SRSF2</t>
  </si>
  <si>
    <t>J3KP19_SIPA1L1</t>
  </si>
  <si>
    <t>J3KP30_DNTTIP2</t>
  </si>
  <si>
    <t>J3KP36_FAM21C</t>
  </si>
  <si>
    <t>J3KPS2_FAM83H</t>
  </si>
  <si>
    <t>J3KPV7_MPST</t>
  </si>
  <si>
    <t>J3KQ34_COPS7B</t>
  </si>
  <si>
    <t>J3KQ72_FBXO6</t>
  </si>
  <si>
    <t>J3KQG4_GBA</t>
  </si>
  <si>
    <t>J3KQS6_BABAM1</t>
  </si>
  <si>
    <t>J3KRP0_CNDP1</t>
  </si>
  <si>
    <t>J3KRR7_CYLD</t>
  </si>
  <si>
    <t>J3KS05_CBX1</t>
  </si>
  <si>
    <t>J3KS94_MBP</t>
  </si>
  <si>
    <t>J3KSS7_GGA3</t>
  </si>
  <si>
    <t>J3KSZ8_MSL1</t>
  </si>
  <si>
    <t>J3KT51_HN1</t>
  </si>
  <si>
    <t>J3KTJ8_RPL26</t>
  </si>
  <si>
    <t>J3KTN0_EIF4A1</t>
  </si>
  <si>
    <t>J3QKS7_SMARCE1</t>
  </si>
  <si>
    <t>J3QL56_SCO1</t>
  </si>
  <si>
    <t>J3QLE5_SNRPN</t>
  </si>
  <si>
    <t>J3QLP3_VWA1</t>
  </si>
  <si>
    <t>J3QLP6_CWC25</t>
  </si>
  <si>
    <t>J3QLU0_RECQL5</t>
  </si>
  <si>
    <t>J3QQJ5_TRAPPC8</t>
  </si>
  <si>
    <t>J3QQT2_RPL17</t>
  </si>
  <si>
    <t>J3QQU4_</t>
  </si>
  <si>
    <t>J3QQX3_FDXR</t>
  </si>
  <si>
    <t>J3QR09_RPL19</t>
  </si>
  <si>
    <t>J3QRD1_ALDH3A2</t>
  </si>
  <si>
    <t>J3QRK2_hCG_1996301</t>
  </si>
  <si>
    <t>J3QSE5_LCAT</t>
  </si>
  <si>
    <t>J3QSV6_RSL1D1</t>
  </si>
  <si>
    <t>J3QSY4_NHP2</t>
  </si>
  <si>
    <t>J3QSY7_KIF16B</t>
  </si>
  <si>
    <t>J9JIC5_C17orf75</t>
  </si>
  <si>
    <t>J9JIE0_GPRC5C</t>
  </si>
  <si>
    <t>J9JIE9_HYI</t>
  </si>
  <si>
    <t>K4DI92_RWDD4</t>
  </si>
  <si>
    <t>K7EIE8_MBD3</t>
  </si>
  <si>
    <t>K7EIG1_CLUH</t>
  </si>
  <si>
    <t>K7EIU8_SMAD4</t>
  </si>
  <si>
    <t>K7EIV9_HEXDC</t>
  </si>
  <si>
    <t>K7EJ05_STX10</t>
  </si>
  <si>
    <t>K7EJB9_CALR</t>
  </si>
  <si>
    <t>K7EJG0_hCG_27535</t>
  </si>
  <si>
    <t>K7EJH8_ACTN4</t>
  </si>
  <si>
    <t>K7EK06_FARSA</t>
  </si>
  <si>
    <t>K7EK07_H3F3B</t>
  </si>
  <si>
    <t>K7EK11_NAGS</t>
  </si>
  <si>
    <t>K7EKE6_LONP1</t>
  </si>
  <si>
    <t>K7EL68_CDC37</t>
  </si>
  <si>
    <t>K7ELL7_PRKCSH</t>
  </si>
  <si>
    <t>K7EM02_KATNAL2</t>
  </si>
  <si>
    <t>K7EM09_TMEM205</t>
  </si>
  <si>
    <t>K7EM11_GIPC1</t>
  </si>
  <si>
    <t>K7EME0_ACAA2</t>
  </si>
  <si>
    <t>K7EMS3_KRT19</t>
  </si>
  <si>
    <t>K7EN05_ELOF1</t>
  </si>
  <si>
    <t>K7ENL9_C18orf8</t>
  </si>
  <si>
    <t>K7ENR6_PSMG2</t>
  </si>
  <si>
    <t>K7ENT8_PRODH2</t>
  </si>
  <si>
    <t>K7ENY9_CACTIN</t>
  </si>
  <si>
    <t>K7EP80_CAPNS1</t>
  </si>
  <si>
    <t>K7EQD9_PDCD2L</t>
  </si>
  <si>
    <t>K7ER46_BECN1</t>
  </si>
  <si>
    <t>K7ERI9_APOC1</t>
  </si>
  <si>
    <t>K7ES31_EIF3K</t>
  </si>
  <si>
    <t>K7ESE3_RAD23A</t>
  </si>
  <si>
    <t>M0QWZ7_SARS2</t>
  </si>
  <si>
    <t>M0QX35_PAF1</t>
  </si>
  <si>
    <t>M0QXL5_FBL</t>
  </si>
  <si>
    <t>M0QYH2_PNKP</t>
  </si>
  <si>
    <t>M0QZC7_SMG9</t>
  </si>
  <si>
    <t>M0QZE0_USE1</t>
  </si>
  <si>
    <t>M0R0B4_KXD1</t>
  </si>
  <si>
    <t>M0R0F0_RPS5</t>
  </si>
  <si>
    <t>M0R210_RPS16</t>
  </si>
  <si>
    <t>M0R2L9_RPS19</t>
  </si>
  <si>
    <t>M0R3D4_RABAC1</t>
  </si>
  <si>
    <t>M0R3H3_PGPEP1</t>
  </si>
  <si>
    <t>O95205_MBLL</t>
  </si>
  <si>
    <t>Q17RU2_REL</t>
  </si>
  <si>
    <t>Q2TAM5_RELA</t>
  </si>
  <si>
    <t>Q32N00_POLD3</t>
  </si>
  <si>
    <t>Q567Q0_PPIA</t>
  </si>
  <si>
    <t>Q5H8W9_TUBE1</t>
  </si>
  <si>
    <t>Q5H937_PKIG</t>
  </si>
  <si>
    <t>Q5HY54_FLNA</t>
  </si>
  <si>
    <t>Q5JB52_HNRPLL</t>
  </si>
  <si>
    <t>Q5JP53_TUBB</t>
  </si>
  <si>
    <t>Q5JR08_RHOC</t>
  </si>
  <si>
    <t>Q5JSK9_HMGN5</t>
  </si>
  <si>
    <t>Q5JTV1_GMEB2</t>
  </si>
  <si>
    <t>Q5JW30_STAU1</t>
  </si>
  <si>
    <t>Q5JW53_DSN1</t>
  </si>
  <si>
    <t>Q5JXX2_MORF4L2</t>
  </si>
  <si>
    <t>Q5QNY5_PEX19</t>
  </si>
  <si>
    <t>Q5QPL9_RALY</t>
  </si>
  <si>
    <t>Q5QPM7_PSMF1</t>
  </si>
  <si>
    <t>Q5SSZ3_AGER</t>
  </si>
  <si>
    <t>Q5SZC6_GDA</t>
  </si>
  <si>
    <t>Q5T123_SH3BGRL3</t>
  </si>
  <si>
    <t>Q5T179_CKS1B</t>
  </si>
  <si>
    <t>Q5T4K5_CRTC2</t>
  </si>
  <si>
    <t>Q5T6K7_NFYC</t>
  </si>
  <si>
    <t>Q5T7A4_ADCK3</t>
  </si>
  <si>
    <t>Q5T985_ITIH2</t>
  </si>
  <si>
    <t>Q5TA04_WDR96</t>
  </si>
  <si>
    <t>Q5TA58_AGO1</t>
  </si>
  <si>
    <t>Q5TAQ0_MNF1</t>
  </si>
  <si>
    <t>Q5TAW7_CAB39L</t>
  </si>
  <si>
    <t>Q5TBP5_TAF4</t>
  </si>
  <si>
    <t>Q5TBP9_LSM14B</t>
  </si>
  <si>
    <t>Q5TCT4_RBM34</t>
  </si>
  <si>
    <t>Q5TCW7_RNGTT</t>
  </si>
  <si>
    <t>Q5TIJ2_POGK</t>
  </si>
  <si>
    <t>Q5VTI5_PLEKHA6</t>
  </si>
  <si>
    <t>Q5VTU3_DYNLT1</t>
  </si>
  <si>
    <t>Q5VU58_TPM3</t>
  </si>
  <si>
    <t>Q5VW52_GPAM</t>
  </si>
  <si>
    <t>Q5VZM0_RRAGB</t>
  </si>
  <si>
    <t>Q5W125_NMRK1</t>
  </si>
  <si>
    <t>Q64EX5_PFKFB4</t>
  </si>
  <si>
    <t>Q6ICJ4_Em:AP000351.3</t>
  </si>
  <si>
    <t>Q6NZ53_THOC3</t>
  </si>
  <si>
    <t>Q6P275_STAG1</t>
  </si>
  <si>
    <t>Q6PIR0_CENPC1</t>
  </si>
  <si>
    <t>Q71TU5_CSNK1A1</t>
  </si>
  <si>
    <t>Q7Z721_RPS6KB1</t>
  </si>
  <si>
    <t>Q86UY0_TXNDC5</t>
  </si>
  <si>
    <t>Q86V84_OSBPL6</t>
  </si>
  <si>
    <t>Q86VQ2_WASF3</t>
  </si>
  <si>
    <t>Q8IYN9_PTK2</t>
  </si>
  <si>
    <t>Q8N749_TOM1L1</t>
  </si>
  <si>
    <t>Q8NBY1_MST4</t>
  </si>
  <si>
    <t>Q8NEC6_MTMR1</t>
  </si>
  <si>
    <t>Q8WVC2_RPS21</t>
  </si>
  <si>
    <t>Q8WYQ7_LGALS9</t>
  </si>
  <si>
    <t>Q96G53_SLC27A4</t>
  </si>
  <si>
    <t>Q9H6Y6_MYO5B</t>
  </si>
  <si>
    <t>Q9H9M6_DARS2</t>
  </si>
  <si>
    <t>Q9UII8_CDH1</t>
  </si>
  <si>
    <t>R4GMN1_MOSPD2</t>
  </si>
  <si>
    <t>R4GMR5_PSMD8</t>
  </si>
  <si>
    <t>R4GMU8_LAMTOR5</t>
  </si>
  <si>
    <t>R4GMX3_BMI1</t>
  </si>
  <si>
    <t>R4GN55_YTHDF3</t>
  </si>
  <si>
    <t>R4GN72_ATP6V0D1</t>
  </si>
  <si>
    <t>R4GN98_S100A6</t>
  </si>
  <si>
    <t>R4GNB2_DENND4C</t>
  </si>
  <si>
    <t>R4GNH3_PSMC3</t>
  </si>
  <si>
    <t>R4GNH9_EXOSC1</t>
  </si>
  <si>
    <t>Melting_Curves/meltCurve_sp_A0AVT1_UBA6_HUMAN_.pdf</t>
  </si>
  <si>
    <t>Melting_Curves/meltCurve_sp_A0JNW5_UH1BL_HUMAN_.pdf</t>
  </si>
  <si>
    <t>Melting_Curves/meltCurve_sp_A0MZ66_SHOT1_HUMAN_.pdf</t>
  </si>
  <si>
    <t>Melting_Curves/meltCurve_sp_A1L0T0_ILVBL_HUMAN_.pdf</t>
  </si>
  <si>
    <t>Melting_Curves/meltCurve_sp_A1L170_CA226_HUMAN_.pdf</t>
  </si>
  <si>
    <t>Melting_Curves/meltCurve_sp_A1L188_CQ089_HUMAN_.pdf</t>
  </si>
  <si>
    <t>Melting_Curves/meltCurve_sp_A1X283_SPD2B_HUMAN_.pdf</t>
  </si>
  <si>
    <t>Melting_Curves/meltCurve_sp_A1Z1Q3_2_MACD2_HUMAN_.pdf</t>
  </si>
  <si>
    <t>Melting_Curves/meltCurve_sp_A2RUC4_TYW5_HUMAN_.pdf</t>
  </si>
  <si>
    <t>Melting_Curves/meltCurve_sp_A2VDF0_2_FUCM_HUMAN_.pdf</t>
  </si>
  <si>
    <t>Melting_Curves/meltCurve_sp_A3KMH1_3_VWA8_HUMAN_.pdf</t>
  </si>
  <si>
    <t>Melting_Curves/meltCurve_sp_A3KN83_3_SBNO1_HUMAN_.pdf</t>
  </si>
  <si>
    <t>Melting_Curves/meltCurve_sp_A4D126_2_ISPD_HUMAN_.pdf</t>
  </si>
  <si>
    <t>Melting_Curves/meltCurve_sp_A4D1P6_2_WDR91_HUMAN_.pdf</t>
  </si>
  <si>
    <t>Melting_Curves/meltCurve_sp_A5PLN9_2_TPC13_HUMAN_.pdf</t>
  </si>
  <si>
    <t>Melting_Curves/meltCurve_sp_A5YKK6_2_CNOT1_HUMAN_.pdf</t>
  </si>
  <si>
    <t>Melting_Curves/meltCurve_sp_A5YM69_ARG35_HUMAN_.pdf</t>
  </si>
  <si>
    <t>Melting_Curves/meltCurve_sp_A6ND36_2_FA83G_HUMAN_.pdf</t>
  </si>
  <si>
    <t>Melting_Curves/meltCurve_sp_A6ND91_ASPD_HUMAN_.pdf</t>
  </si>
  <si>
    <t>Melting_Curves/meltCurve_sp_A6NDB9_PALM3_HUMAN_.pdf</t>
  </si>
  <si>
    <t>Melting_Curves/meltCurve_sp_A6NDG6_PGP_HUMAN_.pdf</t>
  </si>
  <si>
    <t>Melting_Curves/meltCurve_sp_A6NDU8_CE051_HUMAN_.pdf</t>
  </si>
  <si>
    <t>Melting_Curves/meltCurve_sp_A6NED2_RCCD1_HUMAN_.pdf</t>
  </si>
  <si>
    <t>Melting_Curves/meltCurve_sp_A6NEL2_SWAHB_HUMAN_.pdf</t>
  </si>
  <si>
    <t>Melting_Curves/meltCurve_sp_A6NFY7_SDHF1_HUMAN_.pdf</t>
  </si>
  <si>
    <t>Melting_Curves/meltCurve_sp_A6NHQ2_FBLL1_HUMAN_.pdf</t>
  </si>
  <si>
    <t>Melting_Curves/meltCurve_sp_A6NIH7_U119B_HUMAN_.pdf</t>
  </si>
  <si>
    <t>Melting_Curves/meltCurve_sp_A6NK44_GLOD5_HUMAN_.pdf</t>
  </si>
  <si>
    <t>Melting_Curves/meltCurve_sp_A6NK58_LIPT2_HUMAN_.pdf</t>
  </si>
  <si>
    <t>Melting_Curves/meltCurve_sp_A6NKD9_CC85C_HUMAN_.pdf</t>
  </si>
  <si>
    <t>Melting_Curves/meltCurve_sp_A6NKN8_PC4L1_HUMAN_.pdf</t>
  </si>
  <si>
    <t>Melting_Curves/meltCurve_sp_A6NLP5_TTC36_HUMAN_.pdf</t>
  </si>
  <si>
    <t>Melting_Curves/meltCurve_sp_A8MSI8_LYRM9_HUMAN_.pdf</t>
  </si>
  <si>
    <t>Melting_Curves/meltCurve_sp_A8MXV4_NUD19_HUMAN_.pdf</t>
  </si>
  <si>
    <t>Melting_Curves/meltCurve_sp_B1AJZ9_4_FHAD1_HUMAN_.pdf</t>
  </si>
  <si>
    <t>Melting_Curves/meltCurve_sp_B1AK53_ESPN_HUMAN_.pdf</t>
  </si>
  <si>
    <t>Melting_Curves/meltCurve_sp_B7ZBB8_PP13G_HUMAN_.pdf</t>
  </si>
  <si>
    <t>Melting_Curves/meltCurve_sp_B9A064_IGLL5_HUMAN_.pdf</t>
  </si>
  <si>
    <t>Melting_Curves/meltCurve_sp_C4AMC7_WASH3_HUMAN_.pdf</t>
  </si>
  <si>
    <t>Melting_Curves/meltCurve_sp_F8WCM5_INSR2_HUMAN_.pdf</t>
  </si>
  <si>
    <t>Melting_Curves/meltCurve_sp_O00116_ADAS_HUMAN_.pdf</t>
  </si>
  <si>
    <t>Melting_Curves/meltCurve_sp_O00124_3_UBXN8_HUMAN_.pdf</t>
  </si>
  <si>
    <t>Melting_Curves/meltCurve_sp_O00139_2_KIF2A_HUMAN_.pdf</t>
  </si>
  <si>
    <t>Melting_Curves/meltCurve_sp_O00142_KITM_HUMAN_.pdf</t>
  </si>
  <si>
    <t>Melting_Curves/meltCurve_sp_O00148_DX39A_HUMAN_.pdf</t>
  </si>
  <si>
    <t>Melting_Curves/meltCurve_sp_O00151_PDLI1_HUMAN_.pdf</t>
  </si>
  <si>
    <t>Melting_Curves/meltCurve_sp_O00154_6_BACH_HUMAN_.pdf</t>
  </si>
  <si>
    <t>Melting_Curves/meltCurve_sp_O00161_SNP23_HUMAN_.pdf</t>
  </si>
  <si>
    <t>Melting_Curves/meltCurve_sp_O00170_AIP_HUMAN_.pdf</t>
  </si>
  <si>
    <t>Melting_Curves/meltCurve_sp_O00178_GTPB1_HUMAN_.pdf</t>
  </si>
  <si>
    <t>Melting_Curves/meltCurve_sp_O00214_LEG8_HUMAN_.pdf</t>
  </si>
  <si>
    <t>Melting_Curves/meltCurve_sp_O00231_PSD11_HUMAN_.pdf</t>
  </si>
  <si>
    <t>Melting_Curves/meltCurve_sp_O00232_PSD12_HUMAN_.pdf</t>
  </si>
  <si>
    <t>Melting_Curves/meltCurve_sp_O00244_ATOX1_HUMAN_.pdf</t>
  </si>
  <si>
    <t>Melting_Curves/meltCurve_sp_O00257_CBX4_HUMAN_.pdf</t>
  </si>
  <si>
    <t>Melting_Curves/meltCurve_sp_O00264_PGRC1_HUMAN_.pdf</t>
  </si>
  <si>
    <t>Melting_Curves/meltCurve_sp_O00267_2_SPT5H_HUMAN_.pdf</t>
  </si>
  <si>
    <t>Melting_Curves/meltCurve_sp_O00273_DFFA_HUMAN_.pdf</t>
  </si>
  <si>
    <t>Melting_Curves/meltCurve_sp_O00291_HIP1_HUMAN_.pdf</t>
  </si>
  <si>
    <t>Melting_Curves/meltCurve_sp_O00299_CLIC1_HUMAN_.pdf</t>
  </si>
  <si>
    <t>Melting_Curves/meltCurve_sp_O00399_DCTN6_HUMAN_.pdf</t>
  </si>
  <si>
    <t>Melting_Curves/meltCurve_sp_O00401_WASL_HUMAN_.pdf</t>
  </si>
  <si>
    <t>Melting_Curves/meltCurve_sp_O00410_IPO5_HUMAN_.pdf</t>
  </si>
  <si>
    <t>Melting_Curves/meltCurve_sp_O00429_4_DNM1L_HUMAN_.pdf</t>
  </si>
  <si>
    <t>Melting_Curves/meltCurve_sp_O00459_P85B_HUMAN_.pdf</t>
  </si>
  <si>
    <t>Melting_Curves/meltCurve_sp_O00462_MANBA_HUMAN_.pdf</t>
  </si>
  <si>
    <t>Melting_Curves/meltCurve_sp_O00468_2_AGRIN_HUMAN_.pdf</t>
  </si>
  <si>
    <t>Melting_Curves/meltCurve_sp_O00471_EXOC5_HUMAN_.pdf</t>
  </si>
  <si>
    <t>Melting_Curves/meltCurve_sp_O00479_HMGN4_HUMAN_.pdf</t>
  </si>
  <si>
    <t>Melting_Curves/meltCurve_sp_O00487_PSDE_HUMAN_.pdf</t>
  </si>
  <si>
    <t>Melting_Curves/meltCurve_sp_O00499_6_BIN1_HUMAN_.pdf</t>
  </si>
  <si>
    <t>Melting_Curves/meltCurve_sp_O00505_IMA3_HUMAN_.pdf</t>
  </si>
  <si>
    <t>Melting_Curves/meltCurve_sp_O00506_STK25_HUMAN_.pdf</t>
  </si>
  <si>
    <t>Melting_Curves/meltCurve_sp_O00515_LAD1_HUMAN_.pdf</t>
  </si>
  <si>
    <t>Melting_Curves/meltCurve_sp_O00522_KRIT1_HUMAN_.pdf</t>
  </si>
  <si>
    <t>Melting_Curves/meltCurve_sp_O00534_VMA5A_HUMAN_.pdf</t>
  </si>
  <si>
    <t>Melting_Curves/meltCurve_sp_O00566_MPP10_HUMAN_.pdf</t>
  </si>
  <si>
    <t>Melting_Curves/meltCurve_sp_O00567_NOP56_HUMAN_.pdf</t>
  </si>
  <si>
    <t>Melting_Curves/meltCurve_sp_O00571_DDX3X_HUMAN_.pdf</t>
  </si>
  <si>
    <t>Melting_Curves/meltCurve_sp_O00625_PIR_HUMAN_.pdf</t>
  </si>
  <si>
    <t>Melting_Curves/meltCurve_sp_O00629_IMA4_HUMAN_.pdf</t>
  </si>
  <si>
    <t>Melting_Curves/meltCurve_sp_O00635_TRI38_HUMAN_.pdf</t>
  </si>
  <si>
    <t>Melting_Curves/meltCurve_sp_O00712_NFIB_HUMAN_.pdf</t>
  </si>
  <si>
    <t>Melting_Curves/meltCurve_sp_O00743_PPP6_HUMAN_.pdf</t>
  </si>
  <si>
    <t>Melting_Curves/meltCurve_sp_O00748_EST2_HUMAN_.pdf</t>
  </si>
  <si>
    <t>Melting_Curves/meltCurve_sp_O00754_MA2B1_HUMAN_.pdf</t>
  </si>
  <si>
    <t>Melting_Curves/meltCurve_sp_O00757_F16P2_HUMAN_.pdf</t>
  </si>
  <si>
    <t>Melting_Curves/meltCurve_sp_O00763_ACACB_HUMAN_.pdf</t>
  </si>
  <si>
    <t>Melting_Curves/meltCurve_sp_O00764_PDXK_HUMAN_.pdf</t>
  </si>
  <si>
    <t>Melting_Curves/meltCurve_sp_O14497_ARI1A_HUMAN_.pdf</t>
  </si>
  <si>
    <t>Melting_Curves/meltCurve_sp_O14519_2_CDKA1_HUMAN_.pdf</t>
  </si>
  <si>
    <t>Melting_Curves/meltCurve_sp_O14545_TRAD1_HUMAN_.pdf</t>
  </si>
  <si>
    <t>Melting_Curves/meltCurve_sp_O14561_ACPM_HUMAN_.pdf</t>
  </si>
  <si>
    <t>Melting_Curves/meltCurve_sp_O14579_COPE_HUMAN_.pdf</t>
  </si>
  <si>
    <t>Melting_Curves/meltCurve_sp_O14617_4_AP3D1_HUMAN_.pdf</t>
  </si>
  <si>
    <t>Melting_Curves/meltCurve_sp_O14686_MLL2_HUMAN_.pdf</t>
  </si>
  <si>
    <t>Melting_Curves/meltCurve_sp_O14732_2_IMPA2_HUMAN_.pdf</t>
  </si>
  <si>
    <t>Melting_Curves/meltCurve_sp_O14733_MP2K7_HUMAN_.pdf</t>
  </si>
  <si>
    <t>Melting_Curves/meltCurve_sp_O14734_ACOT8_HUMAN_.pdf</t>
  </si>
  <si>
    <t>Melting_Curves/meltCurve_sp_O14737_PDCD5_HUMAN_.pdf</t>
  </si>
  <si>
    <t>Melting_Curves/meltCurve_sp_O14744_ANM5_HUMAN_.pdf</t>
  </si>
  <si>
    <t>Melting_Curves/meltCurve_sp_O14745_NHRF1_HUMAN_.pdf</t>
  </si>
  <si>
    <t>Melting_Curves/meltCurve_sp_O14756_H17B6_HUMAN_.pdf</t>
  </si>
  <si>
    <t>Melting_Curves/meltCurve_sp_O14772_FPGT_HUMAN_.pdf</t>
  </si>
  <si>
    <t>Melting_Curves/meltCurve_sp_O14773_2_TPP1_HUMAN_.pdf</t>
  </si>
  <si>
    <t>Melting_Curves/meltCurve_sp_O14776_2_TCRG1_HUMAN_.pdf</t>
  </si>
  <si>
    <t>Melting_Curves/meltCurve_sp_O14787_2_TNPO2_HUMAN_.pdf</t>
  </si>
  <si>
    <t>Melting_Curves/meltCurve_sp_O14818_PSA7_HUMAN_.pdf</t>
  </si>
  <si>
    <t>Melting_Curves/meltCurve_sp_O14828_SCAM3_HUMAN_.pdf</t>
  </si>
  <si>
    <t>Melting_Curves/meltCurve_sp_O14832_2_PAHX_HUMAN_.pdf</t>
  </si>
  <si>
    <t>Melting_Curves/meltCurve_sp_O14832_PAHX_HUMAN_.pdf</t>
  </si>
  <si>
    <t>Melting_Curves/meltCurve_sp_O14841_OPLA_HUMAN_.pdf</t>
  </si>
  <si>
    <t>Melting_Curves/meltCurve_sp_O14879_IFIT3_HUMAN_.pdf</t>
  </si>
  <si>
    <t>Melting_Curves/meltCurve_sp_O14896_IRF6_HUMAN_.pdf</t>
  </si>
  <si>
    <t>Melting_Curves/meltCurve_sp_O14929_HAT1_HUMAN_.pdf</t>
  </si>
  <si>
    <t>Melting_Curves/meltCurve_sp_O14933_UB2L6_HUMAN_.pdf</t>
  </si>
  <si>
    <t>Melting_Curves/meltCurve_sp_O14936_3_CSKP_HUMAN_.pdf</t>
  </si>
  <si>
    <t>Melting_Curves/meltCurve_sp_O14949_QCR8_HUMAN_.pdf</t>
  </si>
  <si>
    <t>Melting_Curves/meltCurve_sp_O14964_HGS_HUMAN_.pdf</t>
  </si>
  <si>
    <t>Melting_Curves/meltCurve_sp_O14974_MYPT1_HUMAN_.pdf</t>
  </si>
  <si>
    <t>Melting_Curves/meltCurve_sp_O14975_2_S27A2_HUMAN_.pdf</t>
  </si>
  <si>
    <t>Melting_Curves/meltCurve_sp_O14976_GAK_HUMAN_.pdf</t>
  </si>
  <si>
    <t>Melting_Curves/meltCurve_sp_O14979_3_HNRDL_HUMAN_.pdf</t>
  </si>
  <si>
    <t>Melting_Curves/meltCurve_sp_O14980_XPO1_HUMAN_.pdf</t>
  </si>
  <si>
    <t>Melting_Curves/meltCurve_sp_O14981_BTAF1_HUMAN_.pdf</t>
  </si>
  <si>
    <t>Melting_Curves/meltCurve_sp_O15014_ZN609_HUMAN_.pdf</t>
  </si>
  <si>
    <t>Melting_Curves/meltCurve_sp_O15020_SPTN2_HUMAN_.pdf</t>
  </si>
  <si>
    <t>Melting_Curves/meltCurve_sp_O15021_2_MAST4_HUMAN_.pdf</t>
  </si>
  <si>
    <t>Melting_Curves/meltCurve_sp_O15031_PLXB2_HUMAN_.pdf</t>
  </si>
  <si>
    <t>Melting_Curves/meltCurve_sp_O15037_KHNYN_HUMAN_.pdf</t>
  </si>
  <si>
    <t>Melting_Curves/meltCurve_sp_O15047_SET1A_HUMAN_.pdf</t>
  </si>
  <si>
    <t>Melting_Curves/meltCurve_sp_O15056_3_SYNJ2_HUMAN_.pdf</t>
  </si>
  <si>
    <t>Melting_Curves/meltCurve_sp_O15067_PUR4_HUMAN_.pdf</t>
  </si>
  <si>
    <t>Melting_Curves/meltCurve_sp_O15084_ANR28_HUMAN_.pdf</t>
  </si>
  <si>
    <t>Melting_Curves/meltCurve_sp_O15085_ARHGB_HUMAN_.pdf</t>
  </si>
  <si>
    <t>Melting_Curves/meltCurve_sp_O15116_LSM1_HUMAN_.pdf</t>
  </si>
  <si>
    <t>Melting_Curves/meltCurve_sp_O15143_ARC1B_HUMAN_.pdf</t>
  </si>
  <si>
    <t>Melting_Curves/meltCurve_sp_O15144_ARPC2_HUMAN_.pdf</t>
  </si>
  <si>
    <t>Melting_Curves/meltCurve_sp_O15145_ARPC3_HUMAN_.pdf</t>
  </si>
  <si>
    <t>Melting_Curves/meltCurve_sp_O15156_ZBT7B_HUMAN_.pdf</t>
  </si>
  <si>
    <t>Melting_Curves/meltCurve_sp_O15164_2_TIF1A_HUMAN_.pdf</t>
  </si>
  <si>
    <t>Melting_Curves/meltCurve_sp_O15173_PGRC2_HUMAN_.pdf</t>
  </si>
  <si>
    <t>Melting_Curves/meltCurve_sp_O15212_PFD6_HUMAN_.pdf</t>
  </si>
  <si>
    <t>Melting_Curves/meltCurve_sp_O15217_GSTA4_HUMAN_.pdf</t>
  </si>
  <si>
    <t>Melting_Curves/meltCurve_sp_O15230_LAMA5_HUMAN_.pdf</t>
  </si>
  <si>
    <t>Melting_Curves/meltCurve_sp_O15234_CASC3_HUMAN_.pdf</t>
  </si>
  <si>
    <t>Melting_Curves/meltCurve_sp_O15247_CLIC2_HUMAN_.pdf</t>
  </si>
  <si>
    <t>Melting_Curves/meltCurve_sp_O15254_ACOX3_HUMAN_.pdf</t>
  </si>
  <si>
    <t>Melting_Curves/meltCurve_sp_O15294_3_OGT1_HUMAN_.pdf</t>
  </si>
  <si>
    <t>Melting_Curves/meltCurve_sp_O15305_PMM2_HUMAN_.pdf</t>
  </si>
  <si>
    <t>Melting_Curves/meltCurve_sp_O15355_PPM1G_HUMAN_.pdf</t>
  </si>
  <si>
    <t>Melting_Curves/meltCurve_sp_O15357_SHIP2_HUMAN_.pdf</t>
  </si>
  <si>
    <t>Melting_Curves/meltCurve_sp_O15372_EIF3H_HUMAN_.pdf</t>
  </si>
  <si>
    <t>Melting_Curves/meltCurve_sp_O15379_HDAC3_HUMAN_.pdf</t>
  </si>
  <si>
    <t>Melting_Curves/meltCurve_sp_O15382_BCAT2_HUMAN_.pdf</t>
  </si>
  <si>
    <t>Melting_Curves/meltCurve_sp_O15397_IPO8_HUMAN_.pdf</t>
  </si>
  <si>
    <t>Melting_Curves/meltCurve_sp_O15400_2_STX7_HUMAN_.pdf</t>
  </si>
  <si>
    <t>Melting_Curves/meltCurve_sp_O15467_CCL16_HUMAN_.pdf</t>
  </si>
  <si>
    <t>Melting_Curves/meltCurve_sp_O15488_4_GLYG2_HUMAN_.pdf</t>
  </si>
  <si>
    <t>Melting_Curves/meltCurve_sp_O15498_YKT6_HUMAN_.pdf</t>
  </si>
  <si>
    <t>Melting_Curves/meltCurve_sp_O15511_ARPC5_HUMAN_.pdf</t>
  </si>
  <si>
    <t>Melting_Curves/meltCurve_sp_O15514_RPB4_HUMAN_.pdf</t>
  </si>
  <si>
    <t>Melting_Curves/meltCurve_sp_O15541_R113A_HUMAN_.pdf</t>
  </si>
  <si>
    <t>Melting_Curves/meltCurve_sp_O43143_DHX15_HUMAN_.pdf</t>
  </si>
  <si>
    <t>Melting_Curves/meltCurve_sp_O43148_MCES_HUMAN_.pdf</t>
  </si>
  <si>
    <t>Melting_Curves/meltCurve_sp_O43164_2_PJA2_HUMAN_.pdf</t>
  </si>
  <si>
    <t>Melting_Curves/meltCurve_sp_O43172_2_PRP4_HUMAN_.pdf</t>
  </si>
  <si>
    <t>Melting_Curves/meltCurve_sp_O43175_SERA_HUMAN_.pdf</t>
  </si>
  <si>
    <t>Melting_Curves/meltCurve_sp_O43236_5_SEPT4_HUMAN_.pdf</t>
  </si>
  <si>
    <t>Melting_Curves/meltCurve_sp_O43237_DC1L2_HUMAN_.pdf</t>
  </si>
  <si>
    <t>Melting_Curves/meltCurve_sp_O43242_PSMD3_HUMAN_.pdf</t>
  </si>
  <si>
    <t>Melting_Curves/meltCurve_sp_O43252_PAPS1_HUMAN_.pdf</t>
  </si>
  <si>
    <t>Melting_Curves/meltCurve_sp_O43264_ZW10_HUMAN_.pdf</t>
  </si>
  <si>
    <t>Melting_Curves/meltCurve_sp_O43290_SNUT1_HUMAN_.pdf</t>
  </si>
  <si>
    <t>Melting_Curves/meltCurve_sp_O43310_CTIF_HUMAN_.pdf</t>
  </si>
  <si>
    <t>Melting_Curves/meltCurve_sp_O43312_4_MTSS1_HUMAN_.pdf</t>
  </si>
  <si>
    <t>Melting_Curves/meltCurve_sp_O43314_2_VIP2_HUMAN_.pdf</t>
  </si>
  <si>
    <t>Melting_Curves/meltCurve_sp_O43318_2_M3K7_HUMAN_.pdf</t>
  </si>
  <si>
    <t>Melting_Curves/meltCurve_sp_O43325_LYRM1_HUMAN_.pdf</t>
  </si>
  <si>
    <t>Melting_Curves/meltCurve_sp_O43390_HNRPR_HUMAN_.pdf</t>
  </si>
  <si>
    <t>Melting_Curves/meltCurve_sp_O43396_TXNL1_HUMAN_.pdf</t>
  </si>
  <si>
    <t>Melting_Curves/meltCurve_sp_O43399_TPD54_HUMAN_.pdf</t>
  </si>
  <si>
    <t>Melting_Curves/meltCurve_sp_O43414_3_ERI3_HUMAN_.pdf</t>
  </si>
  <si>
    <t>Melting_Curves/meltCurve_sp_O43432_IF4G3_HUMAN_.pdf</t>
  </si>
  <si>
    <t>Melting_Curves/meltCurve_sp_O43464_3_HTRA2_HUMAN_.pdf</t>
  </si>
  <si>
    <t>Melting_Curves/meltCurve_sp_O43491_4_E41L2_HUMAN_.pdf</t>
  </si>
  <si>
    <t>Melting_Curves/meltCurve_sp_O43493_2_TGON2_HUMAN_.pdf</t>
  </si>
  <si>
    <t>Melting_Curves/meltCurve_sp_O43566_5_RGS14_HUMAN_.pdf</t>
  </si>
  <si>
    <t>Melting_Curves/meltCurve_sp_O43583_DENR_HUMAN_.pdf</t>
  </si>
  <si>
    <t>Melting_Curves/meltCurve_sp_O43592_XPOT_HUMAN_.pdf</t>
  </si>
  <si>
    <t>Melting_Curves/meltCurve_sp_O43598_DNPH1_HUMAN_.pdf</t>
  </si>
  <si>
    <t>Melting_Curves/meltCurve_sp_O43615_TIM44_HUMAN_.pdf</t>
  </si>
  <si>
    <t>Melting_Curves/meltCurve_sp_O43617_TPPC3_HUMAN_.pdf</t>
  </si>
  <si>
    <t>Melting_Curves/meltCurve_sp_O43633_CHM2A_HUMAN_.pdf</t>
  </si>
  <si>
    <t>Melting_Curves/meltCurve_sp_O43660_2_PLRG1_HUMAN_.pdf</t>
  </si>
  <si>
    <t>Melting_Curves/meltCurve_sp_O43663_3_PRC1_HUMAN_.pdf</t>
  </si>
  <si>
    <t>Melting_Curves/meltCurve_sp_O43670_2_ZN207_HUMAN_.pdf</t>
  </si>
  <si>
    <t>Melting_Curves/meltCurve_sp_O43678_NDUA2_HUMAN_.pdf</t>
  </si>
  <si>
    <t>Melting_Curves/meltCurve_sp_O43681_ASNA_HUMAN_.pdf</t>
  </si>
  <si>
    <t>Melting_Curves/meltCurve_sp_O43684_2_BUB3_HUMAN_.pdf</t>
  </si>
  <si>
    <t>Melting_Curves/meltCurve_sp_O43704_ST1B1_HUMAN_.pdf</t>
  </si>
  <si>
    <t>Melting_Curves/meltCurve_sp_O43707_ACTN4_HUMAN_.pdf</t>
  </si>
  <si>
    <t>Melting_Curves/meltCurve_sp_O43715_TRIA1_HUMAN_.pdf</t>
  </si>
  <si>
    <t>Melting_Curves/meltCurve_sp_O43716_GATC_HUMAN_.pdf</t>
  </si>
  <si>
    <t>Melting_Curves/meltCurve_sp_O43719_HTSF1_HUMAN_.pdf</t>
  </si>
  <si>
    <t>Melting_Curves/meltCurve_sp_O43741_AAKB2_HUMAN_.pdf</t>
  </si>
  <si>
    <t>Melting_Curves/meltCurve_sp_O43747_AP1G1_HUMAN_.pdf</t>
  </si>
  <si>
    <t>Melting_Curves/meltCurve_sp_O43752_STX6_HUMAN_.pdf</t>
  </si>
  <si>
    <t>Melting_Curves/meltCurve_sp_O43765_SGTA_HUMAN_.pdf</t>
  </si>
  <si>
    <t>Melting_Curves/meltCurve_sp_O43766_LIAS_HUMAN_.pdf</t>
  </si>
  <si>
    <t>Melting_Curves/meltCurve_sp_O43768_2_ENSA_HUMAN_.pdf</t>
  </si>
  <si>
    <t>Melting_Curves/meltCurve_sp_O43776_SYNC_HUMAN_.pdf</t>
  </si>
  <si>
    <t>Melting_Curves/meltCurve_sp_O43795_2_MYO1B_HUMAN_.pdf</t>
  </si>
  <si>
    <t>Melting_Curves/meltCurve_sp_O43805_SSNA1_HUMAN_.pdf</t>
  </si>
  <si>
    <t>Melting_Curves/meltCurve_sp_O43809_CPSF5_HUMAN_.pdf</t>
  </si>
  <si>
    <t>Melting_Curves/meltCurve_sp_O43813_LANC1_HUMAN_.pdf</t>
  </si>
  <si>
    <t>Melting_Curves/meltCurve_sp_O43815_2_STRN_HUMAN_.pdf</t>
  </si>
  <si>
    <t>Melting_Curves/meltCurve_sp_O43818_U3IP2_HUMAN_.pdf</t>
  </si>
  <si>
    <t>Melting_Curves/meltCurve_sp_O43819_SCO2_HUMAN_.pdf</t>
  </si>
  <si>
    <t>Melting_Curves/meltCurve_sp_O43820_4_HYAL3_HUMAN_.pdf</t>
  </si>
  <si>
    <t>Melting_Curves/meltCurve_sp_O43837_IDH3B_HUMAN_.pdf</t>
  </si>
  <si>
    <t>Melting_Curves/meltCurve_sp_O43847_2_NRDC_HUMAN_.pdf</t>
  </si>
  <si>
    <t>Melting_Curves/meltCurve_sp_O43852_CALU_HUMAN_.pdf</t>
  </si>
  <si>
    <t>Melting_Curves/meltCurve_sp_O43865_SAHH2_HUMAN_.pdf</t>
  </si>
  <si>
    <t>Melting_Curves/meltCurve_sp_O43896_KIF1C_HUMAN_.pdf</t>
  </si>
  <si>
    <t>Melting_Curves/meltCurve_sp_O43924_PDE6D_HUMAN_.pdf</t>
  </si>
  <si>
    <t>Melting_Curves/meltCurve_sp_O60216_RAD21_HUMAN_.pdf</t>
  </si>
  <si>
    <t>Melting_Curves/meltCurve_sp_O60218_AK1BA_HUMAN_.pdf</t>
  </si>
  <si>
    <t>Melting_Curves/meltCurve_sp_O60220_TIM8A_HUMAN_.pdf</t>
  </si>
  <si>
    <t>Melting_Curves/meltCurve_sp_O60231_DHX16_HUMAN_.pdf</t>
  </si>
  <si>
    <t>Melting_Curves/meltCurve_sp_O60234_GMFG_HUMAN_.pdf</t>
  </si>
  <si>
    <t>Melting_Curves/meltCurve_sp_O60240_PLIN1_HUMAN_.pdf</t>
  </si>
  <si>
    <t>Melting_Curves/meltCurve_sp_O60256_KPRB_HUMAN_.pdf</t>
  </si>
  <si>
    <t>Melting_Curves/meltCurve_sp_O60260_5_PRKN2_HUMAN_.pdf</t>
  </si>
  <si>
    <t>Melting_Curves/meltCurve_sp_O60264_SMCA5_HUMAN_.pdf</t>
  </si>
  <si>
    <t>Melting_Curves/meltCurve_sp_O60271_4_JIP4_HUMAN_.pdf</t>
  </si>
  <si>
    <t>Melting_Curves/meltCurve_sp_O60333_2_KIF1B_HUMAN_.pdf</t>
  </si>
  <si>
    <t>Melting_Curves/meltCurve_sp_O60341_KDM1A_HUMAN_.pdf</t>
  </si>
  <si>
    <t>Melting_Curves/meltCurve_sp_O60343_2_TBCD4_HUMAN_.pdf</t>
  </si>
  <si>
    <t>Melting_Curves/meltCurve_sp_O60344_4_ECE2_HUMAN_.pdf</t>
  </si>
  <si>
    <t>Melting_Curves/meltCurve_sp_O60437_PEPL_HUMAN_.pdf</t>
  </si>
  <si>
    <t>Melting_Curves/meltCurve_sp_O60443_DFNA5_HUMAN_.pdf</t>
  </si>
  <si>
    <t>Melting_Curves/meltCurve_sp_O60447_EVI5_HUMAN_.pdf</t>
  </si>
  <si>
    <t>Melting_Curves/meltCurve_sp_O60493_SNX3_HUMAN_.pdf</t>
  </si>
  <si>
    <t>Melting_Curves/meltCurve_sp_O60504_VINEX_HUMAN_.pdf</t>
  </si>
  <si>
    <t>Melting_Curves/meltCurve_sp_O60506_3_HNRPQ_HUMAN_.pdf</t>
  </si>
  <si>
    <t>Melting_Curves/meltCurve_sp_O60518_RNBP6_HUMAN_.pdf</t>
  </si>
  <si>
    <t>Melting_Curves/meltCurve_sp_O60547_2_GMDS_HUMAN_.pdf</t>
  </si>
  <si>
    <t>Melting_Curves/meltCurve_sp_O60551_NMT2_HUMAN_.pdf</t>
  </si>
  <si>
    <t>Melting_Curves/meltCurve_sp_O60568_PLOD3_HUMAN_.pdf</t>
  </si>
  <si>
    <t>Melting_Curves/meltCurve_sp_O60613_SEP15_HUMAN_.pdf</t>
  </si>
  <si>
    <t>Melting_Curves/meltCurve_sp_O60645_3_EXOC3_HUMAN_.pdf</t>
  </si>
  <si>
    <t>Melting_Curves/meltCurve_sp_O60664_4_PLIN3_HUMAN_.pdf</t>
  </si>
  <si>
    <t>Melting_Curves/meltCurve_sp_O60701_UGDH_HUMAN_.pdf</t>
  </si>
  <si>
    <t>Melting_Curves/meltCurve_sp_O60716_5_CTND1_HUMAN_.pdf</t>
  </si>
  <si>
    <t>Melting_Curves/meltCurve_sp_O60749_SNX2_HUMAN_.pdf</t>
  </si>
  <si>
    <t>Melting_Curves/meltCurve_sp_O60763_USO1_HUMAN_.pdf</t>
  </si>
  <si>
    <t>Melting_Curves/meltCurve_sp_O60826_CCD22_HUMAN_.pdf</t>
  </si>
  <si>
    <t>Melting_Curves/meltCurve_sp_O60828_2_PQBP1_HUMAN_.pdf</t>
  </si>
  <si>
    <t>Melting_Curves/meltCurve_sp_O60832_DKC1_HUMAN_.pdf</t>
  </si>
  <si>
    <t>Melting_Curves/meltCurve_sp_O60841_IF2P_HUMAN_.pdf</t>
  </si>
  <si>
    <t>Melting_Curves/meltCurve_sp_O60869_EDF1_HUMAN_.pdf</t>
  </si>
  <si>
    <t>Melting_Curves/meltCurve_sp_O60884_DNJA2_HUMAN_.pdf</t>
  </si>
  <si>
    <t>Melting_Curves/meltCurve_sp_O60885_BRD4_HUMAN_.pdf</t>
  </si>
  <si>
    <t>Melting_Curves/meltCurve_sp_O60888_3_CUTA_HUMAN_.pdf</t>
  </si>
  <si>
    <t>Melting_Curves/meltCurve_sp_O60907_TBL1X_HUMAN_.pdf</t>
  </si>
  <si>
    <t>Melting_Curves/meltCurve_sp_O60925_PFD1_HUMAN_.pdf</t>
  </si>
  <si>
    <t>Melting_Curves/meltCurve_sp_O60927_PP1RB_HUMAN_.pdf</t>
  </si>
  <si>
    <t>Melting_Curves/meltCurve_sp_O60934_NBN_HUMAN_.pdf</t>
  </si>
  <si>
    <t>Melting_Curves/meltCurve_sp_O75052_3_CAPON_HUMAN_.pdf</t>
  </si>
  <si>
    <t>Melting_Curves/meltCurve_sp_O75081_2_MTG16_HUMAN_.pdf</t>
  </si>
  <si>
    <t>Melting_Curves/meltCurve_sp_O75083_WDR1_HUMAN_.pdf</t>
  </si>
  <si>
    <t>Melting_Curves/meltCurve_sp_O75113_N4BP1_HUMAN_.pdf</t>
  </si>
  <si>
    <t>Melting_Curves/meltCurve_sp_O75116_ROCK2_HUMAN_.pdf</t>
  </si>
  <si>
    <t>Melting_Curves/meltCurve_sp_O75128_COBL_HUMAN_.pdf</t>
  </si>
  <si>
    <t>Melting_Curves/meltCurve_sp_O75131_CPNE3_HUMAN_.pdf</t>
  </si>
  <si>
    <t>Melting_Curves/meltCurve_sp_O75146_HIP1R_HUMAN_.pdf</t>
  </si>
  <si>
    <t>Melting_Curves/meltCurve_sp_O75150_BRE1B_HUMAN_.pdf</t>
  </si>
  <si>
    <t>Melting_Curves/meltCurve_sp_O75152_ZC11A_HUMAN_.pdf</t>
  </si>
  <si>
    <t>Melting_Curves/meltCurve_sp_O75154_2_RFIP3_HUMAN_.pdf</t>
  </si>
  <si>
    <t>Melting_Curves/meltCurve_sp_O75157_2_T22D2_HUMAN_.pdf</t>
  </si>
  <si>
    <t>Melting_Curves/meltCurve_sp_O75165_DJC13_HUMAN_.pdf</t>
  </si>
  <si>
    <t>Melting_Curves/meltCurve_sp_O75170_4_PP6R2_HUMAN_.pdf</t>
  </si>
  <si>
    <t>Melting_Curves/meltCurve_sp_O75175_CNOT3_HUMAN_.pdf</t>
  </si>
  <si>
    <t>Melting_Curves/meltCurve_sp_O75177_CREST_HUMAN_.pdf</t>
  </si>
  <si>
    <t>Melting_Curves/meltCurve_sp_O75191_XYLB_HUMAN_.pdf</t>
  </si>
  <si>
    <t>Melting_Curves/meltCurve_sp_O75208_COQ9_HUMAN_.pdf</t>
  </si>
  <si>
    <t>Melting_Curves/meltCurve_sp_O75223_GGCT_HUMAN_.pdf</t>
  </si>
  <si>
    <t>Melting_Curves/meltCurve_sp_O75323_NIPS2_HUMAN_.pdf</t>
  </si>
  <si>
    <t>Melting_Curves/meltCurve_sp_O75340_PDCD6_HUMAN_.pdf</t>
  </si>
  <si>
    <t>Melting_Curves/meltCurve_sp_O75347_TBCA_HUMAN_.pdf</t>
  </si>
  <si>
    <t>Melting_Curves/meltCurve_sp_O75348_VATG1_HUMAN_.pdf</t>
  </si>
  <si>
    <t>Melting_Curves/meltCurve_sp_O75351_VPS4B_HUMAN_.pdf</t>
  </si>
  <si>
    <t>Melting_Curves/meltCurve_sp_O75356_ENTP5_HUMAN_.pdf</t>
  </si>
  <si>
    <t>Melting_Curves/meltCurve_sp_O75367_2_H2AY_HUMAN_.pdf</t>
  </si>
  <si>
    <t>Melting_Curves/meltCurve_sp_O75368_SH3L1_HUMAN_.pdf</t>
  </si>
  <si>
    <t>Melting_Curves/meltCurve_sp_O75369_8_FLNB_HUMAN_.pdf</t>
  </si>
  <si>
    <t>Melting_Curves/meltCurve_sp_O75376_NCOR1_HUMAN_.pdf</t>
  </si>
  <si>
    <t>Melting_Curves/meltCurve_sp_O75380_NDUS6_HUMAN_.pdf</t>
  </si>
  <si>
    <t>Melting_Curves/meltCurve_sp_O75396_SC22B_HUMAN_.pdf</t>
  </si>
  <si>
    <t>Melting_Curves/meltCurve_sp_O75410_7_TACC1_HUMAN_.pdf</t>
  </si>
  <si>
    <t>Melting_Curves/meltCurve_sp_O75420_PERQ1_HUMAN_.pdf</t>
  </si>
  <si>
    <t>Melting_Curves/meltCurve_sp_O75436_VP26A_HUMAN_.pdf</t>
  </si>
  <si>
    <t>Melting_Curves/meltCurve_sp_O75439_MPPB_HUMAN_.pdf</t>
  </si>
  <si>
    <t>Melting_Curves/meltCurve_sp_O75449_KTNA1_HUMAN_.pdf</t>
  </si>
  <si>
    <t>Melting_Curves/meltCurve_sp_O75452_RDH16_HUMAN_.pdf</t>
  </si>
  <si>
    <t>Melting_Curves/meltCurve_sp_O75475_PSIP1_HUMAN_.pdf</t>
  </si>
  <si>
    <t>Melting_Curves/meltCurve_sp_O75503_CLN5_HUMAN_.pdf</t>
  </si>
  <si>
    <t>Melting_Curves/meltCurve_sp_O75506_HSBP1_HUMAN_.pdf</t>
  </si>
  <si>
    <t>Melting_Curves/meltCurve_sp_O75521_2_ECI2_HUMAN_.pdf</t>
  </si>
  <si>
    <t>Melting_Curves/meltCurve_sp_O75525_2_KHDR3_HUMAN_.pdf</t>
  </si>
  <si>
    <t>Melting_Curves/meltCurve_sp_O75531_BAF_HUMAN_.pdf</t>
  </si>
  <si>
    <t>Melting_Curves/meltCurve_sp_O75533_SF3B1_HUMAN_.pdf</t>
  </si>
  <si>
    <t>Melting_Curves/meltCurve_sp_O75534_CSDE1_HUMAN_.pdf</t>
  </si>
  <si>
    <t>Melting_Curves/meltCurve_sp_O75600_KBL_HUMAN_.pdf</t>
  </si>
  <si>
    <t>Melting_Curves/meltCurve_sp_O75607_NPM3_HUMAN_.pdf</t>
  </si>
  <si>
    <t>Melting_Curves/meltCurve_sp_O75608_2_LYPA1_HUMAN_.pdf</t>
  </si>
  <si>
    <t>Melting_Curves/meltCurve_sp_O75629_CREG1_HUMAN_.pdf</t>
  </si>
  <si>
    <t>Melting_Curves/meltCurve_sp_O75643_U520_HUMAN_.pdf</t>
  </si>
  <si>
    <t>Melting_Curves/meltCurve_sp_O75648_MTU1_HUMAN_.pdf</t>
  </si>
  <si>
    <t>Melting_Curves/meltCurve_sp_O75663_TIPRL_HUMAN_.pdf</t>
  </si>
  <si>
    <t>Melting_Curves/meltCurve_sp_O75688_PPM1B_HUMAN_.pdf</t>
  </si>
  <si>
    <t>Melting_Curves/meltCurve_sp_O75695_XRP2_HUMAN_.pdf</t>
  </si>
  <si>
    <t>Melting_Curves/meltCurve_sp_O75764_TCEA3_HUMAN_.pdf</t>
  </si>
  <si>
    <t>Melting_Curves/meltCurve_sp_O75818_2_RPP40_HUMAN_.pdf</t>
  </si>
  <si>
    <t>Melting_Curves/meltCurve_sp_O75821_EIF3G_HUMAN_.pdf</t>
  </si>
  <si>
    <t>Melting_Curves/meltCurve_sp_O75822_EIF3J_HUMAN_.pdf</t>
  </si>
  <si>
    <t>Melting_Curves/meltCurve_sp_O75828_CBR3_HUMAN_.pdf</t>
  </si>
  <si>
    <t>Melting_Curves/meltCurve_sp_O75843_AP1G2_HUMAN_.pdf</t>
  </si>
  <si>
    <t>Melting_Curves/meltCurve_sp_O75865_TPC6A_HUMAN_.pdf</t>
  </si>
  <si>
    <t>Melting_Curves/meltCurve_sp_O75874_IDHC_HUMAN_.pdf</t>
  </si>
  <si>
    <t>Melting_Curves/meltCurve_sp_O75882_2_ATRN_HUMAN_.pdf</t>
  </si>
  <si>
    <t>Melting_Curves/meltCurve_sp_O75884_RBBP9_HUMAN_.pdf</t>
  </si>
  <si>
    <t>Melting_Curves/meltCurve_sp_O75886_STAM2_HUMAN_.pdf</t>
  </si>
  <si>
    <t>Melting_Curves/meltCurve_sp_O75891_AL1L1_HUMAN_.pdf</t>
  </si>
  <si>
    <t>Melting_Curves/meltCurve_sp_O75896_TUSC2_HUMAN_.pdf</t>
  </si>
  <si>
    <t>Melting_Curves/meltCurve_sp_O75915_PRAF3_HUMAN_.pdf</t>
  </si>
  <si>
    <t>Melting_Curves/meltCurve_sp_O75934_SPF27_HUMAN_.pdf</t>
  </si>
  <si>
    <t>Melting_Curves/meltCurve_sp_O75935_DCTN3_HUMAN_.pdf</t>
  </si>
  <si>
    <t>Melting_Curves/meltCurve_sp_O75936_BODG_HUMAN_.pdf</t>
  </si>
  <si>
    <t>Melting_Curves/meltCurve_sp_O75937_DNJC8_HUMAN_.pdf</t>
  </si>
  <si>
    <t>Melting_Curves/meltCurve_sp_O75940_SPF30_HUMAN_.pdf</t>
  </si>
  <si>
    <t>Melting_Curves/meltCurve_sp_O75970_3_MPDZ_HUMAN_.pdf</t>
  </si>
  <si>
    <t>Melting_Curves/meltCurve_sp_O75976_CBPD_HUMAN_.pdf</t>
  </si>
  <si>
    <t>Melting_Curves/meltCurve_sp_O76003_GLRX3_HUMAN_.pdf</t>
  </si>
  <si>
    <t>Melting_Curves/meltCurve_sp_O76024_WFS1_HUMAN_.pdf</t>
  </si>
  <si>
    <t>Melting_Curves/meltCurve_sp_O76031_CLPX_HUMAN_.pdf</t>
  </si>
  <si>
    <t>Melting_Curves/meltCurve_sp_O76041_NEBL_HUMAN_.pdf</t>
  </si>
  <si>
    <t>Melting_Curves/meltCurve_sp_O76054_S14L2_HUMAN_.pdf</t>
  </si>
  <si>
    <t>Melting_Curves/meltCurve_sp_O76071_CIAO1_HUMAN_.pdf</t>
  </si>
  <si>
    <t>Melting_Curves/meltCurve_sp_O76094_SRP72_HUMAN_.pdf</t>
  </si>
  <si>
    <t>Melting_Curves/meltCurve_sp_O94760_DDAH1_HUMAN_.pdf</t>
  </si>
  <si>
    <t>Melting_Curves/meltCurve_sp_O94763_RMP_HUMAN_.pdf</t>
  </si>
  <si>
    <t>Melting_Curves/meltCurve_sp_O94776_MTA2_HUMAN_.pdf</t>
  </si>
  <si>
    <t>Melting_Curves/meltCurve_sp_O94788_4_AL1A2_HUMAN_.pdf</t>
  </si>
  <si>
    <t>Melting_Curves/meltCurve_sp_O94811_TPPP_HUMAN_.pdf</t>
  </si>
  <si>
    <t>Melting_Curves/meltCurve_sp_O94817_ATG12_HUMAN_.pdf</t>
  </si>
  <si>
    <t>Melting_Curves/meltCurve_sp_O94819_KBTBB_HUMAN_.pdf</t>
  </si>
  <si>
    <t>Melting_Curves/meltCurve_sp_O94822_LTN1_HUMAN_.pdf</t>
  </si>
  <si>
    <t>Melting_Curves/meltCurve_sp_O94826_TOM70_HUMAN_.pdf</t>
  </si>
  <si>
    <t>Melting_Curves/meltCurve_sp_O94829_IPO13_HUMAN_.pdf</t>
  </si>
  <si>
    <t>Melting_Curves/meltCurve_sp_O94851_5_MICA2_HUMAN_.pdf</t>
  </si>
  <si>
    <t>Melting_Curves/meltCurve_sp_O94855_SC24D_HUMAN_.pdf</t>
  </si>
  <si>
    <t>Melting_Curves/meltCurve_sp_O94874_UFL1_HUMAN_.pdf</t>
  </si>
  <si>
    <t>Melting_Curves/meltCurve_sp_O94875_12_SRBS2_HUMAN_.pdf</t>
  </si>
  <si>
    <t>Melting_Curves/meltCurve_sp_O94880_PHF14_HUMAN_.pdf</t>
  </si>
  <si>
    <t>Melting_Curves/meltCurve_sp_O94887_FARP2_HUMAN_.pdf</t>
  </si>
  <si>
    <t>Melting_Curves/meltCurve_sp_O94888_UBXN7_HUMAN_.pdf</t>
  </si>
  <si>
    <t>Melting_Curves/meltCurve_sp_O94903_PROSC_HUMAN_.pdf</t>
  </si>
  <si>
    <t>Melting_Curves/meltCurve_sp_O94913_PCF11_HUMAN_.pdf</t>
  </si>
  <si>
    <t>Melting_Curves/meltCurve_sp_O94925_GLSK_HUMAN_.pdf</t>
  </si>
  <si>
    <t>Melting_Curves/meltCurve_sp_O94929_2_ABLM3_HUMAN_.pdf</t>
  </si>
  <si>
    <t>Melting_Curves/meltCurve_sp_O94966_7_UBP19_HUMAN_.pdf</t>
  </si>
  <si>
    <t>Melting_Curves/meltCurve_sp_O94973_AP2A2_HUMAN_.pdf</t>
  </si>
  <si>
    <t>Melting_Curves/meltCurve_sp_O94979_6_SC31A_HUMAN_.pdf</t>
  </si>
  <si>
    <t>Melting_Curves/meltCurve_sp_O94992_HEXI1_HUMAN_.pdf</t>
  </si>
  <si>
    <t>Melting_Curves/meltCurve_sp_O95081_AGFG2_HUMAN_.pdf</t>
  </si>
  <si>
    <t>Melting_Curves/meltCurve_sp_O95104_3_SFR15_HUMAN_.pdf</t>
  </si>
  <si>
    <t>Melting_Curves/meltCurve_sp_O95149_SPN1_HUMAN_.pdf</t>
  </si>
  <si>
    <t>Melting_Curves/meltCurve_sp_O95154_ARK73_HUMAN_.pdf</t>
  </si>
  <si>
    <t>Melting_Curves/meltCurve_sp_O95155_2_UBE4B_HUMAN_.pdf</t>
  </si>
  <si>
    <t>Melting_Curves/meltCurve_sp_O95163_ELP1_HUMAN_.pdf</t>
  </si>
  <si>
    <t>Melting_Curves/meltCurve_sp_O95202_LETM1_HUMAN_.pdf</t>
  </si>
  <si>
    <t>Melting_Curves/meltCurve_sp_O95210_STBD1_HUMAN_.pdf</t>
  </si>
  <si>
    <t>Melting_Curves/meltCurve_sp_O95218_2_ZRAB2_HUMAN_.pdf</t>
  </si>
  <si>
    <t>Melting_Curves/meltCurve_sp_O95219_SNX4_HUMAN_.pdf</t>
  </si>
  <si>
    <t>Melting_Curves/meltCurve_sp_O95232_LC7L3_HUMAN_.pdf</t>
  </si>
  <si>
    <t>Melting_Curves/meltCurve_sp_O95243_3_MBD4_HUMAN_.pdf</t>
  </si>
  <si>
    <t>Melting_Curves/meltCurve_sp_O95248_MTMR5_HUMAN_.pdf</t>
  </si>
  <si>
    <t>Melting_Curves/meltCurve_sp_O95251_2_KAT7_HUMAN_.pdf</t>
  </si>
  <si>
    <t>Melting_Curves/meltCurve_sp_O95278_6_EPM2A_HUMAN_.pdf</t>
  </si>
  <si>
    <t>Melting_Curves/meltCurve_sp_O95292_VAPB_HUMAN_.pdf</t>
  </si>
  <si>
    <t>Melting_Curves/meltCurve_sp_O95295_SNAPN_HUMAN_.pdf</t>
  </si>
  <si>
    <t>Melting_Curves/meltCurve_sp_O95302_FKBP9_HUMAN_.pdf</t>
  </si>
  <si>
    <t>Melting_Curves/meltCurve_sp_O95336_6PGL_HUMAN_.pdf</t>
  </si>
  <si>
    <t>Melting_Curves/meltCurve_sp_O95340_PAPS2_HUMAN_.pdf</t>
  </si>
  <si>
    <t>Melting_Curves/meltCurve_sp_O95352_ATG7_HUMAN_.pdf</t>
  </si>
  <si>
    <t>Melting_Curves/meltCurve_sp_O95363_SYFM_HUMAN_.pdf</t>
  </si>
  <si>
    <t>Melting_Curves/meltCurve_sp_O95365_ZBT7A_HUMAN_.pdf</t>
  </si>
  <si>
    <t>Melting_Curves/meltCurve_sp_O95372_LYPA2_HUMAN_.pdf</t>
  </si>
  <si>
    <t>Melting_Curves/meltCurve_sp_O95373_IPO7_HUMAN_.pdf</t>
  </si>
  <si>
    <t>Melting_Curves/meltCurve_sp_O95376_ARI2_HUMAN_.pdf</t>
  </si>
  <si>
    <t>Melting_Curves/meltCurve_sp_O95394_AGM1_HUMAN_.pdf</t>
  </si>
  <si>
    <t>Melting_Curves/meltCurve_sp_O95396_MOCS3_HUMAN_.pdf</t>
  </si>
  <si>
    <t>Melting_Curves/meltCurve_sp_O95399_UTS2_HUMAN_.pdf</t>
  </si>
  <si>
    <t>Melting_Curves/meltCurve_sp_O95400_CD2B2_HUMAN_.pdf</t>
  </si>
  <si>
    <t>Melting_Curves/meltCurve_sp_O95405_ZFYV9_HUMAN_.pdf</t>
  </si>
  <si>
    <t>Melting_Curves/meltCurve_sp_O95425_2_SVIL_HUMAN_.pdf</t>
  </si>
  <si>
    <t>Melting_Curves/meltCurve_sp_O95429_2_BAG4_HUMAN_.pdf</t>
  </si>
  <si>
    <t>Melting_Curves/meltCurve_sp_O95433_AHSA1_HUMAN_.pdf</t>
  </si>
  <si>
    <t>Melting_Curves/meltCurve_sp_O95453_2_PARN_HUMAN_.pdf</t>
  </si>
  <si>
    <t>Melting_Curves/meltCurve_sp_O95456_PSMG1_HUMAN_.pdf</t>
  </si>
  <si>
    <t>Melting_Curves/meltCurve_sp_O95479_G6PE_HUMAN_.pdf</t>
  </si>
  <si>
    <t>Melting_Curves/meltCurve_sp_O95486_SC24A_HUMAN_.pdf</t>
  </si>
  <si>
    <t>Melting_Curves/meltCurve_sp_O95487_2_SC24B_HUMAN_.pdf</t>
  </si>
  <si>
    <t>Melting_Curves/meltCurve_sp_O95497_VNN1_HUMAN_.pdf</t>
  </si>
  <si>
    <t>Melting_Curves/meltCurve_sp_O95544_NADK_HUMAN_.pdf</t>
  </si>
  <si>
    <t>Melting_Curves/meltCurve_sp_O95551_TYDP2_HUMAN_.pdf</t>
  </si>
  <si>
    <t>Melting_Curves/meltCurve_sp_O95571_ETHE1_HUMAN_.pdf</t>
  </si>
  <si>
    <t>Melting_Curves/meltCurve_sp_O95628_5_CNOT4_HUMAN_.pdf</t>
  </si>
  <si>
    <t>Melting_Curves/meltCurve_sp_O95630_STABP_HUMAN_.pdf</t>
  </si>
  <si>
    <t>Melting_Curves/meltCurve_sp_O95671_2_ASML_HUMAN_.pdf</t>
  </si>
  <si>
    <t>Melting_Curves/meltCurve_sp_O95684_FR1OP_HUMAN_.pdf</t>
  </si>
  <si>
    <t>Melting_Curves/meltCurve_sp_O95721_SNP29_HUMAN_.pdf</t>
  </si>
  <si>
    <t>Melting_Curves/meltCurve_sp_O95747_OXSR1_HUMAN_.pdf</t>
  </si>
  <si>
    <t>Melting_Curves/meltCurve_sp_O95757_HS74L_HUMAN_.pdf</t>
  </si>
  <si>
    <t>Melting_Curves/meltCurve_sp_O95777_NAA38_HUMAN_.pdf</t>
  </si>
  <si>
    <t>Melting_Curves/meltCurve_sp_O95782_2_AP2A1_HUMAN_.pdf</t>
  </si>
  <si>
    <t>Melting_Curves/meltCurve_sp_O95786_2_DDX58_HUMAN_.pdf</t>
  </si>
  <si>
    <t>Melting_Curves/meltCurve_sp_O95801_TTC4_HUMAN_.pdf</t>
  </si>
  <si>
    <t>Melting_Curves/meltCurve_sp_O95810_SDPR_HUMAN_.pdf</t>
  </si>
  <si>
    <t>Melting_Curves/meltCurve_sp_O95816_BAG2_HUMAN_.pdf</t>
  </si>
  <si>
    <t>Melting_Curves/meltCurve_sp_O95817_BAG3_HUMAN_.pdf</t>
  </si>
  <si>
    <t>Melting_Curves/meltCurve_sp_O95822_DCMC_HUMAN_.pdf</t>
  </si>
  <si>
    <t>Melting_Curves/meltCurve_sp_O95825_QORL1_HUMAN_.pdf</t>
  </si>
  <si>
    <t>Melting_Curves/meltCurve_sp_O95831_3_AIFM1_HUMAN_.pdf</t>
  </si>
  <si>
    <t>Melting_Curves/meltCurve_sp_O95834_EMAL2_HUMAN_.pdf</t>
  </si>
  <si>
    <t>Melting_Curves/meltCurve_sp_O95848_NUD14_HUMAN_.pdf</t>
  </si>
  <si>
    <t>Melting_Curves/meltCurve_sp_O95865_DDAH2_HUMAN_.pdf</t>
  </si>
  <si>
    <t>Melting_Curves/meltCurve_sp_O95881_TXD12_HUMAN_.pdf</t>
  </si>
  <si>
    <t>Melting_Curves/meltCurve_sp_O95954_FTCD_HUMAN_.pdf</t>
  </si>
  <si>
    <t>Melting_Curves/meltCurve_sp_O95985_TOP3B_HUMAN_.pdf</t>
  </si>
  <si>
    <t>Melting_Curves/meltCurve_sp_O95989_NUDT3_HUMAN_.pdf</t>
  </si>
  <si>
    <t>Melting_Curves/meltCurve_sp_O95999_BCL10_HUMAN_.pdf</t>
  </si>
  <si>
    <t>Melting_Curves/meltCurve_sp_O96006_ZBED1_HUMAN_.pdf</t>
  </si>
  <si>
    <t>Melting_Curves/meltCurve_sp_O96007_MOC2B_HUMAN_.pdf</t>
  </si>
  <si>
    <t>Melting_Curves/meltCurve_sp_O96013_4_PAK4_HUMAN_.pdf</t>
  </si>
  <si>
    <t>Melting_Curves/meltCurve_sp_O96019_ACL6A_HUMAN_.pdf</t>
  </si>
  <si>
    <t>Melting_Curves/meltCurve_sp_O96033_MOC2A_HUMAN_.pdf</t>
  </si>
  <si>
    <t>Melting_Curves/meltCurve_sp_P00325_ADH1B_HUMAN_.pdf</t>
  </si>
  <si>
    <t>Melting_Curves/meltCurve_sp_P00326_ADH1G_HUMAN_.pdf</t>
  </si>
  <si>
    <t>Melting_Curves/meltCurve_sp_P00338_LDHA_HUMAN_.pdf</t>
  </si>
  <si>
    <t>Melting_Curves/meltCurve_sp_P00352_AL1A1_HUMAN_.pdf</t>
  </si>
  <si>
    <t>Melting_Curves/meltCurve_sp_P00374_DYR_HUMAN_.pdf</t>
  </si>
  <si>
    <t>Melting_Curves/meltCurve_sp_P00387_2_NB5R3_HUMAN_.pdf</t>
  </si>
  <si>
    <t>Melting_Curves/meltCurve_sp_P00390_2_GSHR_HUMAN_.pdf</t>
  </si>
  <si>
    <t>Melting_Curves/meltCurve_sp_P00403_COX2_HUMAN_.pdf</t>
  </si>
  <si>
    <t>Melting_Curves/meltCurve_sp_P00439_PH4H_HUMAN_.pdf</t>
  </si>
  <si>
    <t>Melting_Curves/meltCurve_sp_P00450_CERU_HUMAN_.pdf</t>
  </si>
  <si>
    <t>Melting_Curves/meltCurve_sp_P00480_OTC_HUMAN_.pdf</t>
  </si>
  <si>
    <t>Melting_Curves/meltCurve_sp_P00491_PNPH_HUMAN_.pdf</t>
  </si>
  <si>
    <t>Melting_Curves/meltCurve_sp_P00492_HPRT_HUMAN_.pdf</t>
  </si>
  <si>
    <t>Melting_Curves/meltCurve_sp_P00505_AATM_HUMAN_.pdf</t>
  </si>
  <si>
    <t>Melting_Curves/meltCurve_sp_P00558_PGK1_HUMAN_.pdf</t>
  </si>
  <si>
    <t>Melting_Curves/meltCurve_sp_P00568_KAD1_HUMAN_.pdf</t>
  </si>
  <si>
    <t>Melting_Curves/meltCurve_sp_P00734_THRB_HUMAN_.pdf</t>
  </si>
  <si>
    <t>Melting_Curves/meltCurve_sp_P00736_C1R_HUMAN_.pdf</t>
  </si>
  <si>
    <t>Melting_Curves/meltCurve_sp_P00738_HPT_HUMAN_.pdf</t>
  </si>
  <si>
    <t>Melting_Curves/meltCurve_sp_P00739_HPTR_HUMAN_.pdf</t>
  </si>
  <si>
    <t>Melting_Curves/meltCurve_sp_P00740_FA9_HUMAN_.pdf</t>
  </si>
  <si>
    <t>Melting_Curves/meltCurve_sp_P00742_FA10_HUMAN_.pdf</t>
  </si>
  <si>
    <t>Melting_Curves/meltCurve_sp_P00747_PLMN_HUMAN_.pdf</t>
  </si>
  <si>
    <t>Melting_Curves/meltCurve_sp_P00748_FA12_HUMAN_.pdf</t>
  </si>
  <si>
    <t>Melting_Curves/meltCurve_sp_P00966_ASSY_HUMAN_.pdf</t>
  </si>
  <si>
    <t>Melting_Curves/meltCurve_sp_P01009_A1AT_HUMAN_.pdf</t>
  </si>
  <si>
    <t>Melting_Curves/meltCurve_sp_P01011_AACT_HUMAN_.pdf</t>
  </si>
  <si>
    <t>Melting_Curves/meltCurve_sp_P01019_ANGT_HUMAN_.pdf</t>
  </si>
  <si>
    <t>Melting_Curves/meltCurve_sp_P01023_A2MG_HUMAN_.pdf</t>
  </si>
  <si>
    <t>Melting_Curves/meltCurve_sp_P01024_CO3_HUMAN_.pdf</t>
  </si>
  <si>
    <t>Melting_Curves/meltCurve_sp_P01034_CYTC_HUMAN_.pdf</t>
  </si>
  <si>
    <t>Melting_Curves/meltCurve_sp_P01040_CYTA_HUMAN_.pdf</t>
  </si>
  <si>
    <t>Melting_Curves/meltCurve_sp_P01042_2_KNG1_HUMAN_.pdf</t>
  </si>
  <si>
    <t>Melting_Curves/meltCurve_sp_P01111_RASN_HUMAN_.pdf</t>
  </si>
  <si>
    <t>Melting_Curves/meltCurve_sp_P01116_2_RASK_HUMAN_.pdf</t>
  </si>
  <si>
    <t>Melting_Curves/meltCurve_sp_P01116_RASK_HUMAN_.pdf</t>
  </si>
  <si>
    <t>Melting_Curves/meltCurve_sp_P01598_KV106_HUMAN_.pdf</t>
  </si>
  <si>
    <t>Melting_Curves/meltCurve_sp_P01608_KV116_HUMAN_.pdf</t>
  </si>
  <si>
    <t>Melting_Curves/meltCurve_sp_P01617_KV204_HUMAN_.pdf</t>
  </si>
  <si>
    <t>Melting_Curves/meltCurve_sp_P01743_HV102_HUMAN_.pdf</t>
  </si>
  <si>
    <t>Melting_Curves/meltCurve_sp_P01764_HV303_HUMAN_.pdf</t>
  </si>
  <si>
    <t>Melting_Curves/meltCurve_sp_P01766_HV305_HUMAN_.pdf</t>
  </si>
  <si>
    <t>Melting_Curves/meltCurve_sp_P01834_IGKC_HUMAN_.pdf</t>
  </si>
  <si>
    <t>Melting_Curves/meltCurve_sp_P01857_IGHG1_HUMAN_.pdf</t>
  </si>
  <si>
    <t>Melting_Curves/meltCurve_sp_P01859_IGHG2_HUMAN_.pdf</t>
  </si>
  <si>
    <t>Melting_Curves/meltCurve_sp_P01860_IGHG3_HUMAN_.pdf</t>
  </si>
  <si>
    <t>Melting_Curves/meltCurve_sp_P01871_IGHM_HUMAN_.pdf</t>
  </si>
  <si>
    <t>Melting_Curves/meltCurve_sp_P01876_IGHA1_HUMAN_.pdf</t>
  </si>
  <si>
    <t>Melting_Curves/meltCurve_sp_P01877_IGHA2_HUMAN_.pdf</t>
  </si>
  <si>
    <t>Melting_Curves/meltCurve_sp_P02008_HBAZ_HUMAN_.pdf</t>
  </si>
  <si>
    <t>Melting_Curves/meltCurve_sp_P02452_CO1A1_HUMAN_.pdf</t>
  </si>
  <si>
    <t>Melting_Curves/meltCurve_sp_P02458_3_CO2A1_HUMAN_.pdf</t>
  </si>
  <si>
    <t>Melting_Curves/meltCurve_sp_P02462_CO4A1_HUMAN_.pdf</t>
  </si>
  <si>
    <t>Melting_Curves/meltCurve_sp_P02533_K1C14_HUMAN_.pdf</t>
  </si>
  <si>
    <t>Melting_Curves/meltCurve_sp_P02538_K2C6A_HUMAN_.pdf</t>
  </si>
  <si>
    <t>Melting_Curves/meltCurve_sp_P02545_LMNA_HUMAN_.pdf</t>
  </si>
  <si>
    <t>Melting_Curves/meltCurve_sp_P02647_APOA1_HUMAN_.pdf</t>
  </si>
  <si>
    <t>Melting_Curves/meltCurve_sp_P02649_APOE_HUMAN_.pdf</t>
  </si>
  <si>
    <t>Melting_Curves/meltCurve_sp_P02652_APOA2_HUMAN_.pdf</t>
  </si>
  <si>
    <t>Melting_Curves/meltCurve_sp_P02656_APOC3_HUMAN_.pdf</t>
  </si>
  <si>
    <t>Melting_Curves/meltCurve_sp_P02671_2_FIBA_HUMAN_.pdf</t>
  </si>
  <si>
    <t>Melting_Curves/meltCurve_sp_P02675_FIBB_HUMAN_.pdf</t>
  </si>
  <si>
    <t>Melting_Curves/meltCurve_sp_P02679_2_FIBG_HUMAN_.pdf</t>
  </si>
  <si>
    <t>Melting_Curves/meltCurve_sp_P02743_SAMP_HUMAN_.pdf</t>
  </si>
  <si>
    <t>Melting_Curves/meltCurve_sp_P02748_CO9_HUMAN_.pdf</t>
  </si>
  <si>
    <t>Melting_Curves/meltCurve_sp_P02749_APOH_HUMAN_.pdf</t>
  </si>
  <si>
    <t>Melting_Curves/meltCurve_sp_P02750_A2GL_HUMAN_.pdf</t>
  </si>
  <si>
    <t>Melting_Curves/meltCurve_sp_P02751_10_FINC_HUMAN_.pdf</t>
  </si>
  <si>
    <t>Melting_Curves/meltCurve_sp_P02760_AMBP_HUMAN_.pdf</t>
  </si>
  <si>
    <t>Melting_Curves/meltCurve_sp_P02763_A1AG1_HUMAN_.pdf</t>
  </si>
  <si>
    <t>Melting_Curves/meltCurve_sp_P02765_FETUA_HUMAN_.pdf</t>
  </si>
  <si>
    <t>Melting_Curves/meltCurve_sp_P02766_TTHY_HUMAN_.pdf</t>
  </si>
  <si>
    <t>Melting_Curves/meltCurve_sp_P02771_FETA_HUMAN_.pdf</t>
  </si>
  <si>
    <t>Melting_Curves/meltCurve_sp_P02774_VTDB_HUMAN_.pdf</t>
  </si>
  <si>
    <t>Melting_Curves/meltCurve_sp_P02790_HEMO_HUMAN_.pdf</t>
  </si>
  <si>
    <t>Melting_Curves/meltCurve_sp_P02792_FRIL_HUMAN_.pdf</t>
  </si>
  <si>
    <t>Melting_Curves/meltCurve_sp_P02794_FRIH_HUMAN_.pdf</t>
  </si>
  <si>
    <t>Melting_Curves/meltCurve_sp_P02795_MT2_HUMAN_.pdf</t>
  </si>
  <si>
    <t>Melting_Curves/meltCurve_sp_P03950_ANGI_HUMAN_.pdf</t>
  </si>
  <si>
    <t>Melting_Curves/meltCurve_sp_P03952_KLKB1_HUMAN_.pdf</t>
  </si>
  <si>
    <t>Melting_Curves/meltCurve_sp_P04003_C4BPA_HUMAN_.pdf</t>
  </si>
  <si>
    <t>Melting_Curves/meltCurve_sp_P04004_VTNC_HUMAN_.pdf</t>
  </si>
  <si>
    <t>Melting_Curves/meltCurve_sp_P04066_FUCO_HUMAN_.pdf</t>
  </si>
  <si>
    <t>Melting_Curves/meltCurve_sp_P04080_CYTB_HUMAN_.pdf</t>
  </si>
  <si>
    <t>Melting_Curves/meltCurve_sp_P04114_APOB_HUMAN_.pdf</t>
  </si>
  <si>
    <t>Melting_Curves/meltCurve_sp_P04150_7_GCR_HUMAN_.pdf</t>
  </si>
  <si>
    <t>Melting_Curves/meltCurve_sp_P04179_SODM_HUMAN_.pdf</t>
  </si>
  <si>
    <t>Melting_Curves/meltCurve_sp_P04181_OAT_HUMAN_.pdf</t>
  </si>
  <si>
    <t>Melting_Curves/meltCurve_sp_P04196_HRG_HUMAN_.pdf</t>
  </si>
  <si>
    <t>Melting_Curves/meltCurve_sp_P04206_KV307_HUMAN_.pdf</t>
  </si>
  <si>
    <t>Melting_Curves/meltCurve_sp_P04217_A1BG_HUMAN_.pdf</t>
  </si>
  <si>
    <t>Melting_Curves/meltCurve_sp_P04259_K2C6B_HUMAN_.pdf</t>
  </si>
  <si>
    <t>Melting_Curves/meltCurve_sp_P04264_K2C1_HUMAN_.pdf</t>
  </si>
  <si>
    <t>Melting_Curves/meltCurve_sp_P04275_VWF_HUMAN_.pdf</t>
  </si>
  <si>
    <t>Melting_Curves/meltCurve_sp_P04406_G3P_HUMAN_.pdf</t>
  </si>
  <si>
    <t>Melting_Curves/meltCurve_sp_P04424_ARLY_HUMAN_.pdf</t>
  </si>
  <si>
    <t>Melting_Curves/meltCurve_sp_P04632_CPNS1_HUMAN_.pdf</t>
  </si>
  <si>
    <t>Melting_Curves/meltCurve_sp_P04731_MT1A_HUMAN_.pdf</t>
  </si>
  <si>
    <t>Melting_Curves/meltCurve_sp_P04732_MT1E_HUMAN_.pdf</t>
  </si>
  <si>
    <t>Melting_Curves/meltCurve_sp_P04733_MT1F_HUMAN_.pdf</t>
  </si>
  <si>
    <t>Melting_Curves/meltCurve_sp_P04792_HSPB1_HUMAN_.pdf</t>
  </si>
  <si>
    <t>Melting_Curves/meltCurve_sp_P04843_RPN1_HUMAN_.pdf</t>
  </si>
  <si>
    <t>Melting_Curves/meltCurve_sp_P04899_GNAI2_HUMAN_.pdf</t>
  </si>
  <si>
    <t>Melting_Curves/meltCurve_sp_P05023_3_AT1A1_HUMAN_.pdf</t>
  </si>
  <si>
    <t>Melting_Curves/meltCurve_sp_P05062_ALDOB_HUMAN_.pdf</t>
  </si>
  <si>
    <t>Melting_Curves/meltCurve_sp_P05089_ARGI1_HUMAN_.pdf</t>
  </si>
  <si>
    <t>Melting_Curves/meltCurve_sp_P05090_APOD_HUMAN_.pdf</t>
  </si>
  <si>
    <t>Melting_Curves/meltCurve_sp_P05091_ALDH2_HUMAN_.pdf</t>
  </si>
  <si>
    <t>Melting_Curves/meltCurve_sp_P05109_S10A8_HUMAN_.pdf</t>
  </si>
  <si>
    <t>Melting_Curves/meltCurve_sp_P05114_HMGN1_HUMAN_.pdf</t>
  </si>
  <si>
    <t>Melting_Curves/meltCurve_sp_P05141_ADT2_HUMAN_.pdf</t>
  </si>
  <si>
    <t>Melting_Curves/meltCurve_sp_P05154_IPSP_HUMAN_.pdf</t>
  </si>
  <si>
    <t>Melting_Curves/meltCurve_sp_P05155_IC1_HUMAN_.pdf</t>
  </si>
  <si>
    <t>Melting_Curves/meltCurve_sp_P05161_ISG15_HUMAN_.pdf</t>
  </si>
  <si>
    <t>Melting_Curves/meltCurve_sp_P05164_2_PERM_HUMAN_.pdf</t>
  </si>
  <si>
    <t>Melting_Curves/meltCurve_sp_P05165_PCCA_HUMAN_.pdf</t>
  </si>
  <si>
    <t>Melting_Curves/meltCurve_sp_P05166_PCCB_HUMAN_.pdf</t>
  </si>
  <si>
    <t>Melting_Curves/meltCurve_sp_P05177_CP1A2_HUMAN_.pdf</t>
  </si>
  <si>
    <t>Melting_Curves/meltCurve_sp_P05181_CP2E1_HUMAN_.pdf</t>
  </si>
  <si>
    <t>Melting_Curves/meltCurve_sp_P05186_PPBT_HUMAN_.pdf</t>
  </si>
  <si>
    <t>Melting_Curves/meltCurve_sp_P05198_IF2A_HUMAN_.pdf</t>
  </si>
  <si>
    <t>Melting_Curves/meltCurve_sp_P05204_HMGN2_HUMAN_.pdf</t>
  </si>
  <si>
    <t>Melting_Curves/meltCurve_sp_P05387_RLA2_HUMAN_.pdf</t>
  </si>
  <si>
    <t>Melting_Curves/meltCurve_sp_P05455_LA_HUMAN_.pdf</t>
  </si>
  <si>
    <t>Melting_Curves/meltCurve_sp_P05543_THBG_HUMAN_.pdf</t>
  </si>
  <si>
    <t>Melting_Curves/meltCurve_sp_P05546_HEP2_HUMAN_.pdf</t>
  </si>
  <si>
    <t>Melting_Curves/meltCurve_sp_P05556_ITB1_HUMAN_.pdf</t>
  </si>
  <si>
    <t>Melting_Curves/meltCurve_sp_P05783_K1C18_HUMAN_.pdf</t>
  </si>
  <si>
    <t>Melting_Curves/meltCurve_sp_P05787_K2C8_HUMAN_.pdf</t>
  </si>
  <si>
    <t>Melting_Curves/meltCurve_sp_P05976_2_MYL1_HUMAN_.pdf</t>
  </si>
  <si>
    <t>Melting_Curves/meltCurve_sp_P06132_DCUP_HUMAN_.pdf</t>
  </si>
  <si>
    <t>Melting_Curves/meltCurve_sp_P06133_UD2B4_HUMAN_.pdf</t>
  </si>
  <si>
    <t>Melting_Curves/meltCurve_sp_P06280_AGAL_HUMAN_.pdf</t>
  </si>
  <si>
    <t>Melting_Curves/meltCurve_sp_P06576_ATPB_HUMAN_.pdf</t>
  </si>
  <si>
    <t>Melting_Curves/meltCurve_sp_P06681_CO2_HUMAN_.pdf</t>
  </si>
  <si>
    <t>Melting_Curves/meltCurve_sp_P06702_S10A9_HUMAN_.pdf</t>
  </si>
  <si>
    <t>Melting_Curves/meltCurve_sp_P06727_APOA4_HUMAN_.pdf</t>
  </si>
  <si>
    <t>Melting_Curves/meltCurve_sp_P06730_IF4E_HUMAN_.pdf</t>
  </si>
  <si>
    <t>Melting_Curves/meltCurve_sp_P06733_ENOA_HUMAN_.pdf</t>
  </si>
  <si>
    <t>Melting_Curves/meltCurve_sp_P06737_PYGL_HUMAN_.pdf</t>
  </si>
  <si>
    <t>Melting_Curves/meltCurve_sp_P06744_G6PI_HUMAN_.pdf</t>
  </si>
  <si>
    <t>Melting_Curves/meltCurve_sp_P06748_NPM_HUMAN_.pdf</t>
  </si>
  <si>
    <t>Melting_Curves/meltCurve_sp_P06753_2_TPM3_HUMAN_.pdf</t>
  </si>
  <si>
    <t>Melting_Curves/meltCurve_sp_P06865_HEXA_HUMAN_.pdf</t>
  </si>
  <si>
    <t>Melting_Curves/meltCurve_sp_P07099_HYEP_HUMAN_.pdf</t>
  </si>
  <si>
    <t>Melting_Curves/meltCurve_sp_P07108_ACBP_HUMAN_.pdf</t>
  </si>
  <si>
    <t>Melting_Curves/meltCurve_sp_P07148_FABPL_HUMAN_.pdf</t>
  </si>
  <si>
    <t>Melting_Curves/meltCurve_sp_P07195_LDHB_HUMAN_.pdf</t>
  </si>
  <si>
    <t>Melting_Curves/meltCurve_sp_P07203_GPX1_HUMAN_.pdf</t>
  </si>
  <si>
    <t>Melting_Curves/meltCurve_sp_P07205_PGK2_HUMAN_.pdf</t>
  </si>
  <si>
    <t>Melting_Curves/meltCurve_sp_P07237_PDIA1_HUMAN_.pdf</t>
  </si>
  <si>
    <t>Melting_Curves/meltCurve_sp_P07305_H10_HUMAN_.pdf</t>
  </si>
  <si>
    <t>Melting_Curves/meltCurve_sp_P07306_2_ASGR1_HUMAN_.pdf</t>
  </si>
  <si>
    <t>Melting_Curves/meltCurve_sp_P07307_3_ASGR2_HUMAN_.pdf</t>
  </si>
  <si>
    <t>Melting_Curves/meltCurve_sp_P07327_ADH1A_HUMAN_.pdf</t>
  </si>
  <si>
    <t>Melting_Curves/meltCurve_sp_P07332_3_FES_HUMAN_.pdf</t>
  </si>
  <si>
    <t>Melting_Curves/meltCurve_sp_P07355_ANXA2_HUMAN_.pdf</t>
  </si>
  <si>
    <t>Melting_Curves/meltCurve_sp_P07357_CO8A_HUMAN_.pdf</t>
  </si>
  <si>
    <t>Melting_Curves/meltCurve_sp_P07360_CO8G_HUMAN_.pdf</t>
  </si>
  <si>
    <t>Melting_Curves/meltCurve_sp_P07384_CAN1_HUMAN_.pdf</t>
  </si>
  <si>
    <t>Melting_Curves/meltCurve_sp_P07438_MT1B_HUMAN_.pdf</t>
  </si>
  <si>
    <t>Melting_Curves/meltCurve_sp_P07602_SAP_HUMAN_.pdf</t>
  </si>
  <si>
    <t>Melting_Curves/meltCurve_sp_P07686_HEXB_HUMAN_.pdf</t>
  </si>
  <si>
    <t>Melting_Curves/meltCurve_sp_P07711_CATL1_HUMAN_.pdf</t>
  </si>
  <si>
    <t>Melting_Curves/meltCurve_sp_P07737_PROF1_HUMAN_.pdf</t>
  </si>
  <si>
    <t>Melting_Curves/meltCurve_sp_P07738_PMGE_HUMAN_.pdf</t>
  </si>
  <si>
    <t>Melting_Curves/meltCurve_sp_P07741_APT_HUMAN_.pdf</t>
  </si>
  <si>
    <t>Melting_Curves/meltCurve_sp_P07814_SYEP_HUMAN_.pdf</t>
  </si>
  <si>
    <t>Melting_Curves/meltCurve_sp_P07858_CATB_HUMAN_.pdf</t>
  </si>
  <si>
    <t>Melting_Curves/meltCurve_sp_P07900_HS90A_HUMAN_.pdf</t>
  </si>
  <si>
    <t>Melting_Curves/meltCurve_sp_P07902_GALT_HUMAN_.pdf</t>
  </si>
  <si>
    <t>Melting_Curves/meltCurve_sp_P07919_QCR6_HUMAN_.pdf</t>
  </si>
  <si>
    <t>Melting_Curves/meltCurve_sp_P07947_YES_HUMAN_.pdf</t>
  </si>
  <si>
    <t>Melting_Curves/meltCurve_sp_P07948_2_LYN_HUMAN_.pdf</t>
  </si>
  <si>
    <t>Melting_Curves/meltCurve_sp_P07954_2_FUMH_HUMAN_.pdf</t>
  </si>
  <si>
    <t>Melting_Curves/meltCurve_sp_P07996_TSP1_HUMAN_.pdf</t>
  </si>
  <si>
    <t>Melting_Curves/meltCurve_sp_P08107_HSP71_HUMAN_.pdf</t>
  </si>
  <si>
    <t>Melting_Curves/meltCurve_sp_P08123_CO1A2_HUMAN_.pdf</t>
  </si>
  <si>
    <t>Melting_Curves/meltCurve_sp_P08133_ANXA6_HUMAN_.pdf</t>
  </si>
  <si>
    <t>Melting_Curves/meltCurve_sp_P08185_CBG_HUMAN_.pdf</t>
  </si>
  <si>
    <t>Melting_Curves/meltCurve_sp_P08236_2_BGLR_HUMAN_.pdf</t>
  </si>
  <si>
    <t>Melting_Curves/meltCurve_sp_P08238_HS90B_HUMAN_.pdf</t>
  </si>
  <si>
    <t>Melting_Curves/meltCurve_sp_P08240_2_SRPR_HUMAN_.pdf</t>
  </si>
  <si>
    <t>Melting_Curves/meltCurve_sp_P08294_SODE_HUMAN_.pdf</t>
  </si>
  <si>
    <t>Melting_Curves/meltCurve_sp_P08319_ADH4_HUMAN_.pdf</t>
  </si>
  <si>
    <t>Melting_Curves/meltCurve_sp_P08397_2_HEM3_HUMAN_.pdf</t>
  </si>
  <si>
    <t>Melting_Curves/meltCurve_sp_P08519_APOA_HUMAN_.pdf</t>
  </si>
  <si>
    <t>Melting_Curves/meltCurve_sp_P08559_3_ODPA_HUMAN_.pdf</t>
  </si>
  <si>
    <t>Melting_Curves/meltCurve_sp_P08567_PLEK_HUMAN_.pdf</t>
  </si>
  <si>
    <t>Melting_Curves/meltCurve_sp_P08571_CD14_HUMAN_.pdf</t>
  </si>
  <si>
    <t>Melting_Curves/meltCurve_sp_P08572_CO4A2_HUMAN_.pdf</t>
  </si>
  <si>
    <t>Melting_Curves/meltCurve_sp_P08579_RU2B_HUMAN_.pdf</t>
  </si>
  <si>
    <t>Melting_Curves/meltCurve_sp_P08581_MET_HUMAN_.pdf</t>
  </si>
  <si>
    <t>Melting_Curves/meltCurve_sp_P08603_CFAH_HUMAN_.pdf</t>
  </si>
  <si>
    <t>Melting_Curves/meltCurve_sp_P08621_2_RU17_HUMAN_.pdf</t>
  </si>
  <si>
    <t>Melting_Curves/meltCurve_sp_P08651_2_NFIC_HUMAN_.pdf</t>
  </si>
  <si>
    <t>Melting_Curves/meltCurve_sp_P08670_VIME_HUMAN_.pdf</t>
  </si>
  <si>
    <t>Melting_Curves/meltCurve_sp_P08684_CP3A4_HUMAN_.pdf</t>
  </si>
  <si>
    <t>Melting_Curves/meltCurve_sp_P08697_A2AP_HUMAN_.pdf</t>
  </si>
  <si>
    <t>Melting_Curves/meltCurve_sp_P08727_K1C19_HUMAN_.pdf</t>
  </si>
  <si>
    <t>Melting_Curves/meltCurve_sp_P08729_K2C7_HUMAN_.pdf</t>
  </si>
  <si>
    <t>Melting_Curves/meltCurve_sp_P08754_GNAI3_HUMAN_.pdf</t>
  </si>
  <si>
    <t>Melting_Curves/meltCurve_sp_P08779_K1C16_HUMAN_.pdf</t>
  </si>
  <si>
    <t>Melting_Curves/meltCurve_sp_P09012_SNRPA_HUMAN_.pdf</t>
  </si>
  <si>
    <t>Melting_Curves/meltCurve_sp_P09110_THIK_HUMAN_.pdf</t>
  </si>
  <si>
    <t>Melting_Curves/meltCurve_sp_P09132_SRP19_HUMAN_.pdf</t>
  </si>
  <si>
    <t>Melting_Curves/meltCurve_sp_P09210_GSTA2_HUMAN_.pdf</t>
  </si>
  <si>
    <t>Melting_Curves/meltCurve_sp_P09234_RU1C_HUMAN_.pdf</t>
  </si>
  <si>
    <t>Melting_Curves/meltCurve_sp_P09327_VILI_HUMAN_.pdf</t>
  </si>
  <si>
    <t>Melting_Curves/meltCurve_sp_P09382_LEG1_HUMAN_.pdf</t>
  </si>
  <si>
    <t>Melting_Curves/meltCurve_sp_P09417_DHPR_HUMAN_.pdf</t>
  </si>
  <si>
    <t>Melting_Curves/meltCurve_sp_P09429_HMGB1_HUMAN_.pdf</t>
  </si>
  <si>
    <t>Melting_Curves/meltCurve_sp_P09467_F16P1_HUMAN_.pdf</t>
  </si>
  <si>
    <t>Melting_Curves/meltCurve_sp_P09493_3_TPM1_HUMAN_.pdf</t>
  </si>
  <si>
    <t>Melting_Curves/meltCurve_sp_P09496_2_CLCA_HUMAN_.pdf</t>
  </si>
  <si>
    <t>Melting_Curves/meltCurve_sp_P09497_2_CLCB_HUMAN_.pdf</t>
  </si>
  <si>
    <t>Melting_Curves/meltCurve_sp_P09525_ANXA4_HUMAN_.pdf</t>
  </si>
  <si>
    <t>Melting_Curves/meltCurve_sp_P09543_2_CN37_HUMAN_.pdf</t>
  </si>
  <si>
    <t>Melting_Curves/meltCurve_sp_P09601_HMOX1_HUMAN_.pdf</t>
  </si>
  <si>
    <t>Melting_Curves/meltCurve_sp_P09622_DLDH_HUMAN_.pdf</t>
  </si>
  <si>
    <t>Melting_Curves/meltCurve_sp_P09651_3_ROA1_HUMAN_.pdf</t>
  </si>
  <si>
    <t>Melting_Curves/meltCurve_sp_P09661_RU2A_HUMAN_.pdf</t>
  </si>
  <si>
    <t>Melting_Curves/meltCurve_sp_P09668_CATH_HUMAN_.pdf</t>
  </si>
  <si>
    <t>Melting_Curves/meltCurve_sp_P09871_C1S_HUMAN_.pdf</t>
  </si>
  <si>
    <t>Melting_Curves/meltCurve_sp_P09874_PARP1_HUMAN_.pdf</t>
  </si>
  <si>
    <t>Melting_Curves/meltCurve_sp_P09913_IFIT2_HUMAN_.pdf</t>
  </si>
  <si>
    <t>Melting_Curves/meltCurve_sp_P09960_LKHA4_HUMAN_.pdf</t>
  </si>
  <si>
    <t>Melting_Curves/meltCurve_sp_P09972_ALDOC_HUMAN_.pdf</t>
  </si>
  <si>
    <t>Melting_Curves/meltCurve_sp_P0C0L5_CO4B_HUMAN_.pdf</t>
  </si>
  <si>
    <t>Melting_Curves/meltCurve_sp_P0C7P0_CISD3_HUMAN_.pdf</t>
  </si>
  <si>
    <t>Melting_Curves/meltCurve_sp_P0C7T5_ATX1L_HUMAN_.pdf</t>
  </si>
  <si>
    <t>Melting_Curves/meltCurve_sp_P0C7U0_ELFN1_HUMAN_.pdf</t>
  </si>
  <si>
    <t>Melting_Curves/meltCurve_sp_P0C870_JMJD7_HUMAN_.pdf</t>
  </si>
  <si>
    <t>Melting_Curves/meltCurve_sp_P0CAP1_11_MYZAP_HUMAN_.pdf</t>
  </si>
  <si>
    <t>Melting_Curves/meltCurve_sp_P0CG05_LAC2_HUMAN_.pdf</t>
  </si>
  <si>
    <t>Melting_Curves/meltCurve_sp_P0CW22_RS17L_HUMAN_.pdf</t>
  </si>
  <si>
    <t>Melting_Curves/meltCurve_sp_P0DI82_TPC2B_HUMAN_.pdf</t>
  </si>
  <si>
    <t>Melting_Curves/meltCurve_sp_P0DJI8_SAA1_HUMAN_.pdf</t>
  </si>
  <si>
    <t>Melting_Curves/meltCurve_sp_P10109_ADX_HUMAN_.pdf</t>
  </si>
  <si>
    <t>Melting_Curves/meltCurve_sp_P10153_RNAS2_HUMAN_.pdf</t>
  </si>
  <si>
    <t>Melting_Curves/meltCurve_sp_P10155_RO60_HUMAN_.pdf</t>
  </si>
  <si>
    <t>Melting_Curves/meltCurve_sp_P10253_LYAG_HUMAN_.pdf</t>
  </si>
  <si>
    <t>Melting_Curves/meltCurve_sp_P10301_RRAS_HUMAN_.pdf</t>
  </si>
  <si>
    <t>Melting_Curves/meltCurve_sp_P10398_ARAF_HUMAN_.pdf</t>
  </si>
  <si>
    <t>Melting_Curves/meltCurve_sp_P10412_H14_HUMAN_.pdf</t>
  </si>
  <si>
    <t>Melting_Curves/meltCurve_sp_P10515_ODP2_HUMAN_.pdf</t>
  </si>
  <si>
    <t>Melting_Curves/meltCurve_sp_P10586_2_PTPRF_HUMAN_.pdf</t>
  </si>
  <si>
    <t>Melting_Curves/meltCurve_sp_P10588_NR2F6_HUMAN_.pdf</t>
  </si>
  <si>
    <t>Melting_Curves/meltCurve_sp_P10606_COX5B_HUMAN_.pdf</t>
  </si>
  <si>
    <t>Melting_Curves/meltCurve_sp_P10619_PPGB_HUMAN_.pdf</t>
  </si>
  <si>
    <t>Melting_Curves/meltCurve_sp_P10632_CP2C8_HUMAN_.pdf</t>
  </si>
  <si>
    <t>Melting_Curves/meltCurve_sp_P10635_CP2D6_HUMAN_.pdf</t>
  </si>
  <si>
    <t>Melting_Curves/meltCurve_sp_P10643_CO7_HUMAN_.pdf</t>
  </si>
  <si>
    <t>Melting_Curves/meltCurve_sp_P10644_KAP0_HUMAN_.pdf</t>
  </si>
  <si>
    <t>Melting_Curves/meltCurve_sp_P10746_HEM4_HUMAN_.pdf</t>
  </si>
  <si>
    <t>Melting_Curves/meltCurve_sp_P10768_ESTD_HUMAN_.pdf</t>
  </si>
  <si>
    <t>Melting_Curves/meltCurve_sp_P10809_CH60_HUMAN_.pdf</t>
  </si>
  <si>
    <t>Melting_Curves/meltCurve_sp_P10909_4_CLUS_HUMAN_.pdf</t>
  </si>
  <si>
    <t>Melting_Curves/meltCurve_sp_P11021_GRP78_HUMAN_.pdf</t>
  </si>
  <si>
    <t>Melting_Curves/meltCurve_sp_P11047_LAMC1_HUMAN_.pdf</t>
  </si>
  <si>
    <t>Melting_Curves/meltCurve_sp_P11142_HSP7C_HUMAN_.pdf</t>
  </si>
  <si>
    <t>Melting_Curves/meltCurve_sp_P11171_4_41_HUMAN_.pdf</t>
  </si>
  <si>
    <t>Melting_Curves/meltCurve_sp_P11172_UMPS_HUMAN_.pdf</t>
  </si>
  <si>
    <t>Melting_Curves/meltCurve_sp_P11177_2_ODPB_HUMAN_.pdf</t>
  </si>
  <si>
    <t>Melting_Curves/meltCurve_sp_P11182_ODB2_HUMAN_.pdf</t>
  </si>
  <si>
    <t>Melting_Curves/meltCurve_sp_P11216_PYGB_HUMAN_.pdf</t>
  </si>
  <si>
    <t>Melting_Curves/meltCurve_sp_P11226_MBL2_HUMAN_.pdf</t>
  </si>
  <si>
    <t>Melting_Curves/meltCurve_sp_P11245_ARY2_HUMAN_.pdf</t>
  </si>
  <si>
    <t>Melting_Curves/meltCurve_sp_P11274_2_BCR_HUMAN_.pdf</t>
  </si>
  <si>
    <t>Melting_Curves/meltCurve_sp_P11279_LAMP1_HUMAN_.pdf</t>
  </si>
  <si>
    <t>Melting_Curves/meltCurve_sp_P11310_ACADM_HUMAN_.pdf</t>
  </si>
  <si>
    <t>Melting_Curves/meltCurve_sp_P11387_TOP1_HUMAN_.pdf</t>
  </si>
  <si>
    <t>Melting_Curves/meltCurve_sp_P11413_G6PD_HUMAN_.pdf</t>
  </si>
  <si>
    <t>Melting_Curves/meltCurve_sp_P11441_UBL4A_HUMAN_.pdf</t>
  </si>
  <si>
    <t>Melting_Curves/meltCurve_sp_P11498_PYC_HUMAN_.pdf</t>
  </si>
  <si>
    <t>Melting_Curves/meltCurve_sp_P11509_CP2A6_HUMAN_.pdf</t>
  </si>
  <si>
    <t>Melting_Curves/meltCurve_sp_P11532_3_DMD_HUMAN_.pdf</t>
  </si>
  <si>
    <t>Melting_Curves/meltCurve_sp_P11586_C1TC_HUMAN_.pdf</t>
  </si>
  <si>
    <t>Melting_Curves/meltCurve_sp_P11712_CP2C9_HUMAN_.pdf</t>
  </si>
  <si>
    <t>Melting_Curves/meltCurve_sp_P11717_MPRI_HUMAN_.pdf</t>
  </si>
  <si>
    <t>Melting_Curves/meltCurve_sp_P11766_ADHX_HUMAN_.pdf</t>
  </si>
  <si>
    <t>Melting_Curves/meltCurve_sp_P11802_CDK4_HUMAN_.pdf</t>
  </si>
  <si>
    <t>Melting_Curves/meltCurve_sp_P11908_PRPS2_HUMAN_.pdf</t>
  </si>
  <si>
    <t>Melting_Curves/meltCurve_sp_P11940_PABP1_HUMAN_.pdf</t>
  </si>
  <si>
    <t>Melting_Curves/meltCurve_sp_P12004_PCNA_HUMAN_.pdf</t>
  </si>
  <si>
    <t>Melting_Curves/meltCurve_sp_P12109_CO6A1_HUMAN_.pdf</t>
  </si>
  <si>
    <t>Melting_Curves/meltCurve_sp_P12270_TPR_HUMAN_.pdf</t>
  </si>
  <si>
    <t>Melting_Curves/meltCurve_sp_P12694_ODBA_HUMAN_.pdf</t>
  </si>
  <si>
    <t>Melting_Curves/meltCurve_sp_P12724_ECP_HUMAN_.pdf</t>
  </si>
  <si>
    <t>Melting_Curves/meltCurve_sp_P12814_ACTN1_HUMAN_.pdf</t>
  </si>
  <si>
    <t>Melting_Curves/meltCurve_sp_P12931_SRC_HUMAN_.pdf</t>
  </si>
  <si>
    <t>Melting_Curves/meltCurve_sp_P12955_PEPD_HUMAN_.pdf</t>
  </si>
  <si>
    <t>Melting_Curves/meltCurve_sp_P12956_XRCC6_HUMAN_.pdf</t>
  </si>
  <si>
    <t>Melting_Curves/meltCurve_sp_P13010_XRCC5_HUMAN_.pdf</t>
  </si>
  <si>
    <t>Melting_Curves/meltCurve_sp_P13073_COX41_HUMAN_.pdf</t>
  </si>
  <si>
    <t>Melting_Curves/meltCurve_sp_P13196_HEM1_HUMAN_.pdf</t>
  </si>
  <si>
    <t>Melting_Curves/meltCurve_sp_P13284_GILT_HUMAN_.pdf</t>
  </si>
  <si>
    <t>Melting_Curves/meltCurve_sp_P13473_LAMP2_HUMAN_.pdf</t>
  </si>
  <si>
    <t>Melting_Curves/meltCurve_sp_P13489_RINI_HUMAN_.pdf</t>
  </si>
  <si>
    <t>Melting_Curves/meltCurve_sp_P13498_CY24A_HUMAN_.pdf</t>
  </si>
  <si>
    <t>Melting_Curves/meltCurve_sp_P13639_EF2_HUMAN_.pdf</t>
  </si>
  <si>
    <t>Melting_Curves/meltCurve_sp_P13640_2_MT1G_HUMAN_.pdf</t>
  </si>
  <si>
    <t>Melting_Curves/meltCurve_sp_P13640_MT1G_HUMAN_.pdf</t>
  </si>
  <si>
    <t>Melting_Curves/meltCurve_sp_P13647_K2C5_HUMAN_.pdf</t>
  </si>
  <si>
    <t>Melting_Curves/meltCurve_sp_P13667_PDIA4_HUMAN_.pdf</t>
  </si>
  <si>
    <t>Melting_Curves/meltCurve_sp_P13671_CO6_HUMAN_.pdf</t>
  </si>
  <si>
    <t>Melting_Curves/meltCurve_sp_P13674_2_P4HA1_HUMAN_.pdf</t>
  </si>
  <si>
    <t>Melting_Curves/meltCurve_sp_P13693_TCTP_HUMAN_.pdf</t>
  </si>
  <si>
    <t>Melting_Curves/meltCurve_sp_P13796_PLSL_HUMAN_.pdf</t>
  </si>
  <si>
    <t>Melting_Curves/meltCurve_sp_P13797_PLST_HUMAN_.pdf</t>
  </si>
  <si>
    <t>Melting_Curves/meltCurve_sp_P13798_ACPH_HUMAN_.pdf</t>
  </si>
  <si>
    <t>Melting_Curves/meltCurve_sp_P13804_ETFA_HUMAN_.pdf</t>
  </si>
  <si>
    <t>Melting_Curves/meltCurve_sp_P13861_KAP2_HUMAN_.pdf</t>
  </si>
  <si>
    <t>Melting_Curves/meltCurve_sp_P13929_ENOB_HUMAN_.pdf</t>
  </si>
  <si>
    <t>Melting_Curves/meltCurve_sp_P13984_T2FB_HUMAN_.pdf</t>
  </si>
  <si>
    <t>Melting_Curves/meltCurve_sp_P14174_MIF_HUMAN_.pdf</t>
  </si>
  <si>
    <t>Melting_Curves/meltCurve_sp_P14209_3_CD99_HUMAN_.pdf</t>
  </si>
  <si>
    <t>Melting_Curves/meltCurve_sp_P14210_3_HGF_HUMAN_.pdf</t>
  </si>
  <si>
    <t>Melting_Curves/meltCurve_sp_P14317_HCLS1_HUMAN_.pdf</t>
  </si>
  <si>
    <t>Melting_Curves/meltCurve_sp_P14324_2_FPPS_HUMAN_.pdf</t>
  </si>
  <si>
    <t>Melting_Curves/meltCurve_sp_P14543_NID1_HUMAN_.pdf</t>
  </si>
  <si>
    <t>Melting_Curves/meltCurve_sp_P14550_AK1A1_HUMAN_.pdf</t>
  </si>
  <si>
    <t>Melting_Curves/meltCurve_sp_P14618_KPYM_HUMAN_.pdf</t>
  </si>
  <si>
    <t>Melting_Curves/meltCurve_sp_P14621_ACYP2_HUMAN_.pdf</t>
  </si>
  <si>
    <t>Melting_Curves/meltCurve_sp_P14625_ENPL_HUMAN_.pdf</t>
  </si>
  <si>
    <t>Melting_Curves/meltCurve_sp_P14649_MYL6B_HUMAN_.pdf</t>
  </si>
  <si>
    <t>Melting_Curves/meltCurve_sp_P14735_IDE_HUMAN_.pdf</t>
  </si>
  <si>
    <t>Melting_Curves/meltCurve_sp_P14854_CX6B1_HUMAN_.pdf</t>
  </si>
  <si>
    <t>Melting_Curves/meltCurve_sp_P14866_HNRPL_HUMAN_.pdf</t>
  </si>
  <si>
    <t>Melting_Curves/meltCurve_sp_P14868_SYDC_HUMAN_.pdf</t>
  </si>
  <si>
    <t>Melting_Curves/meltCurve_sp_P14920_OXDA_HUMAN_.pdf</t>
  </si>
  <si>
    <t>Melting_Curves/meltCurve_sp_P14923_PLAK_HUMAN_.pdf</t>
  </si>
  <si>
    <t>Melting_Curves/meltCurve_sp_P15104_GLNA_HUMAN_.pdf</t>
  </si>
  <si>
    <t>Melting_Curves/meltCurve_sp_P15121_ALDR_HUMAN_.pdf</t>
  </si>
  <si>
    <t>Melting_Curves/meltCurve_sp_P15144_AMPN_HUMAN_.pdf</t>
  </si>
  <si>
    <t>Melting_Curves/meltCurve_sp_P15170_2_ERF3A_HUMAN_.pdf</t>
  </si>
  <si>
    <t>Melting_Curves/meltCurve_sp_P15289_2_ARSA_HUMAN_.pdf</t>
  </si>
  <si>
    <t>Melting_Curves/meltCurve_sp_P15289_ARSA_HUMAN_.pdf</t>
  </si>
  <si>
    <t>Melting_Curves/meltCurve_sp_P15311_EZRI_HUMAN_.pdf</t>
  </si>
  <si>
    <t>Melting_Curves/meltCurve_sp_P15336_3_ATF2_HUMAN_.pdf</t>
  </si>
  <si>
    <t>Melting_Curves/meltCurve_sp_P15374_UCHL3_HUMAN_.pdf</t>
  </si>
  <si>
    <t>Melting_Curves/meltCurve_sp_P15428_PGDH_HUMAN_.pdf</t>
  </si>
  <si>
    <t>Melting_Curves/meltCurve_sp_P15531_NDKA_HUMAN_.pdf</t>
  </si>
  <si>
    <t>Melting_Curves/meltCurve_sp_P15735_2_PHKG2_HUMAN_.pdf</t>
  </si>
  <si>
    <t>Melting_Curves/meltCurve_sp_P15848_ARSB_HUMAN_.pdf</t>
  </si>
  <si>
    <t>Melting_Curves/meltCurve_sp_P15907_SIAT1_HUMAN_.pdf</t>
  </si>
  <si>
    <t>Melting_Curves/meltCurve_sp_P15924_DESP_HUMAN_.pdf</t>
  </si>
  <si>
    <t>Melting_Curves/meltCurve_sp_P15927_RFA2_HUMAN_.pdf</t>
  </si>
  <si>
    <t>Melting_Curves/meltCurve_sp_P16112_3_PGCA_HUMAN_.pdf</t>
  </si>
  <si>
    <t>Melting_Curves/meltCurve_sp_P16118_F261_HUMAN_.pdf</t>
  </si>
  <si>
    <t>Melting_Curves/meltCurve_sp_P16152_CBR1_HUMAN_.pdf</t>
  </si>
  <si>
    <t>Melting_Curves/meltCurve_sp_P16219_ACADS_HUMAN_.pdf</t>
  </si>
  <si>
    <t>Melting_Curves/meltCurve_sp_P16220_3_CREB1_HUMAN_.pdf</t>
  </si>
  <si>
    <t>Melting_Curves/meltCurve_sp_P16278_3_BGAL_HUMAN_.pdf</t>
  </si>
  <si>
    <t>Melting_Curves/meltCurve_sp_P16298_3_PP2BB_HUMAN_.pdf</t>
  </si>
  <si>
    <t>Melting_Curves/meltCurve_sp_P16333_NCK1_HUMAN_.pdf</t>
  </si>
  <si>
    <t>Melting_Curves/meltCurve_sp_P16383_2_GCFC2_HUMAN_.pdf</t>
  </si>
  <si>
    <t>Melting_Curves/meltCurve_sp_P16401_H15_HUMAN_.pdf</t>
  </si>
  <si>
    <t>Melting_Curves/meltCurve_sp_P16435_NCPR_HUMAN_.pdf</t>
  </si>
  <si>
    <t>Melting_Curves/meltCurve_sp_P16455_MGMT_HUMAN_.pdf</t>
  </si>
  <si>
    <t>Melting_Curves/meltCurve_sp_P16662_UD2B7_HUMAN_.pdf</t>
  </si>
  <si>
    <t>Melting_Curves/meltCurve_sp_P16885_PLCG2_HUMAN_.pdf</t>
  </si>
  <si>
    <t>Melting_Curves/meltCurve_sp_P16930_FAAA_HUMAN_.pdf</t>
  </si>
  <si>
    <t>Melting_Curves/meltCurve_sp_P16949_STMN1_HUMAN_.pdf</t>
  </si>
  <si>
    <t>Melting_Curves/meltCurve_sp_P16989_2_YBOX3_HUMAN_.pdf</t>
  </si>
  <si>
    <t>Melting_Curves/meltCurve_sp_P17028_ZNF24_HUMAN_.pdf</t>
  </si>
  <si>
    <t>Melting_Curves/meltCurve_sp_P17029_ZKSC1_HUMAN_.pdf</t>
  </si>
  <si>
    <t>Melting_Curves/meltCurve_sp_P17050_NAGAB_HUMAN_.pdf</t>
  </si>
  <si>
    <t>Melting_Curves/meltCurve_sp_P17066_HSP76_HUMAN_.pdf</t>
  </si>
  <si>
    <t>Melting_Curves/meltCurve_sp_P17096_2_HMGA1_HUMAN_.pdf</t>
  </si>
  <si>
    <t>Melting_Curves/meltCurve_sp_P17174_AATC_HUMAN_.pdf</t>
  </si>
  <si>
    <t>Melting_Curves/meltCurve_sp_P17480_2_UBF1_HUMAN_.pdf</t>
  </si>
  <si>
    <t>Melting_Curves/meltCurve_sp_P17516_AK1C4_HUMAN_.pdf</t>
  </si>
  <si>
    <t>Melting_Curves/meltCurve_sp_P17544_5_ATF7_HUMAN_.pdf</t>
  </si>
  <si>
    <t>Melting_Curves/meltCurve_sp_P17612_KAPCA_HUMAN_.pdf</t>
  </si>
  <si>
    <t>Melting_Curves/meltCurve_sp_P17655_CAN2_HUMAN_.pdf</t>
  </si>
  <si>
    <t>Melting_Curves/meltCurve_sp_P17676_CEBPB_HUMAN_.pdf</t>
  </si>
  <si>
    <t>Melting_Curves/meltCurve_sp_P17735_ATTY_HUMAN_.pdf</t>
  </si>
  <si>
    <t>Melting_Curves/meltCurve_sp_P17812_PYRG1_HUMAN_.pdf</t>
  </si>
  <si>
    <t>Melting_Curves/meltCurve_sp_P17858_K6PL_HUMAN_.pdf</t>
  </si>
  <si>
    <t>Melting_Curves/meltCurve_sp_P17900_SAP3_HUMAN_.pdf</t>
  </si>
  <si>
    <t>Melting_Curves/meltCurve_sp_P17931_LEG3_HUMAN_.pdf</t>
  </si>
  <si>
    <t>Melting_Curves/meltCurve_sp_P17987_TCPA_HUMAN_.pdf</t>
  </si>
  <si>
    <t>Melting_Curves/meltCurve_sp_P18031_PTN1_HUMAN_.pdf</t>
  </si>
  <si>
    <t>Melting_Curves/meltCurve_sp_P18054_LOX12_HUMAN_.pdf</t>
  </si>
  <si>
    <t>Melting_Curves/meltCurve_sp_P18065_IBP2_HUMAN_.pdf</t>
  </si>
  <si>
    <t>Melting_Curves/meltCurve_sp_P18085_ARF4_HUMAN_.pdf</t>
  </si>
  <si>
    <t>Melting_Curves/meltCurve_sp_P18206_2_VINC_HUMAN_.pdf</t>
  </si>
  <si>
    <t>Melting_Curves/meltCurve_sp_P18283_GPX2_HUMAN_.pdf</t>
  </si>
  <si>
    <t>Melting_Curves/meltCurve_sp_P18428_LBP_HUMAN_.pdf</t>
  </si>
  <si>
    <t>Melting_Curves/meltCurve_sp_P18440_ARY1_HUMAN_.pdf</t>
  </si>
  <si>
    <t>Melting_Curves/meltCurve_sp_P18510_4_IL1RA_HUMAN_.pdf</t>
  </si>
  <si>
    <t>Melting_Curves/meltCurve_sp_P18583_6_SON_HUMAN_.pdf</t>
  </si>
  <si>
    <t>Melting_Curves/meltCurve_sp_P18615_NELFE_HUMAN_.pdf</t>
  </si>
  <si>
    <t>Melting_Curves/meltCurve_sp_P18669_PGAM1_HUMAN_.pdf</t>
  </si>
  <si>
    <t>Melting_Curves/meltCurve_sp_P18827_SDC1_HUMAN_.pdf</t>
  </si>
  <si>
    <t>Melting_Curves/meltCurve_sp_P18859_ATP5J_HUMAN_.pdf</t>
  </si>
  <si>
    <t>Melting_Curves/meltCurve_sp_P19105_ML12A_HUMAN_.pdf</t>
  </si>
  <si>
    <t>Melting_Curves/meltCurve_sp_P19174_PLCG1_HUMAN_.pdf</t>
  </si>
  <si>
    <t>Melting_Curves/meltCurve_sp_P19338_NUCL_HUMAN_.pdf</t>
  </si>
  <si>
    <t>Melting_Curves/meltCurve_sp_P19367_4_HXK1_HUMAN_.pdf</t>
  </si>
  <si>
    <t>Melting_Curves/meltCurve_sp_P19388_RPAB1_HUMAN_.pdf</t>
  </si>
  <si>
    <t>Melting_Curves/meltCurve_sp_P19404_NDUV2_HUMAN_.pdf</t>
  </si>
  <si>
    <t>Melting_Curves/meltCurve_sp_P19525_E2AK2_HUMAN_.pdf</t>
  </si>
  <si>
    <t>Melting_Curves/meltCurve_sp_P19623_SPEE_HUMAN_.pdf</t>
  </si>
  <si>
    <t>Melting_Curves/meltCurve_sp_P19652_A1AG2_HUMAN_.pdf</t>
  </si>
  <si>
    <t>Melting_Curves/meltCurve_sp_P19784_CSK22_HUMAN_.pdf</t>
  </si>
  <si>
    <t>Melting_Curves/meltCurve_sp_P19827_ITIH1_HUMAN_.pdf</t>
  </si>
  <si>
    <t>Melting_Curves/meltCurve_sp_P19838_NFKB1_HUMAN_.pdf</t>
  </si>
  <si>
    <t>Melting_Curves/meltCurve_sp_P19971_TYPH_HUMAN_.pdf</t>
  </si>
  <si>
    <t>Melting_Curves/meltCurve_sp_P20042_IF2B_HUMAN_.pdf</t>
  </si>
  <si>
    <t>Melting_Curves/meltCurve_sp_P20132_SDHL_HUMAN_.pdf</t>
  </si>
  <si>
    <t>Melting_Curves/meltCurve_sp_P20290_BTF3_HUMAN_.pdf</t>
  </si>
  <si>
    <t>Melting_Curves/meltCurve_sp_P20338_RAB4A_HUMAN_.pdf</t>
  </si>
  <si>
    <t>Melting_Curves/meltCurve_sp_P20340_2_RAB6A_HUMAN_.pdf</t>
  </si>
  <si>
    <t>Melting_Curves/meltCurve_sp_P20585_MSH3_HUMAN_.pdf</t>
  </si>
  <si>
    <t>Melting_Curves/meltCurve_sp_P20591_MX1_HUMAN_.pdf</t>
  </si>
  <si>
    <t>Melting_Curves/meltCurve_sp_P20618_PSB1_HUMAN_.pdf</t>
  </si>
  <si>
    <t>Melting_Curves/meltCurve_sp_P20674_COX5A_HUMAN_.pdf</t>
  </si>
  <si>
    <t>Melting_Curves/meltCurve_sp_P20700_LMNB1_HUMAN_.pdf</t>
  </si>
  <si>
    <t>Melting_Curves/meltCurve_sp_P20711_DDC_HUMAN_.pdf</t>
  </si>
  <si>
    <t>Melting_Curves/meltCurve_sp_P20742_PZP_HUMAN_.pdf</t>
  </si>
  <si>
    <t>Melting_Curves/meltCurve_sp_P20810_5_ICAL_HUMAN_.pdf</t>
  </si>
  <si>
    <t>Melting_Curves/meltCurve_sp_P20810_6_ICAL_HUMAN_.pdf</t>
  </si>
  <si>
    <t>Melting_Curves/meltCurve_sp_P20813_CP2B6_HUMAN_.pdf</t>
  </si>
  <si>
    <t>Melting_Curves/meltCurve_sp_P20823_3_HNF1A_HUMAN_.pdf</t>
  </si>
  <si>
    <t>Melting_Curves/meltCurve_sp_P20933_ASPG_HUMAN_.pdf</t>
  </si>
  <si>
    <t>Melting_Curves/meltCurve_sp_P20936_2_RASA1_HUMAN_.pdf</t>
  </si>
  <si>
    <t>Melting_Curves/meltCurve_sp_P20962_PTMS_HUMAN_.pdf</t>
  </si>
  <si>
    <t>Melting_Curves/meltCurve_sp_P21127_8_CD11B_HUMAN_.pdf</t>
  </si>
  <si>
    <t>Melting_Curves/meltCurve_sp_P21266_GSTM3_HUMAN_.pdf</t>
  </si>
  <si>
    <t>Melting_Curves/meltCurve_sp_P21281_VATB2_HUMAN_.pdf</t>
  </si>
  <si>
    <t>Melting_Curves/meltCurve_sp_P21283_VATC1_HUMAN_.pdf</t>
  </si>
  <si>
    <t>Melting_Curves/meltCurve_sp_P21291_CSRP1_HUMAN_.pdf</t>
  </si>
  <si>
    <t>Melting_Curves/meltCurve_sp_P21397_2_AOFA_HUMAN_.pdf</t>
  </si>
  <si>
    <t>Melting_Curves/meltCurve_sp_P21399_ACOC_HUMAN_.pdf</t>
  </si>
  <si>
    <t>Melting_Curves/meltCurve_sp_P21549_SPYA_HUMAN_.pdf</t>
  </si>
  <si>
    <t>Melting_Curves/meltCurve_sp_P21580_TNAP3_HUMAN_.pdf</t>
  </si>
  <si>
    <t>Melting_Curves/meltCurve_sp_P21589_2_5NTD_HUMAN_.pdf</t>
  </si>
  <si>
    <t>Melting_Curves/meltCurve_sp_P21695_2_GPDA_HUMAN_.pdf</t>
  </si>
  <si>
    <t>Melting_Curves/meltCurve_sp_P21912_DHSB_HUMAN_.pdf</t>
  </si>
  <si>
    <t>Melting_Curves/meltCurve_sp_P21953_ODBB_HUMAN_.pdf</t>
  </si>
  <si>
    <t>Melting_Curves/meltCurve_sp_P21964_2_COMT_HUMAN_.pdf</t>
  </si>
  <si>
    <t>Melting_Curves/meltCurve_sp_P21980_TGM2_HUMAN_.pdf</t>
  </si>
  <si>
    <t>Melting_Curves/meltCurve_sp_P22033_MUTA_HUMAN_.pdf</t>
  </si>
  <si>
    <t>Melting_Curves/meltCurve_sp_P22059_OSBP1_HUMAN_.pdf</t>
  </si>
  <si>
    <t>Melting_Curves/meltCurve_sp_P22061_PIMT_HUMAN_.pdf</t>
  </si>
  <si>
    <t>Melting_Curves/meltCurve_sp_P22102_PUR2_HUMAN_.pdf</t>
  </si>
  <si>
    <t>Melting_Curves/meltCurve_sp_P22234_PUR6_HUMAN_.pdf</t>
  </si>
  <si>
    <t>Melting_Curves/meltCurve_sp_P22307_2_NLTP_HUMAN_.pdf</t>
  </si>
  <si>
    <t>Melting_Curves/meltCurve_sp_P22307_NLTP_HUMAN_.pdf</t>
  </si>
  <si>
    <t>Melting_Curves/meltCurve_sp_P22310_UD14_HUMAN_.pdf</t>
  </si>
  <si>
    <t>Melting_Curves/meltCurve_sp_P22314_UBA1_HUMAN_.pdf</t>
  </si>
  <si>
    <t>Melting_Curves/meltCurve_sp_P22352_GPX3_HUMAN_.pdf</t>
  </si>
  <si>
    <t>Melting_Curves/meltCurve_sp_P22392_2_NDKB_HUMAN_.pdf</t>
  </si>
  <si>
    <t>Melting_Curves/meltCurve_sp_P22570_ADRO_HUMAN_.pdf</t>
  </si>
  <si>
    <t>Melting_Curves/meltCurve_sp_P22626_ROA2_HUMAN_.pdf</t>
  </si>
  <si>
    <t>Melting_Curves/meltCurve_sp_P22694_4_KAPCB_HUMAN_.pdf</t>
  </si>
  <si>
    <t>Melting_Curves/meltCurve_sp_P22830_HEMH_HUMAN_.pdf</t>
  </si>
  <si>
    <t>Melting_Curves/meltCurve_sp_P23141_EST1_HUMAN_.pdf</t>
  </si>
  <si>
    <t>Melting_Curves/meltCurve_sp_P23142_3_FBLN1_HUMAN_.pdf</t>
  </si>
  <si>
    <t>Melting_Curves/meltCurve_sp_P23193_TCEA1_HUMAN_.pdf</t>
  </si>
  <si>
    <t>Melting_Curves/meltCurve_sp_P23246_SFPQ_HUMAN_.pdf</t>
  </si>
  <si>
    <t>Melting_Curves/meltCurve_sp_P23284_PPIB_HUMAN_.pdf</t>
  </si>
  <si>
    <t>Melting_Curves/meltCurve_sp_P23368_MAOM_HUMAN_.pdf</t>
  </si>
  <si>
    <t>Melting_Curves/meltCurve_sp_P23378_GCSP_HUMAN_.pdf</t>
  </si>
  <si>
    <t>Melting_Curves/meltCurve_sp_P23381_SYWC_HUMAN_.pdf</t>
  </si>
  <si>
    <t>Melting_Curves/meltCurve_sp_P23396_RS3_HUMAN_.pdf</t>
  </si>
  <si>
    <t>Melting_Curves/meltCurve_sp_P23409_MYF6_HUMAN_.pdf</t>
  </si>
  <si>
    <t>Melting_Curves/meltCurve_sp_P23434_GCSH_HUMAN_.pdf</t>
  </si>
  <si>
    <t>Melting_Curves/meltCurve_sp_P23497_SP100_HUMAN_.pdf</t>
  </si>
  <si>
    <t>Melting_Curves/meltCurve_sp_P23508_2_CRCM_HUMAN_.pdf</t>
  </si>
  <si>
    <t>Melting_Curves/meltCurve_sp_P23526_SAHH_HUMAN_.pdf</t>
  </si>
  <si>
    <t>Melting_Curves/meltCurve_sp_P23528_COF1_HUMAN_.pdf</t>
  </si>
  <si>
    <t>Melting_Curves/meltCurve_sp_P23588_IF4B_HUMAN_.pdf</t>
  </si>
  <si>
    <t>Melting_Curves/meltCurve_sp_P23610_F8I2_HUMAN_.pdf</t>
  </si>
  <si>
    <t>Melting_Curves/meltCurve_sp_P23786_CPT2_HUMAN_.pdf</t>
  </si>
  <si>
    <t>Melting_Curves/meltCurve_sp_P23919_KTHY_HUMAN_.pdf</t>
  </si>
  <si>
    <t>Melting_Curves/meltCurve_sp_P23921_RIR1_HUMAN_.pdf</t>
  </si>
  <si>
    <t>Melting_Curves/meltCurve_sp_P24158_PRTN3_HUMAN_.pdf</t>
  </si>
  <si>
    <t>Melting_Curves/meltCurve_sp_P24298_ALAT1_HUMAN_.pdf</t>
  </si>
  <si>
    <t>Melting_Curves/meltCurve_sp_P24385_CCND1_HUMAN_.pdf</t>
  </si>
  <si>
    <t>Melting_Curves/meltCurve_sp_P24534_EF1B_HUMAN_.pdf</t>
  </si>
  <si>
    <t>Melting_Curves/meltCurve_sp_P24666_PPAC_HUMAN_.pdf</t>
  </si>
  <si>
    <t>Melting_Curves/meltCurve_sp_P24752_THIL_HUMAN_.pdf</t>
  </si>
  <si>
    <t>Melting_Curves/meltCurve_sp_P24928_RPB1_HUMAN_.pdf</t>
  </si>
  <si>
    <t>Melting_Curves/meltCurve_sp_P24941_CDK2_HUMAN_.pdf</t>
  </si>
  <si>
    <t>Melting_Curves/meltCurve_sp_P25098_ARBK1_HUMAN_.pdf</t>
  </si>
  <si>
    <t>Melting_Curves/meltCurve_sp_P25205_MCM3_HUMAN_.pdf</t>
  </si>
  <si>
    <t>Melting_Curves/meltCurve_sp_P25311_ZA2G_HUMAN_.pdf</t>
  </si>
  <si>
    <t>Melting_Curves/meltCurve_sp_P25398_RS12_HUMAN_.pdf</t>
  </si>
  <si>
    <t>Melting_Curves/meltCurve_sp_P25440_BRD2_HUMAN_.pdf</t>
  </si>
  <si>
    <t>Melting_Curves/meltCurve_sp_P25685_DNJB1_HUMAN_.pdf</t>
  </si>
  <si>
    <t>Melting_Curves/meltCurve_sp_P25686_DNJB2_HUMAN_.pdf</t>
  </si>
  <si>
    <t>Melting_Curves/meltCurve_sp_P25705_ATPA_HUMAN_.pdf</t>
  </si>
  <si>
    <t>Melting_Curves/meltCurve_sp_P25774_CATS_HUMAN_.pdf</t>
  </si>
  <si>
    <t>Melting_Curves/meltCurve_sp_P25786_PSA1_HUMAN_.pdf</t>
  </si>
  <si>
    <t>Melting_Curves/meltCurve_sp_P25787_PSA2_HUMAN_.pdf</t>
  </si>
  <si>
    <t>Melting_Curves/meltCurve_sp_P25788_2_PSA3_HUMAN_.pdf</t>
  </si>
  <si>
    <t>Melting_Curves/meltCurve_sp_P25789_PSA4_HUMAN_.pdf</t>
  </si>
  <si>
    <t>Melting_Curves/meltCurve_sp_P25815_S100P_HUMAN_.pdf</t>
  </si>
  <si>
    <t>Melting_Curves/meltCurve_sp_P26038_MOES_HUMAN_.pdf</t>
  </si>
  <si>
    <t>Melting_Curves/meltCurve_sp_P26196_DDX6_HUMAN_.pdf</t>
  </si>
  <si>
    <t>Melting_Curves/meltCurve_sp_P26358_DNMT1_HUMAN_.pdf</t>
  </si>
  <si>
    <t>Melting_Curves/meltCurve_sp_P26368_2_U2AF2_HUMAN_.pdf</t>
  </si>
  <si>
    <t>Melting_Curves/meltCurve_sp_P26373_RL13_HUMAN_.pdf</t>
  </si>
  <si>
    <t>Melting_Curves/meltCurve_sp_P26440_IVD_HUMAN_.pdf</t>
  </si>
  <si>
    <t>Melting_Curves/meltCurve_sp_P26447_S10A4_HUMAN_.pdf</t>
  </si>
  <si>
    <t>Melting_Curves/meltCurve_sp_P26583_HMGB2_HUMAN_.pdf</t>
  </si>
  <si>
    <t>Melting_Curves/meltCurve_sp_P26599_PTBP1_HUMAN_.pdf</t>
  </si>
  <si>
    <t>Melting_Curves/meltCurve_sp_P26639_SYTC_HUMAN_.pdf</t>
  </si>
  <si>
    <t>Melting_Curves/meltCurve_sp_P26640_SYVC_HUMAN_.pdf</t>
  </si>
  <si>
    <t>Melting_Curves/meltCurve_sp_P26641_EF1G_HUMAN_.pdf</t>
  </si>
  <si>
    <t>Melting_Curves/meltCurve_sp_P26651_TTP_HUMAN_.pdf</t>
  </si>
  <si>
    <t>Melting_Curves/meltCurve_sp_P26885_FKBP2_HUMAN_.pdf</t>
  </si>
  <si>
    <t>Melting_Curves/meltCurve_sp_P26927_HGFL_HUMAN_.pdf</t>
  </si>
  <si>
    <t>Melting_Curves/meltCurve_sp_P27144_KAD4_HUMAN_.pdf</t>
  </si>
  <si>
    <t>Melting_Curves/meltCurve_sp_P27169_PON1_HUMAN_.pdf</t>
  </si>
  <si>
    <t>Melting_Curves/meltCurve_sp_P27348_1433T_HUMAN_.pdf</t>
  </si>
  <si>
    <t>Melting_Curves/meltCurve_sp_P27540_2_ARNT_HUMAN_.pdf</t>
  </si>
  <si>
    <t>Melting_Curves/meltCurve_sp_P27694_RFA1_HUMAN_.pdf</t>
  </si>
  <si>
    <t>Melting_Curves/meltCurve_sp_P27695_APEX1_HUMAN_.pdf</t>
  </si>
  <si>
    <t>Melting_Curves/meltCurve_sp_P27797_CALR_HUMAN_.pdf</t>
  </si>
  <si>
    <t>Melting_Curves/meltCurve_sp_P27816_MAP4_HUMAN_.pdf</t>
  </si>
  <si>
    <t>Melting_Curves/meltCurve_sp_P27824_CALX_HUMAN_.pdf</t>
  </si>
  <si>
    <t>Melting_Curves/meltCurve_sp_P27986_P85A_HUMAN_.pdf</t>
  </si>
  <si>
    <t>Melting_Curves/meltCurve_sp_P28062_2_PSB8_HUMAN_.pdf</t>
  </si>
  <si>
    <t>Melting_Curves/meltCurve_sp_P28066_PSA5_HUMAN_.pdf</t>
  </si>
  <si>
    <t>Melting_Curves/meltCurve_sp_P28070_PSB4_HUMAN_.pdf</t>
  </si>
  <si>
    <t>Melting_Curves/meltCurve_sp_P28072_PSB6_HUMAN_.pdf</t>
  </si>
  <si>
    <t>Melting_Curves/meltCurve_sp_P28074_PSB5_HUMAN_.pdf</t>
  </si>
  <si>
    <t>Melting_Curves/meltCurve_sp_P28330_ACADL_HUMAN_.pdf</t>
  </si>
  <si>
    <t>Melting_Curves/meltCurve_sp_P28331_NDUS1_HUMAN_.pdf</t>
  </si>
  <si>
    <t>Melting_Curves/meltCurve_sp_P28332_ADH6_HUMAN_.pdf</t>
  </si>
  <si>
    <t>Melting_Curves/meltCurve_sp_P28340_DPOD1_HUMAN_.pdf</t>
  </si>
  <si>
    <t>Melting_Curves/meltCurve_sp_P28482_MK01_HUMAN_.pdf</t>
  </si>
  <si>
    <t>Melting_Curves/meltCurve_sp_P28715_ERCC5_HUMAN_.pdf</t>
  </si>
  <si>
    <t>Melting_Curves/meltCurve_sp_P28799_GRN_HUMAN_.pdf</t>
  </si>
  <si>
    <t>Melting_Curves/meltCurve_sp_P28838_2_AMPL_HUMAN_.pdf</t>
  </si>
  <si>
    <t>Melting_Curves/meltCurve_sp_P28845_DHI1_HUMAN_.pdf</t>
  </si>
  <si>
    <t>Melting_Curves/meltCurve_sp_P29083_T2EA_HUMAN_.pdf</t>
  </si>
  <si>
    <t>Melting_Curves/meltCurve_sp_P29084_T2EB_HUMAN_.pdf</t>
  </si>
  <si>
    <t>Melting_Curves/meltCurve_sp_P29144_TPP2_HUMAN_.pdf</t>
  </si>
  <si>
    <t>Melting_Curves/meltCurve_sp_P29218_IMPA1_HUMAN_.pdf</t>
  </si>
  <si>
    <t>Melting_Curves/meltCurve_sp_P29350_PTN6_HUMAN_.pdf</t>
  </si>
  <si>
    <t>Melting_Curves/meltCurve_sp_P29353_7_SHC1_HUMAN_.pdf</t>
  </si>
  <si>
    <t>Melting_Curves/meltCurve_sp_P29372_5_3MG_HUMAN_.pdf</t>
  </si>
  <si>
    <t>Melting_Curves/meltCurve_sp_P29374_3_ARI4A_HUMAN_.pdf</t>
  </si>
  <si>
    <t>Melting_Curves/meltCurve_sp_P29401_TKT_HUMAN_.pdf</t>
  </si>
  <si>
    <t>Melting_Curves/meltCurve_sp_P29590_PML_HUMAN_.pdf</t>
  </si>
  <si>
    <t>Melting_Curves/meltCurve_sp_P29692_3_EF1D_HUMAN_.pdf</t>
  </si>
  <si>
    <t>Melting_Curves/meltCurve_sp_P29966_MARCS_HUMAN_.pdf</t>
  </si>
  <si>
    <t>Melting_Curves/meltCurve_sp_P30038_AL4A1_HUMAN_.pdf</t>
  </si>
  <si>
    <t>Melting_Curves/meltCurve_sp_P30039_PBLD_HUMAN_.pdf</t>
  </si>
  <si>
    <t>Melting_Curves/meltCurve_sp_P30040_ERP29_HUMAN_.pdf</t>
  </si>
  <si>
    <t>Melting_Curves/meltCurve_sp_P30041_PRDX6_HUMAN_.pdf</t>
  </si>
  <si>
    <t>Melting_Curves/meltCurve_sp_P30042_ES1_HUMAN_.pdf</t>
  </si>
  <si>
    <t>Melting_Curves/meltCurve_sp_P30043_BLVRB_HUMAN_.pdf</t>
  </si>
  <si>
    <t>Melting_Curves/meltCurve_sp_P30044_2_PRDX5_HUMAN_.pdf</t>
  </si>
  <si>
    <t>Melting_Curves/meltCurve_sp_P30046_DOPD_HUMAN_.pdf</t>
  </si>
  <si>
    <t>Melting_Curves/meltCurve_sp_P30047_GFRP_HUMAN_.pdf</t>
  </si>
  <si>
    <t>Melting_Curves/meltCurve_sp_P30049_ATPD_HUMAN_.pdf</t>
  </si>
  <si>
    <t>Melting_Curves/meltCurve_sp_P30050_RL12_HUMAN_.pdf</t>
  </si>
  <si>
    <t>Melting_Curves/meltCurve_sp_P30084_ECHM_HUMAN_.pdf</t>
  </si>
  <si>
    <t>Melting_Curves/meltCurve_sp_P30085_KCY_HUMAN_.pdf</t>
  </si>
  <si>
    <t>Melting_Curves/meltCurve_sp_P30086_PEBP1_HUMAN_.pdf</t>
  </si>
  <si>
    <t>Melting_Curves/meltCurve_sp_P30153_2AAA_HUMAN_.pdf</t>
  </si>
  <si>
    <t>Melting_Curves/meltCurve_sp_P30154_2AAB_HUMAN_.pdf</t>
  </si>
  <si>
    <t>Melting_Curves/meltCurve_sp_P30405_PPIF_HUMAN_.pdf</t>
  </si>
  <si>
    <t>Melting_Curves/meltCurve_sp_P30419_NMT1_HUMAN_.pdf</t>
  </si>
  <si>
    <t>Melting_Curves/meltCurve_sp_P30519_HMOX2_HUMAN_.pdf</t>
  </si>
  <si>
    <t>Melting_Curves/meltCurve_sp_P30520_PURA2_HUMAN_.pdf</t>
  </si>
  <si>
    <t>Melting_Curves/meltCurve_sp_P30533_AMRP_HUMAN_.pdf</t>
  </si>
  <si>
    <t>Melting_Curves/meltCurve_sp_P30566_PUR8_HUMAN_.pdf</t>
  </si>
  <si>
    <t>Melting_Curves/meltCurve_sp_P30613_2_KPYR_HUMAN_.pdf</t>
  </si>
  <si>
    <t>Melting_Curves/meltCurve_sp_P30622_2_CLIP1_HUMAN_.pdf</t>
  </si>
  <si>
    <t>Melting_Curves/meltCurve_sp_P30711_GSTT1_HUMAN_.pdf</t>
  </si>
  <si>
    <t>Melting_Curves/meltCurve_sp_P30740_ILEU_HUMAN_.pdf</t>
  </si>
  <si>
    <t>Melting_Curves/meltCurve_sp_P30793_GCH1_HUMAN_.pdf</t>
  </si>
  <si>
    <t>Melting_Curves/meltCurve_sp_P30837_AL1B1_HUMAN_.pdf</t>
  </si>
  <si>
    <t>Melting_Curves/meltCurve_sp_P31040_DHSA_HUMAN_.pdf</t>
  </si>
  <si>
    <t>Melting_Curves/meltCurve_sp_P31146_COR1A_HUMAN_.pdf</t>
  </si>
  <si>
    <t>Melting_Curves/meltCurve_sp_P31150_GDIA_HUMAN_.pdf</t>
  </si>
  <si>
    <t>Melting_Curves/meltCurve_sp_P31153_METK2_HUMAN_.pdf</t>
  </si>
  <si>
    <t>Melting_Curves/meltCurve_sp_P31321_KAP1_HUMAN_.pdf</t>
  </si>
  <si>
    <t>Melting_Curves/meltCurve_sp_P31327_2_CPSM_HUMAN_.pdf</t>
  </si>
  <si>
    <t>Melting_Curves/meltCurve_sp_P31327_CPSM_HUMAN_.pdf</t>
  </si>
  <si>
    <t>Melting_Curves/meltCurve_sp_P31350_RIR2_HUMAN_.pdf</t>
  </si>
  <si>
    <t>Melting_Curves/meltCurve_sp_P31513_FMO3_HUMAN_.pdf</t>
  </si>
  <si>
    <t>Melting_Curves/meltCurve_sp_P31689_DNJA1_HUMAN_.pdf</t>
  </si>
  <si>
    <t>Melting_Curves/meltCurve_sp_P31749_AKT1_HUMAN_.pdf</t>
  </si>
  <si>
    <t>Melting_Curves/meltCurve_sp_P31751_AKT2_HUMAN_.pdf</t>
  </si>
  <si>
    <t>Melting_Curves/meltCurve_sp_P31930_QCR1_HUMAN_.pdf</t>
  </si>
  <si>
    <t>Melting_Curves/meltCurve_sp_P31937_3HIDH_HUMAN_.pdf</t>
  </si>
  <si>
    <t>Melting_Curves/meltCurve_sp_P31939_PUR9_HUMAN_.pdf</t>
  </si>
  <si>
    <t>Melting_Curves/meltCurve_sp_P31942_2_HNRH3_HUMAN_.pdf</t>
  </si>
  <si>
    <t>Melting_Curves/meltCurve_sp_P31944_CASPE_HUMAN_.pdf</t>
  </si>
  <si>
    <t>Melting_Curves/meltCurve_sp_P31946_2_1433B_HUMAN_.pdf</t>
  </si>
  <si>
    <t>Melting_Curves/meltCurve_sp_P31947_2_1433S_HUMAN_.pdf</t>
  </si>
  <si>
    <t>Melting_Curves/meltCurve_sp_P31948_STIP1_HUMAN_.pdf</t>
  </si>
  <si>
    <t>Melting_Curves/meltCurve_sp_P31949_S10AB_HUMAN_.pdf</t>
  </si>
  <si>
    <t>Melting_Curves/meltCurve_sp_P32119_PRDX2_HUMAN_.pdf</t>
  </si>
  <si>
    <t>Melting_Curves/meltCurve_sp_P32121_5_ARRB2_HUMAN_.pdf</t>
  </si>
  <si>
    <t>Melting_Curves/meltCurve_sp_P32189_1_GLPK_HUMAN_.pdf</t>
  </si>
  <si>
    <t>Melting_Curves/meltCurve_sp_P32320_CDD_HUMAN_.pdf</t>
  </si>
  <si>
    <t>Melting_Curves/meltCurve_sp_P32321_DCTD_HUMAN_.pdf</t>
  </si>
  <si>
    <t>Melting_Curves/meltCurve_sp_P32455_GBP1_HUMAN_.pdf</t>
  </si>
  <si>
    <t>Melting_Curves/meltCurve_sp_P32456_GBP2_HUMAN_.pdf</t>
  </si>
  <si>
    <t>Melting_Curves/meltCurve_sp_P32519_2_ELF1_HUMAN_.pdf</t>
  </si>
  <si>
    <t>Melting_Curves/meltCurve_sp_P32754_2_HPPD_HUMAN_.pdf</t>
  </si>
  <si>
    <t>Melting_Curves/meltCurve_sp_P32754_HPPD_HUMAN_.pdf</t>
  </si>
  <si>
    <t>Melting_Curves/meltCurve_sp_P32929_CGL_HUMAN_.pdf</t>
  </si>
  <si>
    <t>Melting_Curves/meltCurve_sp_P33121_ACSL1_HUMAN_.pdf</t>
  </si>
  <si>
    <t>Melting_Curves/meltCurve_sp_P33176_KINH_HUMAN_.pdf</t>
  </si>
  <si>
    <t>Melting_Curves/meltCurve_sp_P33240_2_CSTF2_HUMAN_.pdf</t>
  </si>
  <si>
    <t>Melting_Curves/meltCurve_sp_P33241_LSP1_HUMAN_.pdf</t>
  </si>
  <si>
    <t>Melting_Curves/meltCurve_sp_P33261_CP2CJ_HUMAN_.pdf</t>
  </si>
  <si>
    <t>Melting_Curves/meltCurve_sp_P33316_2_DUT_HUMAN_.pdf</t>
  </si>
  <si>
    <t>Melting_Curves/meltCurve_sp_P33316_DUT_HUMAN_.pdf</t>
  </si>
  <si>
    <t>Melting_Curves/meltCurve_sp_P33908_MA1A1_HUMAN_.pdf</t>
  </si>
  <si>
    <t>Melting_Curves/meltCurve_sp_P33991_MCM4_HUMAN_.pdf</t>
  </si>
  <si>
    <t>Melting_Curves/meltCurve_sp_P33992_MCM5_HUMAN_.pdf</t>
  </si>
  <si>
    <t>Melting_Curves/meltCurve_sp_P33993_MCM7_HUMAN_.pdf</t>
  </si>
  <si>
    <t>Melting_Curves/meltCurve_sp_P34059_GALNS_HUMAN_.pdf</t>
  </si>
  <si>
    <t>Melting_Curves/meltCurve_sp_P34096_RNAS4_HUMAN_.pdf</t>
  </si>
  <si>
    <t>Melting_Curves/meltCurve_sp_P34896_GLYC_HUMAN_.pdf</t>
  </si>
  <si>
    <t>Melting_Curves/meltCurve_sp_P34897_3_GLYM_HUMAN_.pdf</t>
  </si>
  <si>
    <t>Melting_Curves/meltCurve_sp_P34913_HYES_HUMAN_.pdf</t>
  </si>
  <si>
    <t>Melting_Curves/meltCurve_sp_P34931_HS71L_HUMAN_.pdf</t>
  </si>
  <si>
    <t>Melting_Curves/meltCurve_sp_P34932_HSP74_HUMAN_.pdf</t>
  </si>
  <si>
    <t>Melting_Curves/meltCurve_sp_P35030_2_TRY3_HUMAN_.pdf</t>
  </si>
  <si>
    <t>Melting_Curves/meltCurve_sp_P35218_CAH5A_HUMAN_.pdf</t>
  </si>
  <si>
    <t>Melting_Curves/meltCurve_sp_P35221_CTNA1_HUMAN_.pdf</t>
  </si>
  <si>
    <t>Melting_Curves/meltCurve_sp_P35237_SPB6_HUMAN_.pdf</t>
  </si>
  <si>
    <t>Melting_Curves/meltCurve_sp_P35241_RADI_HUMAN_.pdf</t>
  </si>
  <si>
    <t>Melting_Curves/meltCurve_sp_P35251_2_RFC1_HUMAN_.pdf</t>
  </si>
  <si>
    <t>Melting_Curves/meltCurve_sp_P35268_RL22_HUMAN_.pdf</t>
  </si>
  <si>
    <t>Melting_Curves/meltCurve_sp_P35269_T2FA_HUMAN_.pdf</t>
  </si>
  <si>
    <t>Melting_Curves/meltCurve_sp_P35270_SPRE_HUMAN_.pdf</t>
  </si>
  <si>
    <t>Melting_Curves/meltCurve_sp_P35520_CBS_HUMAN_.pdf</t>
  </si>
  <si>
    <t>Melting_Curves/meltCurve_sp_P35542_SAA4_HUMAN_.pdf</t>
  </si>
  <si>
    <t>Melting_Curves/meltCurve_sp_P35555_FBN1_HUMAN_.pdf</t>
  </si>
  <si>
    <t>Melting_Curves/meltCurve_sp_P35558_PCKGC_HUMAN_.pdf</t>
  </si>
  <si>
    <t>Melting_Curves/meltCurve_sp_P35568_IRS1_HUMAN_.pdf</t>
  </si>
  <si>
    <t>Melting_Curves/meltCurve_sp_P35573_GDE_HUMAN_.pdf</t>
  </si>
  <si>
    <t>Melting_Curves/meltCurve_sp_P35579_MYH9_HUMAN_.pdf</t>
  </si>
  <si>
    <t>Melting_Curves/meltCurve_sp_P35580_MYH10_HUMAN_.pdf</t>
  </si>
  <si>
    <t>Melting_Curves/meltCurve_sp_P35606_COPB2_HUMAN_.pdf</t>
  </si>
  <si>
    <t>Melting_Curves/meltCurve_sp_P35611_2_ADDA_HUMAN_.pdf</t>
  </si>
  <si>
    <t>Melting_Curves/meltCurve_sp_P35637_2_FUS_HUMAN_.pdf</t>
  </si>
  <si>
    <t>Melting_Curves/meltCurve_sp_P35658_2_NU214_HUMAN_.pdf</t>
  </si>
  <si>
    <t>Melting_Curves/meltCurve_sp_P35659_DEK_HUMAN_.pdf</t>
  </si>
  <si>
    <t>Melting_Curves/meltCurve_sp_P35749_4_MYH11_HUMAN_.pdf</t>
  </si>
  <si>
    <t>Melting_Curves/meltCurve_sp_P35754_GLRX1_HUMAN_.pdf</t>
  </si>
  <si>
    <t>Melting_Curves/meltCurve_sp_P35790_2_CHKA_HUMAN_.pdf</t>
  </si>
  <si>
    <t>Melting_Curves/meltCurve_sp_P35813_PPM1A_HUMAN_.pdf</t>
  </si>
  <si>
    <t>Melting_Curves/meltCurve_sp_P35858_ALS_HUMAN_.pdf</t>
  </si>
  <si>
    <t>Melting_Curves/meltCurve_sp_P35914_HMGCL_HUMAN_.pdf</t>
  </si>
  <si>
    <t>Melting_Curves/meltCurve_sp_P35998_PRS7_HUMAN_.pdf</t>
  </si>
  <si>
    <t>Melting_Curves/meltCurve_sp_P36404_ARL2_HUMAN_.pdf</t>
  </si>
  <si>
    <t>Melting_Curves/meltCurve_sp_P36405_ARL3_HUMAN_.pdf</t>
  </si>
  <si>
    <t>Melting_Curves/meltCurve_sp_P36507_MP2K2_HUMAN_.pdf</t>
  </si>
  <si>
    <t>Melting_Curves/meltCurve_sp_P36543_VATE1_HUMAN_.pdf</t>
  </si>
  <si>
    <t>Melting_Curves/meltCurve_sp_P36551_HEM6_HUMAN_.pdf</t>
  </si>
  <si>
    <t>Melting_Curves/meltCurve_sp_P36578_RL4_HUMAN_.pdf</t>
  </si>
  <si>
    <t>Melting_Curves/meltCurve_sp_P36639_4_8ODP_HUMAN_.pdf</t>
  </si>
  <si>
    <t>Melting_Curves/meltCurve_sp_P36871_PGM1_HUMAN_.pdf</t>
  </si>
  <si>
    <t>Melting_Curves/meltCurve_sp_P36915_GNL1_HUMAN_.pdf</t>
  </si>
  <si>
    <t>Melting_Curves/meltCurve_sp_P36955_PEDF_HUMAN_.pdf</t>
  </si>
  <si>
    <t>Melting_Curves/meltCurve_sp_P36957_ODO2_HUMAN_.pdf</t>
  </si>
  <si>
    <t>Melting_Curves/meltCurve_sp_P36959_GMPR1_HUMAN_.pdf</t>
  </si>
  <si>
    <t>Melting_Curves/meltCurve_sp_P36969_2_GPX4_HUMAN_.pdf</t>
  </si>
  <si>
    <t>Melting_Curves/meltCurve_sp_P36980_2_FHR2_HUMAN_.pdf</t>
  </si>
  <si>
    <t>Melting_Curves/meltCurve_sp_P37059_DHB2_HUMAN_.pdf</t>
  </si>
  <si>
    <t>Melting_Curves/meltCurve_sp_P37108_SRP14_HUMAN_.pdf</t>
  </si>
  <si>
    <t>Melting_Curves/meltCurve_sp_P37198_NUP62_HUMAN_.pdf</t>
  </si>
  <si>
    <t>Melting_Curves/meltCurve_sp_P37235_HPCL1_HUMAN_.pdf</t>
  </si>
  <si>
    <t>Melting_Curves/meltCurve_sp_P37802_TAGL2_HUMAN_.pdf</t>
  </si>
  <si>
    <t>Melting_Curves/meltCurve_sp_P37837_TALDO_HUMAN_.pdf</t>
  </si>
  <si>
    <t>Melting_Curves/meltCurve_sp_P38117_ETFB_HUMAN_.pdf</t>
  </si>
  <si>
    <t>Melting_Curves/meltCurve_sp_P38159_RBMX_HUMAN_.pdf</t>
  </si>
  <si>
    <t>Melting_Curves/meltCurve_sp_P38432_COIL_HUMAN_.pdf</t>
  </si>
  <si>
    <t>Melting_Curves/meltCurve_sp_P38606_VATA_HUMAN_.pdf</t>
  </si>
  <si>
    <t>Melting_Curves/meltCurve_sp_P38646_GRP75_HUMAN_.pdf</t>
  </si>
  <si>
    <t>Melting_Curves/meltCurve_sp_P38919_IF4A3_HUMAN_.pdf</t>
  </si>
  <si>
    <t>Melting_Curves/meltCurve_sp_P39687_AN32A_HUMAN_.pdf</t>
  </si>
  <si>
    <t>Melting_Curves/meltCurve_sp_P39748_FEN1_HUMAN_.pdf</t>
  </si>
  <si>
    <t>Melting_Curves/meltCurve_sp_P40123_CAP2_HUMAN_.pdf</t>
  </si>
  <si>
    <t>Melting_Curves/meltCurve_sp_P40222_TXLNA_HUMAN_.pdf</t>
  </si>
  <si>
    <t>Melting_Curves/meltCurve_sp_P40227_TCPZ_HUMAN_.pdf</t>
  </si>
  <si>
    <t>Melting_Curves/meltCurve_sp_P40261_NNMT_HUMAN_.pdf</t>
  </si>
  <si>
    <t>Melting_Curves/meltCurve_sp_P40306_PSB10_HUMAN_.pdf</t>
  </si>
  <si>
    <t>Melting_Curves/meltCurve_sp_P40394_ADH7_HUMAN_.pdf</t>
  </si>
  <si>
    <t>Melting_Curves/meltCurve_sp_P40763_2_STAT3_HUMAN_.pdf</t>
  </si>
  <si>
    <t>Melting_Curves/meltCurve_sp_P40763_STAT3_HUMAN_.pdf</t>
  </si>
  <si>
    <t>Melting_Curves/meltCurve_sp_P40818_UBP8_HUMAN_.pdf</t>
  </si>
  <si>
    <t>Melting_Curves/meltCurve_sp_P40925_MDHC_HUMAN_.pdf</t>
  </si>
  <si>
    <t>Melting_Curves/meltCurve_sp_P40926_MDHM_HUMAN_.pdf</t>
  </si>
  <si>
    <t>Melting_Curves/meltCurve_sp_P40939_ECHA_HUMAN_.pdf</t>
  </si>
  <si>
    <t>Melting_Curves/meltCurve_sp_P41091_IF2G_HUMAN_.pdf</t>
  </si>
  <si>
    <t>Melting_Curves/meltCurve_sp_P41208_CETN2_HUMAN_.pdf</t>
  </si>
  <si>
    <t>Melting_Curves/meltCurve_sp_P41223_BUD31_HUMAN_.pdf</t>
  </si>
  <si>
    <t>Melting_Curves/meltCurve_sp_P41226_UBA7_HUMAN_.pdf</t>
  </si>
  <si>
    <t>Melting_Curves/meltCurve_sp_P41227_2_NAA10_HUMAN_.pdf</t>
  </si>
  <si>
    <t>Melting_Curves/meltCurve_sp_P41235_7_HNF4A_HUMAN_.pdf</t>
  </si>
  <si>
    <t>Melting_Curves/meltCurve_sp_P41236_IPP2_HUMAN_.pdf</t>
  </si>
  <si>
    <t>Melting_Curves/meltCurve_sp_P41240_CSK_HUMAN_.pdf</t>
  </si>
  <si>
    <t>Melting_Curves/meltCurve_sp_P41250_SYG_HUMAN_.pdf</t>
  </si>
  <si>
    <t>Melting_Curves/meltCurve_sp_P41252_SYIC_HUMAN_.pdf</t>
  </si>
  <si>
    <t>Melting_Curves/meltCurve_sp_P41567_EIF1_HUMAN_.pdf</t>
  </si>
  <si>
    <t>Melting_Curves/meltCurve_sp_P41743_KPCI_HUMAN_.pdf</t>
  </si>
  <si>
    <t>Melting_Curves/meltCurve_sp_P42025_ACTY_HUMAN_.pdf</t>
  </si>
  <si>
    <t>Melting_Curves/meltCurve_sp_P42126_2_ECI1_HUMAN_.pdf</t>
  </si>
  <si>
    <t>Melting_Curves/meltCurve_sp_P42166_LAP2A_HUMAN_.pdf</t>
  </si>
  <si>
    <t>Melting_Curves/meltCurve_sp_P42167_LAP2B_HUMAN_.pdf</t>
  </si>
  <si>
    <t>Melting_Curves/meltCurve_sp_P42224_STAT1_HUMAN_.pdf</t>
  </si>
  <si>
    <t>Melting_Curves/meltCurve_sp_P42226_STAT6_HUMAN_.pdf</t>
  </si>
  <si>
    <t>Melting_Curves/meltCurve_sp_P42285_SK2L2_HUMAN_.pdf</t>
  </si>
  <si>
    <t>Melting_Curves/meltCurve_sp_P42330_AK1C3_HUMAN_.pdf</t>
  </si>
  <si>
    <t>Melting_Curves/meltCurve_sp_P42336_PK3CA_HUMAN_.pdf</t>
  </si>
  <si>
    <t>Melting_Curves/meltCurve_sp_P42338_PK3CB_HUMAN_.pdf</t>
  </si>
  <si>
    <t>Melting_Curves/meltCurve_sp_P42345_MTOR_HUMAN_.pdf</t>
  </si>
  <si>
    <t>Melting_Curves/meltCurve_sp_P42356_PI4KA_HUMAN_.pdf</t>
  </si>
  <si>
    <t>Melting_Curves/meltCurve_sp_P42357_HUTH_HUMAN_.pdf</t>
  </si>
  <si>
    <t>Melting_Curves/meltCurve_sp_P42566_EPS15_HUMAN_.pdf</t>
  </si>
  <si>
    <t>Melting_Curves/meltCurve_sp_P42574_CASP3_HUMAN_.pdf</t>
  </si>
  <si>
    <t>Melting_Curves/meltCurve_sp_P42704_LPPRC_HUMAN_.pdf</t>
  </si>
  <si>
    <t>Melting_Curves/meltCurve_sp_P42765_THIM_HUMAN_.pdf</t>
  </si>
  <si>
    <t>Melting_Curves/meltCurve_sp_P42768_WASP_HUMAN_.pdf</t>
  </si>
  <si>
    <t>Melting_Curves/meltCurve_sp_P42773_CDN2C_HUMAN_.pdf</t>
  </si>
  <si>
    <t>Melting_Curves/meltCurve_sp_P42785_PCP_HUMAN_.pdf</t>
  </si>
  <si>
    <t>Melting_Curves/meltCurve_sp_P42858_HD_HUMAN_.pdf</t>
  </si>
  <si>
    <t>Melting_Curves/meltCurve_sp_P42898_MTHR_HUMAN_.pdf</t>
  </si>
  <si>
    <t>Melting_Curves/meltCurve_sp_P43034_LIS1_HUMAN_.pdf</t>
  </si>
  <si>
    <t>Melting_Curves/meltCurve_sp_P43155_2_CACP_HUMAN_.pdf</t>
  </si>
  <si>
    <t>Melting_Curves/meltCurve_sp_P43246_MSH2_HUMAN_.pdf</t>
  </si>
  <si>
    <t>Melting_Curves/meltCurve_sp_P43487_RANG_HUMAN_.pdf</t>
  </si>
  <si>
    <t>Melting_Curves/meltCurve_sp_P43490_NAMPT_HUMAN_.pdf</t>
  </si>
  <si>
    <t>Melting_Curves/meltCurve_sp_P43652_AFAM_HUMAN_.pdf</t>
  </si>
  <si>
    <t>Melting_Curves/meltCurve_sp_P43686_PRS6B_HUMAN_.pdf</t>
  </si>
  <si>
    <t>Melting_Curves/meltCurve_sp_P43694_GATA4_HUMAN_.pdf</t>
  </si>
  <si>
    <t>Melting_Curves/meltCurve_sp_P43897_EFTS_HUMAN_.pdf</t>
  </si>
  <si>
    <t>Melting_Curves/meltCurve_sp_P45381_ACY2_HUMAN_.pdf</t>
  </si>
  <si>
    <t>Melting_Curves/meltCurve_sp_P45877_PPIC_HUMAN_.pdf</t>
  </si>
  <si>
    <t>Melting_Curves/meltCurve_sp_P45954_ACDSB_HUMAN_.pdf</t>
  </si>
  <si>
    <t>Melting_Curves/meltCurve_sp_P45973_CBX5_HUMAN_.pdf</t>
  </si>
  <si>
    <t>Melting_Curves/meltCurve_sp_P45974_2_UBP5_HUMAN_.pdf</t>
  </si>
  <si>
    <t>Melting_Curves/meltCurve_sp_P45983_3_MK08_HUMAN_.pdf</t>
  </si>
  <si>
    <t>Melting_Curves/meltCurve_sp_P45984_2_MK09_HUMAN_.pdf</t>
  </si>
  <si>
    <t>Melting_Curves/meltCurve_sp_P45985_MP2K4_HUMAN_.pdf</t>
  </si>
  <si>
    <t>Melting_Curves/meltCurve_sp_P46013_2_KI67_HUMAN_.pdf</t>
  </si>
  <si>
    <t>Melting_Curves/meltCurve_sp_P46019_KPB2_HUMAN_.pdf</t>
  </si>
  <si>
    <t>Melting_Curves/meltCurve_sp_P46060_RAGP1_HUMAN_.pdf</t>
  </si>
  <si>
    <t>Melting_Curves/meltCurve_sp_P46063_RECQ1_HUMAN_.pdf</t>
  </si>
  <si>
    <t>Melting_Curves/meltCurve_sp_P46087_2_NOP2_HUMAN_.pdf</t>
  </si>
  <si>
    <t>Melting_Curves/meltCurve_sp_P46100_2_ATRX_HUMAN_.pdf</t>
  </si>
  <si>
    <t>Melting_Curves/meltCurve_sp_P46108_CRK_HUMAN_.pdf</t>
  </si>
  <si>
    <t>Melting_Curves/meltCurve_sp_P46109_CRKL_HUMAN_.pdf</t>
  </si>
  <si>
    <t>Melting_Curves/meltCurve_sp_P46199_IF2M_HUMAN_.pdf</t>
  </si>
  <si>
    <t>Melting_Curves/meltCurve_sp_P46527_CDN1B_HUMAN_.pdf</t>
  </si>
  <si>
    <t>Melting_Curves/meltCurve_sp_P46734_2_MP2K3_HUMAN_.pdf</t>
  </si>
  <si>
    <t>Melting_Curves/meltCurve_sp_P46736_2_BRCC3_HUMAN_.pdf</t>
  </si>
  <si>
    <t>Melting_Curves/meltCurve_sp_P46777_RL5_HUMAN_.pdf</t>
  </si>
  <si>
    <t>Melting_Curves/meltCurve_sp_P46779_4_RL28_HUMAN_.pdf</t>
  </si>
  <si>
    <t>Melting_Curves/meltCurve_sp_P46781_RS9_HUMAN_.pdf</t>
  </si>
  <si>
    <t>Melting_Curves/meltCurve_sp_P46783_RS10_HUMAN_.pdf</t>
  </si>
  <si>
    <t>Melting_Curves/meltCurve_sp_P46926_GNPI1_HUMAN_.pdf</t>
  </si>
  <si>
    <t>Melting_Curves/meltCurve_sp_P46934_4_NEDD4_HUMAN_.pdf</t>
  </si>
  <si>
    <t>Melting_Curves/meltCurve_sp_P46937_YAP1_HUMAN_.pdf</t>
  </si>
  <si>
    <t>Melting_Curves/meltCurve_sp_P46939_UTRO_HUMAN_.pdf</t>
  </si>
  <si>
    <t>Melting_Curves/meltCurve_sp_P46940_IQGA1_HUMAN_.pdf</t>
  </si>
  <si>
    <t>Melting_Curves/meltCurve_sp_P46952_3HAO_HUMAN_.pdf</t>
  </si>
  <si>
    <t>Melting_Curves/meltCurve_sp_P46976_2_GLYG_HUMAN_.pdf</t>
  </si>
  <si>
    <t>Melting_Curves/meltCurve_sp_P47224_MSS4_HUMAN_.pdf</t>
  </si>
  <si>
    <t>Melting_Curves/meltCurve_sp_P47755_CAZA2_HUMAN_.pdf</t>
  </si>
  <si>
    <t>Melting_Curves/meltCurve_sp_P47813_IF1AX_HUMAN_.pdf</t>
  </si>
  <si>
    <t>Melting_Curves/meltCurve_sp_P47897_SYQ_HUMAN_.pdf</t>
  </si>
  <si>
    <t>Melting_Curves/meltCurve_sp_P47914_RL29_HUMAN_.pdf</t>
  </si>
  <si>
    <t>Melting_Curves/meltCurve_sp_P47985_UCRI_HUMAN_.pdf</t>
  </si>
  <si>
    <t>Melting_Curves/meltCurve_sp_P47989_XDH_HUMAN_.pdf</t>
  </si>
  <si>
    <t>Melting_Curves/meltCurve_sp_P48047_ATPO_HUMAN_.pdf</t>
  </si>
  <si>
    <t>Melting_Curves/meltCurve_sp_P48059_LIMS1_HUMAN_.pdf</t>
  </si>
  <si>
    <t>Melting_Curves/meltCurve_sp_P48147_PPCE_HUMAN_.pdf</t>
  </si>
  <si>
    <t>Melting_Curves/meltCurve_sp_P48163_MAOX_HUMAN_.pdf</t>
  </si>
  <si>
    <t>Melting_Curves/meltCurve_sp_P48200_IREB2_HUMAN_.pdf</t>
  </si>
  <si>
    <t>Melting_Curves/meltCurve_sp_P48444_COPD_HUMAN_.pdf</t>
  </si>
  <si>
    <t>Melting_Curves/meltCurve_sp_P48449_3_ERG7_HUMAN_.pdf</t>
  </si>
  <si>
    <t>Melting_Curves/meltCurve_sp_P48506_GSH1_HUMAN_.pdf</t>
  </si>
  <si>
    <t>Melting_Curves/meltCurve_sp_P48507_GSH0_HUMAN_.pdf</t>
  </si>
  <si>
    <t>Melting_Curves/meltCurve_sp_P48553_TPC10_HUMAN_.pdf</t>
  </si>
  <si>
    <t>Melting_Curves/meltCurve_sp_P48634_PRC2A_HUMAN_.pdf</t>
  </si>
  <si>
    <t>Melting_Curves/meltCurve_sp_P48637_GSHB_HUMAN_.pdf</t>
  </si>
  <si>
    <t>Melting_Curves/meltCurve_sp_P48643_TCPE_HUMAN_.pdf</t>
  </si>
  <si>
    <t>Melting_Curves/meltCurve_sp_P48668_K2C6C_HUMAN_.pdf</t>
  </si>
  <si>
    <t>Melting_Curves/meltCurve_sp_P48728_GCST_HUMAN_.pdf</t>
  </si>
  <si>
    <t>Melting_Curves/meltCurve_sp_P48735_IDHP_HUMAN_.pdf</t>
  </si>
  <si>
    <t>Melting_Curves/meltCurve_sp_P48739_PIPNB_HUMAN_.pdf</t>
  </si>
  <si>
    <t>Melting_Curves/meltCurve_sp_P48740_MASP1_HUMAN_.pdf</t>
  </si>
  <si>
    <t>Melting_Curves/meltCurve_sp_P48775_T23O_HUMAN_.pdf</t>
  </si>
  <si>
    <t>Melting_Curves/meltCurve_sp_P49005_DPOD2_HUMAN_.pdf</t>
  </si>
  <si>
    <t>Melting_Curves/meltCurve_sp_P49006_MRP_HUMAN_.pdf</t>
  </si>
  <si>
    <t>Melting_Curves/meltCurve_sp_P49023_2_PAXI_HUMAN_.pdf</t>
  </si>
  <si>
    <t>Melting_Curves/meltCurve_sp_P49116_NR2C2_HUMAN_.pdf</t>
  </si>
  <si>
    <t>Melting_Curves/meltCurve_sp_P49189_AL9A1_HUMAN_.pdf</t>
  </si>
  <si>
    <t>Melting_Curves/meltCurve_sp_P49247_RPIA_HUMAN_.pdf</t>
  </si>
  <si>
    <t>Melting_Curves/meltCurve_sp_P49257_LMAN1_HUMAN_.pdf</t>
  </si>
  <si>
    <t>Melting_Curves/meltCurve_sp_P49321_NASP_HUMAN_.pdf</t>
  </si>
  <si>
    <t>Melting_Curves/meltCurve_sp_P49326_FMO5_HUMAN_.pdf</t>
  </si>
  <si>
    <t>Melting_Curves/meltCurve_sp_P49327_FAS_HUMAN_.pdf</t>
  </si>
  <si>
    <t>Melting_Curves/meltCurve_sp_P49354_FNTA_HUMAN_.pdf</t>
  </si>
  <si>
    <t>Melting_Curves/meltCurve_sp_P49356_FNTB_HUMAN_.pdf</t>
  </si>
  <si>
    <t>Melting_Curves/meltCurve_sp_P49366_DHYS_HUMAN_.pdf</t>
  </si>
  <si>
    <t>Melting_Curves/meltCurve_sp_P49368_TCPG_HUMAN_.pdf</t>
  </si>
  <si>
    <t>Melting_Curves/meltCurve_sp_P49407_2_ARRB1_HUMAN_.pdf</t>
  </si>
  <si>
    <t>Melting_Curves/meltCurve_sp_P49411_EFTU_HUMAN_.pdf</t>
  </si>
  <si>
    <t>Melting_Curves/meltCurve_sp_P49419_2_AL7A1_HUMAN_.pdf</t>
  </si>
  <si>
    <t>Melting_Curves/meltCurve_sp_P49427_UB2R1_HUMAN_.pdf</t>
  </si>
  <si>
    <t>Melting_Curves/meltCurve_sp_P49441_INPP_HUMAN_.pdf</t>
  </si>
  <si>
    <t>Melting_Curves/meltCurve_sp_P49448_DHE4_HUMAN_.pdf</t>
  </si>
  <si>
    <t>Melting_Curves/meltCurve_sp_P49458_SRP09_HUMAN_.pdf</t>
  </si>
  <si>
    <t>Melting_Curves/meltCurve_sp_P49459_UBE2A_HUMAN_.pdf</t>
  </si>
  <si>
    <t>Melting_Curves/meltCurve_sp_P49585_PCY1A_HUMAN_.pdf</t>
  </si>
  <si>
    <t>Melting_Curves/meltCurve_sp_P49588_SYAC_HUMAN_.pdf</t>
  </si>
  <si>
    <t>Melting_Curves/meltCurve_sp_P49589_3_SYCC_HUMAN_.pdf</t>
  </si>
  <si>
    <t>Melting_Curves/meltCurve_sp_P49590_SYHM_HUMAN_.pdf</t>
  </si>
  <si>
    <t>Melting_Curves/meltCurve_sp_P49591_SYSC_HUMAN_.pdf</t>
  </si>
  <si>
    <t>Melting_Curves/meltCurve_sp_P49638_TTPA_HUMAN_.pdf</t>
  </si>
  <si>
    <t>Melting_Curves/meltCurve_sp_P49662_2_CASP4_HUMAN_.pdf</t>
  </si>
  <si>
    <t>Melting_Curves/meltCurve_sp_P49674_KC1E_HUMAN_.pdf</t>
  </si>
  <si>
    <t>Melting_Curves/meltCurve_sp_P49720_PSB3_HUMAN_.pdf</t>
  </si>
  <si>
    <t>Melting_Curves/meltCurve_sp_P49721_PSB2_HUMAN_.pdf</t>
  </si>
  <si>
    <t>Melting_Curves/meltCurve_sp_P49736_MCM2_HUMAN_.pdf</t>
  </si>
  <si>
    <t>Melting_Curves/meltCurve_sp_P49748_ACADV_HUMAN_.pdf</t>
  </si>
  <si>
    <t>Melting_Curves/meltCurve_sp_P49750_4_YLPM1_HUMAN_.pdf</t>
  </si>
  <si>
    <t>Melting_Curves/meltCurve_sp_P49753_ACOT2_HUMAN_.pdf</t>
  </si>
  <si>
    <t>Melting_Curves/meltCurve_sp_P49755_TMEDA_HUMAN_.pdf</t>
  </si>
  <si>
    <t>Melting_Curves/meltCurve_sp_P49756_RBM25_HUMAN_.pdf</t>
  </si>
  <si>
    <t>Melting_Curves/meltCurve_sp_P49757_3_NUMB_HUMAN_.pdf</t>
  </si>
  <si>
    <t>Melting_Curves/meltCurve_sp_P49770_EI2BB_HUMAN_.pdf</t>
  </si>
  <si>
    <t>Melting_Curves/meltCurve_sp_P49773_HINT1_HUMAN_.pdf</t>
  </si>
  <si>
    <t>Melting_Curves/meltCurve_sp_P49789_FHIT_HUMAN_.pdf</t>
  </si>
  <si>
    <t>Melting_Curves/meltCurve_sp_P49790_NU153_HUMAN_.pdf</t>
  </si>
  <si>
    <t>Melting_Curves/meltCurve_sp_P49792_RBP2_HUMAN_.pdf</t>
  </si>
  <si>
    <t>Melting_Curves/meltCurve_sp_P49821_2_NDUV1_HUMAN_.pdf</t>
  </si>
  <si>
    <t>Melting_Curves/meltCurve_sp_P49840_GSK3A_HUMAN_.pdf</t>
  </si>
  <si>
    <t>Melting_Curves/meltCurve_sp_P49841_GSK3B_HUMAN_.pdf</t>
  </si>
  <si>
    <t>Melting_Curves/meltCurve_sp_P49888_ST1E1_HUMAN_.pdf</t>
  </si>
  <si>
    <t>Melting_Curves/meltCurve_sp_P49902_5NTC_HUMAN_.pdf</t>
  </si>
  <si>
    <t>Melting_Curves/meltCurve_sp_P49903_SPS1_HUMAN_.pdf</t>
  </si>
  <si>
    <t>Melting_Curves/meltCurve_sp_P49914_MTHFS_HUMAN_.pdf</t>
  </si>
  <si>
    <t>Melting_Curves/meltCurve_sp_P49959_MRE11_HUMAN_.pdf</t>
  </si>
  <si>
    <t>Melting_Curves/meltCurve_sp_P50053_2_KHK_HUMAN_.pdf</t>
  </si>
  <si>
    <t>Melting_Curves/meltCurve_sp_P50053_KHK_HUMAN_.pdf</t>
  </si>
  <si>
    <t>Melting_Curves/meltCurve_sp_P50135_HNMT_HUMAN_.pdf</t>
  </si>
  <si>
    <t>Melting_Curves/meltCurve_sp_P50151_GBG10_HUMAN_.pdf</t>
  </si>
  <si>
    <t>Melting_Curves/meltCurve_sp_P50213_IDH3A_HUMAN_.pdf</t>
  </si>
  <si>
    <t>Melting_Curves/meltCurve_sp_P50224_ST1A3_HUMAN_.pdf</t>
  </si>
  <si>
    <t>Melting_Curves/meltCurve_sp_P50225_ST1A1_HUMAN_.pdf</t>
  </si>
  <si>
    <t>Melting_Curves/meltCurve_sp_P50226_ST1A2_HUMAN_.pdf</t>
  </si>
  <si>
    <t>Melting_Curves/meltCurve_sp_P50336_PPOX_HUMAN_.pdf</t>
  </si>
  <si>
    <t>Melting_Curves/meltCurve_sp_P50395_GDIB_HUMAN_.pdf</t>
  </si>
  <si>
    <t>Melting_Curves/meltCurve_sp_P50402_EMD_HUMAN_.pdf</t>
  </si>
  <si>
    <t>Melting_Curves/meltCurve_sp_P50440_2_GATM_HUMAN_.pdf</t>
  </si>
  <si>
    <t>Melting_Curves/meltCurve_sp_P50452_SPB8_HUMAN_.pdf</t>
  </si>
  <si>
    <t>Melting_Curves/meltCurve_sp_P50453_SPB9_HUMAN_.pdf</t>
  </si>
  <si>
    <t>Melting_Curves/meltCurve_sp_P50454_SERPH_HUMAN_.pdf</t>
  </si>
  <si>
    <t>Melting_Curves/meltCurve_sp_P50502_F10A1_HUMAN_.pdf</t>
  </si>
  <si>
    <t>Melting_Curves/meltCurve_sp_P50542_2_PEX5_HUMAN_.pdf</t>
  </si>
  <si>
    <t>Melting_Curves/meltCurve_sp_P50552_VASP_HUMAN_.pdf</t>
  </si>
  <si>
    <t>Melting_Curves/meltCurve_sp_P50570_DYN2_HUMAN_.pdf</t>
  </si>
  <si>
    <t>Melting_Curves/meltCurve_sp_P50579_AMPM2_HUMAN_.pdf</t>
  </si>
  <si>
    <t>Melting_Curves/meltCurve_sp_P50583_AP4A_HUMAN_.pdf</t>
  </si>
  <si>
    <t>Melting_Curves/meltCurve_sp_P50747_BPL1_HUMAN_.pdf</t>
  </si>
  <si>
    <t>Melting_Curves/meltCurve_sp_P50748_KNTC1_HUMAN_.pdf</t>
  </si>
  <si>
    <t>Melting_Curves/meltCurve_sp_P50750_CDK9_HUMAN_.pdf</t>
  </si>
  <si>
    <t>Melting_Curves/meltCurve_sp_P50895_BCAM_HUMAN_.pdf</t>
  </si>
  <si>
    <t>Melting_Curves/meltCurve_sp_P50897_PPT1_HUMAN_.pdf</t>
  </si>
  <si>
    <t>Melting_Curves/meltCurve_sp_P50991_TCPD_HUMAN_.pdf</t>
  </si>
  <si>
    <t>Melting_Curves/meltCurve_sp_P51003_PAPOA_HUMAN_.pdf</t>
  </si>
  <si>
    <t>Melting_Curves/meltCurve_sp_P51116_FXR2_HUMAN_.pdf</t>
  </si>
  <si>
    <t>Melting_Curves/meltCurve_sp_P51148_RAB5C_HUMAN_.pdf</t>
  </si>
  <si>
    <t>Melting_Curves/meltCurve_sp_P51149_RAB7A_HUMAN_.pdf</t>
  </si>
  <si>
    <t>Melting_Curves/meltCurve_sp_P51153_RAB13_HUMAN_.pdf</t>
  </si>
  <si>
    <t>Melting_Curves/meltCurve_sp_P51178_2_PLCD1_HUMAN_.pdf</t>
  </si>
  <si>
    <t>Melting_Curves/meltCurve_sp_P51398_2_RT29_HUMAN_.pdf</t>
  </si>
  <si>
    <t>Melting_Curves/meltCurve_sp_P51452_DUS3_HUMAN_.pdf</t>
  </si>
  <si>
    <t>Melting_Curves/meltCurve_sp_P51531_2_SMCA2_HUMAN_.pdf</t>
  </si>
  <si>
    <t>Melting_Curves/meltCurve_sp_P51532_5_SMCA4_HUMAN_.pdf</t>
  </si>
  <si>
    <t>Melting_Curves/meltCurve_sp_P51553_IDH3G_HUMAN_.pdf</t>
  </si>
  <si>
    <t>Melting_Curves/meltCurve_sp_P51570_GALK1_HUMAN_.pdf</t>
  </si>
  <si>
    <t>Melting_Curves/meltCurve_sp_P51572_BAP31_HUMAN_.pdf</t>
  </si>
  <si>
    <t>Melting_Curves/meltCurve_sp_P51580_TPMT_HUMAN_.pdf</t>
  </si>
  <si>
    <t>Melting_Curves/meltCurve_sp_P51589_CP2J2_HUMAN_.pdf</t>
  </si>
  <si>
    <t>Melting_Curves/meltCurve_sp_P51608_MECP2_HUMAN_.pdf</t>
  </si>
  <si>
    <t>Melting_Curves/meltCurve_sp_P51610_4_HCFC1_HUMAN_.pdf</t>
  </si>
  <si>
    <t>Melting_Curves/meltCurve_sp_P51649_SSDH_HUMAN_.pdf</t>
  </si>
  <si>
    <t>Melting_Curves/meltCurve_sp_P51659_DHB4_HUMAN_.pdf</t>
  </si>
  <si>
    <t>Melting_Curves/meltCurve_sp_P51665_PSD7_HUMAN_.pdf</t>
  </si>
  <si>
    <t>Melting_Curves/meltCurve_sp_P51687_SUOX_HUMAN_.pdf</t>
  </si>
  <si>
    <t>Melting_Curves/meltCurve_sp_P51688_SPHM_HUMAN_.pdf</t>
  </si>
  <si>
    <t>Melting_Curves/meltCurve_sp_P51692_STA5B_HUMAN_.pdf</t>
  </si>
  <si>
    <t>Melting_Curves/meltCurve_sp_P51808_DYLT3_HUMAN_.pdf</t>
  </si>
  <si>
    <t>Melting_Curves/meltCurve_sp_P51857_AK1D1_HUMAN_.pdf</t>
  </si>
  <si>
    <t>Melting_Curves/meltCurve_sp_P51858_HDGF_HUMAN_.pdf</t>
  </si>
  <si>
    <t>Melting_Curves/meltCurve_sp_P51884_LUM_HUMAN_.pdf</t>
  </si>
  <si>
    <t>Melting_Curves/meltCurve_sp_P51948_2_MAT1_HUMAN_.pdf</t>
  </si>
  <si>
    <t>Melting_Curves/meltCurve_sp_P51991_ROA3_HUMAN_.pdf</t>
  </si>
  <si>
    <t>Melting_Curves/meltCurve_sp_P52272_2_HNRPM_HUMAN_.pdf</t>
  </si>
  <si>
    <t>Melting_Curves/meltCurve_sp_P52292_IMA2_HUMAN_.pdf</t>
  </si>
  <si>
    <t>Melting_Curves/meltCurve_sp_P52294_IMA1_HUMAN_.pdf</t>
  </si>
  <si>
    <t>Melting_Curves/meltCurve_sp_P52306_GDS1_HUMAN_.pdf</t>
  </si>
  <si>
    <t>Melting_Curves/meltCurve_sp_P52565_GDIR1_HUMAN_.pdf</t>
  </si>
  <si>
    <t>Melting_Curves/meltCurve_sp_P52594_2_AGFG1_HUMAN_.pdf</t>
  </si>
  <si>
    <t>Melting_Curves/meltCurve_sp_P52597_HNRPF_HUMAN_.pdf</t>
  </si>
  <si>
    <t>Melting_Curves/meltCurve_sp_P52630_4_STAT2_HUMAN_.pdf</t>
  </si>
  <si>
    <t>Melting_Curves/meltCurve_sp_P52701_MSH6_HUMAN_.pdf</t>
  </si>
  <si>
    <t>Melting_Curves/meltCurve_sp_P52735_3_VAV2_HUMAN_.pdf</t>
  </si>
  <si>
    <t>Melting_Curves/meltCurve_sp_P52756_RBM5_HUMAN_.pdf</t>
  </si>
  <si>
    <t>Melting_Curves/meltCurve_sp_P52758_UK114_HUMAN_.pdf</t>
  </si>
  <si>
    <t>Melting_Curves/meltCurve_sp_P52788_SPSY_HUMAN_.pdf</t>
  </si>
  <si>
    <t>Melting_Curves/meltCurve_sp_P52790_HXK3_HUMAN_.pdf</t>
  </si>
  <si>
    <t>Melting_Curves/meltCurve_sp_P52888_THOP1_HUMAN_.pdf</t>
  </si>
  <si>
    <t>Melting_Curves/meltCurve_sp_P52895_AK1C2_HUMAN_.pdf</t>
  </si>
  <si>
    <t>Melting_Curves/meltCurve_sp_P52907_CAZA1_HUMAN_.pdf</t>
  </si>
  <si>
    <t>Melting_Curves/meltCurve_sp_P52943_CRIP2_HUMAN_.pdf</t>
  </si>
  <si>
    <t>Melting_Curves/meltCurve_sp_P52948_6_NUP98_HUMAN_.pdf</t>
  </si>
  <si>
    <t>Melting_Curves/meltCurve_sp_P53004_BIEA_HUMAN_.pdf</t>
  </si>
  <si>
    <t>Melting_Curves/meltCurve_sp_P53007_TXTP_HUMAN_.pdf</t>
  </si>
  <si>
    <t>Melting_Curves/meltCurve_sp_P53365_2_ARFP2_HUMAN_.pdf</t>
  </si>
  <si>
    <t>Melting_Curves/meltCurve_sp_P53367_ARFP1_HUMAN_.pdf</t>
  </si>
  <si>
    <t>Melting_Curves/meltCurve_sp_P53370_NUDT6_HUMAN_.pdf</t>
  </si>
  <si>
    <t>Melting_Curves/meltCurve_sp_P53384_2_NUBP1_HUMAN_.pdf</t>
  </si>
  <si>
    <t>Melting_Curves/meltCurve_sp_P53396_ACLY_HUMAN_.pdf</t>
  </si>
  <si>
    <t>Melting_Curves/meltCurve_sp_P53582_AMPM1_HUMAN_.pdf</t>
  </si>
  <si>
    <t>Melting_Curves/meltCurve_sp_P53597_SUCA_HUMAN_.pdf</t>
  </si>
  <si>
    <t>Melting_Curves/meltCurve_sp_P53602_MVD1_HUMAN_.pdf</t>
  </si>
  <si>
    <t>Melting_Curves/meltCurve_sp_P53609_PGTB1_HUMAN_.pdf</t>
  </si>
  <si>
    <t>Melting_Curves/meltCurve_sp_P53611_PGTB2_HUMAN_.pdf</t>
  </si>
  <si>
    <t>Melting_Curves/meltCurve_sp_P53618_COPB_HUMAN_.pdf</t>
  </si>
  <si>
    <t>Melting_Curves/meltCurve_sp_P53621_COPA_HUMAN_.pdf</t>
  </si>
  <si>
    <t>Melting_Curves/meltCurve_sp_P53634_CATC_HUMAN_.pdf</t>
  </si>
  <si>
    <t>Melting_Curves/meltCurve_sp_P53675_2_CLH2_HUMAN_.pdf</t>
  </si>
  <si>
    <t>Melting_Curves/meltCurve_sp_P53680_AP2S1_HUMAN_.pdf</t>
  </si>
  <si>
    <t>Melting_Curves/meltCurve_sp_P53805_RCAN1_HUMAN_.pdf</t>
  </si>
  <si>
    <t>Melting_Curves/meltCurve_sp_P53990_2_IST1_HUMAN_.pdf</t>
  </si>
  <si>
    <t>Melting_Curves/meltCurve_sp_P53992_SC24C_HUMAN_.pdf</t>
  </si>
  <si>
    <t>Melting_Curves/meltCurve_sp_P53999_TCP4_HUMAN_.pdf</t>
  </si>
  <si>
    <t>Melting_Curves/meltCurve_sp_P54136_SYRC_HUMAN_.pdf</t>
  </si>
  <si>
    <t>Melting_Curves/meltCurve_sp_P54253_ATX1_HUMAN_.pdf</t>
  </si>
  <si>
    <t>Melting_Curves/meltCurve_sp_P54278_3_PMS2_HUMAN_.pdf</t>
  </si>
  <si>
    <t>Melting_Curves/meltCurve_sp_P54577_SYYC_HUMAN_.pdf</t>
  </si>
  <si>
    <t>Melting_Curves/meltCurve_sp_P54578_2_UBP14_HUMAN_.pdf</t>
  </si>
  <si>
    <t>Melting_Curves/meltCurve_sp_P54619_2_AAKG1_HUMAN_.pdf</t>
  </si>
  <si>
    <t>Melting_Curves/meltCurve_sp_P54687_5_BCAT1_HUMAN_.pdf</t>
  </si>
  <si>
    <t>Melting_Curves/meltCurve_sp_P54727_RD23B_HUMAN_.pdf</t>
  </si>
  <si>
    <t>Melting_Curves/meltCurve_sp_P54802_ANAG_HUMAN_.pdf</t>
  </si>
  <si>
    <t>Melting_Curves/meltCurve_sp_P54840_GYS2_HUMAN_.pdf</t>
  </si>
  <si>
    <t>Melting_Curves/meltCurve_sp_P54855_UDB15_HUMAN_.pdf</t>
  </si>
  <si>
    <t>Melting_Curves/meltCurve_sp_P54868_HMCS2_HUMAN_.pdf</t>
  </si>
  <si>
    <t>Melting_Curves/meltCurve_sp_P54886_2_P5CS_HUMAN_.pdf</t>
  </si>
  <si>
    <t>Melting_Curves/meltCurve_sp_P54920_SNAA_HUMAN_.pdf</t>
  </si>
  <si>
    <t>Melting_Curves/meltCurve_sp_P55008_AIF1_HUMAN_.pdf</t>
  </si>
  <si>
    <t>Melting_Curves/meltCurve_sp_P55010_IF5_HUMAN_.pdf</t>
  </si>
  <si>
    <t>Melting_Curves/meltCurve_sp_P55036_PSMD4_HUMAN_.pdf</t>
  </si>
  <si>
    <t>Melting_Curves/meltCurve_sp_P55039_DRG2_HUMAN_.pdf</t>
  </si>
  <si>
    <t>Melting_Curves/meltCurve_sp_P55058_PLTP_HUMAN_.pdf</t>
  </si>
  <si>
    <t>Melting_Curves/meltCurve_sp_P55060_3_XPO2_HUMAN_.pdf</t>
  </si>
  <si>
    <t>Melting_Curves/meltCurve_sp_P55072_TERA_HUMAN_.pdf</t>
  </si>
  <si>
    <t>Melting_Curves/meltCurve_sp_P55081_MFAP1_HUMAN_.pdf</t>
  </si>
  <si>
    <t>Melting_Curves/meltCurve_sp_P55084_ECHB_HUMAN_.pdf</t>
  </si>
  <si>
    <t>Melting_Curves/meltCurve_sp_P55103_INHBC_HUMAN_.pdf</t>
  </si>
  <si>
    <t>Melting_Curves/meltCurve_sp_P55145_MANF_HUMAN_.pdf</t>
  </si>
  <si>
    <t>Melting_Curves/meltCurve_sp_P55157_MTP_HUMAN_.pdf</t>
  </si>
  <si>
    <t>Melting_Curves/meltCurve_sp_P55196_3_AFAD_HUMAN_.pdf</t>
  </si>
  <si>
    <t>Melting_Curves/meltCurve_sp_P55196_AFAD_HUMAN_.pdf</t>
  </si>
  <si>
    <t>Melting_Curves/meltCurve_sp_P55210_CASP7_HUMAN_.pdf</t>
  </si>
  <si>
    <t>Melting_Curves/meltCurve_sp_P55212_CASP6_HUMAN_.pdf</t>
  </si>
  <si>
    <t>Melting_Curves/meltCurve_sp_P55263_ADK_HUMAN_.pdf</t>
  </si>
  <si>
    <t>Melting_Curves/meltCurve_sp_P55265_3_DSRAD_HUMAN_.pdf</t>
  </si>
  <si>
    <t>Melting_Curves/meltCurve_sp_P55268_LAMB2_HUMAN_.pdf</t>
  </si>
  <si>
    <t>Melting_Curves/meltCurve_sp_P55290_3_CAD13_HUMAN_.pdf</t>
  </si>
  <si>
    <t>Melting_Curves/meltCurve_sp_P55327_2_TPD52_HUMAN_.pdf</t>
  </si>
  <si>
    <t>Melting_Curves/meltCurve_sp_P55735_SEC13_HUMAN_.pdf</t>
  </si>
  <si>
    <t>Melting_Curves/meltCurve_sp_P55769_NH2L1_HUMAN_.pdf</t>
  </si>
  <si>
    <t>Melting_Curves/meltCurve_sp_P55789_ALR_HUMAN_.pdf</t>
  </si>
  <si>
    <t>Melting_Curves/meltCurve_sp_P55795_HNRH2_HUMAN_.pdf</t>
  </si>
  <si>
    <t>Melting_Curves/meltCurve_sp_P55854_SUMO3_HUMAN_.pdf</t>
  </si>
  <si>
    <t>Melting_Curves/meltCurve_sp_P55884_EIF3B_HUMAN_.pdf</t>
  </si>
  <si>
    <t>Melting_Curves/meltCurve_sp_P56181_2_NDUV3_HUMAN_.pdf</t>
  </si>
  <si>
    <t>Melting_Curves/meltCurve_sp_P56181_NDUV3_HUMAN_.pdf</t>
  </si>
  <si>
    <t>Melting_Curves/meltCurve_sp_P56192_SYMC_HUMAN_.pdf</t>
  </si>
  <si>
    <t>Melting_Curves/meltCurve_sp_P56277_CMC4_HUMAN_.pdf</t>
  </si>
  <si>
    <t>Melting_Curves/meltCurve_sp_P56385_ATP5I_HUMAN_.pdf</t>
  </si>
  <si>
    <t>Melting_Curves/meltCurve_sp_P56470_LEG4_HUMAN_.pdf</t>
  </si>
  <si>
    <t>Melting_Curves/meltCurve_sp_P56524_HDAC4_HUMAN_.pdf</t>
  </si>
  <si>
    <t>Melting_Curves/meltCurve_sp_P56537_IF6_HUMAN_.pdf</t>
  </si>
  <si>
    <t>Melting_Curves/meltCurve_sp_P57060_RWD2B_HUMAN_.pdf</t>
  </si>
  <si>
    <t>Melting_Curves/meltCurve_sp_P57076_CU059_HUMAN_.pdf</t>
  </si>
  <si>
    <t>Melting_Curves/meltCurve_sp_P57081_2_WDR4_HUMAN_.pdf</t>
  </si>
  <si>
    <t>Melting_Curves/meltCurve_sp_P57105_SYJ2B_HUMAN_.pdf</t>
  </si>
  <si>
    <t>Melting_Curves/meltCurve_sp_P57737_3_CORO7_HUMAN_.pdf</t>
  </si>
  <si>
    <t>Melting_Curves/meltCurve_sp_P57764_GSDMD_HUMAN_.pdf</t>
  </si>
  <si>
    <t>Melting_Curves/meltCurve_sp_P57772_SELB_HUMAN_.pdf</t>
  </si>
  <si>
    <t>Melting_Curves/meltCurve_sp_P58004_SESN2_HUMAN_.pdf</t>
  </si>
  <si>
    <t>Melting_Curves/meltCurve_sp_P58546_MTPN_HUMAN_.pdf</t>
  </si>
  <si>
    <t>Melting_Curves/meltCurve_sp_P59282_TPPP2_HUMAN_.pdf</t>
  </si>
  <si>
    <t>Melting_Curves/meltCurve_sp_P59666_DEF3_HUMAN_.pdf</t>
  </si>
  <si>
    <t>Melting_Curves/meltCurve_sp_P59998_ARPC4_HUMAN_.pdf</t>
  </si>
  <si>
    <t>Melting_Curves/meltCurve_sp_P60174_1_TPIS_HUMAN_.pdf</t>
  </si>
  <si>
    <t>Melting_Curves/meltCurve_sp_P60228_EIF3E_HUMAN_.pdf</t>
  </si>
  <si>
    <t>Melting_Curves/meltCurve_sp_P60468_SC61B_HUMAN_.pdf</t>
  </si>
  <si>
    <t>Melting_Curves/meltCurve_sp_P60604_2_UB2G2_HUMAN_.pdf</t>
  </si>
  <si>
    <t>Melting_Curves/meltCurve_sp_P60763_RAC3_HUMAN_.pdf</t>
  </si>
  <si>
    <t>Melting_Curves/meltCurve_sp_P60842_IF4A1_HUMAN_.pdf</t>
  </si>
  <si>
    <t>Melting_Curves/meltCurve_sp_P60891_PRPS1_HUMAN_.pdf</t>
  </si>
  <si>
    <t>Melting_Curves/meltCurve_sp_P60900_PSA6_HUMAN_.pdf</t>
  </si>
  <si>
    <t>Melting_Curves/meltCurve_sp_P60903_S10AA_HUMAN_.pdf</t>
  </si>
  <si>
    <t>Melting_Curves/meltCurve_sp_P60953_CDC42_HUMAN_.pdf</t>
  </si>
  <si>
    <t>Melting_Curves/meltCurve_sp_P60981_2_DEST_HUMAN_.pdf</t>
  </si>
  <si>
    <t>Melting_Curves/meltCurve_sp_P60983_GMFB_HUMAN_.pdf</t>
  </si>
  <si>
    <t>Melting_Curves/meltCurve_sp_P61006_RAB8A_HUMAN_.pdf</t>
  </si>
  <si>
    <t>Melting_Curves/meltCurve_sp_P61011_SRP54_HUMAN_.pdf</t>
  </si>
  <si>
    <t>Melting_Curves/meltCurve_sp_P61019_RAB2A_HUMAN_.pdf</t>
  </si>
  <si>
    <t>Melting_Curves/meltCurve_sp_P61020_RAB5B_HUMAN_.pdf</t>
  </si>
  <si>
    <t>Melting_Curves/meltCurve_sp_P61026_RAB10_HUMAN_.pdf</t>
  </si>
  <si>
    <t>Melting_Curves/meltCurve_sp_P61077_UB2D3_HUMAN_.pdf</t>
  </si>
  <si>
    <t>Melting_Curves/meltCurve_sp_P61081_UBC12_HUMAN_.pdf</t>
  </si>
  <si>
    <t>Melting_Curves/meltCurve_sp_P61086_UBE2K_HUMAN_.pdf</t>
  </si>
  <si>
    <t>Melting_Curves/meltCurve_sp_P61088_UBE2N_HUMAN_.pdf</t>
  </si>
  <si>
    <t>Melting_Curves/meltCurve_sp_P61106_RAB14_HUMAN_.pdf</t>
  </si>
  <si>
    <t>Melting_Curves/meltCurve_sp_P61158_ARP3_HUMAN_.pdf</t>
  </si>
  <si>
    <t>Melting_Curves/meltCurve_sp_P61160_ARP2_HUMAN_.pdf</t>
  </si>
  <si>
    <t>Melting_Curves/meltCurve_sp_P61163_ACTZ_HUMAN_.pdf</t>
  </si>
  <si>
    <t>Melting_Curves/meltCurve_sp_P61201_CSN2_HUMAN_.pdf</t>
  </si>
  <si>
    <t>Melting_Curves/meltCurve_sp_P61221_ABCE1_HUMAN_.pdf</t>
  </si>
  <si>
    <t>Melting_Curves/meltCurve_sp_P61224_3_RAP1B_HUMAN_.pdf</t>
  </si>
  <si>
    <t>Melting_Curves/meltCurve_sp_P61247_RS3A_HUMAN_.pdf</t>
  </si>
  <si>
    <t>Melting_Curves/meltCurve_sp_P61289_PSME3_HUMAN_.pdf</t>
  </si>
  <si>
    <t>Melting_Curves/meltCurve_sp_P61326_MGN_HUMAN_.pdf</t>
  </si>
  <si>
    <t>Melting_Curves/meltCurve_sp_P61457_PHS_HUMAN_.pdf</t>
  </si>
  <si>
    <t>Melting_Curves/meltCurve_sp_P61586_RHOA_HUMAN_.pdf</t>
  </si>
  <si>
    <t>Melting_Curves/meltCurve_sp_P61604_CH10_HUMAN_.pdf</t>
  </si>
  <si>
    <t>Melting_Curves/meltCurve_sp_P61758_PFD3_HUMAN_.pdf</t>
  </si>
  <si>
    <t>Melting_Curves/meltCurve_sp_P61923_COPZ1_HUMAN_.pdf</t>
  </si>
  <si>
    <t>Melting_Curves/meltCurve_sp_P61956_2_SUMO2_HUMAN_.pdf</t>
  </si>
  <si>
    <t>Melting_Curves/meltCurve_sp_P61962_DCAF7_HUMAN_.pdf</t>
  </si>
  <si>
    <t>Melting_Curves/meltCurve_sp_P61964_WDR5_HUMAN_.pdf</t>
  </si>
  <si>
    <t>Melting_Curves/meltCurve_sp_P61966_AP1S1_HUMAN_.pdf</t>
  </si>
  <si>
    <t>Melting_Curves/meltCurve_sp_P61970_NTF2_HUMAN_.pdf</t>
  </si>
  <si>
    <t>Melting_Curves/meltCurve_sp_P61978_3_HNRPK_HUMAN_.pdf</t>
  </si>
  <si>
    <t>Melting_Curves/meltCurve_sp_P61981_1433G_HUMAN_.pdf</t>
  </si>
  <si>
    <t>Melting_Curves/meltCurve_sp_P62070_RRAS2_HUMAN_.pdf</t>
  </si>
  <si>
    <t>Melting_Curves/meltCurve_sp_P62072_TIM10_HUMAN_.pdf</t>
  </si>
  <si>
    <t>Melting_Curves/meltCurve_sp_P62136_PP1A_HUMAN_.pdf</t>
  </si>
  <si>
    <t>Melting_Curves/meltCurve_sp_P62140_PP1B_HUMAN_.pdf</t>
  </si>
  <si>
    <t>Melting_Curves/meltCurve_sp_P62158_CALM_HUMAN_.pdf</t>
  </si>
  <si>
    <t>Melting_Curves/meltCurve_sp_P62191_PRS4_HUMAN_.pdf</t>
  </si>
  <si>
    <t>Melting_Curves/meltCurve_sp_P62195_2_PRS8_HUMAN_.pdf</t>
  </si>
  <si>
    <t>Melting_Curves/meltCurve_sp_P62241_RS8_HUMAN_.pdf</t>
  </si>
  <si>
    <t>Melting_Curves/meltCurve_sp_P62258_1433E_HUMAN_.pdf</t>
  </si>
  <si>
    <t>Melting_Curves/meltCurve_sp_P62263_RS14_HUMAN_.pdf</t>
  </si>
  <si>
    <t>Melting_Curves/meltCurve_sp_P62269_RS18_HUMAN_.pdf</t>
  </si>
  <si>
    <t>Melting_Curves/meltCurve_sp_P62277_RS13_HUMAN_.pdf</t>
  </si>
  <si>
    <t>Melting_Curves/meltCurve_sp_P62280_RS11_HUMAN_.pdf</t>
  </si>
  <si>
    <t>Melting_Curves/meltCurve_sp_P62304_RUXE_HUMAN_.pdf</t>
  </si>
  <si>
    <t>Melting_Curves/meltCurve_sp_P62306_RUXF_HUMAN_.pdf</t>
  </si>
  <si>
    <t>Melting_Curves/meltCurve_sp_P62308_RUXG_HUMAN_.pdf</t>
  </si>
  <si>
    <t>Melting_Curves/meltCurve_sp_P62310_LSM3_HUMAN_.pdf</t>
  </si>
  <si>
    <t>Melting_Curves/meltCurve_sp_P62312_LSM6_HUMAN_.pdf</t>
  </si>
  <si>
    <t>Melting_Curves/meltCurve_sp_P62314_SMD1_HUMAN_.pdf</t>
  </si>
  <si>
    <t>Melting_Curves/meltCurve_sp_P62316_SMD2_HUMAN_.pdf</t>
  </si>
  <si>
    <t>Melting_Curves/meltCurve_sp_P62328_TYB4_HUMAN_.pdf</t>
  </si>
  <si>
    <t>Melting_Curves/meltCurve_sp_P62330_ARF6_HUMAN_.pdf</t>
  </si>
  <si>
    <t>Melting_Curves/meltCurve_sp_P62333_PRS10_HUMAN_.pdf</t>
  </si>
  <si>
    <t>Melting_Curves/meltCurve_sp_P62424_RL7A_HUMAN_.pdf</t>
  </si>
  <si>
    <t>Melting_Curves/meltCurve_sp_P62487_RPB7_HUMAN_.pdf</t>
  </si>
  <si>
    <t>Melting_Curves/meltCurve_sp_P62495_ERF1_HUMAN_.pdf</t>
  </si>
  <si>
    <t>Melting_Curves/meltCurve_sp_P62633_2_CNBP_HUMAN_.pdf</t>
  </si>
  <si>
    <t>Melting_Curves/meltCurve_sp_P62701_RS4X_HUMAN_.pdf</t>
  </si>
  <si>
    <t>Melting_Curves/meltCurve_sp_P62714_PP2AB_HUMAN_.pdf</t>
  </si>
  <si>
    <t>Melting_Curves/meltCurve_sp_P62750_RL23A_HUMAN_.pdf</t>
  </si>
  <si>
    <t>Melting_Curves/meltCurve_sp_P62753_RS6_HUMAN_.pdf</t>
  </si>
  <si>
    <t>Melting_Curves/meltCurve_sp_P62760_VISL1_HUMAN_.pdf</t>
  </si>
  <si>
    <t>Melting_Curves/meltCurve_sp_P62805_H4_HUMAN_.pdf</t>
  </si>
  <si>
    <t>Melting_Curves/meltCurve_sp_P62807_H2B1C_HUMAN_.pdf</t>
  </si>
  <si>
    <t>Melting_Curves/meltCurve_sp_P62820_RAB1A_HUMAN_.pdf</t>
  </si>
  <si>
    <t>Melting_Curves/meltCurve_sp_P62826_RAN_HUMAN_.pdf</t>
  </si>
  <si>
    <t>Melting_Curves/meltCurve_sp_P62829_RL23_HUMAN_.pdf</t>
  </si>
  <si>
    <t>Melting_Curves/meltCurve_sp_P62834_RAP1A_HUMAN_.pdf</t>
  </si>
  <si>
    <t>Melting_Curves/meltCurve_sp_P62837_UB2D2_HUMAN_.pdf</t>
  </si>
  <si>
    <t>Melting_Curves/meltCurve_sp_P62851_RS25_HUMAN_.pdf</t>
  </si>
  <si>
    <t>Melting_Curves/meltCurve_sp_P62854_RS26_HUMAN_.pdf</t>
  </si>
  <si>
    <t>Melting_Curves/meltCurve_sp_P62857_RS28_HUMAN_.pdf</t>
  </si>
  <si>
    <t>Melting_Curves/meltCurve_sp_P62873_GBB1_HUMAN_.pdf</t>
  </si>
  <si>
    <t>Melting_Curves/meltCurve_sp_P62877_RBX1_HUMAN_.pdf</t>
  </si>
  <si>
    <t>Melting_Curves/meltCurve_sp_P62913_2_RL11_HUMAN_.pdf</t>
  </si>
  <si>
    <t>Melting_Curves/meltCurve_sp_P62942_FKB1A_HUMAN_.pdf</t>
  </si>
  <si>
    <t>Melting_Curves/meltCurve_sp_P62993_GRB2_HUMAN_.pdf</t>
  </si>
  <si>
    <t>Melting_Curves/meltCurve_sp_P62995_3_TRA2B_HUMAN_.pdf</t>
  </si>
  <si>
    <t>Melting_Curves/meltCurve_sp_P63000_RAC1_HUMAN_.pdf</t>
  </si>
  <si>
    <t>Melting_Curves/meltCurve_sp_P63010_AP2B1_HUMAN_.pdf</t>
  </si>
  <si>
    <t>Melting_Curves/meltCurve_sp_P63092_3_GNAS2_HUMAN_.pdf</t>
  </si>
  <si>
    <t>Melting_Curves/meltCurve_sp_P63096_GNAI1_HUMAN_.pdf</t>
  </si>
  <si>
    <t>Melting_Curves/meltCurve_sp_P63104_1433Z_HUMAN_.pdf</t>
  </si>
  <si>
    <t>Melting_Curves/meltCurve_sp_P63151_2ABA_HUMAN_.pdf</t>
  </si>
  <si>
    <t>Melting_Curves/meltCurve_sp_P63167_DYL1_HUMAN_.pdf</t>
  </si>
  <si>
    <t>Melting_Curves/meltCurve_sp_P63244_GBLP_HUMAN_.pdf</t>
  </si>
  <si>
    <t>Melting_Curves/meltCurve_sp_P63261_ACTG_HUMAN_.pdf</t>
  </si>
  <si>
    <t>Melting_Curves/meltCurve_sp_P63313_TYB10_HUMAN_.pdf</t>
  </si>
  <si>
    <t>Melting_Curves/meltCurve_sp_P67775_PP2AA_HUMAN_.pdf</t>
  </si>
  <si>
    <t>Melting_Curves/meltCurve_sp_P67809_YBOX1_HUMAN_.pdf</t>
  </si>
  <si>
    <t>Melting_Curves/meltCurve_sp_P67870_CSK2B_HUMAN_.pdf</t>
  </si>
  <si>
    <t>Melting_Curves/meltCurve_sp_P67936_TPM4_HUMAN_.pdf</t>
  </si>
  <si>
    <t>Melting_Curves/meltCurve_sp_P68036_UB2L3_HUMAN_.pdf</t>
  </si>
  <si>
    <t>Melting_Curves/meltCurve_sp_P68133_ACTS_HUMAN_.pdf</t>
  </si>
  <si>
    <t>Melting_Curves/meltCurve_sp_P68363_TBA1B_HUMAN_.pdf</t>
  </si>
  <si>
    <t>Melting_Curves/meltCurve_sp_P68371_TBB4B_HUMAN_.pdf</t>
  </si>
  <si>
    <t>Melting_Curves/meltCurve_sp_P68402_PA1B2_HUMAN_.pdf</t>
  </si>
  <si>
    <t>Melting_Curves/meltCurve_sp_P78314_3BP2_HUMAN_.pdf</t>
  </si>
  <si>
    <t>Melting_Curves/meltCurve_sp_P78318_IGBP1_HUMAN_.pdf</t>
  </si>
  <si>
    <t>Melting_Curves/meltCurve_sp_P78329_CP4F2_HUMAN_.pdf</t>
  </si>
  <si>
    <t>Melting_Curves/meltCurve_sp_P78332_RBM6_HUMAN_.pdf</t>
  </si>
  <si>
    <t>Melting_Curves/meltCurve_sp_P78346_RPP30_HUMAN_.pdf</t>
  </si>
  <si>
    <t>Melting_Curves/meltCurve_sp_P78347_2_GTF2I_HUMAN_.pdf</t>
  </si>
  <si>
    <t>Melting_Curves/meltCurve_sp_P78356_PI42B_HUMAN_.pdf</t>
  </si>
  <si>
    <t>Melting_Curves/meltCurve_sp_P78362_SRPK2_HUMAN_.pdf</t>
  </si>
  <si>
    <t>Melting_Curves/meltCurve_sp_P78371_TCPB_HUMAN_.pdf</t>
  </si>
  <si>
    <t>Melting_Curves/meltCurve_sp_P78406_RAE1L_HUMAN_.pdf</t>
  </si>
  <si>
    <t>Melting_Curves/meltCurve_sp_P78417_GSTO1_HUMAN_.pdf</t>
  </si>
  <si>
    <t>Melting_Curves/meltCurve_sp_P78524_ST5_HUMAN_.pdf</t>
  </si>
  <si>
    <t>Melting_Curves/meltCurve_sp_P78560_CRADD_HUMAN_.pdf</t>
  </si>
  <si>
    <t>Melting_Curves/meltCurve_sp_P80188_2_NGAL_HUMAN_.pdf</t>
  </si>
  <si>
    <t>Melting_Curves/meltCurve_sp_P80217_IN35_HUMAN_.pdf</t>
  </si>
  <si>
    <t>Melting_Curves/meltCurve_sp_P80294_MT1H_HUMAN_.pdf</t>
  </si>
  <si>
    <t>Melting_Curves/meltCurve_sp_P80297_MT1X_HUMAN_.pdf</t>
  </si>
  <si>
    <t>Melting_Curves/meltCurve_sp_P80303_NUCB2_HUMAN_.pdf</t>
  </si>
  <si>
    <t>Melting_Curves/meltCurve_sp_P80404_GABT_HUMAN_.pdf</t>
  </si>
  <si>
    <t>Melting_Curves/meltCurve_sp_P80723_BASP1_HUMAN_.pdf</t>
  </si>
  <si>
    <t>Melting_Curves/meltCurve_sp_P81605_DCD_HUMAN_.pdf</t>
  </si>
  <si>
    <t>Melting_Curves/meltCurve_sp_P82094_TMF1_HUMAN_.pdf</t>
  </si>
  <si>
    <t>Melting_Curves/meltCurve_sp_P82673_RT35_HUMAN_.pdf</t>
  </si>
  <si>
    <t>Melting_Curves/meltCurve_sp_P82675_RT05_HUMAN_.pdf</t>
  </si>
  <si>
    <t>Melting_Curves/meltCurve_sp_P82909_RT36_HUMAN_.pdf</t>
  </si>
  <si>
    <t>Melting_Curves/meltCurve_sp_P82914_RT15_HUMAN_.pdf</t>
  </si>
  <si>
    <t>Melting_Curves/meltCurve_sp_P82930_RT34_HUMAN_.pdf</t>
  </si>
  <si>
    <t>Melting_Curves/meltCurve_sp_P82932_RT06_HUMAN_.pdf</t>
  </si>
  <si>
    <t>Melting_Curves/meltCurve_sp_P82933_RT09_HUMAN_.pdf</t>
  </si>
  <si>
    <t>Melting_Curves/meltCurve_sp_P82979_SARNP_HUMAN_.pdf</t>
  </si>
  <si>
    <t>Melting_Curves/meltCurve_sp_P82980_RET5_HUMAN_.pdf</t>
  </si>
  <si>
    <t>Melting_Curves/meltCurve_sp_P83111_LACTB_HUMAN_.pdf</t>
  </si>
  <si>
    <t>Melting_Curves/meltCurve_sp_P83436_COG7_HUMAN_.pdf</t>
  </si>
  <si>
    <t>Melting_Curves/meltCurve_sp_P83876_TXN4A_HUMAN_.pdf</t>
  </si>
  <si>
    <t>Melting_Curves/meltCurve_sp_P84077_ARF1_HUMAN_.pdf</t>
  </si>
  <si>
    <t>Melting_Curves/meltCurve_sp_P84085_ARF5_HUMAN_.pdf</t>
  </si>
  <si>
    <t>Melting_Curves/meltCurve_sp_P84090_ERH_HUMAN_.pdf</t>
  </si>
  <si>
    <t>Melting_Curves/meltCurve_sp_P84095_RHOG_HUMAN_.pdf</t>
  </si>
  <si>
    <t>Melting_Curves/meltCurve_sp_P85037_FOXK1_HUMAN_.pdf</t>
  </si>
  <si>
    <t>Melting_Curves/meltCurve_sp_P86397_HTD2_HUMAN_.pdf</t>
  </si>
  <si>
    <t>Melting_Curves/meltCurve_sp_P86791_CCZ1_HUMAN_.pdf</t>
  </si>
  <si>
    <t>Melting_Curves/meltCurve_sp_P98082_2_DAB2_HUMAN_.pdf</t>
  </si>
  <si>
    <t>Melting_Curves/meltCurve_sp_P98160_PGBM_HUMAN_.pdf</t>
  </si>
  <si>
    <t>Melting_Curves/meltCurve_sp_P98170_XIAP_HUMAN_.pdf</t>
  </si>
  <si>
    <t>Melting_Curves/meltCurve_sp_P98175_2_RBM10_HUMAN_.pdf</t>
  </si>
  <si>
    <t>Melting_Curves/meltCurve_sp_P98179_RBM3_HUMAN_.pdf</t>
  </si>
  <si>
    <t>Melting_Curves/meltCurve_sp_Q00013_2_EM55_HUMAN_.pdf</t>
  </si>
  <si>
    <t>Melting_Curves/meltCurve_sp_Q00059_TFAM_HUMAN_.pdf</t>
  </si>
  <si>
    <t>Melting_Curves/meltCurve_sp_Q00169_PIPNA_HUMAN_.pdf</t>
  </si>
  <si>
    <t>Melting_Curves/meltCurve_sp_Q00266_METK1_HUMAN_.pdf</t>
  </si>
  <si>
    <t>Melting_Curves/meltCurve_sp_Q00341_VIGLN_HUMAN_.pdf</t>
  </si>
  <si>
    <t>Melting_Curves/meltCurve_sp_Q00403_TF2B_HUMAN_.pdf</t>
  </si>
  <si>
    <t>Melting_Curves/meltCurve_sp_Q00534_CDK6_HUMAN_.pdf</t>
  </si>
  <si>
    <t>Melting_Curves/meltCurve_sp_Q00535_CDK5_HUMAN_.pdf</t>
  </si>
  <si>
    <t>Melting_Curves/meltCurve_sp_Q00577_PURA_HUMAN_.pdf</t>
  </si>
  <si>
    <t>Melting_Curves/meltCurve_sp_Q00610_2_CLH1_HUMAN_.pdf</t>
  </si>
  <si>
    <t>Melting_Curves/meltCurve_sp_Q00688_FKBP3_HUMAN_.pdf</t>
  </si>
  <si>
    <t>Melting_Curves/meltCurve_sp_Q00796_DHSO_HUMAN_.pdf</t>
  </si>
  <si>
    <t>Melting_Curves/meltCurve_sp_Q00839_HNRPU_HUMAN_.pdf</t>
  </si>
  <si>
    <t>Melting_Curves/meltCurve_sp_Q00G26_PLIN5_HUMAN_.pdf</t>
  </si>
  <si>
    <t>Melting_Curves/meltCurve_sp_Q01081_U2AF1_HUMAN_.pdf</t>
  </si>
  <si>
    <t>Melting_Curves/meltCurve_sp_Q01082_3_SPTB2_HUMAN_.pdf</t>
  </si>
  <si>
    <t>Melting_Curves/meltCurve_sp_Q01082_SPTB2_HUMAN_.pdf</t>
  </si>
  <si>
    <t>Melting_Curves/meltCurve_sp_Q01085_2_TIAR_HUMAN_.pdf</t>
  </si>
  <si>
    <t>Melting_Curves/meltCurve_sp_Q01105_SET_HUMAN_.pdf</t>
  </si>
  <si>
    <t>Melting_Curves/meltCurve_sp_Q01433_2_AMPD2_HUMAN_.pdf</t>
  </si>
  <si>
    <t>Melting_Curves/meltCurve_sp_Q01459_DIAC_HUMAN_.pdf</t>
  </si>
  <si>
    <t>Melting_Curves/meltCurve_sp_Q01469_FABP5_HUMAN_.pdf</t>
  </si>
  <si>
    <t>Melting_Curves/meltCurve_sp_Q01518_2_CAP1_HUMAN_.pdf</t>
  </si>
  <si>
    <t>Melting_Curves/meltCurve_sp_Q01581_HMCS1_HUMAN_.pdf</t>
  </si>
  <si>
    <t>Melting_Curves/meltCurve_sp_Q01658_NC2B_HUMAN_.pdf</t>
  </si>
  <si>
    <t>Melting_Curves/meltCurve_sp_Q01804_OTUD4_HUMAN_.pdf</t>
  </si>
  <si>
    <t>Melting_Curves/meltCurve_sp_Q01813_K6PP_HUMAN_.pdf</t>
  </si>
  <si>
    <t>Melting_Curves/meltCurve_sp_Q01844_6_EWS_HUMAN_.pdf</t>
  </si>
  <si>
    <t>Melting_Curves/meltCurve_sp_Q01968_2_OCRL_HUMAN_.pdf</t>
  </si>
  <si>
    <t>Melting_Curves/meltCurve_sp_Q01970_2_PLCB3_HUMAN_.pdf</t>
  </si>
  <si>
    <t>Melting_Curves/meltCurve_sp_Q02083_2_NAAA_HUMAN_.pdf</t>
  </si>
  <si>
    <t>Melting_Curves/meltCurve_sp_Q02086_2_SP2_HUMAN_.pdf</t>
  </si>
  <si>
    <t>Melting_Curves/meltCurve_sp_Q02252_MMSA_HUMAN_.pdf</t>
  </si>
  <si>
    <t>Melting_Curves/meltCurve_sp_Q02318_CP27A_HUMAN_.pdf</t>
  </si>
  <si>
    <t>Melting_Curves/meltCurve_sp_Q02325_PLGB_HUMAN_.pdf</t>
  </si>
  <si>
    <t>Melting_Curves/meltCurve_sp_Q02410_APBA1_HUMAN_.pdf</t>
  </si>
  <si>
    <t>Melting_Curves/meltCurve_sp_Q02413_DSG1_HUMAN_.pdf</t>
  </si>
  <si>
    <t>Melting_Curves/meltCurve_sp_Q02447_4_SP3_HUMAN_.pdf</t>
  </si>
  <si>
    <t>Melting_Curves/meltCurve_sp_Q02487_2_DSC2_HUMAN_.pdf</t>
  </si>
  <si>
    <t>Melting_Curves/meltCurve_sp_Q02487_DSC2_HUMAN_.pdf</t>
  </si>
  <si>
    <t>Melting_Curves/meltCurve_sp_Q02750_MP2K1_HUMAN_.pdf</t>
  </si>
  <si>
    <t>Melting_Curves/meltCurve_sp_Q02790_FKBP4_HUMAN_.pdf</t>
  </si>
  <si>
    <t>Melting_Curves/meltCurve_sp_Q02818_NUCB1_HUMAN_.pdf</t>
  </si>
  <si>
    <t>Melting_Curves/meltCurve_sp_Q02928_CP4AB_HUMAN_.pdf</t>
  </si>
  <si>
    <t>Melting_Curves/meltCurve_sp_Q02952_3_AKA12_HUMAN_.pdf</t>
  </si>
  <si>
    <t>Melting_Curves/meltCurve_sp_Q02985_2_FHR3_HUMAN_.pdf</t>
  </si>
  <si>
    <t>Melting_Curves/meltCurve_sp_Q03001_8_DYST_HUMAN_.pdf</t>
  </si>
  <si>
    <t>Melting_Curves/meltCurve_sp_Q03013_2_GSTM4_HUMAN_.pdf</t>
  </si>
  <si>
    <t>Melting_Curves/meltCurve_sp_Q03154_ACY1_HUMAN_.pdf</t>
  </si>
  <si>
    <t>Melting_Curves/meltCurve_sp_Q03252_LMNB2_HUMAN_.pdf</t>
  </si>
  <si>
    <t>Melting_Curves/meltCurve_sp_Q03591_FHR1_HUMAN_.pdf</t>
  </si>
  <si>
    <t>Melting_Curves/meltCurve_sp_Q04446_GLGB_HUMAN_.pdf</t>
  </si>
  <si>
    <t>Melting_Curves/meltCurve_sp_Q04637_5_IF4G1_HUMAN_.pdf</t>
  </si>
  <si>
    <t>Melting_Curves/meltCurve_sp_Q04695_K1C17_HUMAN_.pdf</t>
  </si>
  <si>
    <t>Melting_Curves/meltCurve_sp_Q04721_NOTC2_HUMAN_.pdf</t>
  </si>
  <si>
    <t>Melting_Curves/meltCurve_sp_Q04724_TLE1_HUMAN_.pdf</t>
  </si>
  <si>
    <t>Melting_Curves/meltCurve_sp_Q04726_2_TLE3_HUMAN_.pdf</t>
  </si>
  <si>
    <t>Melting_Curves/meltCurve_sp_Q04756_HGFA_HUMAN_.pdf</t>
  </si>
  <si>
    <t>Melting_Curves/meltCurve_sp_Q04760_LGUL_HUMAN_.pdf</t>
  </si>
  <si>
    <t>Melting_Curves/meltCurve_sp_Q04828_AK1C1_HUMAN_.pdf</t>
  </si>
  <si>
    <t>Melting_Curves/meltCurve_sp_Q04837_SSBP_HUMAN_.pdf</t>
  </si>
  <si>
    <t>Melting_Curves/meltCurve_sp_Q04917_1433F_HUMAN_.pdf</t>
  </si>
  <si>
    <t>Melting_Curves/meltCurve_sp_Q05048_CSTF1_HUMAN_.pdf</t>
  </si>
  <si>
    <t>Melting_Curves/meltCurve_sp_Q05086_3_UBE3A_HUMAN_.pdf</t>
  </si>
  <si>
    <t>Melting_Curves/meltCurve_sp_Q05209_PTN12_HUMAN_.pdf</t>
  </si>
  <si>
    <t>Melting_Curves/meltCurve_sp_Q05513_2_KPCZ_HUMAN_.pdf</t>
  </si>
  <si>
    <t>Melting_Curves/meltCurve_sp_Q05519_2_SRS11_HUMAN_.pdf</t>
  </si>
  <si>
    <t>Melting_Curves/meltCurve_sp_Q05639_EF1A2_HUMAN_.pdf</t>
  </si>
  <si>
    <t>Melting_Curves/meltCurve_sp_Q05682_5_CALD1_HUMAN_.pdf</t>
  </si>
  <si>
    <t>Melting_Curves/meltCurve_sp_Q06033_2_ITIH3_HUMAN_.pdf</t>
  </si>
  <si>
    <t>Melting_Curves/meltCurve_sp_Q06124_2_PTN11_HUMAN_.pdf</t>
  </si>
  <si>
    <t>Melting_Curves/meltCurve_sp_Q06203_PUR1_HUMAN_.pdf</t>
  </si>
  <si>
    <t>Melting_Curves/meltCurve_sp_Q06210_2_GFPT1_HUMAN_.pdf</t>
  </si>
  <si>
    <t>Melting_Curves/meltCurve_sp_Q06265_EXOS9_HUMAN_.pdf</t>
  </si>
  <si>
    <t>Melting_Curves/meltCurve_sp_Q06278_ADO_HUMAN_.pdf</t>
  </si>
  <si>
    <t>Melting_Curves/meltCurve_sp_Q06323_PSME1_HUMAN_.pdf</t>
  </si>
  <si>
    <t>Melting_Curves/meltCurve_sp_Q06520_ST2A1_HUMAN_.pdf</t>
  </si>
  <si>
    <t>Melting_Curves/meltCurve_sp_Q06546_GABPA_HUMAN_.pdf</t>
  </si>
  <si>
    <t>Melting_Curves/meltCurve_sp_Q07021_C1QBP_HUMAN_.pdf</t>
  </si>
  <si>
    <t>Melting_Curves/meltCurve_sp_Q07075_AMPE_HUMAN_.pdf</t>
  </si>
  <si>
    <t>Melting_Curves/meltCurve_sp_Q07157_ZO1_HUMAN_.pdf</t>
  </si>
  <si>
    <t>Melting_Curves/meltCurve_sp_Q07283_TRHY_HUMAN_.pdf</t>
  </si>
  <si>
    <t>Melting_Curves/meltCurve_sp_Q07666_KHDR1_HUMAN_.pdf</t>
  </si>
  <si>
    <t>Melting_Curves/meltCurve_sp_Q07812_5_BAX_HUMAN_.pdf</t>
  </si>
  <si>
    <t>Melting_Curves/meltCurve_sp_Q07820_MCL1_HUMAN_.pdf</t>
  </si>
  <si>
    <t>Melting_Curves/meltCurve_sp_Q07912_ACK1_HUMAN_.pdf</t>
  </si>
  <si>
    <t>Melting_Curves/meltCurve_sp_Q07954_LRP1_HUMAN_.pdf</t>
  </si>
  <si>
    <t>Melting_Curves/meltCurve_sp_Q07955_SRSF1_HUMAN_.pdf</t>
  </si>
  <si>
    <t>Melting_Curves/meltCurve_sp_Q07960_RHG01_HUMAN_.pdf</t>
  </si>
  <si>
    <t>Melting_Curves/meltCurve_sp_Q08170_SRSF4_HUMAN_.pdf</t>
  </si>
  <si>
    <t>Melting_Curves/meltCurve_sp_Q08174_2_PCDH1_HUMAN_.pdf</t>
  </si>
  <si>
    <t>Melting_Curves/meltCurve_sp_Q08209_2_PP2BA_HUMAN_.pdf</t>
  </si>
  <si>
    <t>Melting_Curves/meltCurve_sp_Q08211_DHX9_HUMAN_.pdf</t>
  </si>
  <si>
    <t>Melting_Curves/meltCurve_sp_Q08257_QOR_HUMAN_.pdf</t>
  </si>
  <si>
    <t>Melting_Curves/meltCurve_sp_Q08378_GOGA3_HUMAN_.pdf</t>
  </si>
  <si>
    <t>Melting_Curves/meltCurve_sp_Q08379_GOGA2_HUMAN_.pdf</t>
  </si>
  <si>
    <t>Melting_Curves/meltCurve_sp_Q08380_LG3BP_HUMAN_.pdf</t>
  </si>
  <si>
    <t>Melting_Curves/meltCurve_sp_Q08426_ECHP_HUMAN_.pdf</t>
  </si>
  <si>
    <t>Melting_Curves/meltCurve_sp_Q08477_2_CP4F3_HUMAN_.pdf</t>
  </si>
  <si>
    <t>Melting_Curves/meltCurve_sp_Q08495_2_DEMA_HUMAN_.pdf</t>
  </si>
  <si>
    <t>Melting_Curves/meltCurve_sp_Q08752_PPID_HUMAN_.pdf</t>
  </si>
  <si>
    <t>Melting_Curves/meltCurve_sp_Q08830_FGL1_HUMAN_.pdf</t>
  </si>
  <si>
    <t>Melting_Curves/meltCurve_sp_Q08945_SSRP1_HUMAN_.pdf</t>
  </si>
  <si>
    <t>Melting_Curves/meltCurve_sp_Q08AG7_MZT1_HUMAN_.pdf</t>
  </si>
  <si>
    <t>Melting_Curves/meltCurve_sp_Q08AH1_ACSM1_HUMAN_.pdf</t>
  </si>
  <si>
    <t>Melting_Curves/meltCurve_sp_Q08AH3_ACS2A_HUMAN_.pdf</t>
  </si>
  <si>
    <t>Melting_Curves/meltCurve_sp_Q08AM6_VAC14_HUMAN_.pdf</t>
  </si>
  <si>
    <t>Melting_Curves/meltCurve_sp_Q08J23_NSUN2_HUMAN_.pdf</t>
  </si>
  <si>
    <t>Melting_Curves/meltCurve_sp_Q09028_3_RBBP4_HUMAN_.pdf</t>
  </si>
  <si>
    <t>Melting_Curves/meltCurve_sp_Q09161_NCBP1_HUMAN_.pdf</t>
  </si>
  <si>
    <t>Melting_Curves/meltCurve_sp_Q09472_EP300_HUMAN_.pdf</t>
  </si>
  <si>
    <t>Melting_Curves/meltCurve_sp_Q09666_AHNK_HUMAN_.pdf</t>
  </si>
  <si>
    <t>Melting_Curves/meltCurve_sp_Q0JRZ9_FCHO2_HUMAN_.pdf</t>
  </si>
  <si>
    <t>Melting_Curves/meltCurve_sp_Q0VDG4_SCRN3_HUMAN_.pdf</t>
  </si>
  <si>
    <t>Melting_Curves/meltCurve_sp_Q0VF96_CGNL1_HUMAN_.pdf</t>
  </si>
  <si>
    <t>Melting_Curves/meltCurve_sp_Q10567_2_AP1B1_HUMAN_.pdf</t>
  </si>
  <si>
    <t>Melting_Curves/meltCurve_sp_Q10567_3_AP1B1_HUMAN_.pdf</t>
  </si>
  <si>
    <t>Melting_Curves/meltCurve_sp_Q10570_CPSF1_HUMAN_.pdf</t>
  </si>
  <si>
    <t>Melting_Curves/meltCurve_sp_Q10713_MPPA_HUMAN_.pdf</t>
  </si>
  <si>
    <t>Melting_Curves/meltCurve_sp_Q12768_STRUM_HUMAN_.pdf</t>
  </si>
  <si>
    <t>Melting_Curves/meltCurve_sp_Q12769_NU160_HUMAN_.pdf</t>
  </si>
  <si>
    <t>Melting_Curves/meltCurve_sp_Q12774_ARHG5_HUMAN_.pdf</t>
  </si>
  <si>
    <t>Melting_Curves/meltCurve_sp_Q12789_3_TF3C1_HUMAN_.pdf</t>
  </si>
  <si>
    <t>Melting_Curves/meltCurve_sp_Q12792_TWF1_HUMAN_.pdf</t>
  </si>
  <si>
    <t>Melting_Curves/meltCurve_sp_Q12794_7_HYAL1_HUMAN_.pdf</t>
  </si>
  <si>
    <t>Melting_Curves/meltCurve_sp_Q12797_10_ASPH_HUMAN_.pdf</t>
  </si>
  <si>
    <t>Melting_Curves/meltCurve_sp_Q12802_4_AKP13_HUMAN_.pdf</t>
  </si>
  <si>
    <t>Melting_Curves/meltCurve_sp_Q12849_5_GRSF1_HUMAN_.pdf</t>
  </si>
  <si>
    <t>Melting_Curves/meltCurve_sp_Q12872_SFSWA_HUMAN_.pdf</t>
  </si>
  <si>
    <t>Melting_Curves/meltCurve_sp_Q12874_SF3A3_HUMAN_.pdf</t>
  </si>
  <si>
    <t>Melting_Curves/meltCurve_sp_Q12882_DPYD_HUMAN_.pdf</t>
  </si>
  <si>
    <t>Melting_Curves/meltCurve_sp_Q12888_TP53B_HUMAN_.pdf</t>
  </si>
  <si>
    <t>Melting_Curves/meltCurve_sp_Q12899_TRI26_HUMAN_.pdf</t>
  </si>
  <si>
    <t>Melting_Curves/meltCurve_sp_Q12904_AIMP1_HUMAN_.pdf</t>
  </si>
  <si>
    <t>Melting_Curves/meltCurve_sp_Q12905_ILF2_HUMAN_.pdf</t>
  </si>
  <si>
    <t>Melting_Curves/meltCurve_sp_Q12906_4_ILF3_HUMAN_.pdf</t>
  </si>
  <si>
    <t>Melting_Curves/meltCurve_sp_Q12929_EPS8_HUMAN_.pdf</t>
  </si>
  <si>
    <t>Melting_Curves/meltCurve_sp_Q12933_4_TRAF2_HUMAN_.pdf</t>
  </si>
  <si>
    <t>Melting_Curves/meltCurve_sp_Q12959_5_DLG1_HUMAN_.pdf</t>
  </si>
  <si>
    <t>Melting_Curves/meltCurve_sp_Q12962_TAF10_HUMAN_.pdf</t>
  </si>
  <si>
    <t>Melting_Curves/meltCurve_sp_Q12965_MYO1E_HUMAN_.pdf</t>
  </si>
  <si>
    <t>Melting_Curves/meltCurve_sp_Q12972_PP1R8_HUMAN_.pdf</t>
  </si>
  <si>
    <t>Melting_Curves/meltCurve_sp_Q12974_TP4A2_HUMAN_.pdf</t>
  </si>
  <si>
    <t>Melting_Curves/meltCurve_sp_Q12986_3_NFX1_HUMAN_.pdf</t>
  </si>
  <si>
    <t>Melting_Curves/meltCurve_sp_Q12996_CSTF3_HUMAN_.pdf</t>
  </si>
  <si>
    <t>Melting_Curves/meltCurve_sp_Q13011_ECH1_HUMAN_.pdf</t>
  </si>
  <si>
    <t>Melting_Curves/meltCurve_sp_Q13017_2_RHG05_HUMAN_.pdf</t>
  </si>
  <si>
    <t>Melting_Curves/meltCurve_sp_Q13033_2_STRN3_HUMAN_.pdf</t>
  </si>
  <si>
    <t>Melting_Curves/meltCurve_sp_Q13043_2_STK4_HUMAN_.pdf</t>
  </si>
  <si>
    <t>Melting_Curves/meltCurve_sp_Q13045_2_FLII_HUMAN_.pdf</t>
  </si>
  <si>
    <t>Melting_Curves/meltCurve_sp_Q13045_FLII_HUMAN_.pdf</t>
  </si>
  <si>
    <t>Melting_Curves/meltCurve_sp_Q13057_COASY_HUMAN_.pdf</t>
  </si>
  <si>
    <t>Melting_Curves/meltCurve_sp_Q13085_ACACA_HUMAN_.pdf</t>
  </si>
  <si>
    <t>Melting_Curves/meltCurve_sp_Q13107_2_UBP4_HUMAN_.pdf</t>
  </si>
  <si>
    <t>Melting_Curves/meltCurve_sp_Q13123_RED_HUMAN_.pdf</t>
  </si>
  <si>
    <t>Melting_Curves/meltCurve_sp_Q13126_MTAP_HUMAN_.pdf</t>
  </si>
  <si>
    <t>Melting_Curves/meltCurve_sp_Q13131_AAPK1_HUMAN_.pdf</t>
  </si>
  <si>
    <t>Melting_Curves/meltCurve_sp_Q13136_2_LIPA1_HUMAN_.pdf</t>
  </si>
  <si>
    <t>Melting_Curves/meltCurve_sp_Q13148_TADBP_HUMAN_.pdf</t>
  </si>
  <si>
    <t>Melting_Curves/meltCurve_sp_Q13151_ROA0_HUMAN_.pdf</t>
  </si>
  <si>
    <t>Melting_Curves/meltCurve_sp_Q13153_PAK1_HUMAN_.pdf</t>
  </si>
  <si>
    <t>Melting_Curves/meltCurve_sp_Q13155_AIMP2_HUMAN_.pdf</t>
  </si>
  <si>
    <t>Melting_Curves/meltCurve_sp_Q13158_FADD_HUMAN_.pdf</t>
  </si>
  <si>
    <t>Melting_Curves/meltCurve_sp_Q13162_PRDX4_HUMAN_.pdf</t>
  </si>
  <si>
    <t>Melting_Curves/meltCurve_sp_Q13177_PAK2_HUMAN_.pdf</t>
  </si>
  <si>
    <t>Melting_Curves/meltCurve_sp_Q13185_CBX3_HUMAN_.pdf</t>
  </si>
  <si>
    <t>Melting_Curves/meltCurve_sp_Q13188_STK3_HUMAN_.pdf</t>
  </si>
  <si>
    <t>Melting_Curves/meltCurve_sp_Q13200_PSMD2_HUMAN_.pdf</t>
  </si>
  <si>
    <t>Melting_Curves/meltCurve_sp_Q13206_DDX10_HUMAN_.pdf</t>
  </si>
  <si>
    <t>Melting_Curves/meltCurve_sp_Q13217_DNJC3_HUMAN_.pdf</t>
  </si>
  <si>
    <t>Melting_Curves/meltCurve_sp_Q13228_SBP1_HUMAN_.pdf</t>
  </si>
  <si>
    <t>Melting_Curves/meltCurve_sp_Q13232_NDK3_HUMAN_.pdf</t>
  </si>
  <si>
    <t>Melting_Curves/meltCurve_sp_Q13243_3_SRSF5_HUMAN_.pdf</t>
  </si>
  <si>
    <t>Melting_Curves/meltCurve_sp_Q13247_3_SRSF6_HUMAN_.pdf</t>
  </si>
  <si>
    <t>Melting_Curves/meltCurve_sp_Q13257_MD2L1_HUMAN_.pdf</t>
  </si>
  <si>
    <t>Melting_Curves/meltCurve_sp_Q13263_TIF1B_HUMAN_.pdf</t>
  </si>
  <si>
    <t>Melting_Curves/meltCurve_sp_Q13283_G3BP1_HUMAN_.pdf</t>
  </si>
  <si>
    <t>Melting_Curves/meltCurve_sp_Q13287_NMI_HUMAN_.pdf</t>
  </si>
  <si>
    <t>Melting_Curves/meltCurve_sp_Q13310_3_PABP4_HUMAN_.pdf</t>
  </si>
  <si>
    <t>Melting_Curves/meltCurve_sp_Q13310_PABP4_HUMAN_.pdf</t>
  </si>
  <si>
    <t>Melting_Curves/meltCurve_sp_Q13315_ATM_HUMAN_.pdf</t>
  </si>
  <si>
    <t>Melting_Curves/meltCurve_sp_Q13325_IFIT5_HUMAN_.pdf</t>
  </si>
  <si>
    <t>Melting_Curves/meltCurve_sp_Q13330_3_MTA1_HUMAN_.pdf</t>
  </si>
  <si>
    <t>Melting_Curves/meltCurve_sp_Q13347_EIF3I_HUMAN_.pdf</t>
  </si>
  <si>
    <t>Melting_Curves/meltCurve_sp_Q13362_4_2A5G_HUMAN_.pdf</t>
  </si>
  <si>
    <t>Melting_Curves/meltCurve_sp_Q13363_2_CTBP1_HUMAN_.pdf</t>
  </si>
  <si>
    <t>Melting_Curves/meltCurve_sp_Q13404_UB2V1_HUMAN_.pdf</t>
  </si>
  <si>
    <t>Melting_Curves/meltCurve_sp_Q13409_6_DC1I2_HUMAN_.pdf</t>
  </si>
  <si>
    <t>Melting_Curves/meltCurve_sp_Q13418_ILK_HUMAN_.pdf</t>
  </si>
  <si>
    <t>Melting_Curves/meltCurve_sp_Q13423_NNTM_HUMAN_.pdf</t>
  </si>
  <si>
    <t>Melting_Curves/meltCurve_sp_Q13424_SNTA1_HUMAN_.pdf</t>
  </si>
  <si>
    <t>Melting_Curves/meltCurve_sp_Q13426_2_XRCC4_HUMAN_.pdf</t>
  </si>
  <si>
    <t>Melting_Curves/meltCurve_sp_Q13427_2_PPIG_HUMAN_.pdf</t>
  </si>
  <si>
    <t>Melting_Curves/meltCurve_sp_Q13428_4_TCOF_HUMAN_.pdf</t>
  </si>
  <si>
    <t>Melting_Curves/meltCurve_sp_Q13435_SF3B2_HUMAN_.pdf</t>
  </si>
  <si>
    <t>Melting_Curves/meltCurve_sp_Q13442_HAP28_HUMAN_.pdf</t>
  </si>
  <si>
    <t>Melting_Curves/meltCurve_sp_Q13451_FKBP5_HUMAN_.pdf</t>
  </si>
  <si>
    <t>Melting_Curves/meltCurve_sp_Q13459_2_MYO9B_HUMAN_.pdf</t>
  </si>
  <si>
    <t>Melting_Curves/meltCurve_sp_Q13464_ROCK1_HUMAN_.pdf</t>
  </si>
  <si>
    <t>Melting_Curves/meltCurve_sp_Q13490_2_BIRC2_HUMAN_.pdf</t>
  </si>
  <si>
    <t>Melting_Curves/meltCurve_sp_Q13492_3_PICAL_HUMAN_.pdf</t>
  </si>
  <si>
    <t>Melting_Curves/meltCurve_sp_Q13496_MTM1_HUMAN_.pdf</t>
  </si>
  <si>
    <t>Melting_Curves/meltCurve_sp_Q13501_2_SQSTM_HUMAN_.pdf</t>
  </si>
  <si>
    <t>Melting_Curves/meltCurve_sp_Q13522_PPR1A_HUMAN_.pdf</t>
  </si>
  <si>
    <t>Melting_Curves/meltCurve_sp_Q13526_PIN1_HUMAN_.pdf</t>
  </si>
  <si>
    <t>Melting_Curves/meltCurve_sp_Q13541_4EBP1_HUMAN_.pdf</t>
  </si>
  <si>
    <t>Melting_Curves/meltCurve_sp_Q13542_4EBP2_HUMAN_.pdf</t>
  </si>
  <si>
    <t>Melting_Curves/meltCurve_sp_Q13546_RIPK1_HUMAN_.pdf</t>
  </si>
  <si>
    <t>Melting_Curves/meltCurve_sp_Q13547_HDAC1_HUMAN_.pdf</t>
  </si>
  <si>
    <t>Melting_Curves/meltCurve_sp_Q13554_7_KCC2B_HUMAN_.pdf</t>
  </si>
  <si>
    <t>Melting_Curves/meltCurve_sp_Q13555_10_KCC2G_HUMAN_.pdf</t>
  </si>
  <si>
    <t>Melting_Curves/meltCurve_sp_Q13557_8_KCC2D_HUMAN_.pdf</t>
  </si>
  <si>
    <t>Melting_Curves/meltCurve_sp_Q13561_DCTN2_HUMAN_.pdf</t>
  </si>
  <si>
    <t>Melting_Curves/meltCurve_sp_Q13572_ITPK1_HUMAN_.pdf</t>
  </si>
  <si>
    <t>Melting_Curves/meltCurve_sp_Q13573_SNW1_HUMAN_.pdf</t>
  </si>
  <si>
    <t>Melting_Curves/meltCurve_sp_Q13576_IQGA2_HUMAN_.pdf</t>
  </si>
  <si>
    <t>Melting_Curves/meltCurve_sp_Q13586_STIM1_HUMAN_.pdf</t>
  </si>
  <si>
    <t>Melting_Curves/meltCurve_sp_Q13596_SNX1_HUMAN_.pdf</t>
  </si>
  <si>
    <t>Melting_Curves/meltCurve_sp_Q13610_PWP1_HUMAN_.pdf</t>
  </si>
  <si>
    <t>Melting_Curves/meltCurve_sp_Q13616_CUL1_HUMAN_.pdf</t>
  </si>
  <si>
    <t>Melting_Curves/meltCurve_sp_Q13617_CUL2_HUMAN_.pdf</t>
  </si>
  <si>
    <t>Melting_Curves/meltCurve_sp_Q13618_CUL3_HUMAN_.pdf</t>
  </si>
  <si>
    <t>Melting_Curves/meltCurve_sp_Q13619_CUL4A_HUMAN_.pdf</t>
  </si>
  <si>
    <t>Melting_Curves/meltCurve_sp_Q13620_1_CUL4B_HUMAN_.pdf</t>
  </si>
  <si>
    <t>Melting_Curves/meltCurve_sp_Q13625_ASPP2_HUMAN_.pdf</t>
  </si>
  <si>
    <t>Melting_Curves/meltCurve_sp_Q13627_3_DYR1A_HUMAN_.pdf</t>
  </si>
  <si>
    <t>Melting_Curves/meltCurve_sp_Q13630_FCL_HUMAN_.pdf</t>
  </si>
  <si>
    <t>Melting_Curves/meltCurve_sp_Q13642_1_FHL1_HUMAN_.pdf</t>
  </si>
  <si>
    <t>Melting_Curves/meltCurve_sp_Q13643_FHL3_HUMAN_.pdf</t>
  </si>
  <si>
    <t>Melting_Curves/meltCurve_sp_Q13686_ALKB1_HUMAN_.pdf</t>
  </si>
  <si>
    <t>Melting_Curves/meltCurve_sp_Q13796_SHRM2_HUMAN_.pdf</t>
  </si>
  <si>
    <t>Melting_Curves/meltCurve_sp_Q13813_2_SPTN1_HUMAN_.pdf</t>
  </si>
  <si>
    <t>Melting_Curves/meltCurve_sp_Q13813_SPTN1_HUMAN_.pdf</t>
  </si>
  <si>
    <t>Melting_Curves/meltCurve_sp_Q13825_AUHM_HUMAN_.pdf</t>
  </si>
  <si>
    <t>Melting_Curves/meltCurve_sp_Q13838_DX39B_HUMAN_.pdf</t>
  </si>
  <si>
    <t>Melting_Curves/meltCurve_sp_Q13867_BLMH_HUMAN_.pdf</t>
  </si>
  <si>
    <t>Melting_Curves/meltCurve_sp_Q13868_EXOS2_HUMAN_.pdf</t>
  </si>
  <si>
    <t>Melting_Curves/meltCurve_sp_Q13884_SNTB1_HUMAN_.pdf</t>
  </si>
  <si>
    <t>Melting_Curves/meltCurve_sp_Q13885_TBB2A_HUMAN_.pdf</t>
  </si>
  <si>
    <t>Melting_Curves/meltCurve_sp_Q13907_IDI1_HUMAN_.pdf</t>
  </si>
  <si>
    <t>Melting_Curves/meltCurve_sp_Q13938_CAYP1_HUMAN_.pdf</t>
  </si>
  <si>
    <t>Melting_Curves/meltCurve_sp_Q13951_2_PEBB_HUMAN_.pdf</t>
  </si>
  <si>
    <t>Melting_Curves/meltCurve_sp_Q14004_2_CDK13_HUMAN_.pdf</t>
  </si>
  <si>
    <t>Melting_Curves/meltCurve_sp_Q14005_3_IL16_HUMAN_.pdf</t>
  </si>
  <si>
    <t>Melting_Curves/meltCurve_sp_Q14008_2_CKAP5_HUMAN_.pdf</t>
  </si>
  <si>
    <t>Melting_Curves/meltCurve_sp_Q14011_CIRBP_HUMAN_.pdf</t>
  </si>
  <si>
    <t>Melting_Curves/meltCurve_sp_Q14012_KCC1A_HUMAN_.pdf</t>
  </si>
  <si>
    <t>Melting_Curves/meltCurve_sp_Q14019_COTL1_HUMAN_.pdf</t>
  </si>
  <si>
    <t>Melting_Curves/meltCurve_sp_Q14032_BAAT_HUMAN_.pdf</t>
  </si>
  <si>
    <t>Melting_Curves/meltCurve_sp_Q14061_COX17_HUMAN_.pdf</t>
  </si>
  <si>
    <t>Melting_Curves/meltCurve_sp_Q14103_3_HNRPD_HUMAN_.pdf</t>
  </si>
  <si>
    <t>Melting_Curves/meltCurve_sp_Q14103_4_HNRPD_HUMAN_.pdf</t>
  </si>
  <si>
    <t>Melting_Curves/meltCurve_sp_Q14116_2_IL18_HUMAN_.pdf</t>
  </si>
  <si>
    <t>Melting_Curves/meltCurve_sp_Q14117_DPYS_HUMAN_.pdf</t>
  </si>
  <si>
    <t>Melting_Curves/meltCurve_sp_Q14118_DAG1_HUMAN_.pdf</t>
  </si>
  <si>
    <t>Melting_Curves/meltCurve_sp_Q14126_DSG2_HUMAN_.pdf</t>
  </si>
  <si>
    <t>Melting_Curves/meltCurve_sp_Q14137_BOP1_HUMAN_.pdf</t>
  </si>
  <si>
    <t>Melting_Curves/meltCurve_sp_Q14139_UBE4A_HUMAN_.pdf</t>
  </si>
  <si>
    <t>Melting_Curves/meltCurve_sp_Q14141_2_SEPT6_HUMAN_.pdf</t>
  </si>
  <si>
    <t>Melting_Curves/meltCurve_sp_Q14151_SAFB2_HUMAN_.pdf</t>
  </si>
  <si>
    <t>Melting_Curves/meltCurve_sp_Q14155_1_ARHG7_HUMAN_.pdf</t>
  </si>
  <si>
    <t>Melting_Curves/meltCurve_sp_Q14157_UBP2L_HUMAN_.pdf</t>
  </si>
  <si>
    <t>Melting_Curves/meltCurve_sp_Q14160_SCRIB_HUMAN_.pdf</t>
  </si>
  <si>
    <t>Melting_Curves/meltCurve_sp_Q14161_GIT2_HUMAN_.pdf</t>
  </si>
  <si>
    <t>Melting_Curves/meltCurve_sp_Q14166_TTL12_HUMAN_.pdf</t>
  </si>
  <si>
    <t>Melting_Curves/meltCurve_sp_Q14181_DPOA2_HUMAN_.pdf</t>
  </si>
  <si>
    <t>Melting_Curves/meltCurve_sp_Q14185_DOCK1_HUMAN_.pdf</t>
  </si>
  <si>
    <t>Melting_Curves/meltCurve_sp_Q14192_FHL2_HUMAN_.pdf</t>
  </si>
  <si>
    <t>Melting_Curves/meltCurve_sp_Q14203_6_DCTN1_HUMAN_.pdf</t>
  </si>
  <si>
    <t>Melting_Curves/meltCurve_sp_Q14204_DYHC1_HUMAN_.pdf</t>
  </si>
  <si>
    <t>Melting_Curves/meltCurve_sp_Q14232_EI2BA_HUMAN_.pdf</t>
  </si>
  <si>
    <t>Melting_Curves/meltCurve_sp_Q14240_IF4A2_HUMAN_.pdf</t>
  </si>
  <si>
    <t>Melting_Curves/meltCurve_sp_Q14241_ELOA1_HUMAN_.pdf</t>
  </si>
  <si>
    <t>Melting_Curves/meltCurve_sp_Q14244_2_MAP7_HUMAN_.pdf</t>
  </si>
  <si>
    <t>Melting_Curves/meltCurve_sp_Q14247_3_SRC8_HUMAN_.pdf</t>
  </si>
  <si>
    <t>Melting_Curves/meltCurve_sp_Q14247_SRC8_HUMAN_.pdf</t>
  </si>
  <si>
    <t>Melting_Curves/meltCurve_sp_Q14249_NUCG_HUMAN_.pdf</t>
  </si>
  <si>
    <t>Melting_Curves/meltCurve_sp_Q14257_RCN2_HUMAN_.pdf</t>
  </si>
  <si>
    <t>Melting_Curves/meltCurve_sp_Q14258_TRI25_HUMAN_.pdf</t>
  </si>
  <si>
    <t>Melting_Curves/meltCurve_sp_Q14289_2_FAK2_HUMAN_.pdf</t>
  </si>
  <si>
    <t>Melting_Curves/meltCurve_sp_Q14318_2_FKBP8_HUMAN_.pdf</t>
  </si>
  <si>
    <t>Melting_Curves/meltCurve_sp_Q14318_FKBP8_HUMAN_.pdf</t>
  </si>
  <si>
    <t>Melting_Curves/meltCurve_sp_Q14320_FA50A_HUMAN_.pdf</t>
  </si>
  <si>
    <t>Melting_Curves/meltCurve_sp_Q14353_GAMT_HUMAN_.pdf</t>
  </si>
  <si>
    <t>Melting_Curves/meltCurve_sp_Q14376_GALE_HUMAN_.pdf</t>
  </si>
  <si>
    <t>Melting_Curves/meltCurve_sp_Q14397_GCKR_HUMAN_.pdf</t>
  </si>
  <si>
    <t>Melting_Curves/meltCurve_sp_Q14444_2_CAPR1_HUMAN_.pdf</t>
  </si>
  <si>
    <t>Melting_Curves/meltCurve_sp_Q14498_2_RBM39_HUMAN_.pdf</t>
  </si>
  <si>
    <t>Melting_Curves/meltCurve_sp_Q14520_2_HABP2_HUMAN_.pdf</t>
  </si>
  <si>
    <t>Melting_Curves/meltCurve_sp_Q14527_HLTF_HUMAN_.pdf</t>
  </si>
  <si>
    <t>Melting_Curves/meltCurve_sp_Q14554_PDIA5_HUMAN_.pdf</t>
  </si>
  <si>
    <t>Melting_Curves/meltCurve_sp_Q14558_KPRA_HUMAN_.pdf</t>
  </si>
  <si>
    <t>Melting_Curves/meltCurve_sp_Q14566_MCM6_HUMAN_.pdf</t>
  </si>
  <si>
    <t>Melting_Curves/meltCurve_sp_Q14596_2_NBR1_HUMAN_.pdf</t>
  </si>
  <si>
    <t>Melting_Curves/meltCurve_sp_Q14624_ITIH4_HUMAN_.pdf</t>
  </si>
  <si>
    <t>Melting_Curves/meltCurve_sp_Q14651_PLSI_HUMAN_.pdf</t>
  </si>
  <si>
    <t>Melting_Curves/meltCurve_sp_Q14653_IRF3_HUMAN_.pdf</t>
  </si>
  <si>
    <t>Melting_Curves/meltCurve_sp_Q14657_LAGE3_HUMAN_.pdf</t>
  </si>
  <si>
    <t>Melting_Curves/meltCurve_sp_Q14669_TRIPC_HUMAN_.pdf</t>
  </si>
  <si>
    <t>Melting_Curves/meltCurve_sp_Q14676_3_MDC1_HUMAN_.pdf</t>
  </si>
  <si>
    <t>Melting_Curves/meltCurve_sp_Q14677_EPN4_HUMAN_.pdf</t>
  </si>
  <si>
    <t>Melting_Curves/meltCurve_sp_Q14678_2_KANK1_HUMAN_.pdf</t>
  </si>
  <si>
    <t>Melting_Curves/meltCurve_sp_Q14683_SMC1A_HUMAN_.pdf</t>
  </si>
  <si>
    <t>Melting_Curves/meltCurve_sp_Q14684_2_RRP1B_HUMAN_.pdf</t>
  </si>
  <si>
    <t>Melting_Curves/meltCurve_sp_Q14687_2_GSE1_HUMAN_.pdf</t>
  </si>
  <si>
    <t>Melting_Curves/meltCurve_sp_Q14689_6_DIP2A_HUMAN_.pdf</t>
  </si>
  <si>
    <t>Melting_Curves/meltCurve_sp_Q14690_RRP5_HUMAN_.pdf</t>
  </si>
  <si>
    <t>Melting_Curves/meltCurve_sp_Q14694_UBP10_HUMAN_.pdf</t>
  </si>
  <si>
    <t>Melting_Curves/meltCurve_sp_Q14696_MESD_HUMAN_.pdf</t>
  </si>
  <si>
    <t>Melting_Curves/meltCurve_sp_Q14697_2_GANAB_HUMAN_.pdf</t>
  </si>
  <si>
    <t>Melting_Curves/meltCurve_sp_Q14697_GANAB_HUMAN_.pdf</t>
  </si>
  <si>
    <t>Melting_Curves/meltCurve_sp_Q14749_GNMT_HUMAN_.pdf</t>
  </si>
  <si>
    <t>Melting_Curves/meltCurve_sp_Q14789_GOGB1_HUMAN_.pdf</t>
  </si>
  <si>
    <t>Melting_Curves/meltCurve_sp_Q14790_CASP8_HUMAN_.pdf</t>
  </si>
  <si>
    <t>Melting_Curves/meltCurve_sp_Q147X3_NAA30_HUMAN_.pdf</t>
  </si>
  <si>
    <t>Melting_Curves/meltCurve_sp_Q14814_6_MEF2D_HUMAN_.pdf</t>
  </si>
  <si>
    <t>Melting_Curves/meltCurve_sp_Q14847_LASP1_HUMAN_.pdf</t>
  </si>
  <si>
    <t>Melting_Curves/meltCurve_sp_Q14894_CRYM_HUMAN_.pdf</t>
  </si>
  <si>
    <t>Melting_Curves/meltCurve_sp_Q14914_2_PTGR1_HUMAN_.pdf</t>
  </si>
  <si>
    <t>Melting_Curves/meltCurve_sp_Q14938_5_NFIX_HUMAN_.pdf</t>
  </si>
  <si>
    <t>Melting_Curves/meltCurve_sp_Q14966_ZN638_HUMAN_.pdf</t>
  </si>
  <si>
    <t>Melting_Curves/meltCurve_sp_Q14974_IMB1_HUMAN_.pdf</t>
  </si>
  <si>
    <t>Melting_Curves/meltCurve_sp_Q14978_NOLC1_HUMAN_.pdf</t>
  </si>
  <si>
    <t>Melting_Curves/meltCurve_sp_Q14980_NUMA1_HUMAN_.pdf</t>
  </si>
  <si>
    <t>Melting_Curves/meltCurve_sp_Q14997_PSME4_HUMAN_.pdf</t>
  </si>
  <si>
    <t>Melting_Curves/meltCurve_sp_Q14C86_4_GAPD1_HUMAN_.pdf</t>
  </si>
  <si>
    <t>Melting_Curves/meltCurve_sp_Q14CX7_2_NAA25_HUMAN_.pdf</t>
  </si>
  <si>
    <t>Melting_Curves/meltCurve_sp_Q14CZ8_HECAM_HUMAN_.pdf</t>
  </si>
  <si>
    <t>Melting_Curves/meltCurve_sp_Q15007_FL2D_HUMAN_.pdf</t>
  </si>
  <si>
    <t>Melting_Curves/meltCurve_sp_Q15008_PSMD6_HUMAN_.pdf</t>
  </si>
  <si>
    <t>Melting_Curves/meltCurve_sp_Q15018_F175B_HUMAN_.pdf</t>
  </si>
  <si>
    <t>Melting_Curves/meltCurve_sp_Q15019_SEPT2_HUMAN_.pdf</t>
  </si>
  <si>
    <t>Melting_Curves/meltCurve_sp_Q15020_SART3_HUMAN_.pdf</t>
  </si>
  <si>
    <t>Melting_Curves/meltCurve_sp_Q15024_EXOS7_HUMAN_.pdf</t>
  </si>
  <si>
    <t>Melting_Curves/meltCurve_sp_Q15029_2_U5S1_HUMAN_.pdf</t>
  </si>
  <si>
    <t>Melting_Curves/meltCurve_sp_Q15036_2_SNX17_HUMAN_.pdf</t>
  </si>
  <si>
    <t>Melting_Curves/meltCurve_sp_Q15043_2_S39AE_HUMAN_.pdf</t>
  </si>
  <si>
    <t>Melting_Curves/meltCurve_sp_Q15046_SYK_HUMAN_.pdf</t>
  </si>
  <si>
    <t>Melting_Curves/meltCurve_sp_Q15048_LRC14_HUMAN_.pdf</t>
  </si>
  <si>
    <t>Melting_Curves/meltCurve_sp_Q15052_ARHG6_HUMAN_.pdf</t>
  </si>
  <si>
    <t>Melting_Curves/meltCurve_sp_Q15056_2_IF4H_HUMAN_.pdf</t>
  </si>
  <si>
    <t>Melting_Curves/meltCurve_sp_Q15057_ACAP2_HUMAN_.pdf</t>
  </si>
  <si>
    <t>Melting_Curves/meltCurve_sp_Q15059_BRD3_HUMAN_.pdf</t>
  </si>
  <si>
    <t>Melting_Curves/meltCurve_sp_Q15063_4_POSTN_HUMAN_.pdf</t>
  </si>
  <si>
    <t>Melting_Curves/meltCurve_sp_Q15067_2_ACOX1_HUMAN_.pdf</t>
  </si>
  <si>
    <t>Melting_Curves/meltCurve_sp_Q15067_ACOX1_HUMAN_.pdf</t>
  </si>
  <si>
    <t>Melting_Curves/meltCurve_sp_Q15075_EEA1_HUMAN_.pdf</t>
  </si>
  <si>
    <t>Melting_Curves/meltCurve_sp_Q15102_PA1B3_HUMAN_.pdf</t>
  </si>
  <si>
    <t>Melting_Curves/meltCurve_sp_Q15118_PDK1_HUMAN_.pdf</t>
  </si>
  <si>
    <t>Melting_Curves/meltCurve_sp_Q15119_PDK2_HUMAN_.pdf</t>
  </si>
  <si>
    <t>Melting_Curves/meltCurve_sp_Q15120_PDK3_HUMAN_.pdf</t>
  </si>
  <si>
    <t>Melting_Curves/meltCurve_sp_Q15124_2_PGM5_HUMAN_.pdf</t>
  </si>
  <si>
    <t>Melting_Curves/meltCurve_sp_Q15126_PMVK_HUMAN_.pdf</t>
  </si>
  <si>
    <t>Melting_Curves/meltCurve_sp_Q15149_8_PLEC_HUMAN_.pdf</t>
  </si>
  <si>
    <t>Melting_Curves/meltCurve_sp_Q15170_2_TCAL1_HUMAN_.pdf</t>
  </si>
  <si>
    <t>Melting_Curves/meltCurve_sp_Q15172_2A5A_HUMAN_.pdf</t>
  </si>
  <si>
    <t>Melting_Curves/meltCurve_sp_Q15181_IPYR_HUMAN_.pdf</t>
  </si>
  <si>
    <t>Melting_Curves/meltCurve_sp_Q15208_STK38_HUMAN_.pdf</t>
  </si>
  <si>
    <t>Melting_Curves/meltCurve_sp_Q15233_NONO_HUMAN_.pdf</t>
  </si>
  <si>
    <t>Melting_Curves/meltCurve_sp_Q15257_2_PTPA_HUMAN_.pdf</t>
  </si>
  <si>
    <t>Melting_Curves/meltCurve_sp_Q15257_PTPA_HUMAN_.pdf</t>
  </si>
  <si>
    <t>Melting_Curves/meltCurve_sp_Q15262_PTPRK_HUMAN_.pdf</t>
  </si>
  <si>
    <t>Melting_Curves/meltCurve_sp_Q15274_NADC_HUMAN_.pdf</t>
  </si>
  <si>
    <t>Melting_Curves/meltCurve_sp_Q15276_RABE1_HUMAN_.pdf</t>
  </si>
  <si>
    <t>Melting_Curves/meltCurve_sp_Q15283_2_RASA2_HUMAN_.pdf</t>
  </si>
  <si>
    <t>Melting_Curves/meltCurve_sp_Q15291_RBBP5_HUMAN_.pdf</t>
  </si>
  <si>
    <t>Melting_Curves/meltCurve_sp_Q15293_RCN1_HUMAN_.pdf</t>
  </si>
  <si>
    <t>Melting_Curves/meltCurve_sp_Q15311_RBP1_HUMAN_.pdf</t>
  </si>
  <si>
    <t>Melting_Curves/meltCurve_sp_Q15345_LRC41_HUMAN_.pdf</t>
  </si>
  <si>
    <t>Melting_Curves/meltCurve_sp_Q15365_PCBP1_HUMAN_.pdf</t>
  </si>
  <si>
    <t>Melting_Curves/meltCurve_sp_Q15382_RHEB_HUMAN_.pdf</t>
  </si>
  <si>
    <t>Melting_Curves/meltCurve_sp_Q15386_UBE3C_HUMAN_.pdf</t>
  </si>
  <si>
    <t>Melting_Curves/meltCurve_sp_Q15393_SF3B3_HUMAN_.pdf</t>
  </si>
  <si>
    <t>Melting_Curves/meltCurve_sp_Q15404_RSU1_HUMAN_.pdf</t>
  </si>
  <si>
    <t>Melting_Curves/meltCurve_sp_Q15417_CNN3_HUMAN_.pdf</t>
  </si>
  <si>
    <t>Melting_Curves/meltCurve_sp_Q15424_SAFB1_HUMAN_.pdf</t>
  </si>
  <si>
    <t>Melting_Curves/meltCurve_sp_Q15427_SF3B4_HUMAN_.pdf</t>
  </si>
  <si>
    <t>Melting_Curves/meltCurve_sp_Q15428_SF3A2_HUMAN_.pdf</t>
  </si>
  <si>
    <t>Melting_Curves/meltCurve_sp_Q15435_PP1R7_HUMAN_.pdf</t>
  </si>
  <si>
    <t>Melting_Curves/meltCurve_sp_Q15437_SC23B_HUMAN_.pdf</t>
  </si>
  <si>
    <t>Melting_Curves/meltCurve_sp_Q15459_SF3A1_HUMAN_.pdf</t>
  </si>
  <si>
    <t>Melting_Curves/meltCurve_sp_Q15477_SKIV2_HUMAN_.pdf</t>
  </si>
  <si>
    <t>Melting_Curves/meltCurve_sp_Q15493_RGN_HUMAN_.pdf</t>
  </si>
  <si>
    <t>Melting_Curves/meltCurve_sp_Q15526_2_SURF1_HUMAN_.pdf</t>
  </si>
  <si>
    <t>Melting_Curves/meltCurve_sp_Q15527_SURF2_HUMAN_.pdf</t>
  </si>
  <si>
    <t>Melting_Curves/meltCurve_sp_Q15554_TERF2_HUMAN_.pdf</t>
  </si>
  <si>
    <t>Melting_Curves/meltCurve_sp_Q15555_4_MARE2_HUMAN_.pdf</t>
  </si>
  <si>
    <t>Melting_Curves/meltCurve_sp_Q15596_NCOA2_HUMAN_.pdf</t>
  </si>
  <si>
    <t>Melting_Curves/meltCurve_sp_Q15599_NHRF2_HUMAN_.pdf</t>
  </si>
  <si>
    <t>Melting_Curves/meltCurve_sp_Q15628_TRADD_HUMAN_.pdf</t>
  </si>
  <si>
    <t>Melting_Curves/meltCurve_sp_Q15633_2_TRBP2_HUMAN_.pdf</t>
  </si>
  <si>
    <t>Melting_Curves/meltCurve_sp_Q15637_5_SF01_HUMAN_.pdf</t>
  </si>
  <si>
    <t>Melting_Curves/meltCurve_sp_Q15642_CIP4_HUMAN_.pdf</t>
  </si>
  <si>
    <t>Melting_Curves/meltCurve_sp_Q15643_TRIPB_HUMAN_.pdf</t>
  </si>
  <si>
    <t>Melting_Curves/meltCurve_sp_Q15650_TRIP4_HUMAN_.pdf</t>
  </si>
  <si>
    <t>Melting_Curves/meltCurve_sp_Q15651_HMGN3_HUMAN_.pdf</t>
  </si>
  <si>
    <t>Melting_Curves/meltCurve_sp_Q15652_JHD2C_HUMAN_.pdf</t>
  </si>
  <si>
    <t>Melting_Curves/meltCurve_sp_Q15654_TRIP6_HUMAN_.pdf</t>
  </si>
  <si>
    <t>Melting_Curves/meltCurve_sp_Q15691_MARE1_HUMAN_.pdf</t>
  </si>
  <si>
    <t>Melting_Curves/meltCurve_sp_Q15714_2_T22D1_HUMAN_.pdf</t>
  </si>
  <si>
    <t>Melting_Curves/meltCurve_sp_Q15717_ELAV1_HUMAN_.pdf</t>
  </si>
  <si>
    <t>Melting_Curves/meltCurve_sp_Q15738_NSDHL_HUMAN_.pdf</t>
  </si>
  <si>
    <t>Melting_Curves/meltCurve_sp_Q15746_2_MYLK_HUMAN_.pdf</t>
  </si>
  <si>
    <t>Melting_Curves/meltCurve_sp_Q15750_2_TAB1_HUMAN_.pdf</t>
  </si>
  <si>
    <t>Melting_Curves/meltCurve_sp_Q15785_TOM34_HUMAN_.pdf</t>
  </si>
  <si>
    <t>Melting_Curves/meltCurve_sp_Q15813_TBCE_HUMAN_.pdf</t>
  </si>
  <si>
    <t>Melting_Curves/meltCurve_sp_Q15814_TBCC_HUMAN_.pdf</t>
  </si>
  <si>
    <t>Melting_Curves/meltCurve_sp_Q15819_UB2V2_HUMAN_.pdf</t>
  </si>
  <si>
    <t>Melting_Curves/meltCurve_sp_Q15833_STXB2_HUMAN_.pdf</t>
  </si>
  <si>
    <t>Melting_Curves/meltCurve_sp_Q15847_ADIRF_HUMAN_.pdf</t>
  </si>
  <si>
    <t>Melting_Curves/meltCurve_sp_Q15907_RB11B_HUMAN_.pdf</t>
  </si>
  <si>
    <t>Melting_Curves/meltCurve_sp_Q15942_ZYX_HUMAN_.pdf</t>
  </si>
  <si>
    <t>Melting_Curves/meltCurve_sp_Q16134_ETFD_HUMAN_.pdf</t>
  </si>
  <si>
    <t>Melting_Curves/meltCurve_sp_Q16181_SEPT7_HUMAN_.pdf</t>
  </si>
  <si>
    <t>Melting_Curves/meltCurve_sp_Q16186_ADRM1_HUMAN_.pdf</t>
  </si>
  <si>
    <t>Melting_Curves/meltCurve_sp_Q16204_CCDC6_HUMAN_.pdf</t>
  </si>
  <si>
    <t>Melting_Curves/meltCurve_sp_Q16222_2_UAP1_HUMAN_.pdf</t>
  </si>
  <si>
    <t>Melting_Curves/meltCurve_sp_Q16270_2_IBP7_HUMAN_.pdf</t>
  </si>
  <si>
    <t>Melting_Curves/meltCurve_sp_Q16401_2_PSMD5_HUMAN_.pdf</t>
  </si>
  <si>
    <t>Melting_Curves/meltCurve_sp_Q16513_3_PKN2_HUMAN_.pdf</t>
  </si>
  <si>
    <t>Melting_Curves/meltCurve_sp_Q16531_DDB1_HUMAN_.pdf</t>
  </si>
  <si>
    <t>Melting_Curves/meltCurve_sp_Q16539_MK14_HUMAN_.pdf</t>
  </si>
  <si>
    <t>Melting_Curves/meltCurve_sp_Q16543_CDC37_HUMAN_.pdf</t>
  </si>
  <si>
    <t>Melting_Curves/meltCurve_sp_Q16555_2_DPYL2_HUMAN_.pdf</t>
  </si>
  <si>
    <t>Melting_Curves/meltCurve_sp_Q16576_RBBP7_HUMAN_.pdf</t>
  </si>
  <si>
    <t>Melting_Curves/meltCurve_sp_Q16625_5_OCLN_HUMAN_.pdf</t>
  </si>
  <si>
    <t>Melting_Curves/meltCurve_sp_Q16626_MEA1_HUMAN_.pdf</t>
  </si>
  <si>
    <t>Melting_Curves/meltCurve_sp_Q16629_3_SRSF7_HUMAN_.pdf</t>
  </si>
  <si>
    <t>Melting_Curves/meltCurve_sp_Q16644_MAPK3_HUMAN_.pdf</t>
  </si>
  <si>
    <t>Melting_Curves/meltCurve_sp_Q16654_PDK4_HUMAN_.pdf</t>
  </si>
  <si>
    <t>Melting_Curves/meltCurve_sp_Q16658_FSCN1_HUMAN_.pdf</t>
  </si>
  <si>
    <t>Melting_Curves/meltCurve_sp_Q16719_KYNU_HUMAN_.pdf</t>
  </si>
  <si>
    <t>Melting_Curves/meltCurve_sp_Q16740_CLPP_HUMAN_.pdf</t>
  </si>
  <si>
    <t>Melting_Curves/meltCurve_sp_Q16762_THTR_HUMAN_.pdf</t>
  </si>
  <si>
    <t>Melting_Curves/meltCurve_sp_Q16773_KAT1_HUMAN_.pdf</t>
  </si>
  <si>
    <t>Melting_Curves/meltCurve_sp_Q16775_GLO2_HUMAN_.pdf</t>
  </si>
  <si>
    <t>Melting_Curves/meltCurve_sp_Q16822_PCKGM_HUMAN_.pdf</t>
  </si>
  <si>
    <t>Melting_Curves/meltCurve_sp_Q16825_PTN21_HUMAN_.pdf</t>
  </si>
  <si>
    <t>Melting_Curves/meltCurve_sp_Q16831_UPP1_HUMAN_.pdf</t>
  </si>
  <si>
    <t>Melting_Curves/meltCurve_sp_Q16836_HCDH_HUMAN_.pdf</t>
  </si>
  <si>
    <t>Melting_Curves/meltCurve_sp_Q16851_2_UGPA_HUMAN_.pdf</t>
  </si>
  <si>
    <t>Melting_Curves/meltCurve_sp_Q16851_UGPA_HUMAN_.pdf</t>
  </si>
  <si>
    <t>Melting_Curves/meltCurve_sp_Q16854_DGUOK_HUMAN_.pdf</t>
  </si>
  <si>
    <t>Melting_Curves/meltCurve_sp_Q16864_VATF_HUMAN_.pdf</t>
  </si>
  <si>
    <t>Melting_Curves/meltCurve_sp_Q16878_CDO1_HUMAN_.pdf</t>
  </si>
  <si>
    <t>Melting_Curves/meltCurve_sp_Q17R31_5_TATD3_HUMAN_.pdf</t>
  </si>
  <si>
    <t>Melting_Curves/meltCurve_sp_Q17RC7_EX3L4_HUMAN_.pdf</t>
  </si>
  <si>
    <t>Melting_Curves/meltCurve_sp_Q17RN3_FA98C_HUMAN_.pdf</t>
  </si>
  <si>
    <t>Melting_Curves/meltCurve_sp_Q1W6H9_F110C_HUMAN_.pdf</t>
  </si>
  <si>
    <t>Melting_Curves/meltCurve_sp_Q27J81_INF2_HUMAN_.pdf</t>
  </si>
  <si>
    <t>Melting_Curves/meltCurve_sp_Q29836_1B67_HUMAN_.pdf</t>
  </si>
  <si>
    <t>Melting_Curves/meltCurve_sp_Q29RF7_PDS5A_HUMAN_.pdf</t>
  </si>
  <si>
    <t>Melting_Curves/meltCurve_sp_Q2KHT3_CL16A_HUMAN_.pdf</t>
  </si>
  <si>
    <t>Melting_Curves/meltCurve_sp_Q2M389_WASH7_HUMAN_.pdf</t>
  </si>
  <si>
    <t>Melting_Curves/meltCurve_sp_Q2NL82_TSR1_HUMAN_.pdf</t>
  </si>
  <si>
    <t>Melting_Curves/meltCurve_sp_Q2PPJ7_3_RGPA2_HUMAN_.pdf</t>
  </si>
  <si>
    <t>Melting_Curves/meltCurve_sp_Q2T9J0_TYSD1_HUMAN_.pdf</t>
  </si>
  <si>
    <t>Melting_Curves/meltCurve_sp_Q2TAY7_SMU1_HUMAN_.pdf</t>
  </si>
  <si>
    <t>Melting_Curves/meltCurve_sp_Q32M88_ATHL1_HUMAN_.pdf</t>
  </si>
  <si>
    <t>Melting_Curves/meltCurve_sp_Q32MZ4_2_LRRF1_HUMAN_.pdf</t>
  </si>
  <si>
    <t>Melting_Curves/meltCurve_sp_Q32MZ4_3_LRRF1_HUMAN_.pdf</t>
  </si>
  <si>
    <t>Melting_Curves/meltCurve_sp_Q32MZ4_4_LRRF1_HUMAN_.pdf</t>
  </si>
  <si>
    <t>Melting_Curves/meltCurve_sp_Q32P41_TRM5_HUMAN_.pdf</t>
  </si>
  <si>
    <t>Melting_Curves/meltCurve_sp_Q32P44_EMAL3_HUMAN_.pdf</t>
  </si>
  <si>
    <t>Melting_Curves/meltCurve_sp_Q3B7J2_GFOD2_HUMAN_.pdf</t>
  </si>
  <si>
    <t>Melting_Curves/meltCurve_sp_Q3LXA3_DHAK_HUMAN_.pdf</t>
  </si>
  <si>
    <t>Melting_Curves/meltCurve_sp_Q3MHD2_LSM12_HUMAN_.pdf</t>
  </si>
  <si>
    <t>Melting_Curves/meltCurve_sp_Q3MIT2_PUS10_HUMAN_.pdf</t>
  </si>
  <si>
    <t>Melting_Curves/meltCurve_sp_Q3YEC7_RABL6_HUMAN_.pdf</t>
  </si>
  <si>
    <t>Melting_Curves/meltCurve_sp_Q3ZCM7_TBB8_HUMAN_.pdf</t>
  </si>
  <si>
    <t>Melting_Curves/meltCurve_sp_Q3ZCW2_LEGL_HUMAN_.pdf</t>
  </si>
  <si>
    <t>Melting_Curves/meltCurve_sp_Q49A26_5_GLYR1_HUMAN_.pdf</t>
  </si>
  <si>
    <t>Melting_Curves/meltCurve_sp_Q49AH0_CDNF_HUMAN_.pdf</t>
  </si>
  <si>
    <t>Melting_Curves/meltCurve_sp_Q49AR2_2_CE022_HUMAN_.pdf</t>
  </si>
  <si>
    <t>Melting_Curves/meltCurve_sp_Q49B96_COX19_HUMAN_.pdf</t>
  </si>
  <si>
    <t>Melting_Curves/meltCurve_sp_Q4G0F5_VP26B_HUMAN_.pdf</t>
  </si>
  <si>
    <t>Melting_Curves/meltCurve_sp_Q4G0J3_LARP7_HUMAN_.pdf</t>
  </si>
  <si>
    <t>Melting_Curves/meltCurve_sp_Q4G0N4_NAKD1_HUMAN_.pdf</t>
  </si>
  <si>
    <t>Melting_Curves/meltCurve_sp_Q4G0X4_KCD21_HUMAN_.pdf</t>
  </si>
  <si>
    <t>Melting_Curves/meltCurve_sp_Q4G176_ACSF3_HUMAN_.pdf</t>
  </si>
  <si>
    <t>Melting_Curves/meltCurve_sp_Q4J6C6_4_PPCEL_HUMAN_.pdf</t>
  </si>
  <si>
    <t>Melting_Curves/meltCurve_sp_Q4KMP7_TB10B_HUMAN_.pdf</t>
  </si>
  <si>
    <t>Melting_Curves/meltCurve_sp_Q4KMQ1_2_TPRN_HUMAN_.pdf</t>
  </si>
  <si>
    <t>Melting_Curves/meltCurve_sp_Q4KWH8_3_PLCH1_HUMAN_.pdf</t>
  </si>
  <si>
    <t>Melting_Curves/meltCurve_sp_Q4LE39_3_ARI4B_HUMAN_.pdf</t>
  </si>
  <si>
    <t>Melting_Curves/meltCurve_sp_Q4V328_GRAP1_HUMAN_.pdf</t>
  </si>
  <si>
    <t>Melting_Curves/meltCurve_sp_Q4V348_Z658B_HUMAN_.pdf</t>
  </si>
  <si>
    <t>Melting_Curves/meltCurve_sp_Q504Q3_2_PAN2_HUMAN_.pdf</t>
  </si>
  <si>
    <t>Melting_Curves/meltCurve_sp_Q52LJ0_2_FA98B_HUMAN_.pdf</t>
  </si>
  <si>
    <t>Melting_Curves/meltCurve_sp_Q52LW3_RHG29_HUMAN_.pdf</t>
  </si>
  <si>
    <t>Melting_Curves/meltCurve_sp_Q53EL6_2_PDCD4_HUMAN_.pdf</t>
  </si>
  <si>
    <t>Melting_Curves/meltCurve_sp_Q53F19_CQ085_HUMAN_.pdf</t>
  </si>
  <si>
    <t>Melting_Curves/meltCurve_sp_Q53FA7_QORX_HUMAN_.pdf</t>
  </si>
  <si>
    <t>Melting_Curves/meltCurve_sp_Q53FZ2_ACSM3_HUMAN_.pdf</t>
  </si>
  <si>
    <t>Melting_Curves/meltCurve_sp_Q53GS9_3_SNUT2_HUMAN_.pdf</t>
  </si>
  <si>
    <t>Melting_Curves/meltCurve_sp_Q53H82_LACB2_HUMAN_.pdf</t>
  </si>
  <si>
    <t>Melting_Curves/meltCurve_sp_Q53HC9_TSSC1_HUMAN_.pdf</t>
  </si>
  <si>
    <t>Melting_Curves/meltCurve_sp_Q53HV7_SMUG1_HUMAN_.pdf</t>
  </si>
  <si>
    <t>Melting_Curves/meltCurve_sp_Q53LP3_SWAHC_HUMAN_.pdf</t>
  </si>
  <si>
    <t>Melting_Curves/meltCurve_sp_Q53S33_BOLA3_HUMAN_.pdf</t>
  </si>
  <si>
    <t>Melting_Curves/meltCurve_sp_Q53SF7_4_COBL1_HUMAN_.pdf</t>
  </si>
  <si>
    <t>Melting_Curves/meltCurve_sp_Q53T59_H1BP3_HUMAN_.pdf</t>
  </si>
  <si>
    <t>Melting_Curves/meltCurve_sp_Q58FF8_H90B2_HUMAN_.pdf</t>
  </si>
  <si>
    <t>Melting_Curves/meltCurve_sp_Q58WW2_DCAF6_HUMAN_.pdf</t>
  </si>
  <si>
    <t>Melting_Curves/meltCurve_sp_Q59GN2_R39L5_HUMAN_.pdf</t>
  </si>
  <si>
    <t>Melting_Curves/meltCurve_sp_Q5BKU9_OXLD1_HUMAN_.pdf</t>
  </si>
  <si>
    <t>Melting_Curves/meltCurve_sp_Q5BKZ1_ZN326_HUMAN_.pdf</t>
  </si>
  <si>
    <t>Melting_Curves/meltCurve_sp_Q5C9Z4_NOM1_HUMAN_.pdf</t>
  </si>
  <si>
    <t>Melting_Curves/meltCurve_sp_Q5D862_FILA2_HUMAN_.pdf</t>
  </si>
  <si>
    <t>Melting_Curves/meltCurve_sp_Q5EBL4_2_RIPL1_HUMAN_.pdf</t>
  </si>
  <si>
    <t>Melting_Curves/meltCurve_sp_Q5EBL8_PDZ11_HUMAN_.pdf</t>
  </si>
  <si>
    <t>Melting_Curves/meltCurve_sp_Q5EBM0_CMPK2_HUMAN_.pdf</t>
  </si>
  <si>
    <t>Melting_Curves/meltCurve_sp_Q5F1R6_DJC21_HUMAN_.pdf</t>
  </si>
  <si>
    <t>Melting_Curves/meltCurve_sp_Q5GLZ8_3_HERC4_HUMAN_.pdf</t>
  </si>
  <si>
    <t>Melting_Curves/meltCurve_sp_Q5HYK7_3_SH319_HUMAN_.pdf</t>
  </si>
  <si>
    <t>Melting_Curves/meltCurve_sp_Q5I0X7_TTC32_HUMAN_.pdf</t>
  </si>
  <si>
    <t>Melting_Curves/meltCurve_sp_Q5JRX3_PREP_HUMAN_.pdf</t>
  </si>
  <si>
    <t>Melting_Curves/meltCurve_sp_Q5JS37_NHLC3_HUMAN_.pdf</t>
  </si>
  <si>
    <t>Melting_Curves/meltCurve_sp_Q5JS54_PSMG4_HUMAN_.pdf</t>
  </si>
  <si>
    <t>Melting_Curves/meltCurve_sp_Q5JSH3_2_WDR44_HUMAN_.pdf</t>
  </si>
  <si>
    <t>Melting_Curves/meltCurve_sp_Q5JSZ5_5_PRC2B_HUMAN_.pdf</t>
  </si>
  <si>
    <t>Melting_Curves/meltCurve_sp_Q5JTC6_2_AMER1_HUMAN_.pdf</t>
  </si>
  <si>
    <t>Melting_Curves/meltCurve_sp_Q5JTD0_2_TJAP1_HUMAN_.pdf</t>
  </si>
  <si>
    <t>Melting_Curves/meltCurve_sp_Q5JTJ3_3_COA6_HUMAN_.pdf</t>
  </si>
  <si>
    <t>Melting_Curves/meltCurve_sp_Q5JTV8_TOIP1_HUMAN_.pdf</t>
  </si>
  <si>
    <t>Melting_Curves/meltCurve_sp_Q5JTZ9_SYAM_HUMAN_.pdf</t>
  </si>
  <si>
    <t>Melting_Curves/meltCurve_sp_Q5JVF3_3_PCID2_HUMAN_.pdf</t>
  </si>
  <si>
    <t>Melting_Curves/meltCurve_sp_Q5KU26_COL12_HUMAN_.pdf</t>
  </si>
  <si>
    <t>Melting_Curves/meltCurve_sp_Q5MIZ7_3_P4R3B_HUMAN_.pdf</t>
  </si>
  <si>
    <t>Melting_Curves/meltCurve_sp_Q5MNZ9_2_WIPI1_HUMAN_.pdf</t>
  </si>
  <si>
    <t>Melting_Curves/meltCurve_sp_Q5NDL2_EOGT_HUMAN_.pdf</t>
  </si>
  <si>
    <t>Melting_Curves/meltCurve_sp_Q5QJ74_TBCEL_HUMAN_.pdf</t>
  </si>
  <si>
    <t>Melting_Curves/meltCurve_sp_Q5R372_4_RBG1L_HUMAN_.pdf</t>
  </si>
  <si>
    <t>Melting_Curves/meltCurve_sp_Q5R3I4_TTC38_HUMAN_.pdf</t>
  </si>
  <si>
    <t>Melting_Curves/meltCurve_sp_Q5RHP9_CA173_HUMAN_.pdf</t>
  </si>
  <si>
    <t>Melting_Curves/meltCurve_sp_Q5RKV6_EXOS6_HUMAN_.pdf</t>
  </si>
  <si>
    <t>Melting_Curves/meltCurve_sp_Q5SRE7_PHYD1_HUMAN_.pdf</t>
  </si>
  <si>
    <t>Melting_Curves/meltCurve_sp_Q5SSJ5_HP1B3_HUMAN_.pdf</t>
  </si>
  <si>
    <t>Melting_Curves/meltCurve_sp_Q5ST30_SYVM_HUMAN_.pdf</t>
  </si>
  <si>
    <t>Melting_Curves/meltCurve_sp_Q5SW79_2_CE170_HUMAN_.pdf</t>
  </si>
  <si>
    <t>Melting_Curves/meltCurve_sp_Q5SXM8_DNLZ_HUMAN_.pdf</t>
  </si>
  <si>
    <t>Melting_Curves/meltCurve_sp_Q5SYE7_2_NHSL1_HUMAN_.pdf</t>
  </si>
  <si>
    <t>Melting_Curves/meltCurve_sp_Q5T0N5_3_FBP1L_HUMAN_.pdf</t>
  </si>
  <si>
    <t>Melting_Curves/meltCurve_sp_Q5T160_SYRM_HUMAN_.pdf</t>
  </si>
  <si>
    <t>Melting_Curves/meltCurve_sp_Q5T1C6_THEM4_HUMAN_.pdf</t>
  </si>
  <si>
    <t>Melting_Curves/meltCurve_sp_Q5T1M5_FKB15_HUMAN_.pdf</t>
  </si>
  <si>
    <t>Melting_Curves/meltCurve_sp_Q5T200_ZC3HD_HUMAN_.pdf</t>
  </si>
  <si>
    <t>Melting_Curves/meltCurve_sp_Q5T2E6_CJ076_HUMAN_.pdf</t>
  </si>
  <si>
    <t>Melting_Curves/meltCurve_sp_Q5T2W1_NHRF3_HUMAN_.pdf</t>
  </si>
  <si>
    <t>Melting_Curves/meltCurve_sp_Q5T440_CAF17_HUMAN_.pdf</t>
  </si>
  <si>
    <t>Melting_Curves/meltCurve_sp_Q5T447_HECD3_HUMAN_.pdf</t>
  </si>
  <si>
    <t>Melting_Curves/meltCurve_sp_Q5T4F4_6_ZFY27_HUMAN_.pdf</t>
  </si>
  <si>
    <t>Melting_Curves/meltCurve_sp_Q5T4S7_3_UBR4_HUMAN_.pdf</t>
  </si>
  <si>
    <t>Melting_Curves/meltCurve_sp_Q5T5P2_SKT_HUMAN_.pdf</t>
  </si>
  <si>
    <t>Melting_Curves/meltCurve_sp_Q5T5U3_RHG21_HUMAN_.pdf</t>
  </si>
  <si>
    <t>Melting_Curves/meltCurve_sp_Q5T6J7_GNTK_HUMAN_.pdf</t>
  </si>
  <si>
    <t>Melting_Curves/meltCurve_sp_Q5T6V5_CI064_HUMAN_.pdf</t>
  </si>
  <si>
    <t>Melting_Curves/meltCurve_sp_Q5T749_KPRP_HUMAN_.pdf</t>
  </si>
  <si>
    <t>Melting_Curves/meltCurve_sp_Q5T7V8_GORAB_HUMAN_.pdf</t>
  </si>
  <si>
    <t>Melting_Curves/meltCurve_sp_Q5T8D3_2_ACBD5_HUMAN_.pdf</t>
  </si>
  <si>
    <t>Melting_Curves/meltCurve_sp_Q5T8D3_ACBD5_HUMAN_.pdf</t>
  </si>
  <si>
    <t>Melting_Curves/meltCurve_sp_Q5T8P6_2_RBM26_HUMAN_.pdf</t>
  </si>
  <si>
    <t>Melting_Curves/meltCurve_sp_Q5TA50_GLTD1_HUMAN_.pdf</t>
  </si>
  <si>
    <t>Melting_Curves/meltCurve_sp_Q5TBA9_FRY_HUMAN_.pdf</t>
  </si>
  <si>
    <t>Melting_Curves/meltCurve_sp_Q5TC12_ATPF1_HUMAN_.pdf</t>
  </si>
  <si>
    <t>Melting_Curves/meltCurve_sp_Q5TCQ9_4_MAGI3_HUMAN_.pdf</t>
  </si>
  <si>
    <t>Melting_Curves/meltCurve_sp_Q5TDH0_DDI2_HUMAN_.pdf</t>
  </si>
  <si>
    <t>Melting_Curves/meltCurve_sp_Q5TEU4_NDUF5_HUMAN_.pdf</t>
  </si>
  <si>
    <t>Melting_Curves/meltCurve_sp_Q5TFE4_NT5D1_HUMAN_.pdf</t>
  </si>
  <si>
    <t>Melting_Curves/meltCurve_sp_Q5TFQ8_SIRBL_HUMAN_.pdf</t>
  </si>
  <si>
    <t>Melting_Curves/meltCurve_sp_Q5TGL8_PXDC1_HUMAN_.pdf</t>
  </si>
  <si>
    <t>Melting_Curves/meltCurve_sp_Q5TZA2_CROCC_HUMAN_.pdf</t>
  </si>
  <si>
    <t>Melting_Curves/meltCurve_sp_Q5U5X0_LYRM7_HUMAN_.pdf</t>
  </si>
  <si>
    <t>Melting_Curves/meltCurve_sp_Q5UIP0_2_RIF1_HUMAN_.pdf</t>
  </si>
  <si>
    <t>Melting_Curves/meltCurve_sp_Q5VIR6_4_VPS53_HUMAN_.pdf</t>
  </si>
  <si>
    <t>Melting_Curves/meltCurve_sp_Q5VSL9_STRP1_HUMAN_.pdf</t>
  </si>
  <si>
    <t>Melting_Curves/meltCurve_sp_Q5VSY0_2_GKAP1_HUMAN_.pdf</t>
  </si>
  <si>
    <t>Melting_Curves/meltCurve_sp_Q5VT06_CE350_HUMAN_.pdf</t>
  </si>
  <si>
    <t>Melting_Curves/meltCurve_sp_Q5VT52_RPRD2_HUMAN_.pdf</t>
  </si>
  <si>
    <t>Melting_Curves/meltCurve_sp_Q5VTE0_EF1A3_HUMAN_.pdf</t>
  </si>
  <si>
    <t>Melting_Curves/meltCurve_sp_Q5VTQ0_5_TT39B_HUMAN_.pdf</t>
  </si>
  <si>
    <t>Melting_Curves/meltCurve_sp_Q5VTR2_BRE1A_HUMAN_.pdf</t>
  </si>
  <si>
    <t>Melting_Curves/meltCurve_sp_Q5VTU8_AT5EL_HUMAN_.pdf</t>
  </si>
  <si>
    <t>Melting_Curves/meltCurve_sp_Q5VUA4_ZN318_HUMAN_.pdf</t>
  </si>
  <si>
    <t>Melting_Curves/meltCurve_sp_Q5VUE5_CA053_HUMAN_.pdf</t>
  </si>
  <si>
    <t>Melting_Curves/meltCurve_sp_Q5VUM1_CF057_HUMAN_.pdf</t>
  </si>
  <si>
    <t>Melting_Curves/meltCurve_sp_Q5VV41_ARHGG_HUMAN_.pdf</t>
  </si>
  <si>
    <t>Melting_Curves/meltCurve_sp_Q5VVQ6_2_OTU1_HUMAN_.pdf</t>
  </si>
  <si>
    <t>Melting_Curves/meltCurve_sp_Q5VW32_BROX_HUMAN_.pdf</t>
  </si>
  <si>
    <t>Melting_Curves/meltCurve_sp_Q5VW36_FOCAD_HUMAN_.pdf</t>
  </si>
  <si>
    <t>Melting_Curves/meltCurve_sp_Q5VWJ9_SNX30_HUMAN_.pdf</t>
  </si>
  <si>
    <t>Melting_Curves/meltCurve_sp_Q5VWP3_MLIP_HUMAN_.pdf</t>
  </si>
  <si>
    <t>Melting_Curves/meltCurve_sp_Q5VWQ8_3_DAB2P_HUMAN_.pdf</t>
  </si>
  <si>
    <t>Melting_Curves/meltCurve_sp_Q5VWZ2_LYPL1_HUMAN_.pdf</t>
  </si>
  <si>
    <t>Melting_Curves/meltCurve_sp_Q5VYK3_ECM29_HUMAN_.pdf</t>
  </si>
  <si>
    <t>Melting_Curves/meltCurve_sp_Q5VYS8_6_TUT7_HUMAN_.pdf</t>
  </si>
  <si>
    <t>Melting_Curves/meltCurve_sp_Q5VYX0_2_RNLS_HUMAN_.pdf</t>
  </si>
  <si>
    <t>Melting_Curves/meltCurve_sp_Q5VZE5_NAA35_HUMAN_.pdf</t>
  </si>
  <si>
    <t>Melting_Curves/meltCurve_sp_Q5VZK9_LR16A_HUMAN_.pdf</t>
  </si>
  <si>
    <t>Melting_Curves/meltCurve_sp_Q5W0V3_F16B1_HUMAN_.pdf</t>
  </si>
  <si>
    <t>Melting_Curves/meltCurve_sp_Q5W111_SPRY7_HUMAN_.pdf</t>
  </si>
  <si>
    <t>Melting_Curves/meltCurve_sp_Q5XPI4_RN123_HUMAN_.pdf</t>
  </si>
  <si>
    <t>Melting_Curves/meltCurve_sp_Q63HM1_KFA_HUMAN_.pdf</t>
  </si>
  <si>
    <t>Melting_Curves/meltCurve_sp_Q63HN8_RN213_HUMAN_.pdf</t>
  </si>
  <si>
    <t>Melting_Curves/meltCurve_sp_Q63ZY3_3_KANK2_HUMAN_.pdf</t>
  </si>
  <si>
    <t>Melting_Curves/meltCurve_sp_Q658Y4_F91A1_HUMAN_.pdf</t>
  </si>
  <si>
    <t>Melting_Curves/meltCurve_sp_Q659C4_9_LAR1B_HUMAN_.pdf</t>
  </si>
  <si>
    <t>Melting_Curves/meltCurve_sp_Q66K14_2_TBC9B_HUMAN_.pdf</t>
  </si>
  <si>
    <t>Melting_Curves/meltCurve_sp_Q66LE6_2ABD_HUMAN_.pdf</t>
  </si>
  <si>
    <t>Melting_Curves/meltCurve_sp_Q66PJ3_5_AR6P4_HUMAN_.pdf</t>
  </si>
  <si>
    <t>Melting_Curves/meltCurve_sp_Q66PJ3_AR6P4_HUMAN_.pdf</t>
  </si>
  <si>
    <t>Melting_Curves/meltCurve_sp_Q676U5_2_A16L1_HUMAN_.pdf</t>
  </si>
  <si>
    <t>Melting_Curves/meltCurve_sp_Q68CK6_ACS2B_HUMAN_.pdf</t>
  </si>
  <si>
    <t>Melting_Curves/meltCurve_sp_Q68CZ2_TENS3_HUMAN_.pdf</t>
  </si>
  <si>
    <t>Melting_Curves/meltCurve_sp_Q68D10_3_SPT2_HUMAN_.pdf</t>
  </si>
  <si>
    <t>Melting_Curves/meltCurve_sp_Q68DH5_LMBD2_HUMAN_.pdf</t>
  </si>
  <si>
    <t>Melting_Curves/meltCurve_sp_Q68E01_2_INT3_HUMAN_.pdf</t>
  </si>
  <si>
    <t>Melting_Curves/meltCurve_sp_Q68EM7_6_RHG17_HUMAN_.pdf</t>
  </si>
  <si>
    <t>Melting_Curves/meltCurve_sp_Q69YN2_C19L1_HUMAN_.pdf</t>
  </si>
  <si>
    <t>Melting_Curves/meltCurve_sp_Q69YN4_3_VIR_HUMAN_.pdf</t>
  </si>
  <si>
    <t>Melting_Curves/meltCurve_sp_Q69YQ0_2_CYTSA_HUMAN_.pdf</t>
  </si>
  <si>
    <t>Melting_Curves/meltCurve_sp_Q6A1A2_PDPK2_HUMAN_.pdf</t>
  </si>
  <si>
    <t>Melting_Curves/meltCurve_sp_Q6AWC2_3_WWC2_HUMAN_.pdf</t>
  </si>
  <si>
    <t>Melting_Curves/meltCurve_sp_Q6DD87_ZN787_HUMAN_.pdf</t>
  </si>
  <si>
    <t>Melting_Curves/meltCurve_sp_Q6DD88_ATLA3_HUMAN_.pdf</t>
  </si>
  <si>
    <t>Melting_Curves/meltCurve_sp_Q6DHV7_2_ADAL_HUMAN_.pdf</t>
  </si>
  <si>
    <t>Melting_Curves/meltCurve_sp_Q6DKK2_TTC19_HUMAN_.pdf</t>
  </si>
  <si>
    <t>Melting_Curves/meltCurve_sp_Q6DN90_2_IQEC1_HUMAN_.pdf</t>
  </si>
  <si>
    <t>Melting_Curves/meltCurve_sp_Q6EMK4_VASN_HUMAN_.pdf</t>
  </si>
  <si>
    <t>Melting_Curves/meltCurve_sp_Q6FI81_3_CPIN1_HUMAN_.pdf</t>
  </si>
  <si>
    <t>Melting_Curves/meltCurve_sp_Q6FIF0_2_ZFAN6_HUMAN_.pdf</t>
  </si>
  <si>
    <t>Melting_Curves/meltCurve_sp_Q6GMV2_SMYD5_HUMAN_.pdf</t>
  </si>
  <si>
    <t>Melting_Curves/meltCurve_sp_Q6GMV3_PTRD1_HUMAN_.pdf</t>
  </si>
  <si>
    <t>Melting_Curves/meltCurve_sp_Q6GQQ9_2_OTU7B_HUMAN_.pdf</t>
  </si>
  <si>
    <t>Melting_Curves/meltCurve_sp_Q6GYQ0_4_RGPA1_HUMAN_.pdf</t>
  </si>
  <si>
    <t>Melting_Curves/meltCurve_sp_Q6IA69_NADE_HUMAN_.pdf</t>
  </si>
  <si>
    <t>Melting_Curves/meltCurve_sp_Q6IA86_2_ELP2_HUMAN_.pdf</t>
  </si>
  <si>
    <t>Melting_Curves/meltCurve_sp_Q6IB77_GLYAT_HUMAN_.pdf</t>
  </si>
  <si>
    <t>Melting_Curves/meltCurve_sp_Q6IBS0_TWF2_HUMAN_.pdf</t>
  </si>
  <si>
    <t>Melting_Curves/meltCurve_sp_Q6IC98_GRAM4_HUMAN_.pdf</t>
  </si>
  <si>
    <t>Melting_Curves/meltCurve_sp_Q6ICG6_3_K0930_HUMAN_.pdf</t>
  </si>
  <si>
    <t>Melting_Curves/meltCurve_sp_Q6IN85_2_P4R3A_HUMAN_.pdf</t>
  </si>
  <si>
    <t>Melting_Curves/meltCurve_sp_Q6IPR1_LYRM5_HUMAN_.pdf</t>
  </si>
  <si>
    <t>Melting_Curves/meltCurve_sp_Q6IQ22_RAB12_HUMAN_.pdf</t>
  </si>
  <si>
    <t>Melting_Curves/meltCurve_sp_Q6IQ23_2_PKHA7_HUMAN_.pdf</t>
  </si>
  <si>
    <t>Melting_Curves/meltCurve_sp_Q6IQ49_3_SDE2_HUMAN_.pdf</t>
  </si>
  <si>
    <t>Melting_Curves/meltCurve_sp_Q6JBY9_2_CPZIP_HUMAN_.pdf</t>
  </si>
  <si>
    <t>Melting_Curves/meltCurve_sp_Q6JQN1_ACD10_HUMAN_.pdf</t>
  </si>
  <si>
    <t>Melting_Curves/meltCurve_sp_Q6KB66_2_K2C80_HUMAN_.pdf</t>
  </si>
  <si>
    <t>Melting_Curves/meltCurve_sp_Q6KC79_2_NIPBL_HUMAN_.pdf</t>
  </si>
  <si>
    <t>Melting_Curves/meltCurve_sp_Q6N043_2_Z280D_HUMAN_.pdf</t>
  </si>
  <si>
    <t>Melting_Curves/meltCurve_sp_Q6N063_OGFD2_HUMAN_.pdf</t>
  </si>
  <si>
    <t>Melting_Curves/meltCurve_sp_Q6NUM9_RETST_HUMAN_.pdf</t>
  </si>
  <si>
    <t>Melting_Curves/meltCurve_sp_Q6NUN0_ACSM5_HUMAN_.pdf</t>
  </si>
  <si>
    <t>Melting_Curves/meltCurve_sp_Q6NUQ1_RINT1_HUMAN_.pdf</t>
  </si>
  <si>
    <t>Melting_Curves/meltCurve_sp_Q6NUQ4_2_TM214_HUMAN_.pdf</t>
  </si>
  <si>
    <t>Melting_Curves/meltCurve_sp_Q6NVY1_HIBCH_HUMAN_.pdf</t>
  </si>
  <si>
    <t>Melting_Curves/meltCurve_sp_Q6NY19_2_KANK3_HUMAN_.pdf</t>
  </si>
  <si>
    <t>Melting_Curves/meltCurve_sp_Q6NYC8_PPR18_HUMAN_.pdf</t>
  </si>
  <si>
    <t>Melting_Curves/meltCurve_sp_Q6NZY4_ZCHC8_HUMAN_.pdf</t>
  </si>
  <si>
    <t>Melting_Curves/meltCurve_sp_Q6P1J9_CDC73_HUMAN_.pdf</t>
  </si>
  <si>
    <t>Melting_Curves/meltCurve_sp_Q6P1M3_2_L2GL2_HUMAN_.pdf</t>
  </si>
  <si>
    <t>Melting_Curves/meltCurve_sp_Q6P1N0_2_C2D1A_HUMAN_.pdf</t>
  </si>
  <si>
    <t>Melting_Curves/meltCurve_sp_Q6P1N9_TATD1_HUMAN_.pdf</t>
  </si>
  <si>
    <t>Melting_Curves/meltCurve_sp_Q6P1R4_DUS1L_HUMAN_.pdf</t>
  </si>
  <si>
    <t>Melting_Curves/meltCurve_sp_Q6P1X6_CH082_HUMAN_.pdf</t>
  </si>
  <si>
    <t>Melting_Curves/meltCurve_sp_Q6P2E9_EDC4_HUMAN_.pdf</t>
  </si>
  <si>
    <t>Melting_Curves/meltCurve_sp_Q6P2P2_ANM10_HUMAN_.pdf</t>
  </si>
  <si>
    <t>Melting_Curves/meltCurve_sp_Q6P2Q9_PRP8_HUMAN_.pdf</t>
  </si>
  <si>
    <t>Melting_Curves/meltCurve_sp_Q6P3W7_SCYL2_HUMAN_.pdf</t>
  </si>
  <si>
    <t>Melting_Curves/meltCurve_sp_Q6P3X3_TTC27_HUMAN_.pdf</t>
  </si>
  <si>
    <t>Melting_Curves/meltCurve_sp_Q6P4A8_PLBL1_HUMAN_.pdf</t>
  </si>
  <si>
    <t>Melting_Curves/meltCurve_sp_Q6P4F2_ADXL_HUMAN_.pdf</t>
  </si>
  <si>
    <t>Melting_Curves/meltCurve_sp_Q6P4R8_3_NFRKB_HUMAN_.pdf</t>
  </si>
  <si>
    <t>Melting_Curves/meltCurve_sp_Q6P587_FAHD1_HUMAN_.pdf</t>
  </si>
  <si>
    <t>Melting_Curves/meltCurve_sp_Q6P6B1_CH047_HUMAN_.pdf</t>
  </si>
  <si>
    <t>Melting_Curves/meltCurve_sp_Q6P6C2_ALKB5_HUMAN_.pdf</t>
  </si>
  <si>
    <t>Melting_Curves/meltCurve_sp_Q6PD62_CTR9_HUMAN_.pdf</t>
  </si>
  <si>
    <t>Melting_Curves/meltCurve_sp_Q6PD74_AAGAB_HUMAN_.pdf</t>
  </si>
  <si>
    <t>Melting_Curves/meltCurve_sp_Q6PGP7_TTC37_HUMAN_.pdf</t>
  </si>
  <si>
    <t>Melting_Curves/meltCurve_sp_Q6PI48_SYDM_HUMAN_.pdf</t>
  </si>
  <si>
    <t>Melting_Curves/meltCurve_sp_Q6PIJ6_2_FBX38_HUMAN_.pdf</t>
  </si>
  <si>
    <t>Melting_Curves/meltCurve_sp_Q6PJG6_BRAT1_HUMAN_.pdf</t>
  </si>
  <si>
    <t>Melting_Curves/meltCurve_sp_Q6PJT7_4_ZC3HE_HUMAN_.pdf</t>
  </si>
  <si>
    <t>Melting_Curves/meltCurve_sp_Q6PK81_2_ZN773_HUMAN_.pdf</t>
  </si>
  <si>
    <t>Melting_Curves/meltCurve_sp_Q6PKG0_LARP1_HUMAN_.pdf</t>
  </si>
  <si>
    <t>Melting_Curves/meltCurve_sp_Q6PL24_TMED8_HUMAN_.pdf</t>
  </si>
  <si>
    <t>Melting_Curves/meltCurve_sp_Q6Q6R5_3_CRIP3_HUMAN_.pdf</t>
  </si>
  <si>
    <t>Melting_Curves/meltCurve_sp_Q6QHF9_3_PAOX_HUMAN_.pdf</t>
  </si>
  <si>
    <t>Melting_Curves/meltCurve_sp_Q6QNY0_BL1S3_HUMAN_.pdf</t>
  </si>
  <si>
    <t>Melting_Curves/meltCurve_sp_Q6QNY1_2_BL1S2_HUMAN_.pdf</t>
  </si>
  <si>
    <t>Melting_Curves/meltCurve_sp_Q6SPF0_SAMD1_HUMAN_.pdf</t>
  </si>
  <si>
    <t>Melting_Curves/meltCurve_sp_Q6UB28_AMP1D_HUMAN_.pdf</t>
  </si>
  <si>
    <t>Melting_Curves/meltCurve_sp_Q6ULP2_5_AFTIN_HUMAN_.pdf</t>
  </si>
  <si>
    <t>Melting_Curves/meltCurve_sp_Q6UN15_4_FIP1_HUMAN_.pdf</t>
  </si>
  <si>
    <t>Melting_Curves/meltCurve_sp_Q6UW63_KDEL1_HUMAN_.pdf</t>
  </si>
  <si>
    <t>Melting_Curves/meltCurve_sp_Q6UWE0_LRSM1_HUMAN_.pdf</t>
  </si>
  <si>
    <t>Melting_Curves/meltCurve_sp_Q6UWP2_DHR11_HUMAN_.pdf</t>
  </si>
  <si>
    <t>Melting_Curves/meltCurve_sp_Q6UWP8_SBSN_HUMAN_.pdf</t>
  </si>
  <si>
    <t>Melting_Curves/meltCurve_sp_Q6UWW8_EST3_HUMAN_.pdf</t>
  </si>
  <si>
    <t>Melting_Curves/meltCurve_sp_Q6UX04_2_CWC27_HUMAN_.pdf</t>
  </si>
  <si>
    <t>Melting_Curves/meltCurve_sp_Q6UX53_MET7B_HUMAN_.pdf</t>
  </si>
  <si>
    <t>Melting_Curves/meltCurve_sp_Q6UXH1_4_CREL2_HUMAN_.pdf</t>
  </si>
  <si>
    <t>Melting_Curves/meltCurve_sp_Q6UXN9_WDR82_HUMAN_.pdf</t>
  </si>
  <si>
    <t>Melting_Curves/meltCurve_sp_Q6UXV4_APOOL_HUMAN_.pdf</t>
  </si>
  <si>
    <t>Melting_Curves/meltCurve_sp_Q6VMQ6_2_MCAF1_HUMAN_.pdf</t>
  </si>
  <si>
    <t>Melting_Curves/meltCurve_sp_Q6VY07_PACS1_HUMAN_.pdf</t>
  </si>
  <si>
    <t>Melting_Curves/meltCurve_sp_Q6WCQ1_MPRIP_HUMAN_.pdf</t>
  </si>
  <si>
    <t>Melting_Curves/meltCurve_sp_Q6WKZ4_3_RFIP1_HUMAN_.pdf</t>
  </si>
  <si>
    <t>Melting_Curves/meltCurve_sp_Q6XQN6_PNCB_HUMAN_.pdf</t>
  </si>
  <si>
    <t>Melting_Curves/meltCurve_sp_Q6XZF7_DNMBP_HUMAN_.pdf</t>
  </si>
  <si>
    <t>Melting_Curves/meltCurve_sp_Q6Y7W6_4_PERQ2_HUMAN_.pdf</t>
  </si>
  <si>
    <t>Melting_Curves/meltCurve_sp_Q6YN16_HSDL2_HUMAN_.pdf</t>
  </si>
  <si>
    <t>Melting_Curves/meltCurve_sp_Q6YP21_3_KAT3_HUMAN_.pdf</t>
  </si>
  <si>
    <t>Melting_Curves/meltCurve_sp_Q6ZMI0_PPR21_HUMAN_.pdf</t>
  </si>
  <si>
    <t>Melting_Curves/meltCurve_sp_Q6ZMZ3_3_SYNE3_HUMAN_.pdf</t>
  </si>
  <si>
    <t>Melting_Curves/meltCurve_sp_Q6ZNW5_GDPP1_HUMAN_.pdf</t>
  </si>
  <si>
    <t>Melting_Curves/meltCurve_sp_Q6ZRS2_3_SRCAP_HUMAN_.pdf</t>
  </si>
  <si>
    <t>Melting_Curves/meltCurve_sp_Q6ZS17_2_FA65A_HUMAN_.pdf</t>
  </si>
  <si>
    <t>Melting_Curves/meltCurve_sp_Q6ZS30_NBEL1_HUMAN_.pdf</t>
  </si>
  <si>
    <t>Melting_Curves/meltCurve_sp_Q6ZSZ5_2_ARHGI_HUMAN_.pdf</t>
  </si>
  <si>
    <t>Melting_Curves/meltCurve_sp_Q6ZT12_UBR3_HUMAN_.pdf</t>
  </si>
  <si>
    <t>Melting_Curves/meltCurve_sp_Q6ZUJ8_BCAP_HUMAN_.pdf</t>
  </si>
  <si>
    <t>Melting_Curves/meltCurve_sp_Q6ZVM7_TM1L2_HUMAN_.pdf</t>
  </si>
  <si>
    <t>Melting_Curves/meltCurve_sp_Q709C8_3_VP13C_HUMAN_.pdf</t>
  </si>
  <si>
    <t>Melting_Curves/meltCurve_sp_Q709F0_ACD11_HUMAN_.pdf</t>
  </si>
  <si>
    <t>Melting_Curves/meltCurve_sp_Q70E73_7_RAPH1_HUMAN_.pdf</t>
  </si>
  <si>
    <t>Melting_Curves/meltCurve_sp_Q70E73_RAPH1_HUMAN_.pdf</t>
  </si>
  <si>
    <t>Melting_Curves/meltCurve_sp_Q70EL4_4_UBP43_HUMAN_.pdf</t>
  </si>
  <si>
    <t>Melting_Curves/meltCurve_sp_Q70IA6_MOB2_HUMAN_.pdf</t>
  </si>
  <si>
    <t>Melting_Curves/meltCurve_sp_Q712K3_UB2R2_HUMAN_.pdf</t>
  </si>
  <si>
    <t>Melting_Curves/meltCurve_sp_Q71RC2_6_LARP4_HUMAN_.pdf</t>
  </si>
  <si>
    <t>Melting_Curves/meltCurve_sp_Q71U36_2_TBA1A_HUMAN_.pdf</t>
  </si>
  <si>
    <t>Melting_Curves/meltCurve_sp_Q71UI9_H2AV_HUMAN_.pdf</t>
  </si>
  <si>
    <t>Melting_Curves/meltCurve_sp_Q765P7_MTSSL_HUMAN_.pdf</t>
  </si>
  <si>
    <t>Melting_Curves/meltCurve_sp_Q76FK4_3_NOL8_HUMAN_.pdf</t>
  </si>
  <si>
    <t>Melting_Curves/meltCurve_sp_Q7KZ85_SPT6H_HUMAN_.pdf</t>
  </si>
  <si>
    <t>Melting_Curves/meltCurve_sp_Q7KZF4_SND1_HUMAN_.pdf</t>
  </si>
  <si>
    <t>Melting_Curves/meltCurve_sp_Q7KZI7_12_MARK2_HUMAN_.pdf</t>
  </si>
  <si>
    <t>Melting_Curves/meltCurve_sp_Q7L014_DDX46_HUMAN_.pdf</t>
  </si>
  <si>
    <t>Melting_Curves/meltCurve_sp_Q7L099_4_RUFY3_HUMAN_.pdf</t>
  </si>
  <si>
    <t>Melting_Curves/meltCurve_sp_Q7L0Y3_MRRP1_HUMAN_.pdf</t>
  </si>
  <si>
    <t>Melting_Curves/meltCurve_sp_Q7L1Q6_BZW1_HUMAN_.pdf</t>
  </si>
  <si>
    <t>Melting_Curves/meltCurve_sp_Q7L266_ASGL1_HUMAN_.pdf</t>
  </si>
  <si>
    <t>Melting_Curves/meltCurve_sp_Q7L2J0_MEPCE_HUMAN_.pdf</t>
  </si>
  <si>
    <t>Melting_Curves/meltCurve_sp_Q7L3T8_SYPM_HUMAN_.pdf</t>
  </si>
  <si>
    <t>Melting_Curves/meltCurve_sp_Q7L4I2_RSRC2_HUMAN_.pdf</t>
  </si>
  <si>
    <t>Melting_Curves/meltCurve_sp_Q7L576_CYFP1_HUMAN_.pdf</t>
  </si>
  <si>
    <t>Melting_Curves/meltCurve_sp_Q7L592_NDUF7_HUMAN_.pdf</t>
  </si>
  <si>
    <t>Melting_Curves/meltCurve_sp_Q7L5D6_GET4_HUMAN_.pdf</t>
  </si>
  <si>
    <t>Melting_Curves/meltCurve_sp_Q7L5Y1_ENOF1_HUMAN_.pdf</t>
  </si>
  <si>
    <t>Melting_Curves/meltCurve_sp_Q7L775_EPMIP_HUMAN_.pdf</t>
  </si>
  <si>
    <t>Melting_Curves/meltCurve_sp_Q7L7X3_3_TAOK1_HUMAN_.pdf</t>
  </si>
  <si>
    <t>Melting_Curves/meltCurve_sp_Q7L8L6_FAKD5_HUMAN_.pdf</t>
  </si>
  <si>
    <t>Melting_Curves/meltCurve_sp_Q7L9B9_EEPD1_HUMAN_.pdf</t>
  </si>
  <si>
    <t>Melting_Curves/meltCurve_sp_Q7LBC6_KDM3B_HUMAN_.pdf</t>
  </si>
  <si>
    <t>Melting_Curves/meltCurve_sp_Q7LBR1_CHM1B_HUMAN_.pdf</t>
  </si>
  <si>
    <t>Melting_Curves/meltCurve_sp_Q7LG56_RIR2B_HUMAN_.pdf</t>
  </si>
  <si>
    <t>Melting_Curves/meltCurve_sp_Q7RTP6_MICA3_HUMAN_.pdf</t>
  </si>
  <si>
    <t>Melting_Curves/meltCurve_sp_Q7RTV0_PHF5A_HUMAN_.pdf</t>
  </si>
  <si>
    <t>Melting_Curves/meltCurve_sp_Q7Z2W4_ZCCHV_HUMAN_.pdf</t>
  </si>
  <si>
    <t>Melting_Curves/meltCurve_sp_Q7Z2Z2_ETUD1_HUMAN_.pdf</t>
  </si>
  <si>
    <t>Melting_Curves/meltCurve_sp_Q7Z392_3_TPC11_HUMAN_.pdf</t>
  </si>
  <si>
    <t>Melting_Curves/meltCurve_sp_Q7Z3E2_CJ118_HUMAN_.pdf</t>
  </si>
  <si>
    <t>Melting_Curves/meltCurve_sp_Q7Z3J2_CP062_HUMAN_.pdf</t>
  </si>
  <si>
    <t>Melting_Curves/meltCurve_sp_Q7Z3T8_ZFY16_HUMAN_.pdf</t>
  </si>
  <si>
    <t>Melting_Curves/meltCurve_sp_Q7Z406_MYH14_HUMAN_.pdf</t>
  </si>
  <si>
    <t>Melting_Curves/meltCurve_sp_Q7Z417_NUFP2_HUMAN_.pdf</t>
  </si>
  <si>
    <t>Melting_Curves/meltCurve_sp_Q7Z422_2_SZRD1_HUMAN_.pdf</t>
  </si>
  <si>
    <t>Melting_Curves/meltCurve_sp_Q7Z434_MAVS_HUMAN_.pdf</t>
  </si>
  <si>
    <t>Melting_Curves/meltCurve_sp_Q7Z460_2_CLAP1_HUMAN_.pdf</t>
  </si>
  <si>
    <t>Melting_Curves/meltCurve_sp_Q7Z478_DHX29_HUMAN_.pdf</t>
  </si>
  <si>
    <t>Melting_Curves/meltCurve_sp_Q7Z4G1_COMD6_HUMAN_.pdf</t>
  </si>
  <si>
    <t>Melting_Curves/meltCurve_sp_Q7Z4G4_2_TRM11_HUMAN_.pdf</t>
  </si>
  <si>
    <t>Melting_Curves/meltCurve_sp_Q7Z4H3_2_HDDC2_HUMAN_.pdf</t>
  </si>
  <si>
    <t>Melting_Curves/meltCurve_sp_Q7Z4H8_KDEL2_HUMAN_.pdf</t>
  </si>
  <si>
    <t>Melting_Curves/meltCurve_sp_Q7Z4I7_3_LIMS2_HUMAN_.pdf</t>
  </si>
  <si>
    <t>Melting_Curves/meltCurve_sp_Q7Z4Q2_HEAT3_HUMAN_.pdf</t>
  </si>
  <si>
    <t>Melting_Curves/meltCurve_sp_Q7Z4S6_3_KI21A_HUMAN_.pdf</t>
  </si>
  <si>
    <t>Melting_Curves/meltCurve_sp_Q7Z4V5_HDGR2_HUMAN_.pdf</t>
  </si>
  <si>
    <t>Melting_Curves/meltCurve_sp_Q7Z4W1_DCXR_HUMAN_.pdf</t>
  </si>
  <si>
    <t>Melting_Curves/meltCurve_sp_Q7Z5K2_WAPL_HUMAN_.pdf</t>
  </si>
  <si>
    <t>Melting_Curves/meltCurve_sp_Q7Z5L9_2_I2BP2_HUMAN_.pdf</t>
  </si>
  <si>
    <t>Melting_Curves/meltCurve_sp_Q7Z5P4_DHB13_HUMAN_.pdf</t>
  </si>
  <si>
    <t>Melting_Curves/meltCurve_sp_Q7Z5Q1_7_CPEB2_HUMAN_.pdf</t>
  </si>
  <si>
    <t>Melting_Curves/meltCurve_sp_Q7Z5R6_AB1IP_HUMAN_.pdf</t>
  </si>
  <si>
    <t>Melting_Curves/meltCurve_sp_Q7Z6B0_2_CCD91_HUMAN_.pdf</t>
  </si>
  <si>
    <t>Melting_Curves/meltCurve_sp_Q7Z6E9_4_RBBP6_HUMAN_.pdf</t>
  </si>
  <si>
    <t>Melting_Curves/meltCurve_sp_Q7Z6K3_PTAR1_HUMAN_.pdf</t>
  </si>
  <si>
    <t>Melting_Curves/meltCurve_sp_Q7Z6M1_RABEK_HUMAN_.pdf</t>
  </si>
  <si>
    <t>Melting_Curves/meltCurve_sp_Q7Z6M4_MTER2_HUMAN_.pdf</t>
  </si>
  <si>
    <t>Melting_Curves/meltCurve_sp_Q7Z6Z7_2_HUWE1_HUMAN_.pdf</t>
  </si>
  <si>
    <t>Melting_Curves/meltCurve_sp_Q7Z794_K2C1B_HUMAN_.pdf</t>
  </si>
  <si>
    <t>Melting_Curves/meltCurve_sp_Q7Z7E8_2_UB2Q1_HUMAN_.pdf</t>
  </si>
  <si>
    <t>Melting_Curves/meltCurve_sp_Q7Z7K0_COXM1_HUMAN_.pdf</t>
  </si>
  <si>
    <t>Melting_Curves/meltCurve_sp_Q7Z7K6_3_CENPV_HUMAN_.pdf</t>
  </si>
  <si>
    <t>Melting_Curves/meltCurve_sp_Q7Z7L7_ZER1_HUMAN_.pdf</t>
  </si>
  <si>
    <t>Melting_Curves/meltCurve_sp_Q86SQ0_3_PHLB2_HUMAN_.pdf</t>
  </si>
  <si>
    <t>Melting_Curves/meltCurve_sp_Q86SQ0_PHLB2_HUMAN_.pdf</t>
  </si>
  <si>
    <t>Melting_Curves/meltCurve_sp_Q86SX6_GLRX5_HUMAN_.pdf</t>
  </si>
  <si>
    <t>Melting_Curves/meltCurve_sp_Q86SZ2_TPC6B_HUMAN_.pdf</t>
  </si>
  <si>
    <t>Melting_Curves/meltCurve_sp_Q86TB9_4_PATL1_HUMAN_.pdf</t>
  </si>
  <si>
    <t>Melting_Curves/meltCurve_sp_Q86TI2_DPP9_HUMAN_.pdf</t>
  </si>
  <si>
    <t>Melting_Curves/meltCurve_sp_Q86TP1_PRUNE_HUMAN_.pdf</t>
  </si>
  <si>
    <t>Melting_Curves/meltCurve_sp_Q86TU7_SETD3_HUMAN_.pdf</t>
  </si>
  <si>
    <t>Melting_Curves/meltCurve_sp_Q86TX2_ACOT1_HUMAN_.pdf</t>
  </si>
  <si>
    <t>Melting_Curves/meltCurve_sp_Q86U17_SPA11_HUMAN_.pdf</t>
  </si>
  <si>
    <t>Melting_Curves/meltCurve_sp_Q86U28_ISCA2_HUMAN_.pdf</t>
  </si>
  <si>
    <t>Melting_Curves/meltCurve_sp_Q86U42_2_PABP2_HUMAN_.pdf</t>
  </si>
  <si>
    <t>Melting_Curves/meltCurve_sp_Q86U44_MTA70_HUMAN_.pdf</t>
  </si>
  <si>
    <t>Melting_Curves/meltCurve_sp_Q86U70_3_LDB1_HUMAN_.pdf</t>
  </si>
  <si>
    <t>Melting_Curves/meltCurve_sp_Q86U90_YRDC_HUMAN_.pdf</t>
  </si>
  <si>
    <t>Melting_Curves/meltCurve_sp_Q86UA1_PRP39_HUMAN_.pdf</t>
  </si>
  <si>
    <t>Melting_Curves/meltCurve_sp_Q86UE4_LYRIC_HUMAN_.pdf</t>
  </si>
  <si>
    <t>Melting_Curves/meltCurve_sp_Q86UK7_2_ZN598_HUMAN_.pdf</t>
  </si>
  <si>
    <t>Melting_Curves/meltCurve_sp_Q86UP2_KTN1_HUMAN_.pdf</t>
  </si>
  <si>
    <t>Melting_Curves/meltCurve_sp_Q86US8_EST1A_HUMAN_.pdf</t>
  </si>
  <si>
    <t>Melting_Curves/meltCurve_sp_Q86UU0_4_BCL9L_HUMAN_.pdf</t>
  </si>
  <si>
    <t>Melting_Curves/meltCurve_sp_Q86UV5_2_UBP48_HUMAN_.pdf</t>
  </si>
  <si>
    <t>Melting_Curves/meltCurve_sp_Q86UX6_2_ST32C_HUMAN_.pdf</t>
  </si>
  <si>
    <t>Melting_Curves/meltCurve_sp_Q86UX7_2_URP2_HUMAN_.pdf</t>
  </si>
  <si>
    <t>Melting_Curves/meltCurve_sp_Q86UY8_2_NT5D3_HUMAN_.pdf</t>
  </si>
  <si>
    <t>Melting_Curves/meltCurve_sp_Q86V48_2_LUZP1_HUMAN_.pdf</t>
  </si>
  <si>
    <t>Melting_Curves/meltCurve_sp_Q86V81_THOC4_HUMAN_.pdf</t>
  </si>
  <si>
    <t>Melting_Curves/meltCurve_sp_Q86VM9_ZCH18_HUMAN_.pdf</t>
  </si>
  <si>
    <t>Melting_Curves/meltCurve_sp_Q86VN1_2_VPS36_HUMAN_.pdf</t>
  </si>
  <si>
    <t>Melting_Curves/meltCurve_sp_Q86VP6_CAND1_HUMAN_.pdf</t>
  </si>
  <si>
    <t>Melting_Curves/meltCurve_sp_Q86VQ6_TRXR3_HUMAN_.pdf</t>
  </si>
  <si>
    <t>Melting_Curves/meltCurve_sp_Q86VR2_F134C_HUMAN_.pdf</t>
  </si>
  <si>
    <t>Melting_Curves/meltCurve_sp_Q86VS8_HOOK3_HUMAN_.pdf</t>
  </si>
  <si>
    <t>Melting_Curves/meltCurve_sp_Q86VX2_2_COMD7_HUMAN_.pdf</t>
  </si>
  <si>
    <t>Melting_Curves/meltCurve_sp_Q86W50_MET16_HUMAN_.pdf</t>
  </si>
  <si>
    <t>Melting_Curves/meltCurve_sp_Q86W92_4_LIPB1_HUMAN_.pdf</t>
  </si>
  <si>
    <t>Melting_Curves/meltCurve_sp_Q86WA6_BPHL_HUMAN_.pdf</t>
  </si>
  <si>
    <t>Melting_Curves/meltCurve_sp_Q86WA8_LONP2_HUMAN_.pdf</t>
  </si>
  <si>
    <t>Melting_Curves/meltCurve_sp_Q86WB0_3_NIPA_HUMAN_.pdf</t>
  </si>
  <si>
    <t>Melting_Curves/meltCurve_sp_Q86WP2_4_GPBP1_HUMAN_.pdf</t>
  </si>
  <si>
    <t>Melting_Curves/meltCurve_sp_Q86WQ0_NR2CA_HUMAN_.pdf</t>
  </si>
  <si>
    <t>Melting_Curves/meltCurve_sp_Q86WR0_CCD25_HUMAN_.pdf</t>
  </si>
  <si>
    <t>Melting_Curves/meltCurve_sp_Q86WR7_PRSR2_HUMAN_.pdf</t>
  </si>
  <si>
    <t>Melting_Curves/meltCurve_sp_Q86WU2_2_LDHD_HUMAN_.pdf</t>
  </si>
  <si>
    <t>Melting_Curves/meltCurve_sp_Q86X10_3_RLGPB_HUMAN_.pdf</t>
  </si>
  <si>
    <t>Melting_Curves/meltCurve_sp_Q86X27_RGPS2_HUMAN_.pdf</t>
  </si>
  <si>
    <t>Melting_Curves/meltCurve_sp_Q86X55_1_CARM1_HUMAN_.pdf</t>
  </si>
  <si>
    <t>Melting_Curves/meltCurve_sp_Q86X76_2_NIT1_HUMAN_.pdf</t>
  </si>
  <si>
    <t>Melting_Curves/meltCurve_sp_Q86X83_COMD2_HUMAN_.pdf</t>
  </si>
  <si>
    <t>Melting_Curves/meltCurve_sp_Q86XE5_HOGA1_HUMAN_.pdf</t>
  </si>
  <si>
    <t>Melting_Curves/meltCurve_sp_Q86XP3_DDX42_HUMAN_.pdf</t>
  </si>
  <si>
    <t>Melting_Curves/meltCurve_sp_Q86Y07_4_VRK2_HUMAN_.pdf</t>
  </si>
  <si>
    <t>Melting_Curves/meltCurve_sp_Q86Y82_STX12_HUMAN_.pdf</t>
  </si>
  <si>
    <t>Melting_Curves/meltCurve_sp_Q86YB7_ECHD2_HUMAN_.pdf</t>
  </si>
  <si>
    <t>Melting_Curves/meltCurve_sp_Q86YB8_ERO1B_HUMAN_.pdf</t>
  </si>
  <si>
    <t>Melting_Curves/meltCurve_sp_Q86YH6_DLP1_HUMAN_.pdf</t>
  </si>
  <si>
    <t>Melting_Curves/meltCurve_sp_Q86YJ6_4_THNS2_HUMAN_.pdf</t>
  </si>
  <si>
    <t>Melting_Curves/meltCurve_sp_Q86YL5_TDRP_HUMAN_.pdf</t>
  </si>
  <si>
    <t>Melting_Curves/meltCurve_sp_Q86YP4_2_P66A_HUMAN_.pdf</t>
  </si>
  <si>
    <t>Melting_Curves/meltCurve_sp_Q86YS6_RAB43_HUMAN_.pdf</t>
  </si>
  <si>
    <t>Melting_Curves/meltCurve_sp_Q86YS7_C2CD5_HUMAN_.pdf</t>
  </si>
  <si>
    <t>Melting_Curves/meltCurve_sp_Q8IU81_I2BP1_HUMAN_.pdf</t>
  </si>
  <si>
    <t>Melting_Curves/meltCurve_sp_Q8IUC4_RHPN2_HUMAN_.pdf</t>
  </si>
  <si>
    <t>Melting_Curves/meltCurve_sp_Q8IUD2_RB6I2_HUMAN_.pdf</t>
  </si>
  <si>
    <t>Melting_Curves/meltCurve_sp_Q8IUF8_2_MINA_HUMAN_.pdf</t>
  </si>
  <si>
    <t>Melting_Curves/meltCurve_sp_Q8IUR0_TPPC5_HUMAN_.pdf</t>
  </si>
  <si>
    <t>Melting_Curves/meltCurve_sp_Q8IUZ5_AT2L2_HUMAN_.pdf</t>
  </si>
  <si>
    <t>Melting_Curves/meltCurve_sp_Q8IV03_LUR1L_HUMAN_.pdf</t>
  </si>
  <si>
    <t>Melting_Curves/meltCurve_sp_Q8IV08_PLD3_HUMAN_.pdf</t>
  </si>
  <si>
    <t>Melting_Curves/meltCurve_sp_Q8IV20_LACC1_HUMAN_.pdf</t>
  </si>
  <si>
    <t>Melting_Curves/meltCurve_sp_Q8IV38_ANKY2_HUMAN_.pdf</t>
  </si>
  <si>
    <t>Melting_Curves/meltCurve_sp_Q8IVD9_NUDC3_HUMAN_.pdf</t>
  </si>
  <si>
    <t>Melting_Curves/meltCurve_sp_Q8IVH4_MMAA_HUMAN_.pdf</t>
  </si>
  <si>
    <t>Melting_Curves/meltCurve_sp_Q8IVM0_2_CCD50_HUMAN_.pdf</t>
  </si>
  <si>
    <t>Melting_Curves/meltCurve_sp_Q8IVM0_CCD50_HUMAN_.pdf</t>
  </si>
  <si>
    <t>Melting_Curves/meltCurve_sp_Q8IVS2_FABD_HUMAN_.pdf</t>
  </si>
  <si>
    <t>Melting_Curves/meltCurve_sp_Q8IVS8_GLCTK_HUMAN_.pdf</t>
  </si>
  <si>
    <t>Melting_Curves/meltCurve_sp_Q8IW45_NNRD_HUMAN_.pdf</t>
  </si>
  <si>
    <t>Melting_Curves/meltCurve_sp_Q8IWB7_WDFY1_HUMAN_.pdf</t>
  </si>
  <si>
    <t>Melting_Curves/meltCurve_sp_Q8IWB9_TEX2_HUMAN_.pdf</t>
  </si>
  <si>
    <t>Melting_Curves/meltCurve_sp_Q8IWE2_NXP20_HUMAN_.pdf</t>
  </si>
  <si>
    <t>Melting_Curves/meltCurve_sp_Q8IWJ2_GCC2_HUMAN_.pdf</t>
  </si>
  <si>
    <t>Melting_Curves/meltCurve_sp_Q8IWL3_HSC20_HUMAN_.pdf</t>
  </si>
  <si>
    <t>Melting_Curves/meltCurve_sp_Q8IWR0_Z3H7A_HUMAN_.pdf</t>
  </si>
  <si>
    <t>Melting_Curves/meltCurve_sp_Q8IWU2_LMTK2_HUMAN_.pdf</t>
  </si>
  <si>
    <t>Melting_Curves/meltCurve_sp_Q8IWV7_UBR1_HUMAN_.pdf</t>
  </si>
  <si>
    <t>Melting_Curves/meltCurve_sp_Q8IWV8_4_UBR2_HUMAN_.pdf</t>
  </si>
  <si>
    <t>Melting_Curves/meltCurve_sp_Q8IWW6_2_RHG12_HUMAN_.pdf</t>
  </si>
  <si>
    <t>Melting_Curves/meltCurve_sp_Q8IWW8_HOT_HUMAN_.pdf</t>
  </si>
  <si>
    <t>Melting_Curves/meltCurve_sp_Q8IWX8_CHERP_HUMAN_.pdf</t>
  </si>
  <si>
    <t>Melting_Curves/meltCurve_sp_Q8IWZ3_ANKH1_HUMAN_.pdf</t>
  </si>
  <si>
    <t>Melting_Curves/meltCurve_sp_Q8IWZ8_SUGP1_HUMAN_.pdf</t>
  </si>
  <si>
    <t>Melting_Curves/meltCurve_sp_Q8IX04_6_UEVLD_HUMAN_.pdf</t>
  </si>
  <si>
    <t>Melting_Curves/meltCurve_sp_Q8IX12_2_CCAR1_HUMAN_.pdf</t>
  </si>
  <si>
    <t>Melting_Curves/meltCurve_sp_Q8IXH7_4_NELFD_HUMAN_.pdf</t>
  </si>
  <si>
    <t>Melting_Curves/meltCurve_sp_Q8IXJ6_2_SIR2_HUMAN_.pdf</t>
  </si>
  <si>
    <t>Melting_Curves/meltCurve_sp_Q8IXK0_2_PHC2_HUMAN_.pdf</t>
  </si>
  <si>
    <t>Melting_Curves/meltCurve_sp_Q8IXQ4_K1704_HUMAN_.pdf</t>
  </si>
  <si>
    <t>Melting_Curves/meltCurve_sp_Q8IXQ6_2_PARP9_HUMAN_.pdf</t>
  </si>
  <si>
    <t>Melting_Curves/meltCurve_sp_Q8IXW5_2_RPAP2_HUMAN_.pdf</t>
  </si>
  <si>
    <t>Melting_Curves/meltCurve_sp_Q8IY33_4_MILK2_HUMAN_.pdf</t>
  </si>
  <si>
    <t>Melting_Curves/meltCurve_sp_Q8IY81_SPB1_HUMAN_.pdf</t>
  </si>
  <si>
    <t>Melting_Curves/meltCurve_sp_Q8IYB5_3_SMAP1_HUMAN_.pdf</t>
  </si>
  <si>
    <t>Melting_Curves/meltCurve_sp_Q8IYB7_DI3L2_HUMAN_.pdf</t>
  </si>
  <si>
    <t>Melting_Curves/meltCurve_sp_Q8IYB8_SUV3_HUMAN_.pdf</t>
  </si>
  <si>
    <t>Melting_Curves/meltCurve_sp_Q8IYD1_ERF3B_HUMAN_.pdf</t>
  </si>
  <si>
    <t>Melting_Curves/meltCurve_sp_Q8IYI6_EXOC8_HUMAN_.pdf</t>
  </si>
  <si>
    <t>Melting_Curves/meltCurve_sp_Q8IYL3_CA174_HUMAN_.pdf</t>
  </si>
  <si>
    <t>Melting_Curves/meltCurve_sp_Q8IYQ7_THNS1_HUMAN_.pdf</t>
  </si>
  <si>
    <t>Melting_Curves/meltCurve_sp_Q8IYS1_P20D2_HUMAN_.pdf</t>
  </si>
  <si>
    <t>Melting_Curves/meltCurve_sp_Q8IYT2_FTSJ1_HUMAN_.pdf</t>
  </si>
  <si>
    <t>Melting_Curves/meltCurve_sp_Q8IZ07_AN13A_HUMAN_.pdf</t>
  </si>
  <si>
    <t>Melting_Curves/meltCurve_sp_Q8IZ21_3_PHAR4_HUMAN_.pdf</t>
  </si>
  <si>
    <t>Melting_Curves/meltCurve_sp_Q8IZ69_TRM2A_HUMAN_.pdf</t>
  </si>
  <si>
    <t>Melting_Curves/meltCurve_sp_Q8IZ83_A16A1_HUMAN_.pdf</t>
  </si>
  <si>
    <t>Melting_Curves/meltCurve_sp_Q8IZD4_DCP1B_HUMAN_.pdf</t>
  </si>
  <si>
    <t>Melting_Curves/meltCurve_sp_Q8IZH2_2_XRN1_HUMAN_.pdf</t>
  </si>
  <si>
    <t>Melting_Curves/meltCurve_sp_Q8IZP0_10_ABI1_HUMAN_.pdf</t>
  </si>
  <si>
    <t>Melting_Curves/meltCurve_sp_Q8IZV5_RDH10_HUMAN_.pdf</t>
  </si>
  <si>
    <t>Melting_Curves/meltCurve_sp_Q8N0T1_CH059_HUMAN_.pdf</t>
  </si>
  <si>
    <t>Melting_Curves/meltCurve_sp_Q8N0U4_F185A_HUMAN_.pdf</t>
  </si>
  <si>
    <t>Melting_Curves/meltCurve_sp_Q8N0W3_FUK_HUMAN_.pdf</t>
  </si>
  <si>
    <t>Melting_Curves/meltCurve_sp_Q8N0X4_CLYBL_HUMAN_.pdf</t>
  </si>
  <si>
    <t>Melting_Curves/meltCurve_sp_Q8N0X7_SPG20_HUMAN_.pdf</t>
  </si>
  <si>
    <t>Melting_Curves/meltCurve_sp_Q8N108_17_MIER1_HUMAN_.pdf</t>
  </si>
  <si>
    <t>Melting_Curves/meltCurve_sp_Q8N129_CNPY4_HUMAN_.pdf</t>
  </si>
  <si>
    <t>Melting_Curves/meltCurve_sp_Q8N142_PURA1_HUMAN_.pdf</t>
  </si>
  <si>
    <t>Melting_Curves/meltCurve_sp_Q8N163_K1967_HUMAN_.pdf</t>
  </si>
  <si>
    <t>Melting_Curves/meltCurve_sp_Q8N1B4_VPS52_HUMAN_.pdf</t>
  </si>
  <si>
    <t>Melting_Curves/meltCurve_sp_Q8N1F7_NUP93_HUMAN_.pdf</t>
  </si>
  <si>
    <t>Melting_Curves/meltCurve_sp_Q8N1G2_MTR1_HUMAN_.pdf</t>
  </si>
  <si>
    <t>Melting_Curves/meltCurve_sp_Q8N1G4_LRC47_HUMAN_.pdf</t>
  </si>
  <si>
    <t>Melting_Curves/meltCurve_sp_Q8N1I0_DOCK4_HUMAN_.pdf</t>
  </si>
  <si>
    <t>Melting_Curves/meltCurve_sp_Q8N201_INT1_HUMAN_.pdf</t>
  </si>
  <si>
    <t>Melting_Curves/meltCurve_sp_Q8N283_ANR35_HUMAN_.pdf</t>
  </si>
  <si>
    <t>Melting_Curves/meltCurve_sp_Q8N2H3_PYRD2_HUMAN_.pdf</t>
  </si>
  <si>
    <t>Melting_Curves/meltCurve_sp_Q8N302_AGGF1_HUMAN_.pdf</t>
  </si>
  <si>
    <t>Melting_Curves/meltCurve_sp_Q8N335_GPD1L_HUMAN_.pdf</t>
  </si>
  <si>
    <t>Melting_Curves/meltCurve_sp_Q8N371_KDM8_HUMAN_.pdf</t>
  </si>
  <si>
    <t>Melting_Curves/meltCurve_sp_Q8N392_2_RHG18_HUMAN_.pdf</t>
  </si>
  <si>
    <t>Melting_Curves/meltCurve_sp_Q8N3D4_EH1L1_HUMAN_.pdf</t>
  </si>
  <si>
    <t>Melting_Curves/meltCurve_sp_Q8N3F8_MILK1_HUMAN_.pdf</t>
  </si>
  <si>
    <t>Melting_Curves/meltCurve_sp_Q8N3P4_3_VPS8_HUMAN_.pdf</t>
  </si>
  <si>
    <t>Melting_Curves/meltCurve_sp_Q8N3V7_2_SYNPO_HUMAN_.pdf</t>
  </si>
  <si>
    <t>Melting_Curves/meltCurve_sp_Q8N3X1_FNBP4_HUMAN_.pdf</t>
  </si>
  <si>
    <t>Melting_Curves/meltCurve_sp_Q8N442_GUF1_HUMAN_.pdf</t>
  </si>
  <si>
    <t>Melting_Curves/meltCurve_sp_Q8N465_D2HDH_HUMAN_.pdf</t>
  </si>
  <si>
    <t>Melting_Curves/meltCurve_sp_Q8N488_RYBP_HUMAN_.pdf</t>
  </si>
  <si>
    <t>Melting_Curves/meltCurve_sp_Q8N490_4_PNKD_HUMAN_.pdf</t>
  </si>
  <si>
    <t>Melting_Curves/meltCurve_sp_Q8N4C8_4_MINK1_HUMAN_.pdf</t>
  </si>
  <si>
    <t>Melting_Curves/meltCurve_sp_Q8N4J0_CI041_HUMAN_.pdf</t>
  </si>
  <si>
    <t>Melting_Curves/meltCurve_sp_Q8N4P3_MESH1_HUMAN_.pdf</t>
  </si>
  <si>
    <t>Melting_Curves/meltCurve_sp_Q8N4Q0_ZADH2_HUMAN_.pdf</t>
  </si>
  <si>
    <t>Melting_Curves/meltCurve_sp_Q8N4Q1_MIA40_HUMAN_.pdf</t>
  </si>
  <si>
    <t>Melting_Curves/meltCurve_sp_Q8N4T8_CBR4_HUMAN_.pdf</t>
  </si>
  <si>
    <t>Melting_Curves/meltCurve_sp_Q8N573_8_OXR1_HUMAN_.pdf</t>
  </si>
  <si>
    <t>Melting_Curves/meltCurve_sp_Q8N584_TT39C_HUMAN_.pdf</t>
  </si>
  <si>
    <t>Melting_Curves/meltCurve_sp_Q8N5A5_3_ZGPAT_HUMAN_.pdf</t>
  </si>
  <si>
    <t>Melting_Curves/meltCurve_sp_Q8N5G2_MACOI_HUMAN_.pdf</t>
  </si>
  <si>
    <t>Melting_Curves/meltCurve_sp_Q8N5I9_CL045_HUMAN_.pdf</t>
  </si>
  <si>
    <t>Melting_Curves/meltCurve_sp_Q8N5J2_FA63A_HUMAN_.pdf</t>
  </si>
  <si>
    <t>Melting_Curves/meltCurve_sp_Q8N5K1_CISD2_HUMAN_.pdf</t>
  </si>
  <si>
    <t>Melting_Curves/meltCurve_sp_Q8N5L8_RP25L_HUMAN_.pdf</t>
  </si>
  <si>
    <t>Melting_Curves/meltCurve_sp_Q8N5M1_ATPF2_HUMAN_.pdf</t>
  </si>
  <si>
    <t>Melting_Curves/meltCurve_sp_Q8N5N7_RM50_HUMAN_.pdf</t>
  </si>
  <si>
    <t>Melting_Curves/meltCurve_sp_Q8N5P1_ZC3H8_HUMAN_.pdf</t>
  </si>
  <si>
    <t>Melting_Curves/meltCurve_sp_Q8N5V2_NGEF_HUMAN_.pdf</t>
  </si>
  <si>
    <t>Melting_Curves/meltCurve_sp_Q8N5Z0_AADAT_HUMAN_.pdf</t>
  </si>
  <si>
    <t>Melting_Curves/meltCurve_sp_Q8N612_F16A2_HUMAN_.pdf</t>
  </si>
  <si>
    <t>Melting_Curves/meltCurve_sp_Q8N684_2_CPSF7_HUMAN_.pdf</t>
  </si>
  <si>
    <t>Melting_Curves/meltCurve_sp_Q8N6H7_ARFG2_HUMAN_.pdf</t>
  </si>
  <si>
    <t>Melting_Curves/meltCurve_sp_Q8N6N3_2_CA052_HUMAN_.pdf</t>
  </si>
  <si>
    <t>Melting_Curves/meltCurve_sp_Q8N6R0_3_MET13_HUMAN_.pdf</t>
  </si>
  <si>
    <t>Melting_Curves/meltCurve_sp_Q8N8N7_PTGR2_HUMAN_.pdf</t>
  </si>
  <si>
    <t>Melting_Curves/meltCurve_sp_Q8N8R5_CB069_HUMAN_.pdf</t>
  </si>
  <si>
    <t>Melting_Curves/meltCurve_sp_Q8N8S7_ENAH_HUMAN_.pdf</t>
  </si>
  <si>
    <t>Melting_Curves/meltCurve_sp_Q8N8V2_GBP7_HUMAN_.pdf</t>
  </si>
  <si>
    <t>Melting_Curves/meltCurve_sp_Q8N9L9_ACOT4_HUMAN_.pdf</t>
  </si>
  <si>
    <t>Melting_Curves/meltCurve_sp_Q8N9N7_LRC57_HUMAN_.pdf</t>
  </si>
  <si>
    <t>Melting_Curves/meltCurve_sp_Q8N9R8_SCAI_HUMAN_.pdf</t>
  </si>
  <si>
    <t>Melting_Curves/meltCurve_sp_Q8N9V3_2_WSDU1_HUMAN_.pdf</t>
  </si>
  <si>
    <t>Melting_Curves/meltCurve_sp_Q8NAF0_ZN579_HUMAN_.pdf</t>
  </si>
  <si>
    <t>Melting_Curves/meltCurve_sp_Q8NB15_2_ZN511_HUMAN_.pdf</t>
  </si>
  <si>
    <t>Melting_Curves/meltCurve_sp_Q8NB37_PDDC1_HUMAN_.pdf</t>
  </si>
  <si>
    <t>Melting_Curves/meltCurve_sp_Q8NBF2_NHLC2_HUMAN_.pdf</t>
  </si>
  <si>
    <t>Melting_Curves/meltCurve_sp_Q8NBJ4_2_GOLM1_HUMAN_.pdf</t>
  </si>
  <si>
    <t>Melting_Curves/meltCurve_sp_Q8NBJ5_GT251_HUMAN_.pdf</t>
  </si>
  <si>
    <t>Melting_Curves/meltCurve_sp_Q8NBJ7_SUMF2_HUMAN_.pdf</t>
  </si>
  <si>
    <t>Melting_Curves/meltCurve_sp_Q8NBK3_4_SUMF1_HUMAN_.pdf</t>
  </si>
  <si>
    <t>Melting_Curves/meltCurve_sp_Q8NBL1_PGLT1_HUMAN_.pdf</t>
  </si>
  <si>
    <t>Melting_Curves/meltCurve_sp_Q8NBN7_2_RDH13_HUMAN_.pdf</t>
  </si>
  <si>
    <t>Melting_Curves/meltCurve_sp_Q8NBX0_SCPDL_HUMAN_.pdf</t>
  </si>
  <si>
    <t>Melting_Curves/meltCurve_sp_Q8NC06_ACBD4_HUMAN_.pdf</t>
  </si>
  <si>
    <t>Melting_Curves/meltCurve_sp_Q8NC51_4_PAIRB_HUMAN_.pdf</t>
  </si>
  <si>
    <t>Melting_Curves/meltCurve_sp_Q8NC96_NECP1_HUMAN_.pdf</t>
  </si>
  <si>
    <t>Melting_Curves/meltCurve_sp_Q8NCA5_2_FA98A_HUMAN_.pdf</t>
  </si>
  <si>
    <t>Melting_Curves/meltCurve_sp_Q8NCC3_PAG15_HUMAN_.pdf</t>
  </si>
  <si>
    <t>Melting_Curves/meltCurve_sp_Q8NCE2_3_MTMRE_HUMAN_.pdf</t>
  </si>
  <si>
    <t>Melting_Curves/meltCurve_sp_Q8NCF5_NF2IP_HUMAN_.pdf</t>
  </si>
  <si>
    <t>Melting_Curves/meltCurve_sp_Q8NCN4_RN169_HUMAN_.pdf</t>
  </si>
  <si>
    <t>Melting_Curves/meltCurve_sp_Q8NCN5_PDPR_HUMAN_.pdf</t>
  </si>
  <si>
    <t>Melting_Curves/meltCurve_sp_Q8NCW5_NNRE_HUMAN_.pdf</t>
  </si>
  <si>
    <t>Melting_Curves/meltCurve_sp_Q8ND23_2_LR16B_HUMAN_.pdf</t>
  </si>
  <si>
    <t>Melting_Curves/meltCurve_sp_Q8ND24_RN214_HUMAN_.pdf</t>
  </si>
  <si>
    <t>Melting_Curves/meltCurve_sp_Q8ND30_LIPB2_HUMAN_.pdf</t>
  </si>
  <si>
    <t>Melting_Curves/meltCurve_sp_Q8ND76_3_CCNY_HUMAN_.pdf</t>
  </si>
  <si>
    <t>Melting_Curves/meltCurve_sp_Q8NDH3_PEPL1_HUMAN_.pdf</t>
  </si>
  <si>
    <t>Melting_Curves/meltCurve_sp_Q8NDI1_3_EHBP1_HUMAN_.pdf</t>
  </si>
  <si>
    <t>Melting_Curves/meltCurve_sp_Q8NE62_CHDH_HUMAN_.pdf</t>
  </si>
  <si>
    <t>Melting_Curves/meltCurve_sp_Q8NE71_ABCF1_HUMAN_.pdf</t>
  </si>
  <si>
    <t>Melting_Curves/meltCurve_sp_Q8NEB9_PK3C3_HUMAN_.pdf</t>
  </si>
  <si>
    <t>Melting_Curves/meltCurve_sp_Q8NEN9_PDZD8_HUMAN_.pdf</t>
  </si>
  <si>
    <t>Melting_Curves/meltCurve_sp_Q8NEU8_DP13B_HUMAN_.pdf</t>
  </si>
  <si>
    <t>Melting_Curves/meltCurve_sp_Q8NEY8_6_PPHLN_HUMAN_.pdf</t>
  </si>
  <si>
    <t>Melting_Curves/meltCurve_sp_Q8NEZ2_2_VP37A_HUMAN_.pdf</t>
  </si>
  <si>
    <t>Melting_Curves/meltCurve_sp_Q8NEZ5_FBX22_HUMAN_.pdf</t>
  </si>
  <si>
    <t>Melting_Curves/meltCurve_sp_Q8NFC6_BD1L1_HUMAN_.pdf</t>
  </si>
  <si>
    <t>Melting_Curves/meltCurve_sp_Q8NFF5_2_FAD1_HUMAN_.pdf</t>
  </si>
  <si>
    <t>Melting_Curves/meltCurve_sp_Q8NFH3_NUP43_HUMAN_.pdf</t>
  </si>
  <si>
    <t>Melting_Curves/meltCurve_sp_Q8NFH4_NUP37_HUMAN_.pdf</t>
  </si>
  <si>
    <t>Melting_Curves/meltCurve_sp_Q8NFH8_4_REPS2_HUMAN_.pdf</t>
  </si>
  <si>
    <t>Melting_Curves/meltCurve_sp_Q8NFI3_ENASE_HUMAN_.pdf</t>
  </si>
  <si>
    <t>Melting_Curves/meltCurve_sp_Q8NFQ8_TOIP2_HUMAN_.pdf</t>
  </si>
  <si>
    <t>Melting_Curves/meltCurve_sp_Q8NFU3_4_TSTD1_HUMAN_.pdf</t>
  </si>
  <si>
    <t>Melting_Curves/meltCurve_sp_Q8NFU3_TSTD1_HUMAN_.pdf</t>
  </si>
  <si>
    <t>Melting_Curves/meltCurve_sp_Q8NFV4_ABHDB_HUMAN_.pdf</t>
  </si>
  <si>
    <t>Melting_Curves/meltCurve_sp_Q8NFW8_NEUA_HUMAN_.pdf</t>
  </si>
  <si>
    <t>Melting_Curves/meltCurve_sp_Q8NHG8_ZNRF2_HUMAN_.pdf</t>
  </si>
  <si>
    <t>Melting_Curves/meltCurve_sp_Q8NHM4_TRY6_HUMAN_.pdf</t>
  </si>
  <si>
    <t>Melting_Curves/meltCurve_sp_Q8NHP8_PLBL2_HUMAN_.pdf</t>
  </si>
  <si>
    <t>Melting_Curves/meltCurve_sp_Q8NHU6_TDRD7_HUMAN_.pdf</t>
  </si>
  <si>
    <t>Melting_Curves/meltCurve_sp_Q8NHZ8_CDC26_HUMAN_.pdf</t>
  </si>
  <si>
    <t>Melting_Curves/meltCurve_sp_Q8NI08_2_NCOA7_HUMAN_.pdf</t>
  </si>
  <si>
    <t>Melting_Curves/meltCurve_sp_Q8NI22_2_MCFD2_HUMAN_.pdf</t>
  </si>
  <si>
    <t>Melting_Curves/meltCurve_sp_Q8NI35_INADL_HUMAN_.pdf</t>
  </si>
  <si>
    <t>Melting_Curves/meltCurve_sp_Q8NI37_PPTC7_HUMAN_.pdf</t>
  </si>
  <si>
    <t>Melting_Curves/meltCurve_sp_Q8TAF3_WDR48_HUMAN_.pdf</t>
  </si>
  <si>
    <t>Melting_Curves/meltCurve_sp_Q8TAQ2_2_SMRC2_HUMAN_.pdf</t>
  </si>
  <si>
    <t>Melting_Curves/meltCurve_sp_Q8TAT6_NPL4_HUMAN_.pdf</t>
  </si>
  <si>
    <t>Melting_Curves/meltCurve_sp_Q8TB03_CX038_HUMAN_.pdf</t>
  </si>
  <si>
    <t>Melting_Curves/meltCurve_sp_Q8TB22_SPT20_HUMAN_.pdf</t>
  </si>
  <si>
    <t>Melting_Curves/meltCurve_sp_Q8TB24_RIN3_HUMAN_.pdf</t>
  </si>
  <si>
    <t>Melting_Curves/meltCurve_sp_Q8TB37_NUBPL_HUMAN_.pdf</t>
  </si>
  <si>
    <t>Melting_Curves/meltCurve_sp_Q8TB45_DPTOR_HUMAN_.pdf</t>
  </si>
  <si>
    <t>Melting_Curves/meltCurve_sp_Q8TB72_2_PUM2_HUMAN_.pdf</t>
  </si>
  <si>
    <t>Melting_Curves/meltCurve_sp_Q8TBA6_2_GOGA5_HUMAN_.pdf</t>
  </si>
  <si>
    <t>Melting_Curves/meltCurve_sp_Q8TBC4_UBA3_HUMAN_.pdf</t>
  </si>
  <si>
    <t>Melting_Curves/meltCurve_sp_Q8TBC5_ZSC18_HUMAN_.pdf</t>
  </si>
  <si>
    <t>Melting_Curves/meltCurve_sp_Q8TBE9_NANP_HUMAN_.pdf</t>
  </si>
  <si>
    <t>Melting_Curves/meltCurve_sp_Q8TBF2_4_PGFS_HUMAN_.pdf</t>
  </si>
  <si>
    <t>Melting_Curves/meltCurve_sp_Q8TBG4_3_AT2L1_HUMAN_.pdf</t>
  </si>
  <si>
    <t>Melting_Curves/meltCurve_sp_Q8TBX8_PI42C_HUMAN_.pdf</t>
  </si>
  <si>
    <t>Melting_Curves/meltCurve_sp_Q8TC07_2_TBC15_HUMAN_.pdf</t>
  </si>
  <si>
    <t>Melting_Curves/meltCurve_sp_Q8TC12_RDH11_HUMAN_.pdf</t>
  </si>
  <si>
    <t>Melting_Curves/meltCurve_sp_Q8TCA0_LRC20_HUMAN_.pdf</t>
  </si>
  <si>
    <t>Melting_Curves/meltCurve_sp_Q8TCD1_CR032_HUMAN_.pdf</t>
  </si>
  <si>
    <t>Melting_Curves/meltCurve_sp_Q8TCD5_NT5C_HUMAN_.pdf</t>
  </si>
  <si>
    <t>Melting_Curves/meltCurve_sp_Q8TCE6_2_FA45A_HUMAN_.pdf</t>
  </si>
  <si>
    <t>Melting_Curves/meltCurve_sp_Q8TCS8_PNPT1_HUMAN_.pdf</t>
  </si>
  <si>
    <t>Melting_Curves/meltCurve_sp_Q8TD16_BICD2_HUMAN_.pdf</t>
  </si>
  <si>
    <t>Melting_Curves/meltCurve_sp_Q8TD19_NEK9_HUMAN_.pdf</t>
  </si>
  <si>
    <t>Melting_Curves/meltCurve_sp_Q8TD30_ALAT2_HUMAN_.pdf</t>
  </si>
  <si>
    <t>Melting_Curves/meltCurve_sp_Q8TDB6_DTX3L_HUMAN_.pdf</t>
  </si>
  <si>
    <t>Melting_Curves/meltCurve_sp_Q8TDD1_2_DDX54_HUMAN_.pdf</t>
  </si>
  <si>
    <t>Melting_Curves/meltCurve_sp_Q8TDH9_2_BL1S5_HUMAN_.pdf</t>
  </si>
  <si>
    <t>Melting_Curves/meltCurve_sp_Q8TDX5_2_ACMSD_HUMAN_.pdf</t>
  </si>
  <si>
    <t>Melting_Curves/meltCurve_sp_Q8TDX5_ACMSD_HUMAN_.pdf</t>
  </si>
  <si>
    <t>Melting_Curves/meltCurve_sp_Q8TDX7_NEK7_HUMAN_.pdf</t>
  </si>
  <si>
    <t>Melting_Curves/meltCurve_sp_Q8TE04_2_PANK1_HUMAN_.pdf</t>
  </si>
  <si>
    <t>Melting_Curves/meltCurve_sp_Q8TE77_SSH3_HUMAN_.pdf</t>
  </si>
  <si>
    <t>Melting_Curves/meltCurve_sp_Q8TEA1_NSUN6_HUMAN_.pdf</t>
  </si>
  <si>
    <t>Melting_Curves/meltCurve_sp_Q8TEA7_3_TBCK_HUMAN_.pdf</t>
  </si>
  <si>
    <t>Melting_Curves/meltCurve_sp_Q8TEA8_DTD1_HUMAN_.pdf</t>
  </si>
  <si>
    <t>Melting_Curves/meltCurve_sp_Q8TEB1_2_DCA11_HUMAN_.pdf</t>
  </si>
  <si>
    <t>Melting_Curves/meltCurve_sp_Q8TEH3_DEN1A_HUMAN_.pdf</t>
  </si>
  <si>
    <t>Melting_Curves/meltCurve_sp_Q8TEQ6_GEMI5_HUMAN_.pdf</t>
  </si>
  <si>
    <t>Melting_Curves/meltCurve_sp_Q8TER0_5_SNED1_HUMAN_.pdf</t>
  </si>
  <si>
    <t>Melting_Curves/meltCurve_sp_Q8TER5_ARH40_HUMAN_.pdf</t>
  </si>
  <si>
    <t>Melting_Curves/meltCurve_sp_Q8TET4_GANC_HUMAN_.pdf</t>
  </si>
  <si>
    <t>Melting_Curves/meltCurve_sp_Q8TEW0_5_PARD3_HUMAN_.pdf</t>
  </si>
  <si>
    <t>Melting_Curves/meltCurve_sp_Q8TEW8_5_PAR3L_HUMAN_.pdf</t>
  </si>
  <si>
    <t>Melting_Curves/meltCurve_sp_Q8TEX9_IPO4_HUMAN_.pdf</t>
  </si>
  <si>
    <t>Melting_Curves/meltCurve_sp_Q8TF01_PNISR_HUMAN_.pdf</t>
  </si>
  <si>
    <t>Melting_Curves/meltCurve_sp_Q8TF05_2_PP4R1_HUMAN_.pdf</t>
  </si>
  <si>
    <t>Melting_Curves/meltCurve_sp_Q8TF65_GIPC2_HUMAN_.pdf</t>
  </si>
  <si>
    <t>Melting_Curves/meltCurve_sp_Q8TF72_SHRM3_HUMAN_.pdf</t>
  </si>
  <si>
    <t>Melting_Curves/meltCurve_sp_Q8TF74_WIPF2_HUMAN_.pdf</t>
  </si>
  <si>
    <t>Melting_Curves/meltCurve_sp_Q8WTS6_SETD7_HUMAN_.pdf</t>
  </si>
  <si>
    <t>Melting_Curves/meltCurve_sp_Q8WTV0_3_SCRB1_HUMAN_.pdf</t>
  </si>
  <si>
    <t>Melting_Curves/meltCurve_sp_Q8WU39_MZB1_HUMAN_.pdf</t>
  </si>
  <si>
    <t>Melting_Curves/meltCurve_sp_Q8WU79_2_SMAP2_HUMAN_.pdf</t>
  </si>
  <si>
    <t>Melting_Curves/meltCurve_sp_Q8WU90_ZC3HF_HUMAN_.pdf</t>
  </si>
  <si>
    <t>Melting_Curves/meltCurve_sp_Q8WUA2_PPIL4_HUMAN_.pdf</t>
  </si>
  <si>
    <t>Melting_Curves/meltCurve_sp_Q8WUD1_RAB2B_HUMAN_.pdf</t>
  </si>
  <si>
    <t>Melting_Curves/meltCurve_sp_Q8WUF5_IASPP_HUMAN_.pdf</t>
  </si>
  <si>
    <t>Melting_Curves/meltCurve_sp_Q8WUH6_CL023_HUMAN_.pdf</t>
  </si>
  <si>
    <t>Melting_Curves/meltCurve_sp_Q8WUJ0_STYX_HUMAN_.pdf</t>
  </si>
  <si>
    <t>Melting_Curves/meltCurve_sp_Q8WUM4_PDC6I_HUMAN_.pdf</t>
  </si>
  <si>
    <t>Melting_Curves/meltCurve_sp_Q8WUN7_UBTD2_HUMAN_.pdf</t>
  </si>
  <si>
    <t>Melting_Curves/meltCurve_sp_Q8WUR7_CO040_HUMAN_.pdf</t>
  </si>
  <si>
    <t>Melting_Curves/meltCurve_sp_Q8WUW1_BRK1_HUMAN_.pdf</t>
  </si>
  <si>
    <t>Melting_Curves/meltCurve_sp_Q8WUX9_CHMP7_HUMAN_.pdf</t>
  </si>
  <si>
    <t>Melting_Curves/meltCurve_sp_Q8WV28_BLNK_HUMAN_.pdf</t>
  </si>
  <si>
    <t>Melting_Curves/meltCurve_sp_Q8WV41_SNX33_HUMAN_.pdf</t>
  </si>
  <si>
    <t>Melting_Curves/meltCurve_sp_Q8WV74_NUDT8_HUMAN_.pdf</t>
  </si>
  <si>
    <t>Melting_Curves/meltCurve_sp_Q8WVC0_LEO1_HUMAN_.pdf</t>
  </si>
  <si>
    <t>Melting_Curves/meltCurve_sp_Q8WVJ2_NUDC2_HUMAN_.pdf</t>
  </si>
  <si>
    <t>Melting_Curves/meltCurve_sp_Q8WVM8_SCFD1_HUMAN_.pdf</t>
  </si>
  <si>
    <t>Melting_Curves/meltCurve_sp_Q8WVT3_TPC12_HUMAN_.pdf</t>
  </si>
  <si>
    <t>Melting_Curves/meltCurve_sp_Q8WVY7_UBCP1_HUMAN_.pdf</t>
  </si>
  <si>
    <t>Melting_Curves/meltCurve_sp_Q8WVZ9_KBTB7_HUMAN_.pdf</t>
  </si>
  <si>
    <t>Melting_Curves/meltCurve_sp_Q8WW12_PCNP_HUMAN_.pdf</t>
  </si>
  <si>
    <t>Melting_Curves/meltCurve_sp_Q8WW59_SPRY4_HUMAN_.pdf</t>
  </si>
  <si>
    <t>Melting_Curves/meltCurve_sp_Q8WWH5_TRUB1_HUMAN_.pdf</t>
  </si>
  <si>
    <t>Melting_Curves/meltCurve_sp_Q8WWM7_ATX2L_HUMAN_.pdf</t>
  </si>
  <si>
    <t>Melting_Curves/meltCurve_sp_Q8WWQ0_PHIP_HUMAN_.pdf</t>
  </si>
  <si>
    <t>Melting_Curves/meltCurve_sp_Q8WWV3_RT4I1_HUMAN_.pdf</t>
  </si>
  <si>
    <t>Melting_Curves/meltCurve_sp_Q8WWX9_SELM_HUMAN_.pdf</t>
  </si>
  <si>
    <t>Melting_Curves/meltCurve_sp_Q8WWY3_PRP31_HUMAN_.pdf</t>
  </si>
  <si>
    <t>Melting_Curves/meltCurve_sp_Q8WX92_NELFB_HUMAN_.pdf</t>
  </si>
  <si>
    <t>Melting_Curves/meltCurve_sp_Q8WX93_4_PALLD_HUMAN_.pdf</t>
  </si>
  <si>
    <t>Melting_Curves/meltCurve_sp_Q8WXA9_2_SREK1_HUMAN_.pdf</t>
  </si>
  <si>
    <t>Melting_Curves/meltCurve_sp_Q8WXD5_GEMI6_HUMAN_.pdf</t>
  </si>
  <si>
    <t>Melting_Curves/meltCurve_sp_Q8WXE0_CSKI2_HUMAN_.pdf</t>
  </si>
  <si>
    <t>Melting_Curves/meltCurve_sp_Q8WXE1_2_ATRIP_HUMAN_.pdf</t>
  </si>
  <si>
    <t>Melting_Curves/meltCurve_sp_Q8WXF1_PSPC1_HUMAN_.pdf</t>
  </si>
  <si>
    <t>Melting_Curves/meltCurve_sp_Q8WXH0_SYNE2_HUMAN_.pdf</t>
  </si>
  <si>
    <t>Melting_Curves/meltCurve_sp_Q8WXI9_P66B_HUMAN_.pdf</t>
  </si>
  <si>
    <t>Melting_Curves/meltCurve_sp_Q8WXX5_DNJC9_HUMAN_.pdf</t>
  </si>
  <si>
    <t>Melting_Curves/meltCurve_sp_Q8WY91_2_THAP4_HUMAN_.pdf</t>
  </si>
  <si>
    <t>Melting_Curves/meltCurve_sp_Q8WYK0_ACO12_HUMAN_.pdf</t>
  </si>
  <si>
    <t>Melting_Curves/meltCurve_sp_Q8WYP5_ELYS_HUMAN_.pdf</t>
  </si>
  <si>
    <t>Melting_Curves/meltCurve_sp_Q8WYQ3_CHC10_HUMAN_.pdf</t>
  </si>
  <si>
    <t>Melting_Curves/meltCurve_sp_Q8WZ42_3_TITIN_HUMAN_.pdf</t>
  </si>
  <si>
    <t>Melting_Curves/meltCurve_sp_Q8WZ73_3_RFFL_HUMAN_.pdf</t>
  </si>
  <si>
    <t>Melting_Curves/meltCurve_sp_Q8WZ82_OVCA2_HUMAN_.pdf</t>
  </si>
  <si>
    <t>Melting_Curves/meltCurve_sp_Q8WZA0_LZIC_HUMAN_.pdf</t>
  </si>
  <si>
    <t>Melting_Curves/meltCurve_sp_Q8WZA9_IRGQ_HUMAN_.pdf</t>
  </si>
  <si>
    <t>Melting_Curves/meltCurve_sp_Q92466_DDB2_HUMAN_.pdf</t>
  </si>
  <si>
    <t>Melting_Curves/meltCurve_sp_Q92499_DDX1_HUMAN_.pdf</t>
  </si>
  <si>
    <t>Melting_Curves/meltCurve_sp_Q92506_DHB8_HUMAN_.pdf</t>
  </si>
  <si>
    <t>Melting_Curves/meltCurve_sp_Q92520_FAM3C_HUMAN_.pdf</t>
  </si>
  <si>
    <t>Melting_Curves/meltCurve_sp_Q92522_H1X_HUMAN_.pdf</t>
  </si>
  <si>
    <t>Melting_Curves/meltCurve_sp_Q92538_GBF1_HUMAN_.pdf</t>
  </si>
  <si>
    <t>Melting_Curves/meltCurve_sp_Q92539_LPIN2_HUMAN_.pdf</t>
  </si>
  <si>
    <t>Melting_Curves/meltCurve_sp_Q92541_RTF1_HUMAN_.pdf</t>
  </si>
  <si>
    <t>Melting_Curves/meltCurve_sp_Q92546_RGP1_HUMAN_.pdf</t>
  </si>
  <si>
    <t>Melting_Curves/meltCurve_sp_Q92551_IP6K1_HUMAN_.pdf</t>
  </si>
  <si>
    <t>Melting_Curves/meltCurve_sp_Q92552_RT27_HUMAN_.pdf</t>
  </si>
  <si>
    <t>Melting_Curves/meltCurve_sp_Q92556_ELMO1_HUMAN_.pdf</t>
  </si>
  <si>
    <t>Melting_Curves/meltCurve_sp_Q92572_AP3S1_HUMAN_.pdf</t>
  </si>
  <si>
    <t>Melting_Curves/meltCurve_sp_Q92574_2_TSC1_HUMAN_.pdf</t>
  </si>
  <si>
    <t>Melting_Curves/meltCurve_sp_Q92575_UBXN4_HUMAN_.pdf</t>
  </si>
  <si>
    <t>Melting_Curves/meltCurve_sp_Q92576_2_PHF3_HUMAN_.pdf</t>
  </si>
  <si>
    <t>Melting_Curves/meltCurve_sp_Q92597_NDRG1_HUMAN_.pdf</t>
  </si>
  <si>
    <t>Melting_Curves/meltCurve_sp_Q92598_2_HS105_HUMAN_.pdf</t>
  </si>
  <si>
    <t>Melting_Curves/meltCurve_sp_Q92599_2_SEPT8_HUMAN_.pdf</t>
  </si>
  <si>
    <t>Melting_Curves/meltCurve_sp_Q92600_RCD1_HUMAN_.pdf</t>
  </si>
  <si>
    <t>Melting_Curves/meltCurve_sp_Q92609_TBCD5_HUMAN_.pdf</t>
  </si>
  <si>
    <t>Melting_Curves/meltCurve_sp_Q92614_4_MY18A_HUMAN_.pdf</t>
  </si>
  <si>
    <t>Melting_Curves/meltCurve_sp_Q92615_LAR4B_HUMAN_.pdf</t>
  </si>
  <si>
    <t>Melting_Curves/meltCurve_sp_Q92616_GCN1L_HUMAN_.pdf</t>
  </si>
  <si>
    <t>Melting_Curves/meltCurve_sp_Q92620_PRP16_HUMAN_.pdf</t>
  </si>
  <si>
    <t>Melting_Curves/meltCurve_sp_Q92621_NU205_HUMAN_.pdf</t>
  </si>
  <si>
    <t>Melting_Curves/meltCurve_sp_Q92665_RT31_HUMAN_.pdf</t>
  </si>
  <si>
    <t>Melting_Curves/meltCurve_sp_Q92667_AKAP1_HUMAN_.pdf</t>
  </si>
  <si>
    <t>Melting_Curves/meltCurve_sp_Q92688_2_AN32B_HUMAN_.pdf</t>
  </si>
  <si>
    <t>Melting_Curves/meltCurve_sp_Q92692_PVRL2_HUMAN_.pdf</t>
  </si>
  <si>
    <t>Melting_Curves/meltCurve_sp_Q92696_PGTA_HUMAN_.pdf</t>
  </si>
  <si>
    <t>Melting_Curves/meltCurve_sp_Q92734_2_TFG_HUMAN_.pdf</t>
  </si>
  <si>
    <t>Melting_Curves/meltCurve_sp_Q92738_US6NL_HUMAN_.pdf</t>
  </si>
  <si>
    <t>Melting_Curves/meltCurve_sp_Q92747_ARC1A_HUMAN_.pdf</t>
  </si>
  <si>
    <t>Melting_Curves/meltCurve_sp_Q92748_THRSP_HUMAN_.pdf</t>
  </si>
  <si>
    <t>Melting_Curves/meltCurve_sp_Q92766_RREB1_HUMAN_.pdf</t>
  </si>
  <si>
    <t>Melting_Curves/meltCurve_sp_Q92783_2_STAM1_HUMAN_.pdf</t>
  </si>
  <si>
    <t>Melting_Curves/meltCurve_sp_Q92785_REQU_HUMAN_.pdf</t>
  </si>
  <si>
    <t>Melting_Curves/meltCurve_sp_Q92786_PROX1_HUMAN_.pdf</t>
  </si>
  <si>
    <t>Melting_Curves/meltCurve_sp_Q92793_2_CBP_HUMAN_.pdf</t>
  </si>
  <si>
    <t>Melting_Curves/meltCurve_sp_Q92797_SYMPK_HUMAN_.pdf</t>
  </si>
  <si>
    <t>Melting_Curves/meltCurve_sp_Q92804_2_RBP56_HUMAN_.pdf</t>
  </si>
  <si>
    <t>Melting_Curves/meltCurve_sp_Q92805_GOGA1_HUMAN_.pdf</t>
  </si>
  <si>
    <t>Melting_Curves/meltCurve_sp_Q92817_EVPL_HUMAN_.pdf</t>
  </si>
  <si>
    <t>Melting_Curves/meltCurve_sp_Q92820_GGH_HUMAN_.pdf</t>
  </si>
  <si>
    <t>Melting_Curves/meltCurve_sp_Q92841_DDX17_HUMAN_.pdf</t>
  </si>
  <si>
    <t>Melting_Curves/meltCurve_sp_Q92851_CASPA_HUMAN_.pdf</t>
  </si>
  <si>
    <t>Melting_Curves/meltCurve_sp_Q92878_RAD50_HUMAN_.pdf</t>
  </si>
  <si>
    <t>Melting_Curves/meltCurve_sp_Q92879_5_CELF1_HUMAN_.pdf</t>
  </si>
  <si>
    <t>Melting_Curves/meltCurve_sp_Q92882_OSTF1_HUMAN_.pdf</t>
  </si>
  <si>
    <t>Melting_Curves/meltCurve_sp_Q92888_2_ARHG1_HUMAN_.pdf</t>
  </si>
  <si>
    <t>Melting_Curves/meltCurve_sp_Q92889_XPF_HUMAN_.pdf</t>
  </si>
  <si>
    <t>Melting_Curves/meltCurve_sp_Q92890_UFD1_HUMAN_.pdf</t>
  </si>
  <si>
    <t>Melting_Curves/meltCurve_sp_Q92896_GSLG1_HUMAN_.pdf</t>
  </si>
  <si>
    <t>Melting_Curves/meltCurve_sp_Q92900_2_RENT1_HUMAN_.pdf</t>
  </si>
  <si>
    <t>Melting_Curves/meltCurve_sp_Q92905_CSN5_HUMAN_.pdf</t>
  </si>
  <si>
    <t>Melting_Curves/meltCurve_sp_Q92917_GPKOW_HUMAN_.pdf</t>
  </si>
  <si>
    <t>Melting_Curves/meltCurve_sp_Q92922_SMRC1_HUMAN_.pdf</t>
  </si>
  <si>
    <t>Melting_Curves/meltCurve_sp_Q92934_BAD_HUMAN_.pdf</t>
  </si>
  <si>
    <t>Melting_Curves/meltCurve_sp_Q92945_FUBP2_HUMAN_.pdf</t>
  </si>
  <si>
    <t>Melting_Curves/meltCurve_sp_Q92947_GCDH_HUMAN_.pdf</t>
  </si>
  <si>
    <t>Melting_Curves/meltCurve_sp_Q92954_3_PRG4_HUMAN_.pdf</t>
  </si>
  <si>
    <t>Melting_Curves/meltCurve_sp_Q92973_2_TNPO1_HUMAN_.pdf</t>
  </si>
  <si>
    <t>Melting_Curves/meltCurve_sp_Q92989_2_CLP1_HUMAN_.pdf</t>
  </si>
  <si>
    <t>Melting_Curves/meltCurve_sp_Q92990_GLMN_HUMAN_.pdf</t>
  </si>
  <si>
    <t>Melting_Curves/meltCurve_sp_Q92995_UBP13_HUMAN_.pdf</t>
  </si>
  <si>
    <t>Melting_Curves/meltCurve_sp_Q93008_USP9X_HUMAN_.pdf</t>
  </si>
  <si>
    <t>Melting_Curves/meltCurve_sp_Q93015_NAT6_HUMAN_.pdf</t>
  </si>
  <si>
    <t>Melting_Curves/meltCurve_sp_Q93034_CUL5_HUMAN_.pdf</t>
  </si>
  <si>
    <t>Melting_Curves/meltCurve_sp_Q93052_LPP_HUMAN_.pdf</t>
  </si>
  <si>
    <t>Melting_Curves/meltCurve_sp_Q93062_4_RBPMS_HUMAN_.pdf</t>
  </si>
  <si>
    <t>Melting_Curves/meltCurve_sp_Q93073_2_SBP2L_HUMAN_.pdf</t>
  </si>
  <si>
    <t>Melting_Curves/meltCurve_sp_Q93077_H2A1C_HUMAN_.pdf</t>
  </si>
  <si>
    <t>Melting_Curves/meltCurve_sp_Q93088_BHMT1_HUMAN_.pdf</t>
  </si>
  <si>
    <t>Melting_Curves/meltCurve_sp_Q93096_TP4A1_HUMAN_.pdf</t>
  </si>
  <si>
    <t>Melting_Curves/meltCurve_sp_Q93099_HGD_HUMAN_.pdf</t>
  </si>
  <si>
    <t>Melting_Curves/meltCurve_sp_Q93100_4_KPBB_HUMAN_.pdf</t>
  </si>
  <si>
    <t>Melting_Curves/meltCurve_sp_Q969G6_RIFK_HUMAN_.pdf</t>
  </si>
  <si>
    <t>Melting_Curves/meltCurve_sp_Q969H8_CS010_HUMAN_.pdf</t>
  </si>
  <si>
    <t>Melting_Curves/meltCurve_sp_Q969I3_GLYL1_HUMAN_.pdf</t>
  </si>
  <si>
    <t>Melting_Curves/meltCurve_sp_Q969K3_RNF34_HUMAN_.pdf</t>
  </si>
  <si>
    <t>Melting_Curves/meltCurve_sp_Q969M3_YIPF5_HUMAN_.pdf</t>
  </si>
  <si>
    <t>Melting_Curves/meltCurve_sp_Q969Q0_RL36L_HUMAN_.pdf</t>
  </si>
  <si>
    <t>Melting_Curves/meltCurve_sp_Q969S9_2_RRF2M_HUMAN_.pdf</t>
  </si>
  <si>
    <t>Melting_Curves/meltCurve_sp_Q969T7_2_5NT3B_HUMAN_.pdf</t>
  </si>
  <si>
    <t>Melting_Curves/meltCurve_sp_Q969Y2_3_GTPB3_HUMAN_.pdf</t>
  </si>
  <si>
    <t>Melting_Curves/meltCurve_sp_Q969Z0_TBRG4_HUMAN_.pdf</t>
  </si>
  <si>
    <t>Melting_Curves/meltCurve_sp_Q969Z3_MOSC2_HUMAN_.pdf</t>
  </si>
  <si>
    <t>Melting_Curves/meltCurve_sp_Q96A33_CCD47_HUMAN_.pdf</t>
  </si>
  <si>
    <t>Melting_Curves/meltCurve_sp_Q96A49_SYAP1_HUMAN_.pdf</t>
  </si>
  <si>
    <t>Melting_Curves/meltCurve_sp_Q96A65_EXOC4_HUMAN_.pdf</t>
  </si>
  <si>
    <t>Melting_Curves/meltCurve_sp_Q96AB3_ISOC2_HUMAN_.pdf</t>
  </si>
  <si>
    <t>Melting_Curves/meltCurve_sp_Q96AC1_FERM2_HUMAN_.pdf</t>
  </si>
  <si>
    <t>Melting_Curves/meltCurve_sp_Q96AE4_2_FUBP1_HUMAN_.pdf</t>
  </si>
  <si>
    <t>Melting_Curves/meltCurve_sp_Q96AE4_FUBP1_HUMAN_.pdf</t>
  </si>
  <si>
    <t>Melting_Curves/meltCurve_sp_Q96AG4_LRC59_HUMAN_.pdf</t>
  </si>
  <si>
    <t>Melting_Curves/meltCurve_sp_Q96AJ9_1_VTI1A_HUMAN_.pdf</t>
  </si>
  <si>
    <t>Melting_Curves/meltCurve_sp_Q96AT1_K1143_HUMAN_.pdf</t>
  </si>
  <si>
    <t>Melting_Curves/meltCurve_sp_Q96AT9_RPE_HUMAN_.pdf</t>
  </si>
  <si>
    <t>Melting_Curves/meltCurve_sp_Q96B26_EXOS8_HUMAN_.pdf</t>
  </si>
  <si>
    <t>Melting_Curves/meltCurve_sp_Q96B36_AKTS1_HUMAN_.pdf</t>
  </si>
  <si>
    <t>Melting_Curves/meltCurve_sp_Q96B45_CJ032_HUMAN_.pdf</t>
  </si>
  <si>
    <t>Melting_Curves/meltCurve_sp_Q96B54_ZN428_HUMAN_.pdf</t>
  </si>
  <si>
    <t>Melting_Curves/meltCurve_sp_Q96B70_LENG9_HUMAN_.pdf</t>
  </si>
  <si>
    <t>Melting_Curves/meltCurve_sp_Q96B97_SH3K1_HUMAN_.pdf</t>
  </si>
  <si>
    <t>Melting_Curves/meltCurve_sp_Q96BH1_RNF25_HUMAN_.pdf</t>
  </si>
  <si>
    <t>Melting_Curves/meltCurve_sp_Q96BJ3_AIDA_HUMAN_.pdf</t>
  </si>
  <si>
    <t>Melting_Curves/meltCurve_sp_Q96BN8_F105B_HUMAN_.pdf</t>
  </si>
  <si>
    <t>Melting_Curves/meltCurve_sp_Q96BP3_PPWD1_HUMAN_.pdf</t>
  </si>
  <si>
    <t>Melting_Curves/meltCurve_sp_Q96BR5_SELR1_HUMAN_.pdf</t>
  </si>
  <si>
    <t>Melting_Curves/meltCurve_sp_Q96BW5_2_PTER_HUMAN_.pdf</t>
  </si>
  <si>
    <t>Melting_Curves/meltCurve_sp_Q96BY7_ATG2B_HUMAN_.pdf</t>
  </si>
  <si>
    <t>Melting_Curves/meltCurve_sp_Q96BZ8_LENG1_HUMAN_.pdf</t>
  </si>
  <si>
    <t>Melting_Curves/meltCurve_sp_Q96C01_F136A_HUMAN_.pdf</t>
  </si>
  <si>
    <t>Melting_Curves/meltCurve_sp_Q96C11_FGGY_HUMAN_.pdf</t>
  </si>
  <si>
    <t>Melting_Curves/meltCurve_sp_Q96C19_EFHD2_HUMAN_.pdf</t>
  </si>
  <si>
    <t>Melting_Curves/meltCurve_sp_Q96C23_GALM_HUMAN_.pdf</t>
  </si>
  <si>
    <t>Melting_Curves/meltCurve_sp_Q96C24_SYTL4_HUMAN_.pdf</t>
  </si>
  <si>
    <t>Melting_Curves/meltCurve_sp_Q96C86_DCPS_HUMAN_.pdf</t>
  </si>
  <si>
    <t>Melting_Curves/meltCurve_sp_Q96C90_PP14B_HUMAN_.pdf</t>
  </si>
  <si>
    <t>Melting_Curves/meltCurve_sp_Q96CB8_INT12_HUMAN_.pdf</t>
  </si>
  <si>
    <t>Melting_Curves/meltCurve_sp_Q96CD0_FBXL8_HUMAN_.pdf</t>
  </si>
  <si>
    <t>Melting_Curves/meltCurve_sp_Q96CF2_CHM4C_HUMAN_.pdf</t>
  </si>
  <si>
    <t>Melting_Curves/meltCurve_sp_Q96CG3_TIFA_HUMAN_.pdf</t>
  </si>
  <si>
    <t>Melting_Curves/meltCurve_sp_Q96CN7_ISOC1_HUMAN_.pdf</t>
  </si>
  <si>
    <t>Melting_Curves/meltCurve_sp_Q96CP2_FWCH2_HUMAN_.pdf</t>
  </si>
  <si>
    <t>Melting_Curves/meltCurve_sp_Q96CS3_FAF2_HUMAN_.pdf</t>
  </si>
  <si>
    <t>Melting_Curves/meltCurve_sp_Q96CT7_CC124_HUMAN_.pdf</t>
  </si>
  <si>
    <t>Melting_Curves/meltCurve_sp_Q96CU9_3_FXRD1_HUMAN_.pdf</t>
  </si>
  <si>
    <t>Melting_Curves/meltCurve_sp_Q96CV9_OPTN_HUMAN_.pdf</t>
  </si>
  <si>
    <t>Melting_Curves/meltCurve_sp_Q96CW1_2_AP2M1_HUMAN_.pdf</t>
  </si>
  <si>
    <t>Melting_Curves/meltCurve_sp_Q96CW5_2_GCP3_HUMAN_.pdf</t>
  </si>
  <si>
    <t>Melting_Curves/meltCurve_sp_Q96CW6_S7A6O_HUMAN_.pdf</t>
  </si>
  <si>
    <t>Melting_Curves/meltCurve_sp_Q96CX2_KCD12_HUMAN_.pdf</t>
  </si>
  <si>
    <t>Melting_Curves/meltCurve_sp_Q96D46_NMD3_HUMAN_.pdf</t>
  </si>
  <si>
    <t>Melting_Curves/meltCurve_sp_Q96D71_2_REPS1_HUMAN_.pdf</t>
  </si>
  <si>
    <t>Melting_Curves/meltCurve_sp_Q96DC7_TMCO6_HUMAN_.pdf</t>
  </si>
  <si>
    <t>Melting_Curves/meltCurve_sp_Q96DC8_ECHD3_HUMAN_.pdf</t>
  </si>
  <si>
    <t>Melting_Curves/meltCurve_sp_Q96DE0_NUD16_HUMAN_.pdf</t>
  </si>
  <si>
    <t>Melting_Curves/meltCurve_sp_Q96DG6_CMBL_HUMAN_.pdf</t>
  </si>
  <si>
    <t>Melting_Curves/meltCurve_sp_Q96DI7_SNR40_HUMAN_.pdf</t>
  </si>
  <si>
    <t>Melting_Curves/meltCurve_sp_Q96DP5_FMT_HUMAN_.pdf</t>
  </si>
  <si>
    <t>Melting_Curves/meltCurve_sp_Q96DR7_ARHGQ_HUMAN_.pdf</t>
  </si>
  <si>
    <t>Melting_Curves/meltCurve_sp_Q96DT5_DYH11_HUMAN_.pdf</t>
  </si>
  <si>
    <t>Melting_Curves/meltCurve_sp_Q96DV4_RM38_HUMAN_.pdf</t>
  </si>
  <si>
    <t>Melting_Curves/meltCurve_sp_Q96DX5_ASB9_HUMAN_.pdf</t>
  </si>
  <si>
    <t>Melting_Curves/meltCurve_sp_Q96E09_F122A_HUMAN_.pdf</t>
  </si>
  <si>
    <t>Melting_Curves/meltCurve_sp_Q96E11_3_RRFM_HUMAN_.pdf</t>
  </si>
  <si>
    <t>Melting_Curves/meltCurve_sp_Q96E39_RMXL1_HUMAN_.pdf</t>
  </si>
  <si>
    <t>Melting_Curves/meltCurve_sp_Q96EB1_ELP4_HUMAN_.pdf</t>
  </si>
  <si>
    <t>Melting_Curves/meltCurve_sp_Q96EB6_SIR1_HUMAN_.pdf</t>
  </si>
  <si>
    <t>Melting_Curves/meltCurve_sp_Q96ED9_2_HOOK2_HUMAN_.pdf</t>
  </si>
  <si>
    <t>Melting_Curves/meltCurve_sp_Q96EE3_SEH1_HUMAN_.pdf</t>
  </si>
  <si>
    <t>Melting_Curves/meltCurve_sp_Q96EI5_TCAL4_HUMAN_.pdf</t>
  </si>
  <si>
    <t>Melting_Curves/meltCurve_sp_Q96EK5_KBP_HUMAN_.pdf</t>
  </si>
  <si>
    <t>Melting_Curves/meltCurve_sp_Q96EK6_GNA1_HUMAN_.pdf</t>
  </si>
  <si>
    <t>Melting_Curves/meltCurve_sp_Q96EM0_T3HPD_HUMAN_.pdf</t>
  </si>
  <si>
    <t>Melting_Curves/meltCurve_sp_Q96EN8_MOCOS_HUMAN_.pdf</t>
  </si>
  <si>
    <t>Melting_Curves/meltCurve_sp_Q96EP0_RNF31_HUMAN_.pdf</t>
  </si>
  <si>
    <t>Melting_Curves/meltCurve_sp_Q96EP5_2_DAZP1_HUMAN_.pdf</t>
  </si>
  <si>
    <t>Melting_Curves/meltCurve_sp_Q96EV2_RBM33_HUMAN_.pdf</t>
  </si>
  <si>
    <t>Melting_Curves/meltCurve_sp_Q96EV8_DTBP1_HUMAN_.pdf</t>
  </si>
  <si>
    <t>Melting_Curves/meltCurve_sp_Q96EY1_2_DNJA3_HUMAN_.pdf</t>
  </si>
  <si>
    <t>Melting_Curves/meltCurve_sp_Q96EY7_PTCD3_HUMAN_.pdf</t>
  </si>
  <si>
    <t>Melting_Curves/meltCurve_sp_Q96EY8_MMAB_HUMAN_.pdf</t>
  </si>
  <si>
    <t>Melting_Curves/meltCurve_sp_Q96EY9_ADAT3_HUMAN_.pdf</t>
  </si>
  <si>
    <t>Melting_Curves/meltCurve_sp_Q96F10_SAT2_HUMAN_.pdf</t>
  </si>
  <si>
    <t>Melting_Curves/meltCurve_sp_Q96F24_2_NRBF2_HUMAN_.pdf</t>
  </si>
  <si>
    <t>Melting_Curves/meltCurve_sp_Q96F63_CCD97_HUMAN_.pdf</t>
  </si>
  <si>
    <t>Melting_Curves/meltCurve_sp_Q96FH0_MF2NB_HUMAN_.pdf</t>
  </si>
  <si>
    <t>Melting_Curves/meltCurve_sp_Q96FJ2_DYL2_HUMAN_.pdf</t>
  </si>
  <si>
    <t>Melting_Curves/meltCurve_sp_Q96FV2_SCRN2_HUMAN_.pdf</t>
  </si>
  <si>
    <t>Melting_Curves/meltCurve_sp_Q96FX7_TRM61_HUMAN_.pdf</t>
  </si>
  <si>
    <t>Melting_Curves/meltCurve_sp_Q96G01_3_BICD1_HUMAN_.pdf</t>
  </si>
  <si>
    <t>Melting_Curves/meltCurve_sp_Q96G03_PGM2_HUMAN_.pdf</t>
  </si>
  <si>
    <t>Melting_Curves/meltCurve_sp_Q96G46_DUS3L_HUMAN_.pdf</t>
  </si>
  <si>
    <t>Melting_Curves/meltCurve_sp_Q96GA7_SDSL_HUMAN_.pdf</t>
  </si>
  <si>
    <t>Melting_Curves/meltCurve_sp_Q96GD0_PLPP_HUMAN_.pdf</t>
  </si>
  <si>
    <t>Melting_Curves/meltCurve_sp_Q96GE6_2_CALL4_HUMAN_.pdf</t>
  </si>
  <si>
    <t>Melting_Curves/meltCurve_sp_Q96GF1_RN185_HUMAN_.pdf</t>
  </si>
  <si>
    <t>Melting_Curves/meltCurve_sp_Q96GG9_DCNL1_HUMAN_.pdf</t>
  </si>
  <si>
    <t>Melting_Curves/meltCurve_sp_Q96GK7_FAH2A_HUMAN_.pdf</t>
  </si>
  <si>
    <t>Melting_Curves/meltCurve_sp_Q96GS4_CQ059_HUMAN_.pdf</t>
  </si>
  <si>
    <t>Melting_Curves/meltCurve_sp_Q96GW9_SYMM_HUMAN_.pdf</t>
  </si>
  <si>
    <t>Melting_Curves/meltCurve_sp_Q96GX2_A7L3B_HUMAN_.pdf</t>
  </si>
  <si>
    <t>Melting_Curves/meltCurve_sp_Q96GX9_MTNB_HUMAN_.pdf</t>
  </si>
  <si>
    <t>Melting_Curves/meltCurve_sp_Q96H20_SNF8_HUMAN_.pdf</t>
  </si>
  <si>
    <t>Melting_Curves/meltCurve_sp_Q96HC4_PDLI5_HUMAN_.pdf</t>
  </si>
  <si>
    <t>Melting_Curves/meltCurve_sp_Q96HD9_ACY3_HUMAN_.pdf</t>
  </si>
  <si>
    <t>Melting_Curves/meltCurve_sp_Q96HE7_ERO1A_HUMAN_.pdf</t>
  </si>
  <si>
    <t>Melting_Curves/meltCurve_sp_Q96HJ9_2_CG055_HUMAN_.pdf</t>
  </si>
  <si>
    <t>Melting_Curves/meltCurve_sp_Q96HJ9_CG055_HUMAN_.pdf</t>
  </si>
  <si>
    <t>Melting_Curves/meltCurve_sp_Q96HN2_4_SAHH3_HUMAN_.pdf</t>
  </si>
  <si>
    <t>Melting_Curves/meltCurve_sp_Q96HP4_OXND1_HUMAN_.pdf</t>
  </si>
  <si>
    <t>Melting_Curves/meltCurve_sp_Q96HQ2_2_C2AIL_HUMAN_.pdf</t>
  </si>
  <si>
    <t>Melting_Curves/meltCurve_sp_Q96HR9_REEP6_HUMAN_.pdf</t>
  </si>
  <si>
    <t>Melting_Curves/meltCurve_sp_Q96HS1_PGAM5_HUMAN_.pdf</t>
  </si>
  <si>
    <t>Melting_Curves/meltCurve_sp_Q96HY6_DDRGK_HUMAN_.pdf</t>
  </si>
  <si>
    <t>Melting_Curves/meltCurve_sp_Q96HY7_DHTK1_HUMAN_.pdf</t>
  </si>
  <si>
    <t>Melting_Curves/meltCurve_sp_Q96I15_SCLY_HUMAN_.pdf</t>
  </si>
  <si>
    <t>Melting_Curves/meltCurve_sp_Q96I23_PREY_HUMAN_.pdf</t>
  </si>
  <si>
    <t>Melting_Curves/meltCurve_sp_Q96I24_FUBP3_HUMAN_.pdf</t>
  </si>
  <si>
    <t>Melting_Curves/meltCurve_sp_Q96I25_SPF45_HUMAN_.pdf</t>
  </si>
  <si>
    <t>Melting_Curves/meltCurve_sp_Q96I34_PP16A_HUMAN_.pdf</t>
  </si>
  <si>
    <t>Melting_Curves/meltCurve_sp_Q96I51_WBS16_HUMAN_.pdf</t>
  </si>
  <si>
    <t>Melting_Curves/meltCurve_sp_Q96I59_SYNM_HUMAN_.pdf</t>
  </si>
  <si>
    <t>Melting_Curves/meltCurve_sp_Q96I99_SUCB2_HUMAN_.pdf</t>
  </si>
  <si>
    <t>Melting_Curves/meltCurve_sp_Q96IF1_AJUBA_HUMAN_.pdf</t>
  </si>
  <si>
    <t>Melting_Curves/meltCurve_sp_Q96IJ6_GMPPA_HUMAN_.pdf</t>
  </si>
  <si>
    <t>Melting_Curves/meltCurve_sp_Q96IU4_ABHEB_HUMAN_.pdf</t>
  </si>
  <si>
    <t>Melting_Curves/meltCurve_sp_Q96IV0_2_NGLY1_HUMAN_.pdf</t>
  </si>
  <si>
    <t>Melting_Curves/meltCurve_sp_Q96IY1_NSL1_HUMAN_.pdf</t>
  </si>
  <si>
    <t>Melting_Curves/meltCurve_sp_Q96IY4_CBPB2_HUMAN_.pdf</t>
  </si>
  <si>
    <t>Melting_Curves/meltCurve_sp_Q96IZ0_PAWR_HUMAN_.pdf</t>
  </si>
  <si>
    <t>Melting_Curves/meltCurve_sp_Q96J02_2_ITCH_HUMAN_.pdf</t>
  </si>
  <si>
    <t>Melting_Curves/meltCurve_sp_Q96JB2_COG3_HUMAN_.pdf</t>
  </si>
  <si>
    <t>Melting_Curves/meltCurve_sp_Q96JB5_CK5P3_HUMAN_.pdf</t>
  </si>
  <si>
    <t>Melting_Curves/meltCurve_sp_Q96JE7_SC16B_HUMAN_.pdf</t>
  </si>
  <si>
    <t>Melting_Curves/meltCurve_sp_Q96JG6_3_CC132_HUMAN_.pdf</t>
  </si>
  <si>
    <t>Melting_Curves/meltCurve_sp_Q96JH7_VCIP1_HUMAN_.pdf</t>
  </si>
  <si>
    <t>Melting_Curves/meltCurve_sp_Q96JM3_CHAP1_HUMAN_.pdf</t>
  </si>
  <si>
    <t>Melting_Curves/meltCurve_sp_Q96JP2_MY15B_HUMAN_.pdf</t>
  </si>
  <si>
    <t>Melting_Curves/meltCurve_sp_Q96JP5_2_ZFP91_HUMAN_.pdf</t>
  </si>
  <si>
    <t>Melting_Curves/meltCurve_sp_Q96JQ2_CLMN_HUMAN_.pdf</t>
  </si>
  <si>
    <t>Melting_Curves/meltCurve_sp_Q96JY6_PDLI2_HUMAN_.pdf</t>
  </si>
  <si>
    <t>Melting_Curves/meltCurve_sp_Q96K17_2_BT3L4_HUMAN_.pdf</t>
  </si>
  <si>
    <t>Melting_Curves/meltCurve_sp_Q96KC8_DNJC1_HUMAN_.pdf</t>
  </si>
  <si>
    <t>Melting_Curves/meltCurve_sp_Q96KG9_3_NTKL_HUMAN_.pdf</t>
  </si>
  <si>
    <t>Melting_Curves/meltCurve_sp_Q96KM6_Z512B_HUMAN_.pdf</t>
  </si>
  <si>
    <t>Melting_Curves/meltCurve_sp_Q96KP1_EXOC2_HUMAN_.pdf</t>
  </si>
  <si>
    <t>Melting_Curves/meltCurve_sp_Q96KP4_CNDP2_HUMAN_.pdf</t>
  </si>
  <si>
    <t>Melting_Curves/meltCurve_sp_Q96KR1_ZFR_HUMAN_.pdf</t>
  </si>
  <si>
    <t>Melting_Curves/meltCurve_sp_Q96L91_3_EP400_HUMAN_.pdf</t>
  </si>
  <si>
    <t>Melting_Curves/meltCurve_sp_Q96L92_3_SNX27_HUMAN_.pdf</t>
  </si>
  <si>
    <t>Melting_Curves/meltCurve_sp_Q96LD8_SENP8_HUMAN_.pdf</t>
  </si>
  <si>
    <t>Melting_Curves/meltCurve_sp_Q96LJ7_DHRS1_HUMAN_.pdf</t>
  </si>
  <si>
    <t>Melting_Curves/meltCurve_sp_Q96M27_PRRC1_HUMAN_.pdf</t>
  </si>
  <si>
    <t>Melting_Curves/meltCurve_sp_Q96ME1_4_FXL18_HUMAN_.pdf</t>
  </si>
  <si>
    <t>Melting_Curves/meltCurve_sp_Q96MG8_PCMD1_HUMAN_.pdf</t>
  </si>
  <si>
    <t>Melting_Curves/meltCurve_sp_Q96MH2_HEXI2_HUMAN_.pdf</t>
  </si>
  <si>
    <t>Melting_Curves/meltCurve_sp_Q96MU7_2_YTDC1_HUMAN_.pdf</t>
  </si>
  <si>
    <t>Melting_Curves/meltCurve_sp_Q96MW1_CCD43_HUMAN_.pdf</t>
  </si>
  <si>
    <t>Melting_Curves/meltCurve_sp_Q96MX6_WDR92_HUMAN_.pdf</t>
  </si>
  <si>
    <t>Melting_Curves/meltCurve_sp_Q96N76_HUTU_HUMAN_.pdf</t>
  </si>
  <si>
    <t>Melting_Curves/meltCurve_sp_Q96NA2_RILP_HUMAN_.pdf</t>
  </si>
  <si>
    <t>Melting_Curves/meltCurve_sp_Q96NB3_ZN830_HUMAN_.pdf</t>
  </si>
  <si>
    <t>Melting_Curves/meltCurve_sp_Q96NC0_ZMAT2_HUMAN_.pdf</t>
  </si>
  <si>
    <t>Melting_Curves/meltCurve_sp_Q96NL8_CH037_HUMAN_.pdf</t>
  </si>
  <si>
    <t>Melting_Curves/meltCurve_sp_Q96NU7_HUTI_HUMAN_.pdf</t>
  </si>
  <si>
    <t>Melting_Curves/meltCurve_sp_Q96NZ9_PRAP1_HUMAN_.pdf</t>
  </si>
  <si>
    <t>Melting_Curves/meltCurve_sp_Q96P11_NSUN5_HUMAN_.pdf</t>
  </si>
  <si>
    <t>Melting_Curves/meltCurve_sp_Q96P16_3_RPR1A_HUMAN_.pdf</t>
  </si>
  <si>
    <t>Melting_Curves/meltCurve_sp_Q96P47_AGAP3_HUMAN_.pdf</t>
  </si>
  <si>
    <t>Melting_Curves/meltCurve_sp_Q96P48_7_ARAP1_HUMAN_.pdf</t>
  </si>
  <si>
    <t>Melting_Curves/meltCurve_sp_Q96P70_IPO9_HUMAN_.pdf</t>
  </si>
  <si>
    <t>Melting_Curves/meltCurve_sp_Q96PD5_PGRP2_HUMAN_.pdf</t>
  </si>
  <si>
    <t>Melting_Curves/meltCurve_sp_Q96PE7_MCEE_HUMAN_.pdf</t>
  </si>
  <si>
    <t>Melting_Curves/meltCurve_sp_Q96PK6_RBM14_HUMAN_.pdf</t>
  </si>
  <si>
    <t>Melting_Curves/meltCurve_sp_Q96PM5_3_ZN363_HUMAN_.pdf</t>
  </si>
  <si>
    <t>Melting_Curves/meltCurve_sp_Q96PP9_GBP4_HUMAN_.pdf</t>
  </si>
  <si>
    <t>Melting_Curves/meltCurve_sp_Q96PU5_3_NED4L_HUMAN_.pdf</t>
  </si>
  <si>
    <t>Melting_Curves/meltCurve_sp_Q96PU8_5_QKI_HUMAN_.pdf</t>
  </si>
  <si>
    <t>Melting_Curves/meltCurve_sp_Q96PU8_9_QKI_HUMAN_.pdf</t>
  </si>
  <si>
    <t>Melting_Curves/meltCurve_sp_Q96PV6_LENG8_HUMAN_.pdf</t>
  </si>
  <si>
    <t>Melting_Curves/meltCurve_sp_Q96PZ0_PUS7_HUMAN_.pdf</t>
  </si>
  <si>
    <t>Melting_Curves/meltCurve_sp_Q96Q05_3_TPPC9_HUMAN_.pdf</t>
  </si>
  <si>
    <t>Melting_Curves/meltCurve_sp_Q96Q06_2_PLIN4_HUMAN_.pdf</t>
  </si>
  <si>
    <t>Melting_Curves/meltCurve_sp_Q96Q11_2_TRNT1_HUMAN_.pdf</t>
  </si>
  <si>
    <t>Melting_Curves/meltCurve_sp_Q96Q42_ALS2_HUMAN_.pdf</t>
  </si>
  <si>
    <t>Melting_Curves/meltCurve_sp_Q96Q83_ALKB3_HUMAN_.pdf</t>
  </si>
  <si>
    <t>Melting_Curves/meltCurve_sp_Q96QC0_PP1RA_HUMAN_.pdf</t>
  </si>
  <si>
    <t>Melting_Curves/meltCurve_sp_Q96QK1_VPS35_HUMAN_.pdf</t>
  </si>
  <si>
    <t>Melting_Curves/meltCurve_sp_Q96QR8_PURB_HUMAN_.pdf</t>
  </si>
  <si>
    <t>Melting_Curves/meltCurve_sp_Q96QU8_XPO6_HUMAN_.pdf</t>
  </si>
  <si>
    <t>Melting_Curves/meltCurve_sp_Q96QZ7_3_MAGI1_HUMAN_.pdf</t>
  </si>
  <si>
    <t>Melting_Curves/meltCurve_sp_Q96R06_SPAG5_HUMAN_.pdf</t>
  </si>
  <si>
    <t>Melting_Curves/meltCurve_sp_Q96RE7_NACC1_HUMAN_.pdf</t>
  </si>
  <si>
    <t>Melting_Curves/meltCurve_sp_Q96RF0_2_SNX18_HUMAN_.pdf</t>
  </si>
  <si>
    <t>Melting_Curves/meltCurve_sp_Q96RL1_UIMC1_HUMAN_.pdf</t>
  </si>
  <si>
    <t>Melting_Curves/meltCurve_sp_Q96RL7_4_VP13A_HUMAN_.pdf</t>
  </si>
  <si>
    <t>Melting_Curves/meltCurve_sp_Q96RN5_3_MED15_HUMAN_.pdf</t>
  </si>
  <si>
    <t>Melting_Curves/meltCurve_sp_Q96RP9_EFGM_HUMAN_.pdf</t>
  </si>
  <si>
    <t>Melting_Curves/meltCurve_sp_Q96RQ3_MCCA_HUMAN_.pdf</t>
  </si>
  <si>
    <t>Melting_Curves/meltCurve_sp_Q96RS6_3_NUDC1_HUMAN_.pdf</t>
  </si>
  <si>
    <t>Melting_Curves/meltCurve_sp_Q96RT1_9_LAP2_HUMAN_.pdf</t>
  </si>
  <si>
    <t>Melting_Curves/meltCurve_sp_Q96RU2_2_UBP28_HUMAN_.pdf</t>
  </si>
  <si>
    <t>Melting_Curves/meltCurve_sp_Q96RU3_4_FNBP1_HUMAN_.pdf</t>
  </si>
  <si>
    <t>Melting_Curves/meltCurve_sp_Q96RW7_2_HMCN1_HUMAN_.pdf</t>
  </si>
  <si>
    <t>Melting_Curves/meltCurve_sp_Q96S19_CP013_HUMAN_.pdf</t>
  </si>
  <si>
    <t>Melting_Curves/meltCurve_sp_Q96S44_PRPK_HUMAN_.pdf</t>
  </si>
  <si>
    <t>Melting_Curves/meltCurve_sp_Q96S55_2_WRIP1_HUMAN_.pdf</t>
  </si>
  <si>
    <t>Melting_Curves/meltCurve_sp_Q96S66_4_CLCC1_HUMAN_.pdf</t>
  </si>
  <si>
    <t>Melting_Curves/meltCurve_sp_Q96S99_PKHF1_HUMAN_.pdf</t>
  </si>
  <si>
    <t>Melting_Curves/meltCurve_sp_Q96SB3_NEB2_HUMAN_.pdf</t>
  </si>
  <si>
    <t>Melting_Curves/meltCurve_sp_Q96SI9_2_STRBP_HUMAN_.pdf</t>
  </si>
  <si>
    <t>Melting_Curves/meltCurve_sp_Q96ST2_IWS1_HUMAN_.pdf</t>
  </si>
  <si>
    <t>Melting_Curves/meltCurve_sp_Q96ST3_SIN3A_HUMAN_.pdf</t>
  </si>
  <si>
    <t>Melting_Curves/meltCurve_sp_Q96SU4_7_OSBL9_HUMAN_.pdf</t>
  </si>
  <si>
    <t>Melting_Curves/meltCurve_sp_Q96SZ5_AEDO_HUMAN_.pdf</t>
  </si>
  <si>
    <t>Melting_Curves/meltCurve_sp_Q96T37_2_RBM15_HUMAN_.pdf</t>
  </si>
  <si>
    <t>Melting_Curves/meltCurve_sp_Q96T51_RUFY1_HUMAN_.pdf</t>
  </si>
  <si>
    <t>Melting_Curves/meltCurve_sp_Q96T58_MINT_HUMAN_.pdf</t>
  </si>
  <si>
    <t>Melting_Curves/meltCurve_sp_Q96T76_MMS19_HUMAN_.pdf</t>
  </si>
  <si>
    <t>Melting_Curves/meltCurve_sp_Q96TA1_2_NIBL1_HUMAN_.pdf</t>
  </si>
  <si>
    <t>Melting_Curves/meltCurve_sp_Q96TA2_3_YMEL1_HUMAN_.pdf</t>
  </si>
  <si>
    <t>Melting_Curves/meltCurve_sp_Q99417_MYCBP_HUMAN_.pdf</t>
  </si>
  <si>
    <t>Melting_Curves/meltCurve_sp_Q99424_ACOX2_HUMAN_.pdf</t>
  </si>
  <si>
    <t>Melting_Curves/meltCurve_sp_Q99426_TBCB_HUMAN_.pdf</t>
  </si>
  <si>
    <t>Melting_Curves/meltCurve_sp_Q99436_PSB7_HUMAN_.pdf</t>
  </si>
  <si>
    <t>Melting_Curves/meltCurve_sp_Q99447_3_PCY2_HUMAN_.pdf</t>
  </si>
  <si>
    <t>Melting_Curves/meltCurve_sp_Q99459_CDC5L_HUMAN_.pdf</t>
  </si>
  <si>
    <t>Melting_Curves/meltCurve_sp_Q99460_PSMD1_HUMAN_.pdf</t>
  </si>
  <si>
    <t>Melting_Curves/meltCurve_sp_Q99470_SDF2_HUMAN_.pdf</t>
  </si>
  <si>
    <t>Melting_Curves/meltCurve_sp_Q99471_PFD5_HUMAN_.pdf</t>
  </si>
  <si>
    <t>Melting_Curves/meltCurve_sp_Q99487_PAFA2_HUMAN_.pdf</t>
  </si>
  <si>
    <t>Melting_Curves/meltCurve_sp_Q99489_OXDD_HUMAN_.pdf</t>
  </si>
  <si>
    <t>Melting_Curves/meltCurve_sp_Q99496_RING2_HUMAN_.pdf</t>
  </si>
  <si>
    <t>Melting_Curves/meltCurve_sp_Q99497_PARK7_HUMAN_.pdf</t>
  </si>
  <si>
    <t>Melting_Curves/meltCurve_sp_Q99519_NEUR1_HUMAN_.pdf</t>
  </si>
  <si>
    <t>Melting_Curves/meltCurve_sp_Q99536_VAT1_HUMAN_.pdf</t>
  </si>
  <si>
    <t>Melting_Curves/meltCurve_sp_Q99538_LGMN_HUMAN_.pdf</t>
  </si>
  <si>
    <t>Melting_Curves/meltCurve_sp_Q99543_DNJC2_HUMAN_.pdf</t>
  </si>
  <si>
    <t>Melting_Curves/meltCurve_sp_Q99549_MPP8_HUMAN_.pdf</t>
  </si>
  <si>
    <t>Melting_Curves/meltCurve_sp_Q99567_NUP88_HUMAN_.pdf</t>
  </si>
  <si>
    <t>Melting_Curves/meltCurve_sp_Q99569_2_PKP4_HUMAN_.pdf</t>
  </si>
  <si>
    <t>Melting_Curves/meltCurve_sp_Q99570_PI3R4_HUMAN_.pdf</t>
  </si>
  <si>
    <t>Melting_Curves/meltCurve_sp_Q99575_POP1_HUMAN_.pdf</t>
  </si>
  <si>
    <t>Melting_Curves/meltCurve_sp_Q99584_S10AD_HUMAN_.pdf</t>
  </si>
  <si>
    <t>Melting_Curves/meltCurve_sp_Q99590_2_SCAFB_HUMAN_.pdf</t>
  </si>
  <si>
    <t>Melting_Curves/meltCurve_sp_Q99598_TSNAX_HUMAN_.pdf</t>
  </si>
  <si>
    <t>Melting_Curves/meltCurve_sp_Q99611_SPS2_HUMAN_.pdf</t>
  </si>
  <si>
    <t>Melting_Curves/meltCurve_sp_Q99614_TTC1_HUMAN_.pdf</t>
  </si>
  <si>
    <t>Melting_Curves/meltCurve_sp_Q99615_DNJC7_HUMAN_.pdf</t>
  </si>
  <si>
    <t>Melting_Curves/meltCurve_sp_Q99622_C10_HUMAN_.pdf</t>
  </si>
  <si>
    <t>Melting_Curves/meltCurve_sp_Q99624_S38A3_HUMAN_.pdf</t>
  </si>
  <si>
    <t>Melting_Curves/meltCurve_sp_Q99627_2_CSN8_HUMAN_.pdf</t>
  </si>
  <si>
    <t>Melting_Curves/meltCurve_sp_Q99653_CHP1_HUMAN_.pdf</t>
  </si>
  <si>
    <t>Melting_Curves/meltCurve_sp_Q99685_MGLL_HUMAN_.pdf</t>
  </si>
  <si>
    <t>Melting_Curves/meltCurve_sp_Q99700_4_ATX2_HUMAN_.pdf</t>
  </si>
  <si>
    <t>Melting_Curves/meltCurve_sp_Q99707_METH_HUMAN_.pdf</t>
  </si>
  <si>
    <t>Melting_Curves/meltCurve_sp_Q99714_HCD2_HUMAN_.pdf</t>
  </si>
  <si>
    <t>Melting_Curves/meltCurve_sp_Q99733_NP1L4_HUMAN_.pdf</t>
  </si>
  <si>
    <t>Melting_Curves/meltCurve_sp_Q99747_SNAG_HUMAN_.pdf</t>
  </si>
  <si>
    <t>Melting_Curves/meltCurve_sp_Q99757_THIOM_HUMAN_.pdf</t>
  </si>
  <si>
    <t>Melting_Curves/meltCurve_sp_Q99766_ATP5S_HUMAN_.pdf</t>
  </si>
  <si>
    <t>Melting_Curves/meltCurve_sp_Q99797_MIPEP_HUMAN_.pdf</t>
  </si>
  <si>
    <t>Melting_Curves/meltCurve_sp_Q99798_ACON_HUMAN_.pdf</t>
  </si>
  <si>
    <t>Melting_Curves/meltCurve_sp_Q99807_2_COQ7_HUMAN_.pdf</t>
  </si>
  <si>
    <t>Melting_Curves/meltCurve_sp_Q99832_TCPH_HUMAN_.pdf</t>
  </si>
  <si>
    <t>Melting_Curves/meltCurve_sp_Q99836_MYD88_HUMAN_.pdf</t>
  </si>
  <si>
    <t>Melting_Curves/meltCurve_sp_Q99878_H2A1J_HUMAN_.pdf</t>
  </si>
  <si>
    <t>Melting_Curves/meltCurve_sp_Q99952_PTN18_HUMAN_.pdf</t>
  </si>
  <si>
    <t>Melting_Curves/meltCurve_sp_Q99959_2_PKP2_HUMAN_.pdf</t>
  </si>
  <si>
    <t>Melting_Curves/meltCurve_sp_Q99961_SH3G1_HUMAN_.pdf</t>
  </si>
  <si>
    <t>Melting_Curves/meltCurve_sp_Q99996_5_AKAP9_HUMAN_.pdf</t>
  </si>
  <si>
    <t>Melting_Curves/meltCurve_sp_Q9BPW8_NIPS1_HUMAN_.pdf</t>
  </si>
  <si>
    <t>Melting_Curves/meltCurve_sp_Q9BPX5_ARP5L_HUMAN_.pdf</t>
  </si>
  <si>
    <t>Melting_Curves/meltCurve_sp_Q9BQ24_ZFY21_HUMAN_.pdf</t>
  </si>
  <si>
    <t>Melting_Curves/meltCurve_sp_Q9BQ52_RNZ2_HUMAN_.pdf</t>
  </si>
  <si>
    <t>Melting_Curves/meltCurve_sp_Q9BQ61_CS043_HUMAN_.pdf</t>
  </si>
  <si>
    <t>Melting_Curves/meltCurve_sp_Q9BQ67_GRWD1_HUMAN_.pdf</t>
  </si>
  <si>
    <t>Melting_Curves/meltCurve_sp_Q9BQ69_MACD1_HUMAN_.pdf</t>
  </si>
  <si>
    <t>Melting_Curves/meltCurve_sp_Q9BQ90_KLDC3_HUMAN_.pdf</t>
  </si>
  <si>
    <t>Melting_Curves/meltCurve_sp_Q9BQA1_MEP50_HUMAN_.pdf</t>
  </si>
  <si>
    <t>Melting_Curves/meltCurve_sp_Q9BQC3_DPH2_HUMAN_.pdf</t>
  </si>
  <si>
    <t>Melting_Curves/meltCurve_sp_Q9BQE3_TBA1C_HUMAN_.pdf</t>
  </si>
  <si>
    <t>Melting_Curves/meltCurve_sp_Q9BQE5_APOL2_HUMAN_.pdf</t>
  </si>
  <si>
    <t>Melting_Curves/meltCurve_sp_Q9BQG0_MBB1A_HUMAN_.pdf</t>
  </si>
  <si>
    <t>Melting_Curves/meltCurve_sp_Q9BQG2_NUD12_HUMAN_.pdf</t>
  </si>
  <si>
    <t>Melting_Curves/meltCurve_sp_Q9BQK8_2_LPIN3_HUMAN_.pdf</t>
  </si>
  <si>
    <t>Melting_Curves/meltCurve_sp_Q9BQP7_MGME1_HUMAN_.pdf</t>
  </si>
  <si>
    <t>Melting_Curves/meltCurve_sp_Q9BQS8_FYCO1_HUMAN_.pdf</t>
  </si>
  <si>
    <t>Melting_Curves/meltCurve_sp_Q9BR61_ACBD6_HUMAN_.pdf</t>
  </si>
  <si>
    <t>Melting_Curves/meltCurve_sp_Q9BR76_COR1B_HUMAN_.pdf</t>
  </si>
  <si>
    <t>Melting_Curves/meltCurve_sp_Q9BRA2_TXD17_HUMAN_.pdf</t>
  </si>
  <si>
    <t>Melting_Curves/meltCurve_sp_Q9BRF8_CPPED_HUMAN_.pdf</t>
  </si>
  <si>
    <t>Melting_Curves/meltCurve_sp_Q9BRG1_VPS25_HUMAN_.pdf</t>
  </si>
  <si>
    <t>Melting_Curves/meltCurve_sp_Q9BRK5_CAB45_HUMAN_.pdf</t>
  </si>
  <si>
    <t>Melting_Curves/meltCurve_sp_Q9BRP4_PAAF1_HUMAN_.pdf</t>
  </si>
  <si>
    <t>Melting_Curves/meltCurve_sp_Q9BRP8_2_WIBG_HUMAN_.pdf</t>
  </si>
  <si>
    <t>Melting_Curves/meltCurve_sp_Q9BRQ8_2_AIFM2_HUMAN_.pdf</t>
  </si>
  <si>
    <t>Melting_Curves/meltCurve_sp_Q9BRT3_MIEN1_HUMAN_.pdf</t>
  </si>
  <si>
    <t>Melting_Curves/meltCurve_sp_Q9BRZ2_TRI56_HUMAN_.pdf</t>
  </si>
  <si>
    <t>Melting_Curves/meltCurve_sp_Q9BS26_ERP44_HUMAN_.pdf</t>
  </si>
  <si>
    <t>Melting_Curves/meltCurve_sp_Q9BSD7_NTPCR_HUMAN_.pdf</t>
  </si>
  <si>
    <t>Melting_Curves/meltCurve_sp_Q9BSE5_SPEB_HUMAN_.pdf</t>
  </si>
  <si>
    <t>Melting_Curves/meltCurve_sp_Q9BSH4_TACO1_HUMAN_.pdf</t>
  </si>
  <si>
    <t>Melting_Curves/meltCurve_sp_Q9BSH5_HDHD3_HUMAN_.pdf</t>
  </si>
  <si>
    <t>Melting_Curves/meltCurve_sp_Q9BSJ5_3_CQ080_HUMAN_.pdf</t>
  </si>
  <si>
    <t>Melting_Curves/meltCurve_sp_Q9BSJ8_ESYT1_HUMAN_.pdf</t>
  </si>
  <si>
    <t>Melting_Curves/meltCurve_sp_Q9BSL1_UBAC1_HUMAN_.pdf</t>
  </si>
  <si>
    <t>Melting_Curves/meltCurve_sp_Q9BST9_RTKN_HUMAN_.pdf</t>
  </si>
  <si>
    <t>Melting_Curves/meltCurve_sp_Q9BSU1_CP070_HUMAN_.pdf</t>
  </si>
  <si>
    <t>Melting_Curves/meltCurve_sp_Q9BSY4_CHCH5_HUMAN_.pdf</t>
  </si>
  <si>
    <t>Melting_Curves/meltCurve_sp_Q9BT09_CNPY3_HUMAN_.pdf</t>
  </si>
  <si>
    <t>Melting_Curves/meltCurve_sp_Q9BT30_ALKB7_HUMAN_.pdf</t>
  </si>
  <si>
    <t>Melting_Curves/meltCurve_sp_Q9BT73_PSMG3_HUMAN_.pdf</t>
  </si>
  <si>
    <t>Melting_Curves/meltCurve_sp_Q9BT78_CSN4_HUMAN_.pdf</t>
  </si>
  <si>
    <t>Melting_Curves/meltCurve_sp_Q9BTA9_2_WAC_HUMAN_.pdf</t>
  </si>
  <si>
    <t>Melting_Curves/meltCurve_sp_Q9BTC0_DIDO1_HUMAN_.pdf</t>
  </si>
  <si>
    <t>Melting_Curves/meltCurve_sp_Q9BTE1_2_DCTN5_HUMAN_.pdf</t>
  </si>
  <si>
    <t>Melting_Curves/meltCurve_sp_Q9BTE3_2_MCMBP_HUMAN_.pdf</t>
  </si>
  <si>
    <t>Melting_Curves/meltCurve_sp_Q9BTE6_AASD1_HUMAN_.pdf</t>
  </si>
  <si>
    <t>Melting_Curves/meltCurve_sp_Q9BTL3_RAM_HUMAN_.pdf</t>
  </si>
  <si>
    <t>Melting_Curves/meltCurve_sp_Q9BTT0_AN32E_HUMAN_.pdf</t>
  </si>
  <si>
    <t>Melting_Curves/meltCurve_sp_Q9BTW9_TBCD_HUMAN_.pdf</t>
  </si>
  <si>
    <t>Melting_Curves/meltCurve_sp_Q9BTX7_TTPAL_HUMAN_.pdf</t>
  </si>
  <si>
    <t>Melting_Curves/meltCurve_sp_Q9BTY2_FUCO2_HUMAN_.pdf</t>
  </si>
  <si>
    <t>Melting_Curves/meltCurve_sp_Q9BTY7_F203A_HUMAN_.pdf</t>
  </si>
  <si>
    <t>Melting_Curves/meltCurve_sp_Q9BTZ2_DHRS4_HUMAN_.pdf</t>
  </si>
  <si>
    <t>Melting_Curves/meltCurve_sp_Q9BU02_THTPA_HUMAN_.pdf</t>
  </si>
  <si>
    <t>Melting_Curves/meltCurve_sp_Q9BU61_NDUF3_HUMAN_.pdf</t>
  </si>
  <si>
    <t>Melting_Curves/meltCurve_sp_Q9BU89_DOHH_HUMAN_.pdf</t>
  </si>
  <si>
    <t>Melting_Curves/meltCurve_sp_Q9BUE6_ISCA1_HUMAN_.pdf</t>
  </si>
  <si>
    <t>Melting_Curves/meltCurve_sp_Q9BUH6_CI142_HUMAN_.pdf</t>
  </si>
  <si>
    <t>Melting_Curves/meltCurve_sp_Q9BUJ2_2_HNRL1_HUMAN_.pdf</t>
  </si>
  <si>
    <t>Melting_Curves/meltCurve_sp_Q9BUP0_EFHD1_HUMAN_.pdf</t>
  </si>
  <si>
    <t>Melting_Curves/meltCurve_sp_Q9BUQ8_DDX23_HUMAN_.pdf</t>
  </si>
  <si>
    <t>Melting_Curves/meltCurve_sp_Q9BUT1_BDH2_HUMAN_.pdf</t>
  </si>
  <si>
    <t>Melting_Curves/meltCurve_sp_Q9BUT9_F195A_HUMAN_.pdf</t>
  </si>
  <si>
    <t>Melting_Curves/meltCurve_sp_Q9BV19_CA050_HUMAN_.pdf</t>
  </si>
  <si>
    <t>Melting_Curves/meltCurve_sp_Q9BV20_MTNA_HUMAN_.pdf</t>
  </si>
  <si>
    <t>Melting_Curves/meltCurve_sp_Q9BV44_THUM3_HUMAN_.pdf</t>
  </si>
  <si>
    <t>Melting_Curves/meltCurve_sp_Q9BV57_MTND_HUMAN_.pdf</t>
  </si>
  <si>
    <t>Melting_Curves/meltCurve_sp_Q9BV79_MECR_HUMAN_.pdf</t>
  </si>
  <si>
    <t>Melting_Curves/meltCurve_sp_Q9BV86_NTM1A_HUMAN_.pdf</t>
  </si>
  <si>
    <t>Melting_Curves/meltCurve_sp_Q9BVG4_PBDC1_HUMAN_.pdf</t>
  </si>
  <si>
    <t>Melting_Curves/meltCurve_sp_Q9BVJ6_3_UT14A_HUMAN_.pdf</t>
  </si>
  <si>
    <t>Melting_Curves/meltCurve_sp_Q9BVJ7_DUS23_HUMAN_.pdf</t>
  </si>
  <si>
    <t>Melting_Curves/meltCurve_sp_Q9BVL4_SELO_HUMAN_.pdf</t>
  </si>
  <si>
    <t>Melting_Curves/meltCurve_sp_Q9BVM4_GGACT_HUMAN_.pdf</t>
  </si>
  <si>
    <t>Melting_Curves/meltCurve_sp_Q9BVS5_TR61B_HUMAN_.pdf</t>
  </si>
  <si>
    <t>Melting_Curves/meltCurve_sp_Q9BW27_NUP85_HUMAN_.pdf</t>
  </si>
  <si>
    <t>Melting_Curves/meltCurve_sp_Q9BW61_DDA1_HUMAN_.pdf</t>
  </si>
  <si>
    <t>Melting_Curves/meltCurve_sp_Q9BW71_HIRP3_HUMAN_.pdf</t>
  </si>
  <si>
    <t>Melting_Curves/meltCurve_sp_Q9BW83_2_IFT27_HUMAN_.pdf</t>
  </si>
  <si>
    <t>Melting_Curves/meltCurve_sp_Q9BW85_CCD94_HUMAN_.pdf</t>
  </si>
  <si>
    <t>Melting_Curves/meltCurve_sp_Q9BW91_2_NUDT9_HUMAN_.pdf</t>
  </si>
  <si>
    <t>Melting_Curves/meltCurve_sp_Q9BW92_SYTM_HUMAN_.pdf</t>
  </si>
  <si>
    <t>Melting_Curves/meltCurve_sp_Q9BWD1_THIC_HUMAN_.pdf</t>
  </si>
  <si>
    <t>Melting_Curves/meltCurve_sp_Q9BWE0_REPI1_HUMAN_.pdf</t>
  </si>
  <si>
    <t>Melting_Curves/meltCurve_sp_Q9BWH6_2_RPAP1_HUMAN_.pdf</t>
  </si>
  <si>
    <t>Melting_Curves/meltCurve_sp_Q9BWJ5_SF3B5_HUMAN_.pdf</t>
  </si>
  <si>
    <t>Melting_Curves/meltCurve_sp_Q9BWS9_3_CHID1_HUMAN_.pdf</t>
  </si>
  <si>
    <t>Melting_Curves/meltCurve_sp_Q9BWU0_NADAP_HUMAN_.pdf</t>
  </si>
  <si>
    <t>Melting_Curves/meltCurve_sp_Q9BX66_5_SRBS1_HUMAN_.pdf</t>
  </si>
  <si>
    <t>Melting_Curves/meltCurve_sp_Q9BX66_9_SRBS1_HUMAN_.pdf</t>
  </si>
  <si>
    <t>Melting_Curves/meltCurve_sp_Q9BX68_HINT2_HUMAN_.pdf</t>
  </si>
  <si>
    <t>Melting_Curves/meltCurve_sp_Q9BX95_SGPP1_HUMAN_.pdf</t>
  </si>
  <si>
    <t>Melting_Curves/meltCurve_sp_Q9BXB4_OSB11_HUMAN_.pdf</t>
  </si>
  <si>
    <t>Melting_Curves/meltCurve_sp_Q9BXI6_TB10A_HUMAN_.pdf</t>
  </si>
  <si>
    <t>Melting_Curves/meltCurve_sp_Q9BXJ9_NAA15_HUMAN_.pdf</t>
  </si>
  <si>
    <t>Melting_Curves/meltCurve_sp_Q9BXK5_B2L13_HUMAN_.pdf</t>
  </si>
  <si>
    <t>Melting_Curves/meltCurve_sp_Q9BXP5_5_SRRT_HUMAN_.pdf</t>
  </si>
  <si>
    <t>Melting_Curves/meltCurve_sp_Q9BXR0_TGT_HUMAN_.pdf</t>
  </si>
  <si>
    <t>Melting_Curves/meltCurve_sp_Q9BXS5_AP1M1_HUMAN_.pdf</t>
  </si>
  <si>
    <t>Melting_Curves/meltCurve_sp_Q9BXS6_7_NUSAP_HUMAN_.pdf</t>
  </si>
  <si>
    <t>Melting_Curves/meltCurve_sp_Q9BXV9_CN142_HUMAN_.pdf</t>
  </si>
  <si>
    <t>Melting_Curves/meltCurve_sp_Q9BXW6_OSBL1_HUMAN_.pdf</t>
  </si>
  <si>
    <t>Melting_Curves/meltCurve_sp_Q9BXW7_2_CECR5_HUMAN_.pdf</t>
  </si>
  <si>
    <t>Melting_Curves/meltCurve_sp_Q9BY32_ITPA_HUMAN_.pdf</t>
  </si>
  <si>
    <t>Melting_Curves/meltCurve_sp_Q9BY42_RTF2_HUMAN_.pdf</t>
  </si>
  <si>
    <t>Melting_Curves/meltCurve_sp_Q9BY43_CHM4A_HUMAN_.pdf</t>
  </si>
  <si>
    <t>Melting_Curves/meltCurve_sp_Q9BY49_PECR_HUMAN_.pdf</t>
  </si>
  <si>
    <t>Melting_Curves/meltCurve_sp_Q9BY67_2_CADM1_HUMAN_.pdf</t>
  </si>
  <si>
    <t>Melting_Curves/meltCurve_sp_Q9BY77_PDIP3_HUMAN_.pdf</t>
  </si>
  <si>
    <t>Melting_Curves/meltCurve_sp_Q9BY89_K1671_HUMAN_.pdf</t>
  </si>
  <si>
    <t>Melting_Curves/meltCurve_sp_Q9BYD6_RM01_HUMAN_.pdf</t>
  </si>
  <si>
    <t>Melting_Curves/meltCurve_sp_Q9BYM8_HOIL1_HUMAN_.pdf</t>
  </si>
  <si>
    <t>Melting_Curves/meltCurve_sp_Q9BYN0_SRXN1_HUMAN_.pdf</t>
  </si>
  <si>
    <t>Melting_Curves/meltCurve_sp_Q9BYN8_RT26_HUMAN_.pdf</t>
  </si>
  <si>
    <t>Melting_Curves/meltCurve_sp_Q9BYP7_3_WNK3_HUMAN_.pdf</t>
  </si>
  <si>
    <t>Melting_Curves/meltCurve_sp_Q9BYT8_NEUL_HUMAN_.pdf</t>
  </si>
  <si>
    <t>Melting_Curves/meltCurve_sp_Q9BYV1_AGT2_HUMAN_.pdf</t>
  </si>
  <si>
    <t>Melting_Curves/meltCurve_sp_Q9BYV7_4_BCDO2_HUMAN_.pdf</t>
  </si>
  <si>
    <t>Melting_Curves/meltCurve_sp_Q9BYX2_4_TBD2A_HUMAN_.pdf</t>
  </si>
  <si>
    <t>Melting_Curves/meltCurve_sp_Q9BYX4_IFIH1_HUMAN_.pdf</t>
  </si>
  <si>
    <t>Melting_Curves/meltCurve_sp_Q9BZ23_3_PANK2_HUMAN_.pdf</t>
  </si>
  <si>
    <t>Melting_Curves/meltCurve_sp_Q9BZE2_PUS3_HUMAN_.pdf</t>
  </si>
  <si>
    <t>Melting_Curves/meltCurve_sp_Q9BZE9_ASPC1_HUMAN_.pdf</t>
  </si>
  <si>
    <t>Melting_Curves/meltCurve_sp_Q9BZF1_3_OSBL8_HUMAN_.pdf</t>
  </si>
  <si>
    <t>Melting_Curves/meltCurve_sp_Q9BZH6_WDR11_HUMAN_.pdf</t>
  </si>
  <si>
    <t>Melting_Curves/meltCurve_sp_Q9BZI7_2_REN3B_HUMAN_.pdf</t>
  </si>
  <si>
    <t>Melting_Curves/meltCurve_sp_Q9BZK7_TBL1R_HUMAN_.pdf</t>
  </si>
  <si>
    <t>Melting_Curves/meltCurve_sp_Q9BZL1_UBL5_HUMAN_.pdf</t>
  </si>
  <si>
    <t>Melting_Curves/meltCurve_sp_Q9BZL4_PP12C_HUMAN_.pdf</t>
  </si>
  <si>
    <t>Melting_Curves/meltCurve_sp_Q9BZZ5_2_API5_HUMAN_.pdf</t>
  </si>
  <si>
    <t>Melting_Curves/meltCurve_sp_Q9C005_DPY30_HUMAN_.pdf</t>
  </si>
  <si>
    <t>Melting_Curves/meltCurve_sp_Q9C035_6_TRIM5_HUMAN_.pdf</t>
  </si>
  <si>
    <t>Melting_Curves/meltCurve_sp_Q9C0B0_UNK_HUMAN_.pdf</t>
  </si>
  <si>
    <t>Melting_Curves/meltCurve_sp_Q9C0B1_FTO_HUMAN_.pdf</t>
  </si>
  <si>
    <t>Melting_Curves/meltCurve_sp_Q9C0B5_2_ZDHC5_HUMAN_.pdf</t>
  </si>
  <si>
    <t>Melting_Curves/meltCurve_sp_Q9C0B7_TNG6_HUMAN_.pdf</t>
  </si>
  <si>
    <t>Melting_Curves/meltCurve_sp_Q9C0C2_TB182_HUMAN_.pdf</t>
  </si>
  <si>
    <t>Melting_Curves/meltCurve_sp_Q9C0C9_UBE2O_HUMAN_.pdf</t>
  </si>
  <si>
    <t>Melting_Curves/meltCurve_sp_Q9C0H9_5_SRCN1_HUMAN_.pdf</t>
  </si>
  <si>
    <t>Melting_Curves/meltCurve_sp_Q9C0I1_MTMRC_HUMAN_.pdf</t>
  </si>
  <si>
    <t>Melting_Curves/meltCurve_sp_Q9C0J8_WDR33_HUMAN_.pdf</t>
  </si>
  <si>
    <t>Melting_Curves/meltCurve_sp_Q9GZM5_YIPF3_HUMAN_.pdf</t>
  </si>
  <si>
    <t>Melting_Curves/meltCurve_sp_Q9GZM7_3_TINAL_HUMAN_.pdf</t>
  </si>
  <si>
    <t>Melting_Curves/meltCurve_sp_Q9GZN8_CT027_HUMAN_.pdf</t>
  </si>
  <si>
    <t>Melting_Curves/meltCurve_sp_Q9GZP4_PITH1_HUMAN_.pdf</t>
  </si>
  <si>
    <t>Melting_Curves/meltCurve_sp_Q9GZQ3_COMD5_HUMAN_.pdf</t>
  </si>
  <si>
    <t>Melting_Curves/meltCurve_sp_Q9GZT3_2_SLIRP_HUMAN_.pdf</t>
  </si>
  <si>
    <t>Melting_Curves/meltCurve_sp_Q9GZT8_2_NIF3L_HUMAN_.pdf</t>
  </si>
  <si>
    <t>Melting_Curves/meltCurve_sp_Q9GZT9_EGLN1_HUMAN_.pdf</t>
  </si>
  <si>
    <t>Melting_Curves/meltCurve_sp_Q9GZU8_F192A_HUMAN_.pdf</t>
  </si>
  <si>
    <t>Melting_Curves/meltCurve_sp_Q9GZY8_2_MFF_HUMAN_.pdf</t>
  </si>
  <si>
    <t>Melting_Curves/meltCurve_sp_Q9GZZ9_UBA5_HUMAN_.pdf</t>
  </si>
  <si>
    <t>Melting_Curves/meltCurve_sp_Q9H008_LHPP_HUMAN_.pdf</t>
  </si>
  <si>
    <t>Melting_Curves/meltCurve_sp_Q9H074_PAIP1_HUMAN_.pdf</t>
  </si>
  <si>
    <t>Melting_Curves/meltCurve_sp_Q9H078_2_CLPB_HUMAN_.pdf</t>
  </si>
  <si>
    <t>Melting_Curves/meltCurve_sp_Q9H098_F107B_HUMAN_.pdf</t>
  </si>
  <si>
    <t>Melting_Curves/meltCurve_sp_Q9H0A8_COMD4_HUMAN_.pdf</t>
  </si>
  <si>
    <t>Melting_Curves/meltCurve_sp_Q9H0C8_ILKAP_HUMAN_.pdf</t>
  </si>
  <si>
    <t>Melting_Curves/meltCurve_sp_Q9H0D6_XRN2_HUMAN_.pdf</t>
  </si>
  <si>
    <t>Melting_Curves/meltCurve_sp_Q9H0E2_TOLIP_HUMAN_.pdf</t>
  </si>
  <si>
    <t>Melting_Curves/meltCurve_sp_Q9H0E3_SP130_HUMAN_.pdf</t>
  </si>
  <si>
    <t>Melting_Curves/meltCurve_sp_Q9H0F6_SHRPN_HUMAN_.pdf</t>
  </si>
  <si>
    <t>Melting_Curves/meltCurve_sp_Q9H0G5_NSRP1_HUMAN_.pdf</t>
  </si>
  <si>
    <t>Melting_Curves/meltCurve_sp_Q9H0K1_SIK2_HUMAN_.pdf</t>
  </si>
  <si>
    <t>Melting_Curves/meltCurve_sp_Q9H0L4_CSTFT_HUMAN_.pdf</t>
  </si>
  <si>
    <t>Melting_Curves/meltCurve_sp_Q9H0P0_1_5NT3A_HUMAN_.pdf</t>
  </si>
  <si>
    <t>Melting_Curves/meltCurve_sp_Q9H0R4_HDHD2_HUMAN_.pdf</t>
  </si>
  <si>
    <t>Melting_Curves/meltCurve_sp_Q9H0R6_GATA_HUMAN_.pdf</t>
  </si>
  <si>
    <t>Melting_Curves/meltCurve_sp_Q9H0U4_RAB1B_HUMAN_.pdf</t>
  </si>
  <si>
    <t>Melting_Curves/meltCurve_sp_Q9H0W9_CK054_HUMAN_.pdf</t>
  </si>
  <si>
    <t>Melting_Curves/meltCurve_sp_Q9H173_SIL1_HUMAN_.pdf</t>
  </si>
  <si>
    <t>Melting_Curves/meltCurve_sp_Q9H1B7_I2BPL_HUMAN_.pdf</t>
  </si>
  <si>
    <t>Melting_Curves/meltCurve_sp_Q9H1E3_NUCKS_HUMAN_.pdf</t>
  </si>
  <si>
    <t>Melting_Curves/meltCurve_sp_Q9H1H9_3_KI13A_HUMAN_.pdf</t>
  </si>
  <si>
    <t>Melting_Curves/meltCurve_sp_Q9H1J1_REN3A_HUMAN_.pdf</t>
  </si>
  <si>
    <t>Melting_Curves/meltCurve_sp_Q9H1K0_RBNS5_HUMAN_.pdf</t>
  </si>
  <si>
    <t>Melting_Curves/meltCurve_sp_Q9H1K1_ISCU_HUMAN_.pdf</t>
  </si>
  <si>
    <t>Melting_Curves/meltCurve_sp_Q9H1Y0_ATG5_HUMAN_.pdf</t>
  </si>
  <si>
    <t>Melting_Curves/meltCurve_sp_Q9H1Z4_WDR13_HUMAN_.pdf</t>
  </si>
  <si>
    <t>Melting_Curves/meltCurve_sp_Q9H223_EHD4_HUMAN_.pdf</t>
  </si>
  <si>
    <t>Melting_Curves/meltCurve_sp_Q9H227_GBA3_HUMAN_.pdf</t>
  </si>
  <si>
    <t>Melting_Curves/meltCurve_sp_Q9H267_VP33B_HUMAN_.pdf</t>
  </si>
  <si>
    <t>Melting_Curves/meltCurve_sp_Q9H270_VPS11_HUMAN_.pdf</t>
  </si>
  <si>
    <t>Melting_Curves/meltCurve_sp_Q9H2A2_AL8A1_HUMAN_.pdf</t>
  </si>
  <si>
    <t>Melting_Curves/meltCurve_sp_Q9H2D6_3_TARA_HUMAN_.pdf</t>
  </si>
  <si>
    <t>Melting_Curves/meltCurve_sp_Q9H2G2_SLK_HUMAN_.pdf</t>
  </si>
  <si>
    <t>Melting_Curves/meltCurve_sp_Q9H2H8_PPIL3_HUMAN_.pdf</t>
  </si>
  <si>
    <t>Melting_Curves/meltCurve_sp_Q9H2K8_TAOK3_HUMAN_.pdf</t>
  </si>
  <si>
    <t>Melting_Curves/meltCurve_sp_Q9H2M3_BHMT2_HUMAN_.pdf</t>
  </si>
  <si>
    <t>Melting_Curves/meltCurve_sp_Q9H2M9_RBGPR_HUMAN_.pdf</t>
  </si>
  <si>
    <t>Melting_Curves/meltCurve_sp_Q9H2P0_ADNP_HUMAN_.pdf</t>
  </si>
  <si>
    <t>Melting_Curves/meltCurve_sp_Q9H2P9_3_DPH5_HUMAN_.pdf</t>
  </si>
  <si>
    <t>Melting_Curves/meltCurve_sp_Q9H2U1_3_DHX36_HUMAN_.pdf</t>
  </si>
  <si>
    <t>Melting_Curves/meltCurve_sp_Q9H2U2_IPYR2_HUMAN_.pdf</t>
  </si>
  <si>
    <t>Melting_Curves/meltCurve_sp_Q9H2W6_RM46_HUMAN_.pdf</t>
  </si>
  <si>
    <t>Melting_Curves/meltCurve_sp_Q9H2X3_10_CLC4M_HUMAN_.pdf</t>
  </si>
  <si>
    <t>Melting_Curves/meltCurve_sp_Q9H307_PININ_HUMAN_.pdf</t>
  </si>
  <si>
    <t>Melting_Curves/meltCurve_sp_Q9H329_2_E41LB_HUMAN_.pdf</t>
  </si>
  <si>
    <t>Melting_Curves/meltCurve_sp_Q9H3G5_CPVL_HUMAN_.pdf</t>
  </si>
  <si>
    <t>Melting_Curves/meltCurve_sp_Q9H3H3_CK068_HUMAN_.pdf</t>
  </si>
  <si>
    <t>Melting_Curves/meltCurve_sp_Q9H3K6_BOLA2_HUMAN_.pdf</t>
  </si>
  <si>
    <t>Melting_Curves/meltCurve_sp_Q9H3N1_TMX1_HUMAN_.pdf</t>
  </si>
  <si>
    <t>Melting_Curves/meltCurve_sp_Q9H3P2_NELFA_HUMAN_.pdf</t>
  </si>
  <si>
    <t>Melting_Curves/meltCurve_sp_Q9H3P7_GCP60_HUMAN_.pdf</t>
  </si>
  <si>
    <t>Melting_Curves/meltCurve_sp_Q9H3Q1_BORG4_HUMAN_.pdf</t>
  </si>
  <si>
    <t>Melting_Curves/meltCurve_sp_Q9H3S7_PTN23_HUMAN_.pdf</t>
  </si>
  <si>
    <t>Melting_Curves/meltCurve_sp_Q9H3U1_2_UN45A_HUMAN_.pdf</t>
  </si>
  <si>
    <t>Melting_Curves/meltCurve_sp_Q9H400_2_LIME1_HUMAN_.pdf</t>
  </si>
  <si>
    <t>Melting_Curves/meltCurve_sp_Q9H444_CHM4B_HUMAN_.pdf</t>
  </si>
  <si>
    <t>Melting_Curves/meltCurve_sp_Q9H477_RBSK_HUMAN_.pdf</t>
  </si>
  <si>
    <t>Melting_Curves/meltCurve_sp_Q9H479_FN3K_HUMAN_.pdf</t>
  </si>
  <si>
    <t>Melting_Curves/meltCurve_sp_Q9H488_OFUT1_HUMAN_.pdf</t>
  </si>
  <si>
    <t>Melting_Curves/meltCurve_sp_Q9H4A4_AMPB_HUMAN_.pdf</t>
  </si>
  <si>
    <t>Melting_Curves/meltCurve_sp_Q9H4A6_GOLP3_HUMAN_.pdf</t>
  </si>
  <si>
    <t>Melting_Curves/meltCurve_sp_Q9H4B0_OSGP2_HUMAN_.pdf</t>
  </si>
  <si>
    <t>Melting_Curves/meltCurve_sp_Q9H4I2_ZHX3_HUMAN_.pdf</t>
  </si>
  <si>
    <t>Melting_Curves/meltCurve_sp_Q9H4L7_SMRCD_HUMAN_.pdf</t>
  </si>
  <si>
    <t>Melting_Curves/meltCurve_sp_Q9H4M9_EHD1_HUMAN_.pdf</t>
  </si>
  <si>
    <t>Melting_Curves/meltCurve_sp_Q9H4Z3_PCIF1_HUMAN_.pdf</t>
  </si>
  <si>
    <t>Melting_Curves/meltCurve_sp_Q9H5N1_RABE2_HUMAN_.pdf</t>
  </si>
  <si>
    <t>Melting_Curves/meltCurve_sp_Q9H5Q4_TFB2M_HUMAN_.pdf</t>
  </si>
  <si>
    <t>Melting_Curves/meltCurve_sp_Q9H5V9_2_CX056_HUMAN_.pdf</t>
  </si>
  <si>
    <t>Melting_Curves/meltCurve_sp_Q9H668_STN1_HUMAN_.pdf</t>
  </si>
  <si>
    <t>Melting_Curves/meltCurve_sp_Q9H6E5_STPAP_HUMAN_.pdf</t>
  </si>
  <si>
    <t>Melting_Curves/meltCurve_sp_Q9H6F5_CCD86_HUMAN_.pdf</t>
  </si>
  <si>
    <t>Melting_Curves/meltCurve_sp_Q9H6Q4_NARFL_HUMAN_.pdf</t>
  </si>
  <si>
    <t>Melting_Curves/meltCurve_sp_Q9H6R3_ACSS3_HUMAN_.pdf</t>
  </si>
  <si>
    <t>Melting_Curves/meltCurve_sp_Q9H6S0_YTDC2_HUMAN_.pdf</t>
  </si>
  <si>
    <t>Melting_Curves/meltCurve_sp_Q9H6S3_ES8L2_HUMAN_.pdf</t>
  </si>
  <si>
    <t>Melting_Curves/meltCurve_sp_Q9H6T0_2_ESRP2_HUMAN_.pdf</t>
  </si>
  <si>
    <t>Melting_Curves/meltCurve_sp_Q9H6T3_2_RPAP3_HUMAN_.pdf</t>
  </si>
  <si>
    <t>Melting_Curves/meltCurve_sp_Q9H6U6_2_BCAS3_HUMAN_.pdf</t>
  </si>
  <si>
    <t>Melting_Curves/meltCurve_sp_Q9H773_DCTP1_HUMAN_.pdf</t>
  </si>
  <si>
    <t>Melting_Curves/meltCurve_sp_Q9H777_RNZ1_HUMAN_.pdf</t>
  </si>
  <si>
    <t>Melting_Curves/meltCurve_sp_Q9H788_SH24A_HUMAN_.pdf</t>
  </si>
  <si>
    <t>Melting_Curves/meltCurve_sp_Q9H7C9_AAMDC_HUMAN_.pdf</t>
  </si>
  <si>
    <t>Melting_Curves/meltCurve_sp_Q9H7D0_DOCK5_HUMAN_.pdf</t>
  </si>
  <si>
    <t>Melting_Curves/meltCurve_sp_Q9H7E2_3_TDRD3_HUMAN_.pdf</t>
  </si>
  <si>
    <t>Melting_Curves/meltCurve_sp_Q9H7N4_SFR19_HUMAN_.pdf</t>
  </si>
  <si>
    <t>Melting_Curves/meltCurve_sp_Q9H7Z6_KAT8_HUMAN_.pdf</t>
  </si>
  <si>
    <t>Melting_Curves/meltCurve_sp_Q9H7Z7_PGES2_HUMAN_.pdf</t>
  </si>
  <si>
    <t>Melting_Curves/meltCurve_sp_Q9H814_PHAX_HUMAN_.pdf</t>
  </si>
  <si>
    <t>Melting_Curves/meltCurve_sp_Q9H832_UBE2Z_HUMAN_.pdf</t>
  </si>
  <si>
    <t>Melting_Curves/meltCurve_sp_Q9H845_ACAD9_HUMAN_.pdf</t>
  </si>
  <si>
    <t>Melting_Curves/meltCurve_sp_Q9H8G2_2_CAAP1_HUMAN_.pdf</t>
  </si>
  <si>
    <t>Melting_Curves/meltCurve_sp_Q9H8M7_F188A_HUMAN_.pdf</t>
  </si>
  <si>
    <t>Melting_Curves/meltCurve_sp_Q9H8S9_MOB1A_HUMAN_.pdf</t>
  </si>
  <si>
    <t>Melting_Curves/meltCurve_sp_Q9H8T0_AKTIP_HUMAN_.pdf</t>
  </si>
  <si>
    <t>Melting_Curves/meltCurve_sp_Q9H8U3_ZFAN3_HUMAN_.pdf</t>
  </si>
  <si>
    <t>Melting_Curves/meltCurve_sp_Q9H8W4_PKHF2_HUMAN_.pdf</t>
  </si>
  <si>
    <t>Melting_Curves/meltCurve_sp_Q9H8Y8_GORS2_HUMAN_.pdf</t>
  </si>
  <si>
    <t>Melting_Curves/meltCurve_sp_Q9H939_PPIP2_HUMAN_.pdf</t>
  </si>
  <si>
    <t>Melting_Curves/meltCurve_sp_Q9H974_QTRD1_HUMAN_.pdf</t>
  </si>
  <si>
    <t>Melting_Curves/meltCurve_sp_Q9H993_CF211_HUMAN_.pdf</t>
  </si>
  <si>
    <t>Melting_Curves/meltCurve_sp_Q9H999_PANK3_HUMAN_.pdf</t>
  </si>
  <si>
    <t>Melting_Curves/meltCurve_sp_Q9H9A5_2_CNO10_HUMAN_.pdf</t>
  </si>
  <si>
    <t>Melting_Curves/meltCurve_sp_Q9H9A6_LRC40_HUMAN_.pdf</t>
  </si>
  <si>
    <t>Melting_Curves/meltCurve_sp_Q9H9B1_3_EHMT1_HUMAN_.pdf</t>
  </si>
  <si>
    <t>Melting_Curves/meltCurve_sp_Q9H9B4_SFXN1_HUMAN_.pdf</t>
  </si>
  <si>
    <t>Melting_Curves/meltCurve_sp_Q9H9C1_2_SPE39_HUMAN_.pdf</t>
  </si>
  <si>
    <t>Melting_Curves/meltCurve_sp_Q9H9E3_COG4_HUMAN_.pdf</t>
  </si>
  <si>
    <t>Melting_Curves/meltCurve_sp_Q9H9G7_AGO3_HUMAN_.pdf</t>
  </si>
  <si>
    <t>Melting_Curves/meltCurve_sp_Q9H9J2_RM44_HUMAN_.pdf</t>
  </si>
  <si>
    <t>Melting_Curves/meltCurve_sp_Q9H9T3_2_ELP3_HUMAN_.pdf</t>
  </si>
  <si>
    <t>Melting_Curves/meltCurve_sp_Q9HA64_KT3K_HUMAN_.pdf</t>
  </si>
  <si>
    <t>Melting_Curves/meltCurve_sp_Q9HA65_TBC17_HUMAN_.pdf</t>
  </si>
  <si>
    <t>Melting_Curves/meltCurve_sp_Q9HA77_SYCM_HUMAN_.pdf</t>
  </si>
  <si>
    <t>Melting_Curves/meltCurve_sp_Q9HAB8_PPCS_HUMAN_.pdf</t>
  </si>
  <si>
    <t>Melting_Curves/meltCurve_sp_Q9HAC7_4_CG010_HUMAN_.pdf</t>
  </si>
  <si>
    <t>Melting_Curves/meltCurve_sp_Q9HAN9_NMNA1_HUMAN_.pdf</t>
  </si>
  <si>
    <t>Melting_Curves/meltCurve_sp_Q9HAT2_2_SIAE_HUMAN_.pdf</t>
  </si>
  <si>
    <t>Melting_Curves/meltCurve_sp_Q9HAU0_PKHA5_HUMAN_.pdf</t>
  </si>
  <si>
    <t>Melting_Curves/meltCurve_sp_Q9HAU5_RENT2_HUMAN_.pdf</t>
  </si>
  <si>
    <t>Melting_Curves/meltCurve_sp_Q9HAV4_XPO5_HUMAN_.pdf</t>
  </si>
  <si>
    <t>Melting_Curves/meltCurve_sp_Q9HAV7_GRPE1_HUMAN_.pdf</t>
  </si>
  <si>
    <t>Melting_Curves/meltCurve_sp_Q9HB07_MYG1_HUMAN_.pdf</t>
  </si>
  <si>
    <t>Melting_Curves/meltCurve_sp_Q9HB40_RISC_HUMAN_.pdf</t>
  </si>
  <si>
    <t>Melting_Curves/meltCurve_sp_Q9HB71_CYBP_HUMAN_.pdf</t>
  </si>
  <si>
    <t>Melting_Curves/meltCurve_sp_Q9HB90_RRAGC_HUMAN_.pdf</t>
  </si>
  <si>
    <t>Melting_Curves/meltCurve_sp_Q9HBB8_2_CDHR5_HUMAN_.pdf</t>
  </si>
  <si>
    <t>Melting_Curves/meltCurve_sp_Q9HBF4_2_ZFYV1_HUMAN_.pdf</t>
  </si>
  <si>
    <t>Melting_Curves/meltCurve_sp_Q9HBH1_DEFM_HUMAN_.pdf</t>
  </si>
  <si>
    <t>Melting_Curves/meltCurve_sp_Q9HBI1_PARVB_HUMAN_.pdf</t>
  </si>
  <si>
    <t>Melting_Curves/meltCurve_sp_Q9HBK9_AS3MT_HUMAN_.pdf</t>
  </si>
  <si>
    <t>Melting_Curves/meltCurve_sp_Q9HBL8_NMRL1_HUMAN_.pdf</t>
  </si>
  <si>
    <t>Melting_Curves/meltCurve_sp_Q9HC35_EMAL4_HUMAN_.pdf</t>
  </si>
  <si>
    <t>Melting_Curves/meltCurve_sp_Q9HC38_2_GLOD4_HUMAN_.pdf</t>
  </si>
  <si>
    <t>Melting_Curves/meltCurve_sp_Q9HC52_CBX8_HUMAN_.pdf</t>
  </si>
  <si>
    <t>Melting_Curves/meltCurve_sp_Q9HC78_2_ZBT20_HUMAN_.pdf</t>
  </si>
  <si>
    <t>Melting_Curves/meltCurve_sp_Q9HCC0_MCCB_HUMAN_.pdf</t>
  </si>
  <si>
    <t>Melting_Curves/meltCurve_sp_Q9HCC9_5_LST2_HUMAN_.pdf</t>
  </si>
  <si>
    <t>Melting_Curves/meltCurve_sp_Q9HCE1_MOV10_HUMAN_.pdf</t>
  </si>
  <si>
    <t>Melting_Curves/meltCurve_sp_Q9HCE5_MET14_HUMAN_.pdf</t>
  </si>
  <si>
    <t>Melting_Curves/meltCurve_sp_Q9HCE6_3_ARGAL_HUMAN_.pdf</t>
  </si>
  <si>
    <t>Melting_Curves/meltCurve_sp_Q9HCM4_2_E41L5_HUMAN_.pdf</t>
  </si>
  <si>
    <t>Melting_Curves/meltCurve_sp_Q9HCN4_3_GPN1_HUMAN_.pdf</t>
  </si>
  <si>
    <t>Melting_Curves/meltCurve_sp_Q9HCN8_SDF2L_HUMAN_.pdf</t>
  </si>
  <si>
    <t>Melting_Curves/meltCurve_sp_Q9HCX3_ZN304_HUMAN_.pdf</t>
  </si>
  <si>
    <t>Melting_Curves/meltCurve_sp_Q9HD15_SRA1_HUMAN_.pdf</t>
  </si>
  <si>
    <t>Melting_Curves/meltCurve_sp_Q9HD26_2_GOPC_HUMAN_.pdf</t>
  </si>
  <si>
    <t>Melting_Curves/meltCurve_sp_Q9HD34_LYRM4_HUMAN_.pdf</t>
  </si>
  <si>
    <t>Melting_Curves/meltCurve_sp_Q9HD40_SPCS_HUMAN_.pdf</t>
  </si>
  <si>
    <t>Melting_Curves/meltCurve_sp_Q9HD42_CHM1A_HUMAN_.pdf</t>
  </si>
  <si>
    <t>Melting_Curves/meltCurve_sp_Q9HD47_4_MOG1_HUMAN_.pdf</t>
  </si>
  <si>
    <t>Melting_Curves/meltCurve_sp_Q9HD89_RETN_HUMAN_.pdf</t>
  </si>
  <si>
    <t>Melting_Curves/meltCurve_sp_Q9NNW7_2_TRXR2_HUMAN_.pdf</t>
  </si>
  <si>
    <t>Melting_Curves/meltCurve_sp_Q9NP61_ARFG3_HUMAN_.pdf</t>
  </si>
  <si>
    <t>Melting_Curves/meltCurve_sp_Q9NP71_4_MLXPL_HUMAN_.pdf</t>
  </si>
  <si>
    <t>Melting_Curves/meltCurve_sp_Q9NP72_RAB18_HUMAN_.pdf</t>
  </si>
  <si>
    <t>Melting_Curves/meltCurve_sp_Q9NP73_2_ALG13_HUMAN_.pdf</t>
  </si>
  <si>
    <t>Melting_Curves/meltCurve_sp_Q9NP74_PALMD_HUMAN_.pdf</t>
  </si>
  <si>
    <t>Melting_Curves/meltCurve_sp_Q9NP77_SSU72_HUMAN_.pdf</t>
  </si>
  <si>
    <t>Melting_Curves/meltCurve_sp_Q9NP79_VTA1_HUMAN_.pdf</t>
  </si>
  <si>
    <t>Melting_Curves/meltCurve_sp_Q9NP97_DLRB1_HUMAN_.pdf</t>
  </si>
  <si>
    <t>Melting_Curves/meltCurve_sp_Q9NPA8_2_ENY2_HUMAN_.pdf</t>
  </si>
  <si>
    <t>Melting_Curves/meltCurve_sp_Q9NPB8_GPCP1_HUMAN_.pdf</t>
  </si>
  <si>
    <t>Melting_Curves/meltCurve_sp_Q9NPD3_EXOS4_HUMAN_.pdf</t>
  </si>
  <si>
    <t>Melting_Curves/meltCurve_sp_Q9NPE3_NOP10_HUMAN_.pdf</t>
  </si>
  <si>
    <t>Melting_Curves/meltCurve_sp_Q9NPF4_OSGEP_HUMAN_.pdf</t>
  </si>
  <si>
    <t>Melting_Curves/meltCurve_sp_Q9NPG3_2_UBN1_HUMAN_.pdf</t>
  </si>
  <si>
    <t>Melting_Curves/meltCurve_sp_Q9NPH0_PPA6_HUMAN_.pdf</t>
  </si>
  <si>
    <t>Melting_Curves/meltCurve_sp_Q9NPJ3_ACO13_HUMAN_.pdf</t>
  </si>
  <si>
    <t>Melting_Curves/meltCurve_sp_Q9NPQ8_4_RIC8A_HUMAN_.pdf</t>
  </si>
  <si>
    <t>Melting_Curves/meltCurve_sp_Q9NQ88_TIGAR_HUMAN_.pdf</t>
  </si>
  <si>
    <t>Melting_Curves/meltCurve_sp_Q9NQ94_2_A1CF_HUMAN_.pdf</t>
  </si>
  <si>
    <t>Melting_Curves/meltCurve_sp_Q9NQG5_RPR1B_HUMAN_.pdf</t>
  </si>
  <si>
    <t>Melting_Curves/meltCurve_sp_Q9NQG6_MID51_HUMAN_.pdf</t>
  </si>
  <si>
    <t>Melting_Curves/meltCurve_sp_Q9NQH7_2_XPP3_HUMAN_.pdf</t>
  </si>
  <si>
    <t>Melting_Curves/meltCurve_sp_Q9NQP4_PFD4_HUMAN_.pdf</t>
  </si>
  <si>
    <t>Melting_Curves/meltCurve_sp_Q9NQR4_NIT2_HUMAN_.pdf</t>
  </si>
  <si>
    <t>Melting_Curves/meltCurve_sp_Q9NQS1_AVEN_HUMAN_.pdf</t>
  </si>
  <si>
    <t>Melting_Curves/meltCurve_sp_Q9NQT4_EXOS5_HUMAN_.pdf</t>
  </si>
  <si>
    <t>Melting_Curves/meltCurve_sp_Q9NQT8_KI13B_HUMAN_.pdf</t>
  </si>
  <si>
    <t>Melting_Curves/meltCurve_sp_Q9NQW7_3_XPP1_HUMAN_.pdf</t>
  </si>
  <si>
    <t>Melting_Curves/meltCurve_sp_Q9NQX3_GEPH_HUMAN_.pdf</t>
  </si>
  <si>
    <t>Melting_Curves/meltCurve_sp_Q9NR09_BIRC6_HUMAN_.pdf</t>
  </si>
  <si>
    <t>Melting_Curves/meltCurve_sp_Q9NR19_ACSA_HUMAN_.pdf</t>
  </si>
  <si>
    <t>Melting_Curves/meltCurve_sp_Q9NR28_2_DBLOH_HUMAN_.pdf</t>
  </si>
  <si>
    <t>Melting_Curves/meltCurve_sp_Q9NR30_DDX21_HUMAN_.pdf</t>
  </si>
  <si>
    <t>Melting_Curves/meltCurve_sp_Q9NR31_SAR1A_HUMAN_.pdf</t>
  </si>
  <si>
    <t>Melting_Curves/meltCurve_sp_Q9NR45_SIAS_HUMAN_.pdf</t>
  </si>
  <si>
    <t>Melting_Curves/meltCurve_sp_Q9NR50_3_EI2BG_HUMAN_.pdf</t>
  </si>
  <si>
    <t>Melting_Curves/meltCurve_sp_Q9NRF8_PYRG2_HUMAN_.pdf</t>
  </si>
  <si>
    <t>Melting_Curves/meltCurve_sp_Q9NRF9_DPOE3_HUMAN_.pdf</t>
  </si>
  <si>
    <t>Melting_Curves/meltCurve_sp_Q9NRN7_ADPPT_HUMAN_.pdf</t>
  </si>
  <si>
    <t>Melting_Curves/meltCurve_sp_Q9NRP4_ACN9_HUMAN_.pdf</t>
  </si>
  <si>
    <t>Melting_Curves/meltCurve_sp_Q9NRR5_UBQL4_HUMAN_.pdf</t>
  </si>
  <si>
    <t>Melting_Curves/meltCurve_sp_Q9NRS6_2_SNX15_HUMAN_.pdf</t>
  </si>
  <si>
    <t>Melting_Curves/meltCurve_sp_Q9NRV9_HEBP1_HUMAN_.pdf</t>
  </si>
  <si>
    <t>Melting_Curves/meltCurve_sp_Q9NRW7_VPS45_HUMAN_.pdf</t>
  </si>
  <si>
    <t>Melting_Curves/meltCurve_sp_Q9NRX4_PHP14_HUMAN_.pdf</t>
  </si>
  <si>
    <t>Melting_Curves/meltCurve_sp_Q9NRY4_RHG35_HUMAN_.pdf</t>
  </si>
  <si>
    <t>Melting_Curves/meltCurve_sp_Q9NRY5_F1142_HUMAN_.pdf</t>
  </si>
  <si>
    <t>Melting_Curves/meltCurve_sp_Q9NS86_LANC2_HUMAN_.pdf</t>
  </si>
  <si>
    <t>Melting_Curves/meltCurve_sp_Q9NS91_RAD18_HUMAN_.pdf</t>
  </si>
  <si>
    <t>Melting_Curves/meltCurve_sp_Q9NSB8_2_HOME2_HUMAN_.pdf</t>
  </si>
  <si>
    <t>Melting_Curves/meltCurve_sp_Q9NSD9_SYFB_HUMAN_.pdf</t>
  </si>
  <si>
    <t>Melting_Curves/meltCurve_sp_Q9NSE4_SYIM_HUMAN_.pdf</t>
  </si>
  <si>
    <t>Melting_Curves/meltCurve_sp_Q9NSK0_KLC4_HUMAN_.pdf</t>
  </si>
  <si>
    <t>Melting_Curves/meltCurve_sp_Q9NSY0_NRBP2_HUMAN_.pdf</t>
  </si>
  <si>
    <t>Melting_Curves/meltCurve_sp_Q9NSY2_STAR5_HUMAN_.pdf</t>
  </si>
  <si>
    <t>Melting_Curves/meltCurve_sp_Q9NT62_ATG3_HUMAN_.pdf</t>
  </si>
  <si>
    <t>Melting_Curves/meltCurve_sp_Q9NTG7_SIR3_HUMAN_.pdf</t>
  </si>
  <si>
    <t>Melting_Curves/meltCurve_sp_Q9NTI5_2_PDS5B_HUMAN_.pdf</t>
  </si>
  <si>
    <t>Melting_Curves/meltCurve_sp_Q9NTJ4_3_MA2C1_HUMAN_.pdf</t>
  </si>
  <si>
    <t>Melting_Curves/meltCurve_sp_Q9NTK5_OLA1_HUMAN_.pdf</t>
  </si>
  <si>
    <t>Melting_Curves/meltCurve_sp_Q9NTM9_CUTC_HUMAN_.pdf</t>
  </si>
  <si>
    <t>Melting_Curves/meltCurve_sp_Q9NTN9_SEM4G_HUMAN_.pdf</t>
  </si>
  <si>
    <t>Melting_Curves/meltCurve_sp_Q9NTX5_6_ECHD1_HUMAN_.pdf</t>
  </si>
  <si>
    <t>Melting_Curves/meltCurve_sp_Q9NTZ6_RBM12_HUMAN_.pdf</t>
  </si>
  <si>
    <t>Melting_Curves/meltCurve_sp_Q9NU23_LYRM2_HUMAN_.pdf</t>
  </si>
  <si>
    <t>Melting_Curves/meltCurve_sp_Q9NUG6_PDRG1_HUMAN_.pdf</t>
  </si>
  <si>
    <t>Melting_Curves/meltCurve_sp_Q9NUI1_2_DECR2_HUMAN_.pdf</t>
  </si>
  <si>
    <t>Melting_Curves/meltCurve_sp_Q9NUI1_DECR2_HUMAN_.pdf</t>
  </si>
  <si>
    <t>Melting_Curves/meltCurve_sp_Q9NUJ1_ABHDA_HUMAN_.pdf</t>
  </si>
  <si>
    <t>Melting_Curves/meltCurve_sp_Q9NUL5_4_CS066_HUMAN_.pdf</t>
  </si>
  <si>
    <t>Melting_Curves/meltCurve_sp_Q9NUP7_TRM13_HUMAN_.pdf</t>
  </si>
  <si>
    <t>Melting_Curves/meltCurve_sp_Q9NUP9_LIN7C_HUMAN_.pdf</t>
  </si>
  <si>
    <t>Melting_Curves/meltCurve_sp_Q9NUQ3_TXLNG_HUMAN_.pdf</t>
  </si>
  <si>
    <t>Melting_Curves/meltCurve_sp_Q9NUQ6_SPS2L_HUMAN_.pdf</t>
  </si>
  <si>
    <t>Melting_Curves/meltCurve_sp_Q9NUQ8_2_ABCF3_HUMAN_.pdf</t>
  </si>
  <si>
    <t>Melting_Curves/meltCurve_sp_Q9NUQ9_FA49B_HUMAN_.pdf</t>
  </si>
  <si>
    <t>Melting_Curves/meltCurve_sp_Q9NUV9_GIMA4_HUMAN_.pdf</t>
  </si>
  <si>
    <t>Melting_Curves/meltCurve_sp_Q9NUY8_2_TBC23_HUMAN_.pdf</t>
  </si>
  <si>
    <t>Melting_Curves/meltCurve_sp_Q9NV35_NUD15_HUMAN_.pdf</t>
  </si>
  <si>
    <t>Melting_Curves/meltCurve_sp_Q9NV56_MRGBP_HUMAN_.pdf</t>
  </si>
  <si>
    <t>Melting_Curves/meltCurve_sp_Q9NV70_2_EXOC1_HUMAN_.pdf</t>
  </si>
  <si>
    <t>Melting_Curves/meltCurve_sp_Q9NVD7_PARVA_HUMAN_.pdf</t>
  </si>
  <si>
    <t>Melting_Curves/meltCurve_sp_Q9NVE7_PANK4_HUMAN_.pdf</t>
  </si>
  <si>
    <t>Melting_Curves/meltCurve_sp_Q9NVF9_EKI2_HUMAN_.pdf</t>
  </si>
  <si>
    <t>Melting_Curves/meltCurve_sp_Q9NVG8_TBC13_HUMAN_.pdf</t>
  </si>
  <si>
    <t>Melting_Curves/meltCurve_sp_Q9NVH0_2_EXD2_HUMAN_.pdf</t>
  </si>
  <si>
    <t>Melting_Curves/meltCurve_sp_Q9NVH6_TMLH_HUMAN_.pdf</t>
  </si>
  <si>
    <t>Melting_Curves/meltCurve_sp_Q9NVM6_DJC17_HUMAN_.pdf</t>
  </si>
  <si>
    <t>Melting_Curves/meltCurve_sp_Q9NVR5_KTU_HUMAN_.pdf</t>
  </si>
  <si>
    <t>Melting_Curves/meltCurve_sp_Q9NVS9_PNPO_HUMAN_.pdf</t>
  </si>
  <si>
    <t>Melting_Curves/meltCurve_sp_Q9NVT9_ARMC1_HUMAN_.pdf</t>
  </si>
  <si>
    <t>Melting_Curves/meltCurve_sp_Q9NVU7_2_SDA1_HUMAN_.pdf</t>
  </si>
  <si>
    <t>Melting_Curves/meltCurve_sp_Q9NVX2_NLE1_HUMAN_.pdf</t>
  </si>
  <si>
    <t>Melting_Curves/meltCurve_sp_Q9NVZ3_NECP2_HUMAN_.pdf</t>
  </si>
  <si>
    <t>Melting_Curves/meltCurve_sp_Q9NW13_RBM28_HUMAN_.pdf</t>
  </si>
  <si>
    <t>Melting_Curves/meltCurve_sp_Q9NW64_RBM22_HUMAN_.pdf</t>
  </si>
  <si>
    <t>Melting_Curves/meltCurve_sp_Q9NW68_4_BSDC1_HUMAN_.pdf</t>
  </si>
  <si>
    <t>Melting_Curves/meltCurve_sp_Q9NW68_8_BSDC1_HUMAN_.pdf</t>
  </si>
  <si>
    <t>Melting_Curves/meltCurve_sp_Q9NW82_WDR70_HUMAN_.pdf</t>
  </si>
  <si>
    <t>Melting_Curves/meltCurve_sp_Q9NWB6_ARGL1_HUMAN_.pdf</t>
  </si>
  <si>
    <t>Melting_Curves/meltCurve_sp_Q9NWH9_SLTM_HUMAN_.pdf</t>
  </si>
  <si>
    <t>Melting_Curves/meltCurve_sp_Q9NWK9_2_BCD1_HUMAN_.pdf</t>
  </si>
  <si>
    <t>Melting_Curves/meltCurve_sp_Q9NWU1_OXSM_HUMAN_.pdf</t>
  </si>
  <si>
    <t>Melting_Curves/meltCurve_sp_Q9NWU2_GID8_HUMAN_.pdf</t>
  </si>
  <si>
    <t>Melting_Curves/meltCurve_sp_Q9NWV4_CA123_HUMAN_.pdf</t>
  </si>
  <si>
    <t>Melting_Curves/meltCurve_sp_Q9NWX6_THG1_HUMAN_.pdf</t>
  </si>
  <si>
    <t>Melting_Curves/meltCurve_sp_Q9NWY4_CD027_HUMAN_.pdf</t>
  </si>
  <si>
    <t>Melting_Curves/meltCurve_sp_Q9NWZ3_IRAK4_HUMAN_.pdf</t>
  </si>
  <si>
    <t>Melting_Curves/meltCurve_sp_Q9NWZ5_3_UCKL1_HUMAN_.pdf</t>
  </si>
  <si>
    <t>Melting_Curves/meltCurve_sp_Q9NX01_TXN4B_HUMAN_.pdf</t>
  </si>
  <si>
    <t>Melting_Curves/meltCurve_sp_Q9NX08_COMD8_HUMAN_.pdf</t>
  </si>
  <si>
    <t>Melting_Curves/meltCurve_sp_Q9NX38_F206A_HUMAN_.pdf</t>
  </si>
  <si>
    <t>Melting_Curves/meltCurve_sp_Q9NX46_ARHL2_HUMAN_.pdf</t>
  </si>
  <si>
    <t>Melting_Curves/meltCurve_sp_Q9NX55_HYPK_HUMAN_.pdf</t>
  </si>
  <si>
    <t>Melting_Curves/meltCurve_sp_Q9NXA8_SIR5_HUMAN_.pdf</t>
  </si>
  <si>
    <t>Melting_Curves/meltCurve_sp_Q9NXD2_MTMRA_HUMAN_.pdf</t>
  </si>
  <si>
    <t>Melting_Curves/meltCurve_sp_Q9NXG2_THUM1_HUMAN_.pdf</t>
  </si>
  <si>
    <t>Melting_Curves/meltCurve_sp_Q9NXG6_2_P4HTM_HUMAN_.pdf</t>
  </si>
  <si>
    <t>Melting_Curves/meltCurve_sp_Q9NXH9_TRM1_HUMAN_.pdf</t>
  </si>
  <si>
    <t>Melting_Curves/meltCurve_sp_Q9NXR7_4_BRE_HUMAN_.pdf</t>
  </si>
  <si>
    <t>Melting_Curves/meltCurve_sp_Q9NXU5_ARL15_HUMAN_.pdf</t>
  </si>
  <si>
    <t>Melting_Curves/meltCurve_sp_Q9NXV6_CARF_HUMAN_.pdf</t>
  </si>
  <si>
    <t>Melting_Curves/meltCurve_sp_Q9NXW2_DJB12_HUMAN_.pdf</t>
  </si>
  <si>
    <t>Melting_Curves/meltCurve_sp_Q9NXW9_ALKB4_HUMAN_.pdf</t>
  </si>
  <si>
    <t>Melting_Curves/meltCurve_sp_Q9NY12_2_GAR1_HUMAN_.pdf</t>
  </si>
  <si>
    <t>Melting_Curves/meltCurve_sp_Q9NY27_PP4R2_HUMAN_.pdf</t>
  </si>
  <si>
    <t>Melting_Curves/meltCurve_sp_Q9NY33_DPP3_HUMAN_.pdf</t>
  </si>
  <si>
    <t>Melting_Curves/meltCurve_sp_Q9NYB0_TE2IP_HUMAN_.pdf</t>
  </si>
  <si>
    <t>Melting_Curves/meltCurve_sp_Q9NYF8_2_BCLF1_HUMAN_.pdf</t>
  </si>
  <si>
    <t>Melting_Curves/meltCurve_sp_Q9NYJ1_COA4_HUMAN_.pdf</t>
  </si>
  <si>
    <t>Melting_Curves/meltCurve_sp_Q9NYJ8_TAB2_HUMAN_.pdf</t>
  </si>
  <si>
    <t>Melting_Curves/meltCurve_sp_Q9NYL2_MLTK_HUMAN_.pdf</t>
  </si>
  <si>
    <t>Melting_Curves/meltCurve_sp_Q9NYL9_TMOD3_HUMAN_.pdf</t>
  </si>
  <si>
    <t>Melting_Curves/meltCurve_sp_Q9NYQ3_HAOX2_HUMAN_.pdf</t>
  </si>
  <si>
    <t>Melting_Curves/meltCurve_sp_Q9NYU2_2_UGGG1_HUMAN_.pdf</t>
  </si>
  <si>
    <t>Melting_Curves/meltCurve_sp_Q9NYV4_2_CDK12_HUMAN_.pdf</t>
  </si>
  <si>
    <t>Melting_Curves/meltCurve_sp_Q9NYY8_2_FAKD2_HUMAN_.pdf</t>
  </si>
  <si>
    <t>Melting_Curves/meltCurve_sp_Q9NZ08_ERAP1_HUMAN_.pdf</t>
  </si>
  <si>
    <t>Melting_Curves/meltCurve_sp_Q9NZ09_2_UBAP1_HUMAN_.pdf</t>
  </si>
  <si>
    <t>Melting_Curves/meltCurve_sp_Q9NZ32_ARP10_HUMAN_.pdf</t>
  </si>
  <si>
    <t>Melting_Curves/meltCurve_sp_Q9NZ45_CISD1_HUMAN_.pdf</t>
  </si>
  <si>
    <t>Melting_Curves/meltCurve_sp_Q9NZ63_CI078_HUMAN_.pdf</t>
  </si>
  <si>
    <t>Melting_Curves/meltCurve_sp_Q9NZB2_F120A_HUMAN_.pdf</t>
  </si>
  <si>
    <t>Melting_Curves/meltCurve_sp_Q9NZB8_2_MOCS1_HUMAN_.pdf</t>
  </si>
  <si>
    <t>Melting_Curves/meltCurve_sp_Q9NZD2_GLTP_HUMAN_.pdf</t>
  </si>
  <si>
    <t>Melting_Curves/meltCurve_sp_Q9NZD8_2_SPG21_HUMAN_.pdf</t>
  </si>
  <si>
    <t>Melting_Curves/meltCurve_sp_Q9NZJ4_2_SACS_HUMAN_.pdf</t>
  </si>
  <si>
    <t>Melting_Curves/meltCurve_sp_Q9NZJ6_COQ3_HUMAN_.pdf</t>
  </si>
  <si>
    <t>Melting_Curves/meltCurve_sp_Q9NZJ9_NUDT4_HUMAN_.pdf</t>
  </si>
  <si>
    <t>Melting_Curves/meltCurve_sp_Q9NZL4_HPBP1_HUMAN_.pdf</t>
  </si>
  <si>
    <t>Melting_Curves/meltCurve_sp_Q9NZL9_MAT2B_HUMAN_.pdf</t>
  </si>
  <si>
    <t>Melting_Curves/meltCurve_sp_Q9NZM3_2_ITSN2_HUMAN_.pdf</t>
  </si>
  <si>
    <t>Melting_Curves/meltCurve_sp_Q9NZN5_2_ARHGC_HUMAN_.pdf</t>
  </si>
  <si>
    <t>Melting_Curves/meltCurve_sp_Q9NZN8_4_CNOT2_HUMAN_.pdf</t>
  </si>
  <si>
    <t>Melting_Curves/meltCurve_sp_Q9NZN9_3_AIPL1_HUMAN_.pdf</t>
  </si>
  <si>
    <t>Melting_Curves/meltCurve_sp_Q9NZP8_C1RL_HUMAN_.pdf</t>
  </si>
  <si>
    <t>Melting_Curves/meltCurve_sp_Q9NZT2_2_OGFR_HUMAN_.pdf</t>
  </si>
  <si>
    <t>Melting_Curves/meltCurve_sp_Q9NZU5_LMCD1_HUMAN_.pdf</t>
  </si>
  <si>
    <t>Melting_Curves/meltCurve_sp_Q9NZZ3_CHMP5_HUMAN_.pdf</t>
  </si>
  <si>
    <t>Melting_Curves/meltCurve_sp_Q9P000_COMD9_HUMAN_.pdf</t>
  </si>
  <si>
    <t>Melting_Curves/meltCurve_sp_Q9P013_CWC15_HUMAN_.pdf</t>
  </si>
  <si>
    <t>Melting_Curves/meltCurve_sp_Q9P016_THYN1_HUMAN_.pdf</t>
  </si>
  <si>
    <t>Melting_Curves/meltCurve_sp_Q9P035_HACD3_HUMAN_.pdf</t>
  </si>
  <si>
    <t>Melting_Curves/meltCurve_sp_Q9P0J1_PDP1_HUMAN_.pdf</t>
  </si>
  <si>
    <t>Melting_Curves/meltCurve_sp_Q9P0J7_KCMF1_HUMAN_.pdf</t>
  </si>
  <si>
    <t>Melting_Curves/meltCurve_sp_Q9P0K7_3_RAI14_HUMAN_.pdf</t>
  </si>
  <si>
    <t>Melting_Curves/meltCurve_sp_Q9P0L0_VAPA_HUMAN_.pdf</t>
  </si>
  <si>
    <t>Melting_Curves/meltCurve_sp_Q9P0M2_AKA7G_HUMAN_.pdf</t>
  </si>
  <si>
    <t>Melting_Curves/meltCurve_sp_Q9P0P8_CF203_HUMAN_.pdf</t>
  </si>
  <si>
    <t>Melting_Curves/meltCurve_sp_Q9P0R6_GSKIP_HUMAN_.pdf</t>
  </si>
  <si>
    <t>Melting_Curves/meltCurve_sp_Q9P0Z9_SOX_HUMAN_.pdf</t>
  </si>
  <si>
    <t>Melting_Curves/meltCurve_sp_Q9P1F3_ABRAL_HUMAN_.pdf</t>
  </si>
  <si>
    <t>Melting_Curves/meltCurve_sp_Q9P1U1_ARP3B_HUMAN_.pdf</t>
  </si>
  <si>
    <t>Melting_Curves/meltCurve_sp_Q9P1Y5_CAMP3_HUMAN_.pdf</t>
  </si>
  <si>
    <t>Melting_Curves/meltCurve_sp_Q9P1Z2_2_CACO1_HUMAN_.pdf</t>
  </si>
  <si>
    <t>Melting_Curves/meltCurve_sp_Q9P206_2_K1522_HUMAN_.pdf</t>
  </si>
  <si>
    <t>Melting_Curves/meltCurve_sp_Q9P258_RCC2_HUMAN_.pdf</t>
  </si>
  <si>
    <t>Melting_Curves/meltCurve_sp_Q9P260_2_K1468_HUMAN_.pdf</t>
  </si>
  <si>
    <t>Melting_Curves/meltCurve_sp_Q9P260_K1468_HUMAN_.pdf</t>
  </si>
  <si>
    <t>Melting_Curves/meltCurve_sp_Q9P265_DIP2B_HUMAN_.pdf</t>
  </si>
  <si>
    <t>Melting_Curves/meltCurve_sp_Q9P266_JCAD_HUMAN_.pdf</t>
  </si>
  <si>
    <t>Melting_Curves/meltCurve_sp_Q9P270_SLAI2_HUMAN_.pdf</t>
  </si>
  <si>
    <t>Melting_Curves/meltCurve_sp_Q9P287_BCCIP_HUMAN_.pdf</t>
  </si>
  <si>
    <t>Melting_Curves/meltCurve_sp_Q9P299_COPZ2_HUMAN_.pdf</t>
  </si>
  <si>
    <t>Melting_Curves/meltCurve_sp_Q9P2D0_2_IBTK_HUMAN_.pdf</t>
  </si>
  <si>
    <t>Melting_Curves/meltCurve_sp_Q9P2D3_3_HTR5B_HUMAN_.pdf</t>
  </si>
  <si>
    <t>Melting_Curves/meltCurve_sp_Q9P2E9_2_RRBP1_HUMAN_.pdf</t>
  </si>
  <si>
    <t>Melting_Curves/meltCurve_sp_Q9P2E9_RRBP1_HUMAN_.pdf</t>
  </si>
  <si>
    <t>Melting_Curves/meltCurve_sp_Q9P2I0_CPSF2_HUMAN_.pdf</t>
  </si>
  <si>
    <t>Melting_Curves/meltCurve_sp_Q9P2K8_2_E2AK4_HUMAN_.pdf</t>
  </si>
  <si>
    <t>Melting_Curves/meltCurve_sp_Q9P2M7_CING_HUMAN_.pdf</t>
  </si>
  <si>
    <t>Melting_Curves/meltCurve_sp_Q9P2N5_RBM27_HUMAN_.pdf</t>
  </si>
  <si>
    <t>Melting_Curves/meltCurve_sp_Q9P2R3_ANFY1_HUMAN_.pdf</t>
  </si>
  <si>
    <t>Melting_Curves/meltCurve_sp_Q9P2R6_2_RERE_HUMAN_.pdf</t>
  </si>
  <si>
    <t>Melting_Curves/meltCurve_sp_Q9P2X3_IMPCT_HUMAN_.pdf</t>
  </si>
  <si>
    <t>Melting_Curves/meltCurve_sp_Q9P2Y5_UVRAG_HUMAN_.pdf</t>
  </si>
  <si>
    <t>Melting_Curves/meltCurve_sp_Q9UBB4_ATX10_HUMAN_.pdf</t>
  </si>
  <si>
    <t>Melting_Curves/meltCurve_sp_Q9UBB5_MBD2_HUMAN_.pdf</t>
  </si>
  <si>
    <t>Melting_Curves/meltCurve_sp_Q9UBB6_2_NCDN_HUMAN_.pdf</t>
  </si>
  <si>
    <t>Melting_Curves/meltCurve_sp_Q9UBC2_3_EP15R_HUMAN_.pdf</t>
  </si>
  <si>
    <t>Melting_Curves/meltCurve_sp_Q9UBE0_SAE1_HUMAN_.pdf</t>
  </si>
  <si>
    <t>Melting_Curves/meltCurve_sp_Q9UBF2_COPG2_HUMAN_.pdf</t>
  </si>
  <si>
    <t>Melting_Curves/meltCurve_sp_Q9UBF6_RBX2_HUMAN_.pdf</t>
  </si>
  <si>
    <t>Melting_Curves/meltCurve_sp_Q9UBF8_2_PI4KB_HUMAN_.pdf</t>
  </si>
  <si>
    <t>Melting_Curves/meltCurve_sp_Q9UBI1_COMD3_HUMAN_.pdf</t>
  </si>
  <si>
    <t>Melting_Curves/meltCurve_sp_Q9UBI6_GBG12_HUMAN_.pdf</t>
  </si>
  <si>
    <t>Melting_Curves/meltCurve_sp_Q9UBK8_2_MTRR_HUMAN_.pdf</t>
  </si>
  <si>
    <t>Melting_Curves/meltCurve_sp_Q9UBN7_HDAC6_HUMAN_.pdf</t>
  </si>
  <si>
    <t>Melting_Curves/meltCurve_sp_Q9UBP0_3_SPAST_HUMAN_.pdf</t>
  </si>
  <si>
    <t>Melting_Curves/meltCurve_sp_Q9UBP6_TRMB_HUMAN_.pdf</t>
  </si>
  <si>
    <t>Melting_Curves/meltCurve_sp_Q9UBQ0_VPS29_HUMAN_.pdf</t>
  </si>
  <si>
    <t>Melting_Curves/meltCurve_sp_Q9UBQ7_GRHPR_HUMAN_.pdf</t>
  </si>
  <si>
    <t>Melting_Curves/meltCurve_sp_Q9UBR1_BUP1_HUMAN_.pdf</t>
  </si>
  <si>
    <t>Melting_Curves/meltCurve_sp_Q9UBR2_CATZ_HUMAN_.pdf</t>
  </si>
  <si>
    <t>Melting_Curves/meltCurve_sp_Q9UBS4_DJB11_HUMAN_.pdf</t>
  </si>
  <si>
    <t>Melting_Curves/meltCurve_sp_Q9UBS8_RNF14_HUMAN_.pdf</t>
  </si>
  <si>
    <t>Melting_Curves/meltCurve_sp_Q9UBT2_SAE2_HUMAN_.pdf</t>
  </si>
  <si>
    <t>Melting_Curves/meltCurve_sp_Q9UBU6_FA8A1_HUMAN_.pdf</t>
  </si>
  <si>
    <t>Melting_Curves/meltCurve_sp_Q9UBV8_PEF1_HUMAN_.pdf</t>
  </si>
  <si>
    <t>Melting_Curves/meltCurve_sp_Q9UBW7_2_ZMYM2_HUMAN_.pdf</t>
  </si>
  <si>
    <t>Melting_Curves/meltCurve_sp_Q9UBW8_CSN7A_HUMAN_.pdf</t>
  </si>
  <si>
    <t>Melting_Curves/meltCurve_sp_Q9UBX1_CATF_HUMAN_.pdf</t>
  </si>
  <si>
    <t>Melting_Curves/meltCurve_sp_Q9UDR5_AASS_HUMAN_.pdf</t>
  </si>
  <si>
    <t>Melting_Curves/meltCurve_sp_Q9UDX3_S14L4_HUMAN_.pdf</t>
  </si>
  <si>
    <t>Melting_Curves/meltCurve_sp_Q9UDY2_ZO2_HUMAN_.pdf</t>
  </si>
  <si>
    <t>Melting_Curves/meltCurve_sp_Q9UEU0_VTI1B_HUMAN_.pdf</t>
  </si>
  <si>
    <t>Melting_Curves/meltCurve_sp_Q9UEY8_2_ADDG_HUMAN_.pdf</t>
  </si>
  <si>
    <t>Melting_Curves/meltCurve_sp_Q9UFC0_LRWD1_HUMAN_.pdf</t>
  </si>
  <si>
    <t>Melting_Curves/meltCurve_sp_Q9UFG5_CS025_HUMAN_.pdf</t>
  </si>
  <si>
    <t>Melting_Curves/meltCurve_sp_Q9UFN0_NPS3A_HUMAN_.pdf</t>
  </si>
  <si>
    <t>Melting_Curves/meltCurve_sp_Q9UFW8_CGBP1_HUMAN_.pdf</t>
  </si>
  <si>
    <t>Melting_Curves/meltCurve_sp_Q9UGC7_RF1ML_HUMAN_.pdf</t>
  </si>
  <si>
    <t>Melting_Curves/meltCurve_sp_Q9UGI8_TES_HUMAN_.pdf</t>
  </si>
  <si>
    <t>Melting_Curves/meltCurve_sp_Q9UGJ0_2_AAKG2_HUMAN_.pdf</t>
  </si>
  <si>
    <t>Melting_Curves/meltCurve_sp_Q9UGK3_STAP2_HUMAN_.pdf</t>
  </si>
  <si>
    <t>Melting_Curves/meltCurve_sp_Q9UGK8_SRGEF_HUMAN_.pdf</t>
  </si>
  <si>
    <t>Melting_Curves/meltCurve_sp_Q9UGM6_SYWM_HUMAN_.pdf</t>
  </si>
  <si>
    <t>Melting_Curves/meltCurve_sp_Q9UGP4_LIMD1_HUMAN_.pdf</t>
  </si>
  <si>
    <t>Melting_Curves/meltCurve_sp_Q9UGP8_SEC63_HUMAN_.pdf</t>
  </si>
  <si>
    <t>Melting_Curves/meltCurve_sp_Q9UH62_ARMX3_HUMAN_.pdf</t>
  </si>
  <si>
    <t>Melting_Curves/meltCurve_sp_Q9UH65_SWP70_HUMAN_.pdf</t>
  </si>
  <si>
    <t>Melting_Curves/meltCurve_sp_Q9UHA4_LTOR3_HUMAN_.pdf</t>
  </si>
  <si>
    <t>Melting_Curves/meltCurve_sp_Q9UHB6_4_LIMA1_HUMAN_.pdf</t>
  </si>
  <si>
    <t>Melting_Curves/meltCurve_sp_Q9UHB6_LIMA1_HUMAN_.pdf</t>
  </si>
  <si>
    <t>Melting_Curves/meltCurve_sp_Q9UHB7_2_AFF4_HUMAN_.pdf</t>
  </si>
  <si>
    <t>Melting_Curves/meltCurve_sp_Q9UHB9_SRP68_HUMAN_.pdf</t>
  </si>
  <si>
    <t>Melting_Curves/meltCurve_sp_Q9UHD1_CHRD1_HUMAN_.pdf</t>
  </si>
  <si>
    <t>Melting_Curves/meltCurve_sp_Q9UHD2_TBK1_HUMAN_.pdf</t>
  </si>
  <si>
    <t>Melting_Curves/meltCurve_sp_Q9UHD8_SEPT9_HUMAN_.pdf</t>
  </si>
  <si>
    <t>Melting_Curves/meltCurve_sp_Q9UHD9_UBQL2_HUMAN_.pdf</t>
  </si>
  <si>
    <t>Melting_Curves/meltCurve_sp_Q9UHJ6_SHPK_HUMAN_.pdf</t>
  </si>
  <si>
    <t>Melting_Curves/meltCurve_sp_Q9UHL4_DPP2_HUMAN_.pdf</t>
  </si>
  <si>
    <t>Melting_Curves/meltCurve_sp_Q9UHP3_UBP25_HUMAN_.pdf</t>
  </si>
  <si>
    <t>Melting_Curves/meltCurve_sp_Q9UHR4_BI2L1_HUMAN_.pdf</t>
  </si>
  <si>
    <t>Melting_Curves/meltCurve_sp_Q9UHR5_2_S30BP_HUMAN_.pdf</t>
  </si>
  <si>
    <t>Melting_Curves/meltCurve_sp_Q9UHV9_PFD2_HUMAN_.pdf</t>
  </si>
  <si>
    <t>Melting_Curves/meltCurve_sp_Q9UHX1_4_PUF60_HUMAN_.pdf</t>
  </si>
  <si>
    <t>Melting_Curves/meltCurve_sp_Q9UHY7_ENOPH_HUMAN_.pdf</t>
  </si>
  <si>
    <t>Melting_Curves/meltCurve_sp_Q9UI08_EVL_HUMAN_.pdf</t>
  </si>
  <si>
    <t>Melting_Curves/meltCurve_sp_Q9UI10_3_EI2BD_HUMAN_.pdf</t>
  </si>
  <si>
    <t>Melting_Curves/meltCurve_sp_Q9UI10_EI2BD_HUMAN_.pdf</t>
  </si>
  <si>
    <t>Melting_Curves/meltCurve_sp_Q9UI12_2_VATH_HUMAN_.pdf</t>
  </si>
  <si>
    <t>Melting_Curves/meltCurve_sp_Q9UI17_M2GD_HUMAN_.pdf</t>
  </si>
  <si>
    <t>Melting_Curves/meltCurve_sp_Q9UI32_GLSL_HUMAN_.pdf</t>
  </si>
  <si>
    <t>Melting_Curves/meltCurve_sp_Q9UIA9_XPO7_HUMAN_.pdf</t>
  </si>
  <si>
    <t>Melting_Curves/meltCurve_sp_Q9UID3_VPS51_HUMAN_.pdf</t>
  </si>
  <si>
    <t>Melting_Curves/meltCurve_sp_Q9UIG0_2_BAZ1B_HUMAN_.pdf</t>
  </si>
  <si>
    <t>Melting_Curves/meltCurve_sp_Q9UII2_ATIF1_HUMAN_.pdf</t>
  </si>
  <si>
    <t>Melting_Curves/meltCurve_sp_Q9UIJ7_KAD3_HUMAN_.pdf</t>
  </si>
  <si>
    <t>Melting_Curves/meltCurve_sp_Q9UIL1_3_SCOC_HUMAN_.pdf</t>
  </si>
  <si>
    <t>Melting_Curves/meltCurve_sp_Q9UIM3_FKBPL_HUMAN_.pdf</t>
  </si>
  <si>
    <t>Melting_Curves/meltCurve_sp_Q9UIV1_2_CNOT7_HUMAN_.pdf</t>
  </si>
  <si>
    <t>Melting_Curves/meltCurve_sp_Q9UJ41_2_RABX5_HUMAN_.pdf</t>
  </si>
  <si>
    <t>Melting_Curves/meltCurve_sp_Q9UJ68_5_MSRA_HUMAN_.pdf</t>
  </si>
  <si>
    <t>Melting_Curves/meltCurve_sp_Q9UJ70_NAGK_HUMAN_.pdf</t>
  </si>
  <si>
    <t>Melting_Curves/meltCurve_sp_Q9UJA5_TRM6_HUMAN_.pdf</t>
  </si>
  <si>
    <t>Melting_Curves/meltCurve_sp_Q9UJC5_SH3L2_HUMAN_.pdf</t>
  </si>
  <si>
    <t>Melting_Curves/meltCurve_sp_Q9UJM3_ERRFI_HUMAN_.pdf</t>
  </si>
  <si>
    <t>Melting_Curves/meltCurve_sp_Q9UJM8_HAOX1_HUMAN_.pdf</t>
  </si>
  <si>
    <t>Melting_Curves/meltCurve_sp_Q9UJS0_CMC2_HUMAN_.pdf</t>
  </si>
  <si>
    <t>Melting_Curves/meltCurve_sp_Q9UJU6_2_DBNL_HUMAN_.pdf</t>
  </si>
  <si>
    <t>Melting_Curves/meltCurve_sp_Q9UJU6_DBNL_HUMAN_.pdf</t>
  </si>
  <si>
    <t>Melting_Curves/meltCurve_sp_Q9UJW0_DCTN4_HUMAN_.pdf</t>
  </si>
  <si>
    <t>Melting_Curves/meltCurve_sp_Q9UJY4_GGA2_HUMAN_.pdf</t>
  </si>
  <si>
    <t>Melting_Curves/meltCurve_sp_Q9UJY5_4_GGA1_HUMAN_.pdf</t>
  </si>
  <si>
    <t>Melting_Curves/meltCurve_sp_Q9UK22_FBX2_HUMAN_.pdf</t>
  </si>
  <si>
    <t>Melting_Curves/meltCurve_sp_Q9UK45_LSM7_HUMAN_.pdf</t>
  </si>
  <si>
    <t>Melting_Curves/meltCurve_sp_Q9UK55_ZPI_HUMAN_.pdf</t>
  </si>
  <si>
    <t>Melting_Curves/meltCurve_sp_Q9UK59_DBR1_HUMAN_.pdf</t>
  </si>
  <si>
    <t>Melting_Curves/meltCurve_sp_Q9UK99_FBX3_HUMAN_.pdf</t>
  </si>
  <si>
    <t>Melting_Curves/meltCurve_sp_Q9UKA4_AKA11_HUMAN_.pdf</t>
  </si>
  <si>
    <t>Melting_Curves/meltCurve_sp_Q9UKB3_DJC12_HUMAN_.pdf</t>
  </si>
  <si>
    <t>Melting_Curves/meltCurve_sp_Q9UKE5_8_TNIK_HUMAN_.pdf</t>
  </si>
  <si>
    <t>Melting_Curves/meltCurve_sp_Q9UKF6_CPSF3_HUMAN_.pdf</t>
  </si>
  <si>
    <t>Melting_Curves/meltCurve_sp_Q9UKG1_DP13A_HUMAN_.pdf</t>
  </si>
  <si>
    <t>Melting_Curves/meltCurve_sp_Q9UKG9_OCTC_HUMAN_.pdf</t>
  </si>
  <si>
    <t>Melting_Curves/meltCurve_sp_Q9UKJ3_GPTC8_HUMAN_.pdf</t>
  </si>
  <si>
    <t>Melting_Curves/meltCurve_sp_Q9UKK9_NUDT5_HUMAN_.pdf</t>
  </si>
  <si>
    <t>Melting_Curves/meltCurve_sp_Q9UKL0_RCOR1_HUMAN_.pdf</t>
  </si>
  <si>
    <t>Melting_Curves/meltCurve_sp_Q9UKL6_PPCT_HUMAN_.pdf</t>
  </si>
  <si>
    <t>Melting_Curves/meltCurve_sp_Q9UKN8_TF3C4_HUMAN_.pdf</t>
  </si>
  <si>
    <t>Melting_Curves/meltCurve_sp_Q9UKS6_PACN3_HUMAN_.pdf</t>
  </si>
  <si>
    <t>Melting_Curves/meltCurve_sp_Q9UKT5_FBX4_HUMAN_.pdf</t>
  </si>
  <si>
    <t>Melting_Curves/meltCurve_sp_Q9UKU7_ACAD8_HUMAN_.pdf</t>
  </si>
  <si>
    <t>Melting_Curves/meltCurve_sp_Q9UKV8_AGO2_HUMAN_.pdf</t>
  </si>
  <si>
    <t>Melting_Curves/meltCurve_sp_Q9UKX7_NUP50_HUMAN_.pdf</t>
  </si>
  <si>
    <t>Melting_Curves/meltCurve_sp_Q9UKY1_ZHX1_HUMAN_.pdf</t>
  </si>
  <si>
    <t>Melting_Curves/meltCurve_sp_Q9UKY7_2_CDV3_HUMAN_.pdf</t>
  </si>
  <si>
    <t>Melting_Curves/meltCurve_sp_Q9UKZ1_CNO11_HUMAN_.pdf</t>
  </si>
  <si>
    <t>Melting_Curves/meltCurve_sp_Q9UL12_SARDH_HUMAN_.pdf</t>
  </si>
  <si>
    <t>Melting_Curves/meltCurve_sp_Q9UL25_RAB21_HUMAN_.pdf</t>
  </si>
  <si>
    <t>Melting_Curves/meltCurve_sp_Q9UL33_2_TPC2L_HUMAN_.pdf</t>
  </si>
  <si>
    <t>Melting_Curves/meltCurve_sp_Q9UL42_PNMA2_HUMAN_.pdf</t>
  </si>
  <si>
    <t>Melting_Curves/meltCurve_sp_Q9UL46_PSME2_HUMAN_.pdf</t>
  </si>
  <si>
    <t>Melting_Curves/meltCurve_sp_Q9ULA0_DNPEP_HUMAN_.pdf</t>
  </si>
  <si>
    <t>Melting_Curves/meltCurve_sp_Q9ULC4_MCTS1_HUMAN_.pdf</t>
  </si>
  <si>
    <t>Melting_Curves/meltCurve_sp_Q9ULC5_ACSL5_HUMAN_.pdf</t>
  </si>
  <si>
    <t>Melting_Curves/meltCurve_sp_Q9ULD0_OGDHL_HUMAN_.pdf</t>
  </si>
  <si>
    <t>Melting_Curves/meltCurve_sp_Q9ULD2_2_MTUS1_HUMAN_.pdf</t>
  </si>
  <si>
    <t>Melting_Curves/meltCurve_sp_Q9ULH7_4_MKL2_HUMAN_.pdf</t>
  </si>
  <si>
    <t>Melting_Curves/meltCurve_sp_Q9ULJ6_ZMIZ1_HUMAN_.pdf</t>
  </si>
  <si>
    <t>Melting_Curves/meltCurve_sp_Q9ULP9_2_TBC24_HUMAN_.pdf</t>
  </si>
  <si>
    <t>Melting_Curves/meltCurve_sp_Q9ULR5_PAI2B_HUMAN_.pdf</t>
  </si>
  <si>
    <t>Melting_Curves/meltCurve_sp_Q9ULT8_HECD1_HUMAN_.pdf</t>
  </si>
  <si>
    <t>Melting_Curves/meltCurve_sp_Q9ULU4_4_PKCB1_HUMAN_.pdf</t>
  </si>
  <si>
    <t>Melting_Curves/meltCurve_sp_Q9ULV4_COR1C_HUMAN_.pdf</t>
  </si>
  <si>
    <t>Melting_Curves/meltCurve_sp_Q9ULW0_TPX2_HUMAN_.pdf</t>
  </si>
  <si>
    <t>Melting_Curves/meltCurve_sp_Q9ULZ3_2_ASC_HUMAN_.pdf</t>
  </si>
  <si>
    <t>Melting_Curves/meltCurve_sp_Q9UMN6_MLL4_HUMAN_.pdf</t>
  </si>
  <si>
    <t>Melting_Curves/meltCurve_sp_Q9UMS0_3_NFU1_HUMAN_.pdf</t>
  </si>
  <si>
    <t>Melting_Curves/meltCurve_sp_Q9UMS4_PRP19_HUMAN_.pdf</t>
  </si>
  <si>
    <t>Melting_Curves/meltCurve_sp_Q9UMX0_2_UBQL1_HUMAN_.pdf</t>
  </si>
  <si>
    <t>Melting_Curves/meltCurve_sp_Q9UMX5_NENF_HUMAN_.pdf</t>
  </si>
  <si>
    <t>Melting_Curves/meltCurve_sp_Q9UMY4_2_SNX12_HUMAN_.pdf</t>
  </si>
  <si>
    <t>Melting_Curves/meltCurve_sp_Q9UMZ2_6_SYNRG_HUMAN_.pdf</t>
  </si>
  <si>
    <t>Melting_Curves/meltCurve_sp_Q9UN36_NDRG2_HUMAN_.pdf</t>
  </si>
  <si>
    <t>Melting_Curves/meltCurve_sp_Q9UN86_2_G3BP2_HUMAN_.pdf</t>
  </si>
  <si>
    <t>Melting_Curves/meltCurve_sp_Q9UNE7_CHIP_HUMAN_.pdf</t>
  </si>
  <si>
    <t>Melting_Curves/meltCurve_sp_Q9UNF0_PACN2_HUMAN_.pdf</t>
  </si>
  <si>
    <t>Melting_Curves/meltCurve_sp_Q9UNF1_MAGD2_HUMAN_.pdf</t>
  </si>
  <si>
    <t>Melting_Curves/meltCurve_sp_Q9UNH6_SNX7_HUMAN_.pdf</t>
  </si>
  <si>
    <t>Melting_Curves/meltCurve_sp_Q9UNH7_SNX6_HUMAN_.pdf</t>
  </si>
  <si>
    <t>Melting_Curves/meltCurve_sp_Q9UNM6_PSD13_HUMAN_.pdf</t>
  </si>
  <si>
    <t>Melting_Curves/meltCurve_sp_Q9UNN5_FAF1_HUMAN_.pdf</t>
  </si>
  <si>
    <t>Melting_Curves/meltCurve_sp_Q9UNS2_CSN3_HUMAN_.pdf</t>
  </si>
  <si>
    <t>Melting_Curves/meltCurve_sp_Q9UNW1_MINP1_HUMAN_.pdf</t>
  </si>
  <si>
    <t>Melting_Curves/meltCurve_sp_Q9UNZ2_NSF1C_HUMAN_.pdf</t>
  </si>
  <si>
    <t>Melting_Curves/meltCurve_sp_Q9UP83_COG5_HUMAN_.pdf</t>
  </si>
  <si>
    <t>Melting_Curves/meltCurve_sp_Q9UPN6_SCAF8_HUMAN_.pdf</t>
  </si>
  <si>
    <t>Melting_Curves/meltCurve_sp_Q9UPN7_PP6R1_HUMAN_.pdf</t>
  </si>
  <si>
    <t>Melting_Curves/meltCurve_sp_Q9UPP1_4_PHF8_HUMAN_.pdf</t>
  </si>
  <si>
    <t>Melting_Curves/meltCurve_sp_Q9UPQ3_2_AGAP1_HUMAN_.pdf</t>
  </si>
  <si>
    <t>Melting_Curves/meltCurve_sp_Q9UPQ9_1_TNR6B_HUMAN_.pdf</t>
  </si>
  <si>
    <t>Melting_Curves/meltCurve_sp_Q9UPR0_PLCL2_HUMAN_.pdf</t>
  </si>
  <si>
    <t>Melting_Curves/meltCurve_sp_Q9UPT5_2_EXOC7_HUMAN_.pdf</t>
  </si>
  <si>
    <t>Melting_Curves/meltCurve_sp_Q9UPT8_ZC3H4_HUMAN_.pdf</t>
  </si>
  <si>
    <t>Melting_Curves/meltCurve_sp_Q9UPU5_UBP24_HUMAN_.pdf</t>
  </si>
  <si>
    <t>Melting_Curves/meltCurve_sp_Q9UPU7_TBD2B_HUMAN_.pdf</t>
  </si>
  <si>
    <t>Melting_Curves/meltCurve_sp_Q9UPX8_3_SHAN2_HUMAN_.pdf</t>
  </si>
  <si>
    <t>Melting_Curves/meltCurve_sp_Q9UPY3_DICER_HUMAN_.pdf</t>
  </si>
  <si>
    <t>Melting_Curves/meltCurve_sp_Q9UPY8_2_MARE3_HUMAN_.pdf</t>
  </si>
  <si>
    <t>Melting_Curves/meltCurve_sp_Q9UQ13_2_SHOC2_HUMAN_.pdf</t>
  </si>
  <si>
    <t>Melting_Curves/meltCurve_sp_Q9UQ35_SRRM2_HUMAN_.pdf</t>
  </si>
  <si>
    <t>Melting_Curves/meltCurve_sp_Q9UQ80_PA2G4_HUMAN_.pdf</t>
  </si>
  <si>
    <t>Melting_Curves/meltCurve_sp_Q9UQB8_5_BAIP2_HUMAN_.pdf</t>
  </si>
  <si>
    <t>Melting_Curves/meltCurve_sp_Q9UQE7_SMC3_HUMAN_.pdf</t>
  </si>
  <si>
    <t>Melting_Curves/meltCurve_sp_Q9Y217_MTMR6_HUMAN_.pdf</t>
  </si>
  <si>
    <t>Melting_Curves/meltCurve_sp_Q9Y223_2_GLCNE_HUMAN_.pdf</t>
  </si>
  <si>
    <t>Melting_Curves/meltCurve_sp_Q9Y224_CN166_HUMAN_.pdf</t>
  </si>
  <si>
    <t>Melting_Curves/meltCurve_sp_Q9Y230_RUVB2_HUMAN_.pdf</t>
  </si>
  <si>
    <t>Melting_Curves/meltCurve_sp_Q9Y237_PIN4_HUMAN_.pdf</t>
  </si>
  <si>
    <t>Melting_Curves/meltCurve_sp_Q9Y259_CHKB_HUMAN_.pdf</t>
  </si>
  <si>
    <t>Melting_Curves/meltCurve_sp_Q9Y262_EIF3L_HUMAN_.pdf</t>
  </si>
  <si>
    <t>Melting_Curves/meltCurve_sp_Q9Y263_PLAP_HUMAN_.pdf</t>
  </si>
  <si>
    <t>Melting_Curves/meltCurve_sp_Q9Y265_RUVB1_HUMAN_.pdf</t>
  </si>
  <si>
    <t>Melting_Curves/meltCurve_sp_Q9Y266_NUDC_HUMAN_.pdf</t>
  </si>
  <si>
    <t>Melting_Curves/meltCurve_sp_Q9Y281_COF2_HUMAN_.pdf</t>
  </si>
  <si>
    <t>Melting_Curves/meltCurve_sp_Q9Y294_ASF1A_HUMAN_.pdf</t>
  </si>
  <si>
    <t>Melting_Curves/meltCurve_sp_Q9Y295_DRG1_HUMAN_.pdf</t>
  </si>
  <si>
    <t>Melting_Curves/meltCurve_sp_Q9Y296_TPPC4_HUMAN_.pdf</t>
  </si>
  <si>
    <t>Melting_Curves/meltCurve_sp_Q9Y2A7_NCKP1_HUMAN_.pdf</t>
  </si>
  <si>
    <t>Melting_Curves/meltCurve_sp_Q9Y2B0_CNPY2_HUMAN_.pdf</t>
  </si>
  <si>
    <t>Melting_Curves/meltCurve_sp_Q9Y2D4_EXC6B_HUMAN_.pdf</t>
  </si>
  <si>
    <t>Melting_Curves/meltCurve_sp_Q9Y2D5_6_AKAP2_HUMAN_.pdf</t>
  </si>
  <si>
    <t>Melting_Curves/meltCurve_sp_Q9Y2E4_DIP2C_HUMAN_.pdf</t>
  </si>
  <si>
    <t>Melting_Curves/meltCurve_sp_Q9Y2I1_4_NISCH_HUMAN_.pdf</t>
  </si>
  <si>
    <t>Melting_Curves/meltCurve_sp_Q9Y2J2_2_E41L3_HUMAN_.pdf</t>
  </si>
  <si>
    <t>Melting_Curves/meltCurve_sp_Q9Y2K7_4_KDM2A_HUMAN_.pdf</t>
  </si>
  <si>
    <t>Melting_Curves/meltCurve_sp_Q9Y2L1_RRP44_HUMAN_.pdf</t>
  </si>
  <si>
    <t>Melting_Curves/meltCurve_sp_Q9Y2P5_S27A5_HUMAN_.pdf</t>
  </si>
  <si>
    <t>Melting_Curves/meltCurve_sp_Q9Y2Q3_GSTK1_HUMAN_.pdf</t>
  </si>
  <si>
    <t>Melting_Curves/meltCurve_sp_Q9Y2Q5_LTOR2_HUMAN_.pdf</t>
  </si>
  <si>
    <t>Melting_Curves/meltCurve_sp_Q9Y2R9_RT07_HUMAN_.pdf</t>
  </si>
  <si>
    <t>Melting_Curves/meltCurve_sp_Q9Y2S2_CRYL1_HUMAN_.pdf</t>
  </si>
  <si>
    <t>Melting_Curves/meltCurve_sp_Q9Y2S6_TMA7_HUMAN_.pdf</t>
  </si>
  <si>
    <t>Melting_Curves/meltCurve_sp_Q9Y2S7_PDIP2_HUMAN_.pdf</t>
  </si>
  <si>
    <t>Melting_Curves/meltCurve_sp_Q9Y2T2_AP3M1_HUMAN_.pdf</t>
  </si>
  <si>
    <t>Melting_Curves/meltCurve_sp_Q9Y2T3_3_GUAD_HUMAN_.pdf</t>
  </si>
  <si>
    <t>Melting_Curves/meltCurve_sp_Q9Y2U5_M3K2_HUMAN_.pdf</t>
  </si>
  <si>
    <t>Melting_Curves/meltCurve_sp_Q9Y2U8_MAN1_HUMAN_.pdf</t>
  </si>
  <si>
    <t>Melting_Curves/meltCurve_sp_Q9Y2V2_CHSP1_HUMAN_.pdf</t>
  </si>
  <si>
    <t>Melting_Curves/meltCurve_sp_Q9Y2V7_COG6_HUMAN_.pdf</t>
  </si>
  <si>
    <t>Melting_Curves/meltCurve_sp_Q9Y2W1_TR150_HUMAN_.pdf</t>
  </si>
  <si>
    <t>Melting_Curves/meltCurve_sp_Q9Y2X3_NOP58_HUMAN_.pdf</t>
  </si>
  <si>
    <t>Melting_Curves/meltCurve_sp_Q9Y2X7_GIT1_HUMAN_.pdf</t>
  </si>
  <si>
    <t>Melting_Curves/meltCurve_sp_Q9Y2Z0_SUGT1_HUMAN_.pdf</t>
  </si>
  <si>
    <t>Melting_Curves/meltCurve_sp_Q9Y2Z2_5_MTO1_HUMAN_.pdf</t>
  </si>
  <si>
    <t>Melting_Curves/meltCurve_sp_Q9Y2Z4_SYYM_HUMAN_.pdf</t>
  </si>
  <si>
    <t>Melting_Curves/meltCurve_sp_Q9Y2Z9_3_COQ6_HUMAN_.pdf</t>
  </si>
  <si>
    <t>Melting_Curves/meltCurve_sp_Q9Y303_NAGA_HUMAN_.pdf</t>
  </si>
  <si>
    <t>Melting_Curves/meltCurve_sp_Q9Y305_ACOT9_HUMAN_.pdf</t>
  </si>
  <si>
    <t>Melting_Curves/meltCurve_sp_Q9Y314_NOSIP_HUMAN_.pdf</t>
  </si>
  <si>
    <t>Melting_Curves/meltCurve_sp_Q9Y315_DEOC_HUMAN_.pdf</t>
  </si>
  <si>
    <t>Melting_Curves/meltCurve_sp_Q9Y316_MEMO1_HUMAN_.pdf</t>
  </si>
  <si>
    <t>Melting_Curves/meltCurve_sp_Q9Y371_SHLB1_HUMAN_.pdf</t>
  </si>
  <si>
    <t>Melting_Curves/meltCurve_sp_Q9Y376_CAB39_HUMAN_.pdf</t>
  </si>
  <si>
    <t>Melting_Curves/meltCurve_sp_Q9Y383_LC7L2_HUMAN_.pdf</t>
  </si>
  <si>
    <t>Melting_Curves/meltCurve_sp_Q9Y399_RT02_HUMAN_.pdf</t>
  </si>
  <si>
    <t>Melting_Curves/meltCurve_sp_Q9Y3A3_2_PHOCN_HUMAN_.pdf</t>
  </si>
  <si>
    <t>Melting_Curves/meltCurve_sp_Q9Y3A5_SBDS_HUMAN_.pdf</t>
  </si>
  <si>
    <t>Melting_Curves/meltCurve_sp_Q9Y3B9_RRP15_HUMAN_.pdf</t>
  </si>
  <si>
    <t>Melting_Curves/meltCurve_sp_Q9Y3C1_NOP16_HUMAN_.pdf</t>
  </si>
  <si>
    <t>Melting_Curves/meltCurve_sp_Q9Y3C4_2_TPRKB_HUMAN_.pdf</t>
  </si>
  <si>
    <t>Melting_Curves/meltCurve_sp_Q9Y3C6_PPIL1_HUMAN_.pdf</t>
  </si>
  <si>
    <t>Melting_Curves/meltCurve_sp_Q9Y3C8_UFC1_HUMAN_.pdf</t>
  </si>
  <si>
    <t>Melting_Curves/meltCurve_sp_Q9Y3D0_MIP18_HUMAN_.pdf</t>
  </si>
  <si>
    <t>Melting_Curves/meltCurve_sp_Q9Y3D2_MSRB2_HUMAN_.pdf</t>
  </si>
  <si>
    <t>Melting_Curves/meltCurve_sp_Q9Y3D6_FIS1_HUMAN_.pdf</t>
  </si>
  <si>
    <t>Melting_Curves/meltCurve_sp_Q9Y3D8_2_KAD6_HUMAN_.pdf</t>
  </si>
  <si>
    <t>Melting_Curves/meltCurve_sp_Q9Y3D9_RT23_HUMAN_.pdf</t>
  </si>
  <si>
    <t>Melting_Curves/meltCurve_sp_Q9Y3E2_BOLA1_HUMAN_.pdf</t>
  </si>
  <si>
    <t>Melting_Curves/meltCurve_sp_Q9Y3F4_STRAP_HUMAN_.pdf</t>
  </si>
  <si>
    <t>Melting_Curves/meltCurve_sp_Q9Y3I0_RTCB_HUMAN_.pdf</t>
  </si>
  <si>
    <t>Melting_Curves/meltCurve_sp_Q9Y3I1_FBX7_HUMAN_.pdf</t>
  </si>
  <si>
    <t>Melting_Curves/meltCurve_sp_Q9Y3L5_RAP2C_HUMAN_.pdf</t>
  </si>
  <si>
    <t>Melting_Curves/meltCurve_sp_Q9Y3P9_RBGP1_HUMAN_.pdf</t>
  </si>
  <si>
    <t>Melting_Curves/meltCurve_sp_Q9Y3R5_2_DOP2_HUMAN_.pdf</t>
  </si>
  <si>
    <t>Melting_Curves/meltCurve_sp_Q9Y3S2_ZN330_HUMAN_.pdf</t>
  </si>
  <si>
    <t>Melting_Curves/meltCurve_sp_Q9Y3X0_CCDC9_HUMAN_.pdf</t>
  </si>
  <si>
    <t>Melting_Curves/meltCurve_sp_Q9Y3Y2_4_CHTOP_HUMAN_.pdf</t>
  </si>
  <si>
    <t>Melting_Curves/meltCurve_sp_Q9Y3Z3_SAMH1_HUMAN_.pdf</t>
  </si>
  <si>
    <t>Melting_Curves/meltCurve_sp_Q9Y450_4_HBS1L_HUMAN_.pdf</t>
  </si>
  <si>
    <t>Melting_Curves/meltCurve_sp_Q9Y478_AAKB1_HUMAN_.pdf</t>
  </si>
  <si>
    <t>Melting_Curves/meltCurve_sp_Q9Y490_TLN1_HUMAN_.pdf</t>
  </si>
  <si>
    <t>Melting_Curves/meltCurve_sp_Q9Y4B6_3_VPRBP_HUMAN_.pdf</t>
  </si>
  <si>
    <t>Melting_Curves/meltCurve_sp_Q9Y4C2_2_F115A_HUMAN_.pdf</t>
  </si>
  <si>
    <t>Melting_Curves/meltCurve_sp_Q9Y4E8_2_UBP15_HUMAN_.pdf</t>
  </si>
  <si>
    <t>Melting_Curves/meltCurve_sp_Q9Y4F1_FARP1_HUMAN_.pdf</t>
  </si>
  <si>
    <t>Melting_Curves/meltCurve_sp_Q9Y4G6_TLN2_HUMAN_.pdf</t>
  </si>
  <si>
    <t>Melting_Curves/meltCurve_sp_Q9Y4H2_IRS2_HUMAN_.pdf</t>
  </si>
  <si>
    <t>Melting_Curves/meltCurve_sp_Q9Y4I1_2_MYO5A_HUMAN_.pdf</t>
  </si>
  <si>
    <t>Melting_Curves/meltCurve_sp_Q9Y4K1_AIM1_HUMAN_.pdf</t>
  </si>
  <si>
    <t>Melting_Curves/meltCurve_sp_Q9Y4K3_TRAF6_HUMAN_.pdf</t>
  </si>
  <si>
    <t>Melting_Curves/meltCurve_sp_Q9Y4K4_M4K5_HUMAN_.pdf</t>
  </si>
  <si>
    <t>Melting_Curves/meltCurve_sp_Q9Y4P8_4_WIPI2_HUMAN_.pdf</t>
  </si>
  <si>
    <t>Melting_Curves/meltCurve_sp_Q9Y4U1_MMAC_HUMAN_.pdf</t>
  </si>
  <si>
    <t>Melting_Curves/meltCurve_sp_Q9Y4W6_AFG32_HUMAN_.pdf</t>
  </si>
  <si>
    <t>Melting_Curves/meltCurve_sp_Q9Y4X4_KLF12_HUMAN_.pdf</t>
  </si>
  <si>
    <t>Melting_Curves/meltCurve_sp_Q9Y4X5_ARI1_HUMAN_.pdf</t>
  </si>
  <si>
    <t>Melting_Curves/meltCurve_sp_Q9Y4Z0_LSM4_HUMAN_.pdf</t>
  </si>
  <si>
    <t>Melting_Curves/meltCurve_sp_Q9Y508_RN114_HUMAN_.pdf</t>
  </si>
  <si>
    <t>Melting_Curves/meltCurve_sp_Q9Y520_4_PRC2C_HUMAN_.pdf</t>
  </si>
  <si>
    <t>Melting_Curves/meltCurve_sp_Q9Y547_HSB11_HUMAN_.pdf</t>
  </si>
  <si>
    <t>Melting_Curves/meltCurve_sp_Q9Y570_PPME1_HUMAN_.pdf</t>
  </si>
  <si>
    <t>Melting_Curves/meltCurve_sp_Q9Y597_2_KCTD3_HUMAN_.pdf</t>
  </si>
  <si>
    <t>Melting_Curves/meltCurve_sp_Q9Y5A7_2_NUB1_HUMAN_.pdf</t>
  </si>
  <si>
    <t>Melting_Curves/meltCurve_sp_Q9Y5A9_2_YTHD2_HUMAN_.pdf</t>
  </si>
  <si>
    <t>Melting_Curves/meltCurve_sp_Q9Y5B0_CTDP1_HUMAN_.pdf</t>
  </si>
  <si>
    <t>Melting_Curves/meltCurve_sp_Q9Y5B9_SP16H_HUMAN_.pdf</t>
  </si>
  <si>
    <t>Melting_Curves/meltCurve_sp_Q9Y5J7_TIM9_HUMAN_.pdf</t>
  </si>
  <si>
    <t>Melting_Curves/meltCurve_sp_Q9Y5K5_2_UCHL5_HUMAN_.pdf</t>
  </si>
  <si>
    <t>Melting_Curves/meltCurve_sp_Q9Y5K6_CD2AP_HUMAN_.pdf</t>
  </si>
  <si>
    <t>Melting_Curves/meltCurve_sp_Q9Y5K8_VATD_HUMAN_.pdf</t>
  </si>
  <si>
    <t>Melting_Curves/meltCurve_sp_Q9Y5L0_TNPO3_HUMAN_.pdf</t>
  </si>
  <si>
    <t>Melting_Curves/meltCurve_sp_Q9Y5L4_TIM13_HUMAN_.pdf</t>
  </si>
  <si>
    <t>Melting_Curves/meltCurve_sp_Q9Y5N5_HEMK2_HUMAN_.pdf</t>
  </si>
  <si>
    <t>Melting_Curves/meltCurve_sp_Q9Y5P4_2_C43BP_HUMAN_.pdf</t>
  </si>
  <si>
    <t>Melting_Curves/meltCurve_sp_Q9Y5P6_GMPPB_HUMAN_.pdf</t>
  </si>
  <si>
    <t>Melting_Curves/meltCurve_sp_Q9Y5Q9_TF3C3_HUMAN_.pdf</t>
  </si>
  <si>
    <t>Melting_Curves/meltCurve_sp_Q9Y5R8_TPPC1_HUMAN_.pdf</t>
  </si>
  <si>
    <t>Melting_Curves/meltCurve_sp_Q9Y5S2_MRCKB_HUMAN_.pdf</t>
  </si>
  <si>
    <t>Melting_Curves/meltCurve_sp_Q9Y5S9_RBM8A_HUMAN_.pdf</t>
  </si>
  <si>
    <t>Melting_Curves/meltCurve_sp_Q9Y5U2_2_TSSC4_HUMAN_.pdf</t>
  </si>
  <si>
    <t>Melting_Curves/meltCurve_sp_Q9Y5V0_ZN706_HUMAN_.pdf</t>
  </si>
  <si>
    <t>Melting_Curves/meltCurve_sp_Q9Y5X1_SNX9_HUMAN_.pdf</t>
  </si>
  <si>
    <t>Melting_Curves/meltCurve_sp_Q9Y5X2_SNX8_HUMAN_.pdf</t>
  </si>
  <si>
    <t>Melting_Curves/meltCurve_sp_Q9Y5X3_SNX5_HUMAN_.pdf</t>
  </si>
  <si>
    <t>Melting_Curves/meltCurve_sp_Q9Y5Y2_NUBP2_HUMAN_.pdf</t>
  </si>
  <si>
    <t>Melting_Curves/meltCurve_sp_Q9Y5Z4_HEBP2_HUMAN_.pdf</t>
  </si>
  <si>
    <t>Melting_Curves/meltCurve_sp_Q9Y600_2_CSAD_HUMAN_.pdf</t>
  </si>
  <si>
    <t>Melting_Curves/meltCurve_sp_Q9Y608_4_LRRF2_HUMAN_.pdf</t>
  </si>
  <si>
    <t>Melting_Curves/meltCurve_sp_Q9Y617_SERC_HUMAN_.pdf</t>
  </si>
  <si>
    <t>Melting_Curves/meltCurve_sp_Q9Y646_CBPQ_HUMAN_.pdf</t>
  </si>
  <si>
    <t>Melting_Curves/meltCurve_sp_Q9Y678_COPG1_HUMAN_.pdf</t>
  </si>
  <si>
    <t>Melting_Curves/meltCurve_sp_Q9Y680_3_FKBP7_HUMAN_.pdf</t>
  </si>
  <si>
    <t>Melting_Curves/meltCurve_sp_Q9Y696_CLIC4_HUMAN_.pdf</t>
  </si>
  <si>
    <t>Melting_Curves/meltCurve_sp_Q9Y697_2_NFS1_HUMAN_.pdf</t>
  </si>
  <si>
    <t>Melting_Curves/meltCurve_sp_Q9Y6A4_CP080_HUMAN_.pdf</t>
  </si>
  <si>
    <t>Melting_Curves/meltCurve_sp_Q9Y6D5_BIG2_HUMAN_.pdf</t>
  </si>
  <si>
    <t>Melting_Curves/meltCurve_sp_Q9Y6D6_BIG1_HUMAN_.pdf</t>
  </si>
  <si>
    <t>Melting_Curves/meltCurve_sp_Q9Y6D9_MD1L1_HUMAN_.pdf</t>
  </si>
  <si>
    <t>Melting_Curves/meltCurve_sp_Q9Y6G5_COMDA_HUMAN_.pdf</t>
  </si>
  <si>
    <t>Melting_Curves/meltCurve_sp_Q9Y6G9_DC1L1_HUMAN_.pdf</t>
  </si>
  <si>
    <t>Melting_Curves/meltCurve_sp_Q9Y6H1_CHCH2_HUMAN_.pdf</t>
  </si>
  <si>
    <t>Melting_Curves/meltCurve_sp_Q9Y6I3_3_EPN1_HUMAN_.pdf</t>
  </si>
  <si>
    <t>Melting_Curves/meltCurve_sp_Q9Y6I9_TX264_HUMAN_.pdf</t>
  </si>
  <si>
    <t>Melting_Curves/meltCurve_sp_Q9Y6K5_OAS3_HUMAN_.pdf</t>
  </si>
  <si>
    <t>Melting_Curves/meltCurve_sp_Q9Y6K9_NEMO_HUMAN_.pdf</t>
  </si>
  <si>
    <t>Melting_Curves/meltCurve_sp_Q9Y6M5_ZNT1_HUMAN_.pdf</t>
  </si>
  <si>
    <t>Melting_Curves/meltCurve_sp_Q9Y6N5_SQRD_HUMAN_.pdf</t>
  </si>
  <si>
    <t>Melting_Curves/meltCurve_sp_Q9Y6P5_SESN1_HUMAN_.pdf</t>
  </si>
  <si>
    <t>Melting_Curves/meltCurve_sp_Q9Y6V0_2_PCLO_HUMAN_.pdf</t>
  </si>
  <si>
    <t>Melting_Curves/meltCurve_sp_Q9Y6W3_CAN7_HUMAN_.pdf</t>
  </si>
  <si>
    <t>Melting_Curves/meltCurve_sp_Q9Y6W5_WASF2_HUMAN_.pdf</t>
  </si>
  <si>
    <t>Melting_Curves/meltCurve_sp_Q9Y6X5_ENPP4_HUMAN_.pdf</t>
  </si>
  <si>
    <t>Melting_Curves/meltCurve_sp_Q9Y6X8_ZHX2_HUMAN_.pdf</t>
  </si>
  <si>
    <t>Melting_Curves/meltCurve_sp_Q9Y6X9_2_MORC2_HUMAN_.pdf</t>
  </si>
  <si>
    <t>Melting_Curves/meltCurve_tr_A1A5A8_A1A5A8_HUMAN_.pdf</t>
  </si>
  <si>
    <t>Melting_Curves/meltCurve_tr_A1BQX2_A1BQX2_HUMAN_.pdf</t>
  </si>
  <si>
    <t>Melting_Curves/meltCurve_tr_A2ACR1_A2ACR1_HUMAN_.pdf</t>
  </si>
  <si>
    <t>Melting_Curves/meltCurve_tr_A6H8Z3_A6H8Z3_HUMAN_.pdf</t>
  </si>
  <si>
    <t>Melting_Curves/meltCurve_tr_A6ND22_A6ND22_HUMAN_.pdf</t>
  </si>
  <si>
    <t>Melting_Curves/meltCurve_tr_A6NDT1_A6NDT1_HUMAN_.pdf</t>
  </si>
  <si>
    <t>Melting_Curves/meltCurve_tr_A6NG64_A6NG64_HUMAN_.pdf</t>
  </si>
  <si>
    <t>Melting_Curves/meltCurve_tr_A6NG79_A6NG79_HUMAN_.pdf</t>
  </si>
  <si>
    <t>Melting_Curves/meltCurve_tr_A6NGP5_A6NGP5_HUMAN_.pdf</t>
  </si>
  <si>
    <t>Melting_Curves/meltCurve_tr_A6NJX6_A6NJX6_HUMAN_.pdf</t>
  </si>
  <si>
    <t>Melting_Curves/meltCurve_tr_A6NKZ2_A6NKZ2_HUMAN_.pdf</t>
  </si>
  <si>
    <t>Melting_Curves/meltCurve_tr_A6NML8_A6NML8_HUMAN_.pdf</t>
  </si>
  <si>
    <t>Melting_Curves/meltCurve_tr_A6NN40_A6NN40_HUMAN_.pdf</t>
  </si>
  <si>
    <t>Melting_Curves/meltCurve_tr_A6ZJ12_A6ZJ12_HUMAN_.pdf</t>
  </si>
  <si>
    <t>Melting_Curves/meltCurve_tr_A8CTX8_A8CTX8_HUMAN_.pdf</t>
  </si>
  <si>
    <t>Melting_Curves/meltCurve_tr_A8MQB8_A8MQB8_HUMAN_.pdf</t>
  </si>
  <si>
    <t>Melting_Curves/meltCurve_tr_A8MTY9_A8MTY9_HUMAN_.pdf</t>
  </si>
  <si>
    <t>Melting_Curves/meltCurve_tr_A8MU28_A8MU28_HUMAN_.pdf</t>
  </si>
  <si>
    <t>Melting_Curves/meltCurve_tr_A8MU44_A8MU44_HUMAN_.pdf</t>
  </si>
  <si>
    <t>Melting_Curves/meltCurve_tr_A8MUB1_A8MUB1_HUMAN_.pdf</t>
  </si>
  <si>
    <t>Melting_Curves/meltCurve_tr_A8MVQ8_A8MVQ8_HUMAN_.pdf</t>
  </si>
  <si>
    <t>Melting_Curves/meltCurve_tr_A8MWK3_A8MWK3_HUMAN_.pdf</t>
  </si>
  <si>
    <t>Melting_Curves/meltCurve_tr_A8MWR6_A8MWR6_HUMAN_.pdf</t>
  </si>
  <si>
    <t>Melting_Curves/meltCurve_tr_A8MXP9_A8MXP9_HUMAN_.pdf</t>
  </si>
  <si>
    <t>Melting_Curves/meltCurve_tr_A8MYC1_A8MYC1_HUMAN_.pdf</t>
  </si>
  <si>
    <t>Melting_Curves/meltCurve_tr_A8MYV2_A8MYV2_HUMAN_.pdf</t>
  </si>
  <si>
    <t>Melting_Curves/meltCurve_tr_A9Z1X7_A9Z1X7_HUMAN_.pdf</t>
  </si>
  <si>
    <t>Melting_Curves/meltCurve_tr_B0FLL2_B0FLL2_HUMAN_.pdf</t>
  </si>
  <si>
    <t>Melting_Curves/meltCurve_tr_B0UX83_B0UX83_HUMAN_.pdf</t>
  </si>
  <si>
    <t>Melting_Curves/meltCurve_tr_B1AJY7_B1AJY7_HUMAN_.pdf</t>
  </si>
  <si>
    <t>Melting_Curves/meltCurve_tr_B1AK87_B1AK87_HUMAN_.pdf</t>
  </si>
  <si>
    <t>Melting_Curves/meltCurve_tr_B1AKL4_B1AKL4_HUMAN_.pdf</t>
  </si>
  <si>
    <t>Melting_Curves/meltCurve_tr_B1AKN7_B1AKN7_HUMAN_.pdf</t>
  </si>
  <si>
    <t>Melting_Curves/meltCurve_tr_B1AKV3_B1AKV3_HUMAN_.pdf</t>
  </si>
  <si>
    <t>Melting_Curves/meltCurve_tr_B1AKZ5_B1AKZ5_HUMAN_.pdf</t>
  </si>
  <si>
    <t>Melting_Curves/meltCurve_tr_B1AL33_B1AL33_HUMAN_.pdf</t>
  </si>
  <si>
    <t>Melting_Curves/meltCurve_tr_B1AL69_B1AL69_HUMAN_.pdf</t>
  </si>
  <si>
    <t>Melting_Curves/meltCurve_tr_B1ALB7_B1ALB7_HUMAN_.pdf</t>
  </si>
  <si>
    <t>Melting_Curves/meltCurve_tr_B1ALY0_B1ALY0_HUMAN_.pdf</t>
  </si>
  <si>
    <t>Melting_Curves/meltCurve_tr_B1ANH0_B1ANH0_HUMAN_.pdf</t>
  </si>
  <si>
    <t>Melting_Curves/meltCurve_tr_B1AT46_B1AT46_HUMAN_.pdf</t>
  </si>
  <si>
    <t>Melting_Curves/meltCurve_tr_B2WTI3_B2WTI3_HUMAN_.pdf</t>
  </si>
  <si>
    <t>Melting_Curves/meltCurve_tr_B3KRS5_B3KRS5_HUMAN_.pdf</t>
  </si>
  <si>
    <t>Melting_Curves/meltCurve_tr_B3KSI9_B3KSI9_HUMAN_.pdf</t>
  </si>
  <si>
    <t>Melting_Curves/meltCurve_tr_B3KVH8_B3KVH8_HUMAN_.pdf</t>
  </si>
  <si>
    <t>Melting_Curves/meltCurve_tr_B3KY83_B3KY83_HUMAN_.pdf</t>
  </si>
  <si>
    <t>Melting_Curves/meltCurve_tr_B4DDD1_B4DDD1_HUMAN_.pdf</t>
  </si>
  <si>
    <t>Melting_Curves/meltCurve_tr_B4DDF4_B4DDF4_HUMAN_.pdf</t>
  </si>
  <si>
    <t>Melting_Curves/meltCurve_tr_B4DDZ0_B4DDZ0_HUMAN_.pdf</t>
  </si>
  <si>
    <t>Melting_Curves/meltCurve_tr_B4DE16_B4DE16_HUMAN_.pdf</t>
  </si>
  <si>
    <t>Melting_Curves/meltCurve_tr_B4DEM7_B4DEM7_HUMAN_.pdf</t>
  </si>
  <si>
    <t>Melting_Curves/meltCurve_tr_B4DEW9_B4DEW9_HUMAN_.pdf</t>
  </si>
  <si>
    <t>Melting_Curves/meltCurve_tr_B4DFA2_B4DFA2_HUMAN_.pdf</t>
  </si>
  <si>
    <t>Melting_Curves/meltCurve_tr_B4DFG6_B4DFG6_HUMAN_.pdf</t>
  </si>
  <si>
    <t>Melting_Curves/meltCurve_tr_B4DFQ4_B4DFQ4_HUMAN_.pdf</t>
  </si>
  <si>
    <t>Melting_Curves/meltCurve_tr_B4DGU4_B4DGU4_HUMAN_.pdf</t>
  </si>
  <si>
    <t>Melting_Curves/meltCurve_tr_B4DGX2_B4DGX2_HUMAN_.pdf</t>
  </si>
  <si>
    <t>Melting_Curves/meltCurve_tr_B4DH53_B4DH53_HUMAN_.pdf</t>
  </si>
  <si>
    <t>Melting_Curves/meltCurve_tr_B4DHJ7_B4DHJ7_HUMAN_.pdf</t>
  </si>
  <si>
    <t>Melting_Curves/meltCurve_tr_B4DHT5_B4DHT5_HUMAN_.pdf</t>
  </si>
  <si>
    <t>Melting_Curves/meltCurve_tr_B4DJA5_B4DJA5_HUMAN_.pdf</t>
  </si>
  <si>
    <t>Melting_Curves/meltCurve_tr_B4DJE5_B4DJE5_HUMAN_.pdf</t>
  </si>
  <si>
    <t>Melting_Curves/meltCurve_tr_B4DJP7_B4DJP7_HUMAN_.pdf</t>
  </si>
  <si>
    <t>Melting_Curves/meltCurve_tr_B4DJV2_B4DJV2_HUMAN_.pdf</t>
  </si>
  <si>
    <t>Melting_Curves/meltCurve_tr_B4DK95_B4DK95_HUMAN_.pdf</t>
  </si>
  <si>
    <t>Melting_Curves/meltCurve_tr_B4DKG8_B4DKG8_HUMAN_.pdf</t>
  </si>
  <si>
    <t>Melting_Curves/meltCurve_tr_B4DKJ3_B4DKJ3_HUMAN_.pdf</t>
  </si>
  <si>
    <t>Melting_Curves/meltCurve_tr_B4DKL4_B4DKL4_HUMAN_.pdf</t>
  </si>
  <si>
    <t>Melting_Curves/meltCurve_tr_B4DL14_B4DL14_HUMAN_.pdf</t>
  </si>
  <si>
    <t>Melting_Curves/meltCurve_tr_B4DL54_B4DL54_HUMAN_.pdf</t>
  </si>
  <si>
    <t>Melting_Curves/meltCurve_tr_B4DLN1_B4DLN1_HUMAN_.pdf</t>
  </si>
  <si>
    <t>Melting_Curves/meltCurve_tr_B4DLW8_B4DLW8_HUMAN_.pdf</t>
  </si>
  <si>
    <t>Melting_Curves/meltCurve_tr_B4DLZ9_B4DLZ9_HUMAN_.pdf</t>
  </si>
  <si>
    <t>Melting_Curves/meltCurve_tr_B4DMX0_B4DMX0_HUMAN_.pdf</t>
  </si>
  <si>
    <t>Melting_Curves/meltCurve_tr_B4DNC9_B4DNC9_HUMAN_.pdf</t>
  </si>
  <si>
    <t>Melting_Curves/meltCurve_tr_B4DP21_B4DP21_HUMAN_.pdf</t>
  </si>
  <si>
    <t>Melting_Curves/meltCurve_tr_B4DPR4_B4DPR4_HUMAN_.pdf</t>
  </si>
  <si>
    <t>Melting_Curves/meltCurve_tr_B4DPY8_B4DPY8_HUMAN_.pdf</t>
  </si>
  <si>
    <t>Melting_Curves/meltCurve_tr_B4DQ14_B4DQ14_HUMAN_.pdf</t>
  </si>
  <si>
    <t>Melting_Curves/meltCurve_tr_B4DQ94_B4DQ94_HUMAN_.pdf</t>
  </si>
  <si>
    <t>Melting_Curves/meltCurve_tr_B4DQA8_B4DQA8_HUMAN_.pdf</t>
  </si>
  <si>
    <t>Melting_Curves/meltCurve_tr_B4DQJ8_B4DQJ8_HUMAN_.pdf</t>
  </si>
  <si>
    <t>Melting_Curves/meltCurve_tr_B4DR80_B4DR80_HUMAN_.pdf</t>
  </si>
  <si>
    <t>Melting_Curves/meltCurve_tr_B4DRL9_B4DRL9_HUMAN_.pdf</t>
  </si>
  <si>
    <t>Melting_Curves/meltCurve_tr_B4DT77_B4DT77_HUMAN_.pdf</t>
  </si>
  <si>
    <t>Melting_Curves/meltCurve_tr_B4DTG6_B4DTG6_HUMAN_.pdf</t>
  </si>
  <si>
    <t>Melting_Curves/meltCurve_tr_B4DTU4_B4DTU4_HUMAN_.pdf</t>
  </si>
  <si>
    <t>Melting_Curves/meltCurve_tr_B4DUS9_B4DUS9_HUMAN_.pdf</t>
  </si>
  <si>
    <t>Melting_Curves/meltCurve_tr_B4DVY1_B4DVY1_HUMAN_.pdf</t>
  </si>
  <si>
    <t>Melting_Curves/meltCurve_tr_B4DWI1_B4DWI1_HUMAN_.pdf</t>
  </si>
  <si>
    <t>Melting_Curves/meltCurve_tr_B4DXK4_B4DXK4_HUMAN_.pdf</t>
  </si>
  <si>
    <t>Melting_Curves/meltCurve_tr_B4DXX7_B4DXX7_HUMAN_.pdf</t>
  </si>
  <si>
    <t>Melting_Curves/meltCurve_tr_B4DXZ6_B4DXZ6_HUMAN_.pdf</t>
  </si>
  <si>
    <t>Melting_Curves/meltCurve_tr_B4DYB4_B4DYB4_HUMAN_.pdf</t>
  </si>
  <si>
    <t>Melting_Curves/meltCurve_tr_B4DZ67_B4DZ67_HUMAN_.pdf</t>
  </si>
  <si>
    <t>Melting_Curves/meltCurve_tr_B4DZW6_B4DZW6_HUMAN_.pdf</t>
  </si>
  <si>
    <t>Melting_Curves/meltCurve_tr_B4E072_B4E072_HUMAN_.pdf</t>
  </si>
  <si>
    <t>Melting_Curves/meltCurve_tr_B4E107_B4E107_HUMAN_.pdf</t>
  </si>
  <si>
    <t>Melting_Curves/meltCurve_tr_B4E1N1_B4E1N1_HUMAN_.pdf</t>
  </si>
  <si>
    <t>Melting_Curves/meltCurve_tr_B4E1Z4_B4E1Z4_HUMAN_.pdf</t>
  </si>
  <si>
    <t>Melting_Curves/meltCurve_tr_B4E241_B4E241_HUMAN_.pdf</t>
  </si>
  <si>
    <t>Melting_Curves/meltCurve_tr_B4E2V5_B4E2V5_HUMAN_.pdf</t>
  </si>
  <si>
    <t>Melting_Curves/meltCurve_tr_B4E351_B4E351_HUMAN_.pdf</t>
  </si>
  <si>
    <t>Melting_Curves/meltCurve_tr_B4E3Q4_B4E3Q4_HUMAN_.pdf</t>
  </si>
  <si>
    <t>Melting_Curves/meltCurve_tr_B5MC59_B5MC59_HUMAN_.pdf</t>
  </si>
  <si>
    <t>Melting_Curves/meltCurve_tr_B5MCF9_B5MCF9_HUMAN_.pdf</t>
  </si>
  <si>
    <t>Melting_Curves/meltCurve_tr_B5MCQ5_B5MCQ5_HUMAN_.pdf</t>
  </si>
  <si>
    <t>Melting_Curves/meltCurve_tr_B5MCT7_B5MCT7_HUMAN_.pdf</t>
  </si>
  <si>
    <t>Melting_Curves/meltCurve_tr_B5MCU0_B5MCU0_HUMAN_.pdf</t>
  </si>
  <si>
    <t>Melting_Curves/meltCurve_tr_B5MEB3_B5MEB3_HUMAN_.pdf</t>
  </si>
  <si>
    <t>Melting_Curves/meltCurve_tr_B7WP27_B7WP27_HUMAN_.pdf</t>
  </si>
  <si>
    <t>Melting_Curves/meltCurve_tr_B7Z1T4_B7Z1T4_HUMAN_.pdf</t>
  </si>
  <si>
    <t>Melting_Curves/meltCurve_tr_B7Z1W9_B7Z1W9_HUMAN_.pdf</t>
  </si>
  <si>
    <t>Melting_Curves/meltCurve_tr_B7Z242_B7Z242_HUMAN_.pdf</t>
  </si>
  <si>
    <t>Melting_Curves/meltCurve_tr_B7Z291_B7Z291_HUMAN_.pdf</t>
  </si>
  <si>
    <t>Melting_Curves/meltCurve_tr_B7Z2Y2_B7Z2Y2_HUMAN_.pdf</t>
  </si>
  <si>
    <t>Melting_Curves/meltCurve_tr_B7Z341_B7Z341_HUMAN_.pdf</t>
  </si>
  <si>
    <t>Melting_Curves/meltCurve_tr_B7Z3B9_B7Z3B9_HUMAN_.pdf</t>
  </si>
  <si>
    <t>Melting_Curves/meltCurve_tr_B7Z3I9_B7Z3I9_HUMAN_.pdf</t>
  </si>
  <si>
    <t>Melting_Curves/meltCurve_tr_B7Z4K6_B7Z4K6_HUMAN_.pdf</t>
  </si>
  <si>
    <t>Melting_Curves/meltCurve_tr_B7Z4M2_B7Z4M2_HUMAN_.pdf</t>
  </si>
  <si>
    <t>Melting_Curves/meltCurve_tr_B7Z4R0_B7Z4R0_HUMAN_.pdf</t>
  </si>
  <si>
    <t>Melting_Curves/meltCurve_tr_B7Z583_B7Z583_HUMAN_.pdf</t>
  </si>
  <si>
    <t>Melting_Curves/meltCurve_tr_B7Z5N6_B7Z5N6_HUMAN_.pdf</t>
  </si>
  <si>
    <t>Melting_Curves/meltCurve_tr_B7Z637_B7Z637_HUMAN_.pdf</t>
  </si>
  <si>
    <t>Melting_Curves/meltCurve_tr_B7Z6B8_B7Z6B8_HUMAN_.pdf</t>
  </si>
  <si>
    <t>Melting_Curves/meltCurve_tr_B7Z729_B7Z729_HUMAN_.pdf</t>
  </si>
  <si>
    <t>Melting_Curves/meltCurve_tr_B7Z7F3_B7Z7F3_HUMAN_.pdf</t>
  </si>
  <si>
    <t>Melting_Curves/meltCurve_tr_B7Z7F9_B7Z7F9_HUMAN_.pdf</t>
  </si>
  <si>
    <t>Melting_Curves/meltCurve_tr_B7Z7X8_B7Z7X8_HUMAN_.pdf</t>
  </si>
  <si>
    <t>Melting_Curves/meltCurve_tr_B7Z815_B7Z815_HUMAN_.pdf</t>
  </si>
  <si>
    <t>Melting_Curves/meltCurve_tr_B7Z848_B7Z848_HUMAN_.pdf</t>
  </si>
  <si>
    <t>Melting_Curves/meltCurve_tr_B7Z8K9_B7Z8K9_HUMAN_.pdf</t>
  </si>
  <si>
    <t>Melting_Curves/meltCurve_tr_B7Z8V7_B7Z8V7_HUMAN_.pdf</t>
  </si>
  <si>
    <t>Melting_Curves/meltCurve_tr_B7Z9S8_B7Z9S8_HUMAN_.pdf</t>
  </si>
  <si>
    <t>Melting_Curves/meltCurve_tr_B7ZA47_B7ZA47_HUMAN_.pdf</t>
  </si>
  <si>
    <t>Melting_Curves/meltCurve_tr_B7ZAX5_B7ZAX5_HUMAN_.pdf</t>
  </si>
  <si>
    <t>Melting_Curves/meltCurve_tr_B7ZBQ3_B7ZBQ3_HUMAN_.pdf</t>
  </si>
  <si>
    <t>Melting_Curves/meltCurve_tr_B7ZC39_B7ZC39_HUMAN_.pdf</t>
  </si>
  <si>
    <t>Melting_Curves/meltCurve_tr_B7ZKK9_B7ZKK9_HUMAN_.pdf</t>
  </si>
  <si>
    <t>Melting_Curves/meltCurve_tr_B7ZLZ2_B7ZLZ2_HUMAN_.pdf</t>
  </si>
  <si>
    <t>Melting_Curves/meltCurve_tr_B7ZM37_B7ZM37_HUMAN_.pdf</t>
  </si>
  <si>
    <t>Melting_Curves/meltCurve_tr_B7ZM82_B7ZM82_HUMAN_.pdf</t>
  </si>
  <si>
    <t>Melting_Curves/meltCurve_tr_B8ZZC8_B8ZZC8_HUMAN_.pdf</t>
  </si>
  <si>
    <t>Melting_Curves/meltCurve_tr_B8ZZF3_B8ZZF3_HUMAN_.pdf</t>
  </si>
  <si>
    <t>Melting_Curves/meltCurve_tr_B8ZZF5_B8ZZF5_HUMAN_.pdf</t>
  </si>
  <si>
    <t>Melting_Curves/meltCurve_tr_B8ZZG1_B8ZZG1_HUMAN_.pdf</t>
  </si>
  <si>
    <t>Melting_Curves/meltCurve_tr_B8ZZK4_B8ZZK4_HUMAN_.pdf</t>
  </si>
  <si>
    <t>Melting_Curves/meltCurve_tr_B8ZZQ6_B8ZZQ6_HUMAN_.pdf</t>
  </si>
  <si>
    <t>Melting_Curves/meltCurve_tr_B8ZZS4_B8ZZS4_HUMAN_.pdf</t>
  </si>
  <si>
    <t>Melting_Curves/meltCurve_tr_B8ZZT4_B8ZZT4_HUMAN_.pdf</t>
  </si>
  <si>
    <t>Melting_Curves/meltCurve_tr_B8ZZU8_B8ZZU8_HUMAN_.pdf</t>
  </si>
  <si>
    <t>Melting_Curves/meltCurve_tr_B8ZZX2_B8ZZX2_HUMAN_.pdf</t>
  </si>
  <si>
    <t>Melting_Curves/meltCurve_tr_B9A057_B9A057_HUMAN_.pdf</t>
  </si>
  <si>
    <t>Melting_Curves/meltCurve_tr_B9ZVN9_B9ZVN9_HUMAN_.pdf</t>
  </si>
  <si>
    <t>Melting_Curves/meltCurve_tr_C0H5X6_C0H5X6_HUMAN_.pdf</t>
  </si>
  <si>
    <t>Melting_Curves/meltCurve_tr_C9IZA5_C9IZA5_HUMAN_.pdf</t>
  </si>
  <si>
    <t>Melting_Curves/meltCurve_tr_C9J0A7_C9J0A7_HUMAN_.pdf</t>
  </si>
  <si>
    <t>Melting_Curves/meltCurve_tr_C9J0K6_C9J0K6_HUMAN_.pdf</t>
  </si>
  <si>
    <t>Melting_Curves/meltCurve_tr_C9J123_C9J123_HUMAN_.pdf</t>
  </si>
  <si>
    <t>Melting_Curves/meltCurve_tr_C9J1C6_C9J1C6_HUMAN_.pdf</t>
  </si>
  <si>
    <t>Melting_Curves/meltCurve_tr_C9J212_C9J212_HUMAN_.pdf</t>
  </si>
  <si>
    <t>Melting_Curves/meltCurve_tr_C9J2P9_C9J2P9_HUMAN_.pdf</t>
  </si>
  <si>
    <t>Melting_Curves/meltCurve_tr_C9J2V2_C9J2V2_HUMAN_.pdf</t>
  </si>
  <si>
    <t>Melting_Curves/meltCurve_tr_C9J406_C9J406_HUMAN_.pdf</t>
  </si>
  <si>
    <t>Melting_Curves/meltCurve_tr_C9J4M6_C9J4M6_HUMAN_.pdf</t>
  </si>
  <si>
    <t>Melting_Curves/meltCurve_tr_C9J4W5_C9J4W5_HUMAN_.pdf</t>
  </si>
  <si>
    <t>Melting_Curves/meltCurve_tr_C9J5C3_C9J5C3_HUMAN_.pdf</t>
  </si>
  <si>
    <t>Melting_Curves/meltCurve_tr_C9J6H2_C9J6H2_HUMAN_.pdf</t>
  </si>
  <si>
    <t>Melting_Curves/meltCurve_tr_C9J712_C9J712_HUMAN_.pdf</t>
  </si>
  <si>
    <t>Melting_Curves/meltCurve_tr_C9J815_C9J815_HUMAN_.pdf</t>
  </si>
  <si>
    <t>Melting_Curves/meltCurve_tr_C9J8B8_C9J8B8_HUMAN_.pdf</t>
  </si>
  <si>
    <t>Melting_Curves/meltCurve_tr_C9J9K3_C9J9K3_HUMAN_.pdf</t>
  </si>
  <si>
    <t>Melting_Curves/meltCurve_tr_C9JAV3_C9JAV3_HUMAN_.pdf</t>
  </si>
  <si>
    <t>Melting_Curves/meltCurve_tr_C9JAX1_C9JAX1_HUMAN_.pdf</t>
  </si>
  <si>
    <t>Melting_Curves/meltCurve_tr_C9JB56_C9JB56_HUMAN_.pdf</t>
  </si>
  <si>
    <t>Melting_Curves/meltCurve_tr_C9JBI3_C9JBI3_HUMAN_.pdf</t>
  </si>
  <si>
    <t>Melting_Curves/meltCurve_tr_C9JBJ6_C9JBJ6_HUMAN_.pdf</t>
  </si>
  <si>
    <t>Melting_Curves/meltCurve_tr_C9JE98_C9JE98_HUMAN_.pdf</t>
  </si>
  <si>
    <t>Melting_Curves/meltCurve_tr_C9JEL3_C9JEL3_HUMAN_.pdf</t>
  </si>
  <si>
    <t>Melting_Curves/meltCurve_tr_C9JFE4_C9JFE4_HUMAN_.pdf</t>
  </si>
  <si>
    <t>Melting_Curves/meltCurve_tr_C9JFR9_C9JFR9_HUMAN_.pdf</t>
  </si>
  <si>
    <t>Melting_Curves/meltCurve_tr_C9JG87_C9JG87_HUMAN_.pdf</t>
  </si>
  <si>
    <t>Melting_Curves/meltCurve_tr_C9JG97_C9JG97_HUMAN_.pdf</t>
  </si>
  <si>
    <t>Melting_Curves/meltCurve_tr_C9JGB2_C9JGB2_HUMAN_.pdf</t>
  </si>
  <si>
    <t>Melting_Curves/meltCurve_tr_C9JIK8_C9JIK8_HUMAN_.pdf</t>
  </si>
  <si>
    <t>Melting_Curves/meltCurve_tr_C9JLV4_C9JLV4_HUMAN_.pdf</t>
  </si>
  <si>
    <t>Melting_Curves/meltCurve_tr_C9JMG3_C9JMG3_HUMAN_.pdf</t>
  </si>
  <si>
    <t>Melting_Curves/meltCurve_tr_C9JNE2_C9JNE2_HUMAN_.pdf</t>
  </si>
  <si>
    <t>Melting_Curves/meltCurve_tr_C9JQ41_C9JQ41_HUMAN_.pdf</t>
  </si>
  <si>
    <t>Melting_Curves/meltCurve_tr_C9JQB1_C9JQB1_HUMAN_.pdf</t>
  </si>
  <si>
    <t>Melting_Curves/meltCurve_tr_C9JQD1_C9JQD1_HUMAN_.pdf</t>
  </si>
  <si>
    <t>Melting_Curves/meltCurve_tr_C9JQD4_C9JQD4_HUMAN_.pdf</t>
  </si>
  <si>
    <t>Melting_Curves/meltCurve_tr_C9JQV3_C9JQV3_HUMAN_.pdf</t>
  </si>
  <si>
    <t>Melting_Curves/meltCurve_tr_C9JSG1_C9JSG1_HUMAN_.pdf</t>
  </si>
  <si>
    <t>Melting_Curves/meltCurve_tr_C9JTA6_C9JTA6_HUMAN_.pdf</t>
  </si>
  <si>
    <t>Melting_Curves/meltCurve_tr_C9JTW6_C9JTW6_HUMAN_.pdf</t>
  </si>
  <si>
    <t>Melting_Curves/meltCurve_tr_C9JUH3_C9JUH3_HUMAN_.pdf</t>
  </si>
  <si>
    <t>Melting_Curves/meltCurve_tr_C9JVN9_C9JVN9_HUMAN_.pdf</t>
  </si>
  <si>
    <t>Melting_Curves/meltCurve_tr_C9JVR1_C9JVR1_HUMAN_.pdf</t>
  </si>
  <si>
    <t>Melting_Curves/meltCurve_tr_C9JW69_C9JW69_HUMAN_.pdf</t>
  </si>
  <si>
    <t>Melting_Curves/meltCurve_tr_C9JXK0_C9JXK0_HUMAN_.pdf</t>
  </si>
  <si>
    <t>Melting_Curves/meltCurve_tr_C9JXK9_C9JXK9_HUMAN_.pdf</t>
  </si>
  <si>
    <t>Melting_Curves/meltCurve_tr_C9JYK5_C9JYK5_HUMAN_.pdf</t>
  </si>
  <si>
    <t>Melting_Curves/meltCurve_tr_C9JYM0_C9JYM0_HUMAN_.pdf</t>
  </si>
  <si>
    <t>Melting_Curves/meltCurve_tr_C9JZP6_C9JZP6_HUMAN_.pdf</t>
  </si>
  <si>
    <t>Melting_Curves/meltCurve_tr_C9JZY6_C9JZY6_HUMAN_.pdf</t>
  </si>
  <si>
    <t>Melting_Curves/meltCurve_tr_D3DR31_D3DR31_HUMAN_.pdf</t>
  </si>
  <si>
    <t>Melting_Curves/meltCurve_tr_D3YHP0_D3YHP0_HUMAN_.pdf</t>
  </si>
  <si>
    <t>Melting_Curves/meltCurve_tr_D3YTE0_D3YTE0_HUMAN_.pdf</t>
  </si>
  <si>
    <t>Melting_Curves/meltCurve_tr_D6R954_D6R954_HUMAN_.pdf</t>
  </si>
  <si>
    <t>Melting_Curves/meltCurve_tr_D6R966_D6R966_HUMAN_.pdf</t>
  </si>
  <si>
    <t>Melting_Curves/meltCurve_tr_D6R9D6_D6R9D6_HUMAN_.pdf</t>
  </si>
  <si>
    <t>Melting_Curves/meltCurve_tr_D6R9G1_D6R9G1_HUMAN_.pdf</t>
  </si>
  <si>
    <t>Melting_Curves/meltCurve_tr_D6R9P3_D6R9P3_HUMAN_.pdf</t>
  </si>
  <si>
    <t>Melting_Curves/meltCurve_tr_D6RAL3_D6RAL3_HUMAN_.pdf</t>
  </si>
  <si>
    <t>Melting_Curves/meltCurve_tr_D6RB01_D6RB01_HUMAN_.pdf</t>
  </si>
  <si>
    <t>Melting_Curves/meltCurve_tr_D6RB81_D6RB81_HUMAN_.pdf</t>
  </si>
  <si>
    <t>Melting_Curves/meltCurve_tr_D6RBN5_D6RBN5_HUMAN_.pdf</t>
  </si>
  <si>
    <t>Melting_Curves/meltCurve_tr_D6RBV0_D6RBV0_HUMAN_.pdf</t>
  </si>
  <si>
    <t>Melting_Curves/meltCurve_tr_D6RBV2_D6RBV2_HUMAN_.pdf</t>
  </si>
  <si>
    <t>Melting_Curves/meltCurve_tr_D6RC71_D6RC71_HUMAN_.pdf</t>
  </si>
  <si>
    <t>Melting_Curves/meltCurve_tr_D6RCD0_D6RCD0_HUMAN_.pdf</t>
  </si>
  <si>
    <t>Melting_Curves/meltCurve_tr_D6RD17_D6RD17_HUMAN_.pdf</t>
  </si>
  <si>
    <t>Melting_Curves/meltCurve_tr_D6REA0_D6REA0_HUMAN_.pdf</t>
  </si>
  <si>
    <t>Melting_Curves/meltCurve_tr_D6REX5_D6REX5_HUMAN_.pdf</t>
  </si>
  <si>
    <t>Melting_Curves/meltCurve_tr_D6RF92_D6RF92_HUMAN_.pdf</t>
  </si>
  <si>
    <t>Melting_Curves/meltCurve_tr_D6RGI3_D6RGI3_HUMAN_.pdf</t>
  </si>
  <si>
    <t>Melting_Curves/meltCurve_tr_D6RGK9_D6RGK9_HUMAN_.pdf</t>
  </si>
  <si>
    <t>Melting_Curves/meltCurve_tr_D6RHI7_D6RHI7_HUMAN_.pdf</t>
  </si>
  <si>
    <t>Melting_Curves/meltCurve_tr_D6RHI9_D6RHI9_HUMAN_.pdf</t>
  </si>
  <si>
    <t>Melting_Curves/meltCurve_tr_E2QRD5_E2QRD5_HUMAN_.pdf</t>
  </si>
  <si>
    <t>Melting_Curves/meltCurve_tr_E5RFZ0_E5RFZ0_HUMAN_.pdf</t>
  </si>
  <si>
    <t>Melting_Curves/meltCurve_tr_E5RGQ3_E5RGQ3_HUMAN_.pdf</t>
  </si>
  <si>
    <t>Melting_Curves/meltCurve_tr_E5RGX5_E5RGX5_HUMAN_.pdf</t>
  </si>
  <si>
    <t>Melting_Curves/meltCurve_tr_E5RHG8_E5RHG8_HUMAN_.pdf</t>
  </si>
  <si>
    <t>Melting_Curves/meltCurve_tr_E5RHY8_E5RHY8_HUMAN_.pdf</t>
  </si>
  <si>
    <t>Melting_Curves/meltCurve_tr_E5RI99_E5RI99_HUMAN_.pdf</t>
  </si>
  <si>
    <t>Melting_Curves/meltCurve_tr_E5RJ08_E5RJ08_HUMAN_.pdf</t>
  </si>
  <si>
    <t>Melting_Curves/meltCurve_tr_E5RJ68_E5RJ68_HUMAN_.pdf</t>
  </si>
  <si>
    <t>Melting_Curves/meltCurve_tr_E5RJB8_E5RJB8_HUMAN_.pdf</t>
  </si>
  <si>
    <t>Melting_Curves/meltCurve_tr_E5RJD2_E5RJD2_HUMAN_.pdf</t>
  </si>
  <si>
    <t>Melting_Curves/meltCurve_tr_E5RJR5_E5RJR5_HUMAN_.pdf</t>
  </si>
  <si>
    <t>Melting_Curves/meltCurve_tr_E7EM64_E7EM64_HUMAN_.pdf</t>
  </si>
  <si>
    <t>Melting_Curves/meltCurve_tr_E7EM82_E7EM82_HUMAN_.pdf</t>
  </si>
  <si>
    <t>Melting_Curves/meltCurve_tr_E7EMM4_E7EMM4_HUMAN_.pdf</t>
  </si>
  <si>
    <t>Melting_Curves/meltCurve_tr_E7EMV7_E7EMV7_HUMAN_.pdf</t>
  </si>
  <si>
    <t>Melting_Curves/meltCurve_tr_E7EMZ9_E7EMZ9_HUMAN_.pdf</t>
  </si>
  <si>
    <t>Melting_Curves/meltCurve_tr_E7EN68_E7EN68_HUMAN_.pdf</t>
  </si>
  <si>
    <t>Melting_Curves/meltCurve_tr_E7END2_E7END2_HUMAN_.pdf</t>
  </si>
  <si>
    <t>Melting_Curves/meltCurve_tr_E7ENN3_E7ENN3_HUMAN_.pdf</t>
  </si>
  <si>
    <t>Melting_Curves/meltCurve_tr_E7EPD0_E7EPD0_HUMAN_.pdf</t>
  </si>
  <si>
    <t>Melting_Curves/meltCurve_tr_E7EPL4_E7EPL4_HUMAN_.pdf</t>
  </si>
  <si>
    <t>Melting_Curves/meltCurve_tr_E7EQ69_E7EQ69_HUMAN_.pdf</t>
  </si>
  <si>
    <t>Melting_Curves/meltCurve_tr_E7EQA9_E7EQA9_HUMAN_.pdf</t>
  </si>
  <si>
    <t>Melting_Curves/meltCurve_tr_E7EQB9_E7EQB9_HUMAN_.pdf</t>
  </si>
  <si>
    <t>Melting_Curves/meltCurve_tr_E7EQT4_E7EQT4_HUMAN_.pdf</t>
  </si>
  <si>
    <t>Melting_Curves/meltCurve_tr_E7EQV9_E7EQV9_HUMAN_.pdf</t>
  </si>
  <si>
    <t>Melting_Curves/meltCurve_tr_E7ERH1_E7ERH1_HUMAN_.pdf</t>
  </si>
  <si>
    <t>Melting_Curves/meltCurve_tr_E7ES08_E7ES08_HUMAN_.pdf</t>
  </si>
  <si>
    <t>Melting_Curves/meltCurve_tr_E7ESS4_E7ESS4_HUMAN_.pdf</t>
  </si>
  <si>
    <t>Melting_Curves/meltCurve_tr_E7ESU4_E7ESU4_HUMAN_.pdf</t>
  </si>
  <si>
    <t>Melting_Curves/meltCurve_tr_E7ET15_E7ET15_HUMAN_.pdf</t>
  </si>
  <si>
    <t>Melting_Curves/meltCurve_tr_E7ETA6_E7ETA6_HUMAN_.pdf</t>
  </si>
  <si>
    <t>Melting_Curves/meltCurve_tr_E7ETD6_E7ETD6_HUMAN_.pdf</t>
  </si>
  <si>
    <t>Melting_Curves/meltCurve_tr_E7ETU5_E7ETU5_HUMAN_.pdf</t>
  </si>
  <si>
    <t>Melting_Curves/meltCurve_tr_E7ETZ4_E7ETZ4_HUMAN_.pdf</t>
  </si>
  <si>
    <t>Melting_Curves/meltCurve_tr_E7EU96_E7EU96_HUMAN_.pdf</t>
  </si>
  <si>
    <t>Melting_Curves/meltCurve_tr_E7EUL7_E7EUL7_HUMAN_.pdf</t>
  </si>
  <si>
    <t>Melting_Curves/meltCurve_tr_E7EUY0_E7EUY0_HUMAN_.pdf</t>
  </si>
  <si>
    <t>Melting_Curves/meltCurve_tr_E7EV62_E7EV62_HUMAN_.pdf</t>
  </si>
  <si>
    <t>Melting_Curves/meltCurve_tr_E7EVD1_E7EVD1_HUMAN_.pdf</t>
  </si>
  <si>
    <t>Melting_Curves/meltCurve_tr_E7EVG2_E7EVG2_HUMAN_.pdf</t>
  </si>
  <si>
    <t>Melting_Curves/meltCurve_tr_E7EVJ5_E7EVJ5_HUMAN_.pdf</t>
  </si>
  <si>
    <t>Melting_Curves/meltCurve_tr_E7EVX9_E7EVX9_HUMAN_.pdf</t>
  </si>
  <si>
    <t>Melting_Curves/meltCurve_tr_E7EW69_E7EW69_HUMAN_.pdf</t>
  </si>
  <si>
    <t>Melting_Curves/meltCurve_tr_E7EW80_E7EW80_HUMAN_.pdf</t>
  </si>
  <si>
    <t>Melting_Curves/meltCurve_tr_E7EW84_E7EW84_HUMAN_.pdf</t>
  </si>
  <si>
    <t>Melting_Curves/meltCurve_tr_E7EWG4_E7EWG4_HUMAN_.pdf</t>
  </si>
  <si>
    <t>Melting_Curves/meltCurve_tr_E7EX83_E7EX83_HUMAN_.pdf</t>
  </si>
  <si>
    <t>Melting_Curves/meltCurve_tr_E9PAR5_E9PAR5_HUMAN_.pdf</t>
  </si>
  <si>
    <t>Melting_Curves/meltCurve_tr_E9PB09_E9PB09_HUMAN_.pdf</t>
  </si>
  <si>
    <t>Melting_Curves/meltCurve_tr_E9PB14_E9PB14_HUMAN_.pdf</t>
  </si>
  <si>
    <t>Melting_Curves/meltCurve_tr_E9PB51_E9PB51_HUMAN_.pdf</t>
  </si>
  <si>
    <t>Melting_Curves/meltCurve_tr_E9PBK6_E9PBK6_HUMAN_.pdf</t>
  </si>
  <si>
    <t>Melting_Curves/meltCurve_tr_E9PBL8_E9PBL8_HUMAN_.pdf</t>
  </si>
  <si>
    <t>Melting_Curves/meltCurve_tr_E9PC74_E9PC74_HUMAN_.pdf</t>
  </si>
  <si>
    <t>Melting_Curves/meltCurve_tr_E9PCG9_E9PCG9_HUMAN_.pdf</t>
  </si>
  <si>
    <t>Melting_Curves/meltCurve_tr_E9PCJ7_E9PCJ7_HUMAN_.pdf</t>
  </si>
  <si>
    <t>Melting_Curves/meltCurve_tr_E9PCS8_E9PCS8_HUMAN_.pdf</t>
  </si>
  <si>
    <t>Melting_Curves/meltCurve_tr_E9PCY7_E9PCY7_HUMAN_.pdf</t>
  </si>
  <si>
    <t>Melting_Curves/meltCurve_tr_E9PDC3_E9PDC3_HUMAN_.pdf</t>
  </si>
  <si>
    <t>Melting_Curves/meltCurve_tr_E9PE72_E9PE72_HUMAN_.pdf</t>
  </si>
  <si>
    <t>Melting_Curves/meltCurve_tr_E9PE75_E9PE75_HUMAN_.pdf</t>
  </si>
  <si>
    <t>Melting_Curves/meltCurve_tr_E9PEG3_E9PEG3_HUMAN_.pdf</t>
  </si>
  <si>
    <t>Melting_Curves/meltCurve_tr_E9PEZ3_E9PEZ3_HUMAN_.pdf</t>
  </si>
  <si>
    <t>Melting_Curves/meltCurve_tr_E9PF10_E9PF10_HUMAN_.pdf</t>
  </si>
  <si>
    <t>Melting_Curves/meltCurve_tr_E9PF19_E9PF19_HUMAN_.pdf</t>
  </si>
  <si>
    <t>Melting_Curves/meltCurve_tr_E9PFC1_E9PFC1_HUMAN_.pdf</t>
  </si>
  <si>
    <t>Melting_Curves/meltCurve_tr_E9PFD7_E9PFD7_HUMAN_.pdf</t>
  </si>
  <si>
    <t>Melting_Curves/meltCurve_tr_E9PFK5_E9PFK5_HUMAN_.pdf</t>
  </si>
  <si>
    <t>Melting_Curves/meltCurve_tr_E9PFR3_E9PFR3_HUMAN_.pdf</t>
  </si>
  <si>
    <t>Melting_Curves/meltCurve_tr_E9PG46_E9PG46_HUMAN_.pdf</t>
  </si>
  <si>
    <t>Melting_Curves/meltCurve_tr_E9PGF5_E9PGF5_HUMAN_.pdf</t>
  </si>
  <si>
    <t>Melting_Curves/meltCurve_tr_E9PGF9_E9PGF9_HUMAN_.pdf</t>
  </si>
  <si>
    <t>Melting_Curves/meltCurve_tr_E9PGM7_E9PGM7_HUMAN_.pdf</t>
  </si>
  <si>
    <t>Melting_Curves/meltCurve_tr_E9PGT1_E9PGT1_HUMAN_.pdf</t>
  </si>
  <si>
    <t>Melting_Curves/meltCurve_tr_E9PH29_E9PH29_HUMAN_.pdf</t>
  </si>
  <si>
    <t>Melting_Curves/meltCurve_tr_E9PHH9_E9PHH9_HUMAN_.pdf</t>
  </si>
  <si>
    <t>Melting_Curves/meltCurve_tr_E9PHK0_E9PHK0_HUMAN_.pdf</t>
  </si>
  <si>
    <t>Melting_Curves/meltCurve_tr_E9PHM2_E9PHM2_HUMAN_.pdf</t>
  </si>
  <si>
    <t>Melting_Curves/meltCurve_tr_E9PHY8_E9PHY8_HUMAN_.pdf</t>
  </si>
  <si>
    <t>Melting_Curves/meltCurve_tr_E9PIB9_E9PIB9_HUMAN_.pdf</t>
  </si>
  <si>
    <t>Melting_Curves/meltCurve_tr_E9PIC2_E9PIC2_HUMAN_.pdf</t>
  </si>
  <si>
    <t>Melting_Curves/meltCurve_tr_E9PIR7_E9PIR7_HUMAN_.pdf</t>
  </si>
  <si>
    <t>Melting_Curves/meltCurve_tr_E9PIV9_E9PIV9_HUMAN_.pdf</t>
  </si>
  <si>
    <t>Melting_Curves/meltCurve_tr_E9PJ24_E9PJ24_HUMAN_.pdf</t>
  </si>
  <si>
    <t>Melting_Curves/meltCurve_tr_E9PJ81_E9PJ81_HUMAN_.pdf</t>
  </si>
  <si>
    <t>Melting_Curves/meltCurve_tr_E9PJB2_E9PJB2_HUMAN_.pdf</t>
  </si>
  <si>
    <t>Melting_Curves/meltCurve_tr_E9PJD7_E9PJD7_HUMAN_.pdf</t>
  </si>
  <si>
    <t>Melting_Curves/meltCurve_tr_E9PJH1_E9PJH1_HUMAN_.pdf</t>
  </si>
  <si>
    <t>Melting_Curves/meltCurve_tr_E9PK01_E9PK01_HUMAN_.pdf</t>
  </si>
  <si>
    <t>Melting_Curves/meltCurve_tr_E9PK67_E9PK67_HUMAN_.pdf</t>
  </si>
  <si>
    <t>Melting_Curves/meltCurve_tr_E9PKB0_E9PKB0_HUMAN_.pdf</t>
  </si>
  <si>
    <t>Melting_Curves/meltCurve_tr_E9PKC0_E9PKC0_HUMAN_.pdf</t>
  </si>
  <si>
    <t>Melting_Curves/meltCurve_tr_E9PKF3_E9PKF3_HUMAN_.pdf</t>
  </si>
  <si>
    <t>Melting_Curves/meltCurve_tr_E9PKG1_E9PKG1_HUMAN_.pdf</t>
  </si>
  <si>
    <t>Melting_Curves/meltCurve_tr_E9PKV8_E9PKV8_HUMAN_.pdf</t>
  </si>
  <si>
    <t>Melting_Curves/meltCurve_tr_E9PKY5_E9PKY5_HUMAN_.pdf</t>
  </si>
  <si>
    <t>Melting_Curves/meltCurve_tr_E9PL22_E9PL22_HUMAN_.pdf</t>
  </si>
  <si>
    <t>Melting_Curves/meltCurve_tr_E9PL24_E9PL24_HUMAN_.pdf</t>
  </si>
  <si>
    <t>Melting_Curves/meltCurve_tr_E9PL57_E9PL57_HUMAN_.pdf</t>
  </si>
  <si>
    <t>Melting_Curves/meltCurve_tr_E9PLD2_E9PLD2_HUMAN_.pdf</t>
  </si>
  <si>
    <t>Melting_Curves/meltCurve_tr_E9PLD3_E9PLD3_HUMAN_.pdf</t>
  </si>
  <si>
    <t>Melting_Curves/meltCurve_tr_E9PLK3_E9PLK3_HUMAN_.pdf</t>
  </si>
  <si>
    <t>Melting_Curves/meltCurve_tr_E9PM46_E9PM46_HUMAN_.pdf</t>
  </si>
  <si>
    <t>Melting_Curves/meltCurve_tr_E9PM92_E9PM92_HUMAN_.pdf</t>
  </si>
  <si>
    <t>Melting_Curves/meltCurve_tr_E9PMI6_E9PMI6_HUMAN_.pdf</t>
  </si>
  <si>
    <t>Melting_Curves/meltCurve_tr_E9PMS6_E9PMS6_HUMAN_.pdf</t>
  </si>
  <si>
    <t>Melting_Curves/meltCurve_tr_E9PNC7_E9PNC7_HUMAN_.pdf</t>
  </si>
  <si>
    <t>Melting_Curves/meltCurve_tr_E9PNK6_E9PNK6_HUMAN_.pdf</t>
  </si>
  <si>
    <t>Melting_Curves/meltCurve_tr_E9PNN3_E9PNN3_HUMAN_.pdf</t>
  </si>
  <si>
    <t>Melting_Curves/meltCurve_tr_E9PNU4_E9PNU4_HUMAN_.pdf</t>
  </si>
  <si>
    <t>Melting_Curves/meltCurve_tr_E9PP36_E9PP36_HUMAN_.pdf</t>
  </si>
  <si>
    <t>Melting_Curves/meltCurve_tr_E9PP68_E9PP68_HUMAN_.pdf</t>
  </si>
  <si>
    <t>Melting_Curves/meltCurve_tr_E9PPR2_E9PPR2_HUMAN_.pdf</t>
  </si>
  <si>
    <t>Melting_Curves/meltCurve_tr_E9PQ38_E9PQ38_HUMAN_.pdf</t>
  </si>
  <si>
    <t>Melting_Curves/meltCurve_tr_E9PQ47_E9PQ47_HUMAN_.pdf</t>
  </si>
  <si>
    <t>Melting_Curves/meltCurve_tr_E9PQ74_E9PQ74_HUMAN_.pdf</t>
  </si>
  <si>
    <t>Melting_Curves/meltCurve_tr_E9PQD0_E9PQD0_HUMAN_.pdf</t>
  </si>
  <si>
    <t>Melting_Curves/meltCurve_tr_E9PQR7_E9PQR7_HUMAN_.pdf</t>
  </si>
  <si>
    <t>Melting_Curves/meltCurve_tr_E9PQW4_E9PQW4_HUMAN_.pdf</t>
  </si>
  <si>
    <t>Melting_Curves/meltCurve_tr_E9PQY3_E9PQY3_HUMAN_.pdf</t>
  </si>
  <si>
    <t>Melting_Curves/meltCurve_tr_E9PR76_E9PR76_HUMAN_.pdf</t>
  </si>
  <si>
    <t>Melting_Curves/meltCurve_tr_E9PRD9_E9PRD9_HUMAN_.pdf</t>
  </si>
  <si>
    <t>Melting_Curves/meltCurve_tr_E9PRE7_E9PRE7_HUMAN_.pdf</t>
  </si>
  <si>
    <t>Melting_Curves/meltCurve_tr_E9PRF4_E9PRF4_HUMAN_.pdf</t>
  </si>
  <si>
    <t>Melting_Curves/meltCurve_tr_E9PRI4_E9PRI4_HUMAN_.pdf</t>
  </si>
  <si>
    <t>Melting_Curves/meltCurve_tr_E9PRR7_E9PRR7_HUMAN_.pdf</t>
  </si>
  <si>
    <t>Melting_Curves/meltCurve_tr_F2Z2E1_F2Z2E1_HUMAN_.pdf</t>
  </si>
  <si>
    <t>Melting_Curves/meltCurve_tr_F2Z2I2_F2Z2I2_HUMAN_.pdf</t>
  </si>
  <si>
    <t>Melting_Curves/meltCurve_tr_F2Z2T2_F2Z2T2_HUMAN_.pdf</t>
  </si>
  <si>
    <t>Melting_Curves/meltCurve_tr_F2Z2V0_F2Z2V0_HUMAN_.pdf</t>
  </si>
  <si>
    <t>Melting_Curves/meltCurve_tr_F2Z2X4_F2Z2X4_HUMAN_.pdf</t>
  </si>
  <si>
    <t>Melting_Curves/meltCurve_tr_F2Z3K9_F2Z3K9_HUMAN_.pdf</t>
  </si>
  <si>
    <t>Melting_Curves/meltCurve_tr_F2Z3M0_F2Z3M0_HUMAN_.pdf</t>
  </si>
  <si>
    <t>Melting_Curves/meltCurve_tr_F5GWI4_F5GWI4_HUMAN_.pdf</t>
  </si>
  <si>
    <t>Melting_Curves/meltCurve_tr_F5GWI9_F5GWI9_HUMAN_.pdf</t>
  </si>
  <si>
    <t>Melting_Curves/meltCurve_tr_F5GWP8_F5GWP8_HUMAN_.pdf</t>
  </si>
  <si>
    <t>Melting_Curves/meltCurve_tr_F5GWT4_F5GWT4_HUMAN_.pdf</t>
  </si>
  <si>
    <t>Melting_Curves/meltCurve_tr_F5GWU7_F5GWU7_HUMAN_.pdf</t>
  </si>
  <si>
    <t>Melting_Curves/meltCurve_tr_F5GWX5_F5GWX5_HUMAN_.pdf</t>
  </si>
  <si>
    <t>Melting_Curves/meltCurve_tr_F5GX77_F5GX77_HUMAN_.pdf</t>
  </si>
  <si>
    <t>Melting_Curves/meltCurve_tr_F5GXC8_F5GXC8_HUMAN_.pdf</t>
  </si>
  <si>
    <t>Melting_Curves/meltCurve_tr_F5GXJ9_F5GXJ9_HUMAN_.pdf</t>
  </si>
  <si>
    <t>Melting_Curves/meltCurve_tr_F5GXU7_F5GXU7_HUMAN_.pdf</t>
  </si>
  <si>
    <t>Melting_Curves/meltCurve_tr_F5GY03_F5GY03_HUMAN_.pdf</t>
  </si>
  <si>
    <t>Melting_Curves/meltCurve_tr_F5GY80_F5GY80_HUMAN_.pdf</t>
  </si>
  <si>
    <t>Melting_Curves/meltCurve_tr_F5GYA2_F5GYA2_HUMAN_.pdf</t>
  </si>
  <si>
    <t>Melting_Curves/meltCurve_tr_F5GYC4_F5GYC4_HUMAN_.pdf</t>
  </si>
  <si>
    <t>Melting_Curves/meltCurve_tr_F5GYJ5_F5GYJ5_HUMAN_.pdf</t>
  </si>
  <si>
    <t>Melting_Curves/meltCurve_tr_F5GYK2_F5GYK2_HUMAN_.pdf</t>
  </si>
  <si>
    <t>Melting_Curves/meltCurve_tr_F5GYN4_F5GYN4_HUMAN_.pdf</t>
  </si>
  <si>
    <t>Melting_Curves/meltCurve_tr_F5GZ54_F5GZ54_HUMAN_.pdf</t>
  </si>
  <si>
    <t>Melting_Curves/meltCurve_tr_F5GZY0_F5GZY0_HUMAN_.pdf</t>
  </si>
  <si>
    <t>Melting_Curves/meltCurve_tr_F5GZZ9_F5GZZ9_HUMAN_.pdf</t>
  </si>
  <si>
    <t>Melting_Curves/meltCurve_tr_F5H012_F5H012_HUMAN_.pdf</t>
  </si>
  <si>
    <t>Melting_Curves/meltCurve_tr_F5H0C8_F5H0C8_HUMAN_.pdf</t>
  </si>
  <si>
    <t>Melting_Curves/meltCurve_tr_F5H0E9_F5H0E9_HUMAN_.pdf</t>
  </si>
  <si>
    <t>Melting_Curves/meltCurve_tr_F5H0L8_F5H0L8_HUMAN_.pdf</t>
  </si>
  <si>
    <t>Melting_Curves/meltCurve_tr_F5H157_F5H157_HUMAN_.pdf</t>
  </si>
  <si>
    <t>Melting_Curves/meltCurve_tr_F5H1L4_F5H1L4_HUMAN_.pdf</t>
  </si>
  <si>
    <t>Melting_Curves/meltCurve_tr_F5H1S8_F5H1S8_HUMAN_.pdf</t>
  </si>
  <si>
    <t>Melting_Curves/meltCurve_tr_F5H1X8_F5H1X8_HUMAN_.pdf</t>
  </si>
  <si>
    <t>Melting_Curves/meltCurve_tr_F5H1Z6_F5H1Z6_HUMAN_.pdf</t>
  </si>
  <si>
    <t>Melting_Curves/meltCurve_tr_F5H2B9_F5H2B9_HUMAN_.pdf</t>
  </si>
  <si>
    <t>Melting_Curves/meltCurve_tr_F5H2Q7_F5H2Q7_HUMAN_.pdf</t>
  </si>
  <si>
    <t>Melting_Curves/meltCurve_tr_F5H2U2_F5H2U2_HUMAN_.pdf</t>
  </si>
  <si>
    <t>Melting_Curves/meltCurve_tr_F5H2X0_F5H2X0_HUMAN_.pdf</t>
  </si>
  <si>
    <t>Melting_Curves/meltCurve_tr_F5H335_F5H335_HUMAN_.pdf</t>
  </si>
  <si>
    <t>Melting_Curves/meltCurve_tr_F5H365_F5H365_HUMAN_.pdf</t>
  </si>
  <si>
    <t>Melting_Curves/meltCurve_tr_F5H442_F5H442_HUMAN_.pdf</t>
  </si>
  <si>
    <t>Melting_Curves/meltCurve_tr_F5H4F1_F5H4F1_HUMAN_.pdf</t>
  </si>
  <si>
    <t>Melting_Curves/meltCurve_tr_F5H4G7_F5H4G7_HUMAN_.pdf</t>
  </si>
  <si>
    <t>Melting_Curves/meltCurve_tr_F5H4J2_F5H4J2_HUMAN_.pdf</t>
  </si>
  <si>
    <t>Melting_Curves/meltCurve_tr_F5H4R2_F5H4R2_HUMAN_.pdf</t>
  </si>
  <si>
    <t>Melting_Curves/meltCurve_tr_F5H4S0_F5H4S0_HUMAN_.pdf</t>
  </si>
  <si>
    <t>Melting_Curves/meltCurve_tr_F5H5C2_F5H5C2_HUMAN_.pdf</t>
  </si>
  <si>
    <t>Melting_Curves/meltCurve_tr_F5H604_F5H604_HUMAN_.pdf</t>
  </si>
  <si>
    <t>Melting_Curves/meltCurve_tr_F5H658_F5H658_HUMAN_.pdf</t>
  </si>
  <si>
    <t>Melting_Curves/meltCurve_tr_F5H698_F5H698_HUMAN_.pdf</t>
  </si>
  <si>
    <t>Melting_Curves/meltCurve_tr_F5H6G7_F5H6G7_HUMAN_.pdf</t>
  </si>
  <si>
    <t>Melting_Curves/meltCurve_tr_F5H721_F5H721_HUMAN_.pdf</t>
  </si>
  <si>
    <t>Melting_Curves/meltCurve_tr_F5H780_F5H780_HUMAN_.pdf</t>
  </si>
  <si>
    <t>Melting_Curves/meltCurve_tr_F5H7F6_F5H7F6_HUMAN_.pdf</t>
  </si>
  <si>
    <t>Melting_Curves/meltCurve_tr_F5H7X2_F5H7X2_HUMAN_.pdf</t>
  </si>
  <si>
    <t>Melting_Curves/meltCurve_tr_F5H801_F5H801_HUMAN_.pdf</t>
  </si>
  <si>
    <t>Melting_Curves/meltCurve_tr_F5H897_F5H897_HUMAN_.pdf</t>
  </si>
  <si>
    <t>Melting_Curves/meltCurve_tr_F5H8B0_F5H8B0_HUMAN_.pdf</t>
  </si>
  <si>
    <t>Melting_Curves/meltCurve_tr_F5H8D7_F5H8D7_HUMAN_.pdf</t>
  </si>
  <si>
    <t>Melting_Curves/meltCurve_tr_F5H8F7_F5H8F7_HUMAN_.pdf</t>
  </si>
  <si>
    <t>Melting_Curves/meltCurve_tr_F5H8H2_F5H8H2_HUMAN_.pdf</t>
  </si>
  <si>
    <t>Melting_Curves/meltCurve_tr_F5H8H4_F5H8H4_HUMAN_.pdf</t>
  </si>
  <si>
    <t>Melting_Curves/meltCurve_tr_F5H8L0_F5H8L0_HUMAN_.pdf</t>
  </si>
  <si>
    <t>Melting_Curves/meltCurve_tr_F6RY50_F6RY50_HUMAN_.pdf</t>
  </si>
  <si>
    <t>Melting_Curves/meltCurve_tr_F6T1Q0_F6T1Q0_HUMAN_.pdf</t>
  </si>
  <si>
    <t>Melting_Curves/meltCurve_tr_F6TQG2_F6TQG2_HUMAN_.pdf</t>
  </si>
  <si>
    <t>Melting_Curves/meltCurve_tr_F6U1T9_F6U1T9_HUMAN_.pdf</t>
  </si>
  <si>
    <t>Melting_Curves/meltCurve_tr_F6XY72_F6XY72_HUMAN_.pdf</t>
  </si>
  <si>
    <t>Melting_Curves/meltCurve_tr_F8VPD4_F8VPD4_HUMAN_.pdf</t>
  </si>
  <si>
    <t>Melting_Curves/meltCurve_tr_F8VQR7_F8VQR7_HUMAN_.pdf</t>
  </si>
  <si>
    <t>Melting_Curves/meltCurve_tr_F8VQX6_F8VQX6_HUMAN_.pdf</t>
  </si>
  <si>
    <t>Melting_Curves/meltCurve_tr_F8VRD9_F8VRD9_HUMAN_.pdf</t>
  </si>
  <si>
    <t>Melting_Curves/meltCurve_tr_F8VSL3_F8VSL3_HUMAN_.pdf</t>
  </si>
  <si>
    <t>Melting_Curves/meltCurve_tr_F8VU65_F8VU65_HUMAN_.pdf</t>
  </si>
  <si>
    <t>Melting_Curves/meltCurve_tr_F8VUA6_F8VUA6_HUMAN_.pdf</t>
  </si>
  <si>
    <t>Melting_Curves/meltCurve_tr_F8VVA0_F8VVA0_HUMAN_.pdf</t>
  </si>
  <si>
    <t>Melting_Curves/meltCurve_tr_F8VVM2_F8VVM2_HUMAN_.pdf</t>
  </si>
  <si>
    <t>Melting_Curves/meltCurve_tr_F8VVX6_F8VVX6_HUMAN_.pdf</t>
  </si>
  <si>
    <t>Melting_Curves/meltCurve_tr_F8VWA6_F8VWA6_HUMAN_.pdf</t>
  </si>
  <si>
    <t>Melting_Curves/meltCurve_tr_F8VWL3_F8VWL3_HUMAN_.pdf</t>
  </si>
  <si>
    <t>Melting_Curves/meltCurve_tr_F8VXY3_F8VXY3_HUMAN_.pdf</t>
  </si>
  <si>
    <t>Melting_Curves/meltCurve_tr_F8VZJ2_F8VZJ2_HUMAN_.pdf</t>
  </si>
  <si>
    <t>Melting_Curves/meltCurve_tr_F8W038_F8W038_HUMAN_.pdf</t>
  </si>
  <si>
    <t>Melting_Curves/meltCurve_tr_F8W0J4_F8W0J4_HUMAN_.pdf</t>
  </si>
  <si>
    <t>Melting_Curves/meltCurve_tr_F8W118_F8W118_HUMAN_.pdf</t>
  </si>
  <si>
    <t>Melting_Curves/meltCurve_tr_F8W1A4_F8W1A4_HUMAN_.pdf</t>
  </si>
  <si>
    <t>Melting_Curves/meltCurve_tr_F8W1Q3_F8W1Q3_HUMAN_.pdf</t>
  </si>
  <si>
    <t>Melting_Curves/meltCurve_tr_F8W1R7_F8W1R7_HUMAN_.pdf</t>
  </si>
  <si>
    <t>Melting_Curves/meltCurve_tr_F8W6D9_F8W6D9_HUMAN_.pdf</t>
  </si>
  <si>
    <t>Melting_Curves/meltCurve_tr_F8W6W2_F8W6W2_HUMAN_.pdf</t>
  </si>
  <si>
    <t>Melting_Curves/meltCurve_tr_F8W720_F8W720_HUMAN_.pdf</t>
  </si>
  <si>
    <t>Melting_Curves/meltCurve_tr_F8W785_F8W785_HUMAN_.pdf</t>
  </si>
  <si>
    <t>Melting_Curves/meltCurve_tr_F8W7F7_F8W7F7_HUMAN_.pdf</t>
  </si>
  <si>
    <t>Melting_Curves/meltCurve_tr_F8W7U3_F8W7U3_HUMAN_.pdf</t>
  </si>
  <si>
    <t>Melting_Curves/meltCurve_tr_F8W8I6_F8W8I6_HUMAN_.pdf</t>
  </si>
  <si>
    <t>Melting_Curves/meltCurve_tr_F8W8M3_F8W8M3_HUMAN_.pdf</t>
  </si>
  <si>
    <t>Melting_Curves/meltCurve_tr_F8W8M4_F8W8M4_HUMAN_.pdf</t>
  </si>
  <si>
    <t>Melting_Curves/meltCurve_tr_F8W914_F8W914_HUMAN_.pdf</t>
  </si>
  <si>
    <t>Melting_Curves/meltCurve_tr_F8W9I4_F8W9I4_HUMAN_.pdf</t>
  </si>
  <si>
    <t>Melting_Curves/meltCurve_tr_F8W9X7_F8W9X7_HUMAN_.pdf</t>
  </si>
  <si>
    <t>Melting_Curves/meltCurve_tr_F8WAK8_F8WAK8_HUMAN_.pdf</t>
  </si>
  <si>
    <t>Melting_Curves/meltCurve_tr_F8WBL2_F8WBL2_HUMAN_.pdf</t>
  </si>
  <si>
    <t>Melting_Curves/meltCurve_tr_F8WCC1_F8WCC1_HUMAN_.pdf</t>
  </si>
  <si>
    <t>Melting_Curves/meltCurve_tr_F8WCM7_F8WCM7_HUMAN_.pdf</t>
  </si>
  <si>
    <t>Melting_Curves/meltCurve_tr_F8WDV0_F8WDV0_HUMAN_.pdf</t>
  </si>
  <si>
    <t>Melting_Curves/meltCurve_tr_F8WEE4_F8WEE4_HUMAN_.pdf</t>
  </si>
  <si>
    <t>Melting_Curves/meltCurve_tr_F8WF49_F8WF49_HUMAN_.pdf</t>
  </si>
  <si>
    <t>Melting_Curves/meltCurve_tr_F8WJN3_F8WJN3_HUMAN_.pdf</t>
  </si>
  <si>
    <t>Melting_Curves/meltCurve_tr_G3V0E8_G3V0E8_HUMAN_.pdf</t>
  </si>
  <si>
    <t>Melting_Curves/meltCurve_tr_G3V169_G3V169_HUMAN_.pdf</t>
  </si>
  <si>
    <t>Melting_Curves/meltCurve_tr_G3V1P3_G3V1P3_HUMAN_.pdf</t>
  </si>
  <si>
    <t>Melting_Curves/meltCurve_tr_G3V1Y8_G3V1Y8_HUMAN_.pdf</t>
  </si>
  <si>
    <t>Melting_Curves/meltCurve_tr_G3V238_G3V238_HUMAN_.pdf</t>
  </si>
  <si>
    <t>Melting_Curves/meltCurve_tr_G3V2T6_G3V2T6_HUMAN_.pdf</t>
  </si>
  <si>
    <t>Melting_Curves/meltCurve_tr_G3V2U7_G3V2U7_HUMAN_.pdf</t>
  </si>
  <si>
    <t>Melting_Curves/meltCurve_tr_G3V357_G3V357_HUMAN_.pdf</t>
  </si>
  <si>
    <t>Melting_Curves/meltCurve_tr_G3V3D2_G3V3D2_HUMAN_.pdf</t>
  </si>
  <si>
    <t>Melting_Curves/meltCurve_tr_G3V3G9_G3V3G9_HUMAN_.pdf</t>
  </si>
  <si>
    <t>Melting_Curves/meltCurve_tr_G3V3R7_G3V3R7_HUMAN_.pdf</t>
  </si>
  <si>
    <t>Melting_Curves/meltCurve_tr_G3V4C1_G3V4C1_HUMAN_.pdf</t>
  </si>
  <si>
    <t>Melting_Curves/meltCurve_tr_G3V4J7_G3V4J7_HUMAN_.pdf</t>
  </si>
  <si>
    <t>Melting_Curves/meltCurve_tr_G3V4S8_G3V4S8_HUMAN_.pdf</t>
  </si>
  <si>
    <t>Melting_Curves/meltCurve_tr_G3V4W0_G3V4W0_HUMAN_.pdf</t>
  </si>
  <si>
    <t>Melting_Curves/meltCurve_tr_G3V500_G3V500_HUMAN_.pdf</t>
  </si>
  <si>
    <t>Melting_Curves/meltCurve_tr_G3V529_G3V529_HUMAN_.pdf</t>
  </si>
  <si>
    <t>Melting_Curves/meltCurve_tr_G3V599_G3V599_HUMAN_.pdf</t>
  </si>
  <si>
    <t>Melting_Curves/meltCurve_tr_G3V5E1_G3V5E1_HUMAN_.pdf</t>
  </si>
  <si>
    <t>Melting_Curves/meltCurve_tr_G3V5T0_G3V5T0_HUMAN_.pdf</t>
  </si>
  <si>
    <t>Melting_Curves/meltCurve_tr_G3V5V3_G3V5V3_HUMAN_.pdf</t>
  </si>
  <si>
    <t>Melting_Curves/meltCurve_tr_G3XA91_G3XA91_HUMAN_.pdf</t>
  </si>
  <si>
    <t>Melting_Curves/meltCurve_tr_G3XAA0_G3XAA0_HUMAN_.pdf</t>
  </si>
  <si>
    <t>Melting_Curves/meltCurve_tr_G3XAJ6_G3XAJ6_HUMAN_.pdf</t>
  </si>
  <si>
    <t>Melting_Curves/meltCurve_tr_G3XAK4_G3XAK4_HUMAN_.pdf</t>
  </si>
  <si>
    <t>Melting_Curves/meltCurve_tr_G3XAL9_G3XAL9_HUMAN_.pdf</t>
  </si>
  <si>
    <t>Melting_Curves/meltCurve_tr_G3XAM2_G3XAM2_HUMAN_.pdf</t>
  </si>
  <si>
    <t>Melting_Curves/meltCurve_tr_G3XAN8_G3XAN8_HUMAN_.pdf</t>
  </si>
  <si>
    <t>Melting_Curves/meltCurve_tr_G5E9C8_G5E9C8_HUMAN_.pdf</t>
  </si>
  <si>
    <t>Melting_Curves/meltCurve_tr_G5E9N1_G5E9N1_HUMAN_.pdf</t>
  </si>
  <si>
    <t>Melting_Curves/meltCurve_tr_G5E9U6_G5E9U6_HUMAN_.pdf</t>
  </si>
  <si>
    <t>Melting_Curves/meltCurve_tr_G5E9W7_G5E9W7_HUMAN_.pdf</t>
  </si>
  <si>
    <t>Melting_Curves/meltCurve_tr_G5E9X3_G5E9X3_HUMAN_.pdf</t>
  </si>
  <si>
    <t>Melting_Curves/meltCurve_tr_G5EA02_G5EA02_HUMAN_.pdf</t>
  </si>
  <si>
    <t>Melting_Curves/meltCurve_tr_G5EA52_G5EA52_HUMAN_.pdf</t>
  </si>
  <si>
    <t>Melting_Curves/meltCurve_tr_G8JL86_G8JL86_HUMAN_.pdf</t>
  </si>
  <si>
    <t>Melting_Curves/meltCurve_tr_G8JLB3_G8JLB3_HUMAN_.pdf</t>
  </si>
  <si>
    <t>Melting_Curves/meltCurve_tr_G8JLC6_G8JLC6_HUMAN_.pdf</t>
  </si>
  <si>
    <t>Melting_Curves/meltCurve_tr_G8JLE5_G8JLE5_HUMAN_.pdf</t>
  </si>
  <si>
    <t>Melting_Curves/meltCurve_tr_G8JLI5_G8JLI5_HUMAN_.pdf</t>
  </si>
  <si>
    <t>Melting_Curves/meltCurve_tr_H0Y300_H0Y300_HUMAN_.pdf</t>
  </si>
  <si>
    <t>Melting_Curves/meltCurve_tr_H0Y304_H0Y304_HUMAN_.pdf</t>
  </si>
  <si>
    <t>Melting_Curves/meltCurve_tr_H0Y320_H0Y320_HUMAN_.pdf</t>
  </si>
  <si>
    <t>Melting_Curves/meltCurve_tr_H0Y3A0_H0Y3A0_HUMAN_.pdf</t>
  </si>
  <si>
    <t>Melting_Curves/meltCurve_tr_H0Y3P2_H0Y3P2_HUMAN_.pdf</t>
  </si>
  <si>
    <t>Melting_Curves/meltCurve_tr_H0Y3V3_H0Y3V3_HUMAN_.pdf</t>
  </si>
  <si>
    <t>Melting_Curves/meltCurve_tr_H0Y465_H0Y465_HUMAN_.pdf</t>
  </si>
  <si>
    <t>Melting_Curves/meltCurve_tr_H0Y4R1_H0Y4R1_HUMAN_.pdf</t>
  </si>
  <si>
    <t>Melting_Curves/meltCurve_tr_H0Y5G7_H0Y5G7_HUMAN_.pdf</t>
  </si>
  <si>
    <t>Melting_Curves/meltCurve_tr_H0Y612_H0Y612_HUMAN_.pdf</t>
  </si>
  <si>
    <t>Melting_Curves/meltCurve_tr_H0Y614_H0Y614_HUMAN_.pdf</t>
  </si>
  <si>
    <t>Melting_Curves/meltCurve_tr_H0Y6A0_H0Y6A0_HUMAN_.pdf</t>
  </si>
  <si>
    <t>Melting_Curves/meltCurve_tr_H0Y6C3_H0Y6C3_HUMAN_.pdf</t>
  </si>
  <si>
    <t>Melting_Curves/meltCurve_tr_H0Y6I0_H0Y6I0_HUMAN_.pdf</t>
  </si>
  <si>
    <t>Melting_Curves/meltCurve_tr_H0Y7P1_H0Y7P1_HUMAN_.pdf</t>
  </si>
  <si>
    <t>Melting_Curves/meltCurve_tr_H0Y7U4_H0Y7U4_HUMAN_.pdf</t>
  </si>
  <si>
    <t>Melting_Curves/meltCurve_tr_H0Y8L5_H0Y8L5_HUMAN_.pdf</t>
  </si>
  <si>
    <t>Melting_Curves/meltCurve_tr_H0Y9C8_H0Y9C8_HUMAN_.pdf</t>
  </si>
  <si>
    <t>Melting_Curves/meltCurve_tr_H0Y9D7_H0Y9D7_HUMAN_.pdf</t>
  </si>
  <si>
    <t>Melting_Curves/meltCurve_tr_H0YA52_H0YA52_HUMAN_.pdf</t>
  </si>
  <si>
    <t>Melting_Curves/meltCurve_tr_H0YA68_H0YA68_HUMAN_.pdf</t>
  </si>
  <si>
    <t>Melting_Curves/meltCurve_tr_H0YAJ5_H0YAJ5_HUMAN_.pdf</t>
  </si>
  <si>
    <t>Melting_Curves/meltCurve_tr_H0YAL7_H0YAL7_HUMAN_.pdf</t>
  </si>
  <si>
    <t>Melting_Curves/meltCurve_tr_H0YAT2_H0YAT2_HUMAN_.pdf</t>
  </si>
  <si>
    <t>Melting_Curves/meltCurve_tr_H0YBE8_H0YBE8_HUMAN_.pdf</t>
  </si>
  <si>
    <t>Melting_Curves/meltCurve_tr_H0YBY0_H0YBY0_HUMAN_.pdf</t>
  </si>
  <si>
    <t>Melting_Curves/meltCurve_tr_H0YBZ4_H0YBZ4_HUMAN_.pdf</t>
  </si>
  <si>
    <t>Melting_Curves/meltCurve_tr_H0YBZ9_H0YBZ9_HUMAN_.pdf</t>
  </si>
  <si>
    <t>Melting_Curves/meltCurve_tr_H0YCU9_H0YCU9_HUMAN_.pdf</t>
  </si>
  <si>
    <t>Melting_Curves/meltCurve_tr_H0YDQ3_H0YDQ3_HUMAN_.pdf</t>
  </si>
  <si>
    <t>Melting_Curves/meltCurve_tr_H0YDU8_H0YDU8_HUMAN_.pdf</t>
  </si>
  <si>
    <t>Melting_Curves/meltCurve_tr_H0YE28_H0YE28_HUMAN_.pdf</t>
  </si>
  <si>
    <t>Melting_Curves/meltCurve_tr_H0YEB6_H0YEB6_HUMAN_.pdf</t>
  </si>
  <si>
    <t>Melting_Curves/meltCurve_tr_H0YEG5_H0YEG5_HUMAN_.pdf</t>
  </si>
  <si>
    <t>Melting_Curves/meltCurve_tr_H0YEH2_H0YEH2_HUMAN_.pdf</t>
  </si>
  <si>
    <t>Melting_Curves/meltCurve_tr_H0YEN5_H0YEN5_HUMAN_.pdf</t>
  </si>
  <si>
    <t>Melting_Curves/meltCurve_tr_H0YEP5_H0YEP5_HUMAN_.pdf</t>
  </si>
  <si>
    <t>Melting_Curves/meltCurve_tr_H0YER1_H0YER1_HUMAN_.pdf</t>
  </si>
  <si>
    <t>Melting_Curves/meltCurve_tr_H0YFI1_H0YFI1_HUMAN_.pdf</t>
  </si>
  <si>
    <t>Melting_Curves/meltCurve_tr_H0YG38_H0YG38_HUMAN_.pdf</t>
  </si>
  <si>
    <t>Melting_Curves/meltCurve_tr_H0YGR4_H0YGR4_HUMAN_.pdf</t>
  </si>
  <si>
    <t>Melting_Curves/meltCurve_tr_H0YGX7_H0YGX7_HUMAN_.pdf</t>
  </si>
  <si>
    <t>Melting_Curves/meltCurve_tr_H0YH69_H0YH69_HUMAN_.pdf</t>
  </si>
  <si>
    <t>Melting_Curves/meltCurve_tr_H0YI02_H0YI02_HUMAN_.pdf</t>
  </si>
  <si>
    <t>Melting_Curves/meltCurve_tr_H0YJV3_H0YJV3_HUMAN_.pdf</t>
  </si>
  <si>
    <t>Melting_Curves/meltCurve_tr_H0YKF0_H0YKF0_HUMAN_.pdf</t>
  </si>
  <si>
    <t>Melting_Curves/meltCurve_tr_H0YLA4_H0YLA4_HUMAN_.pdf</t>
  </si>
  <si>
    <t>Melting_Curves/meltCurve_tr_H0YLB5_H0YLB5_HUMAN_.pdf</t>
  </si>
  <si>
    <t>Melting_Curves/meltCurve_tr_H0YLN8_H0YLN8_HUMAN_.pdf</t>
  </si>
  <si>
    <t>Melting_Curves/meltCurve_tr_H0YM11_H0YM11_HUMAN_.pdf</t>
  </si>
  <si>
    <t>Melting_Curves/meltCurve_tr_H0YM23_H0YM23_HUMAN_.pdf</t>
  </si>
  <si>
    <t>Melting_Curves/meltCurve_tr_H0YM74_H0YM74_HUMAN_.pdf</t>
  </si>
  <si>
    <t>Melting_Curves/meltCurve_tr_H0YMB0_H0YMB0_HUMAN_.pdf</t>
  </si>
  <si>
    <t>Melting_Curves/meltCurve_tr_H0YMB1_H0YMB1_HUMAN_.pdf</t>
  </si>
  <si>
    <t>Melting_Curves/meltCurve_tr_H0YMB3_H0YMB3_HUMAN_.pdf</t>
  </si>
  <si>
    <t>Melting_Curves/meltCurve_tr_H0YMM7_H0YMM7_HUMAN_.pdf</t>
  </si>
  <si>
    <t>Melting_Curves/meltCurve_tr_H0YN78_H0YN78_HUMAN_.pdf</t>
  </si>
  <si>
    <t>Melting_Curves/meltCurve_tr_H0YN81_H0YN81_HUMAN_.pdf</t>
  </si>
  <si>
    <t>Melting_Curves/meltCurve_tr_H0YNE9_H0YNE9_HUMAN_.pdf</t>
  </si>
  <si>
    <t>Melting_Curves/meltCurve_tr_H0YNU5_H0YNU5_HUMAN_.pdf</t>
  </si>
  <si>
    <t>Melting_Curves/meltCurve_tr_H3BLU7_H3BLU7_HUMAN_.pdf</t>
  </si>
  <si>
    <t>Melting_Curves/meltCurve_tr_H3BM67_H3BM67_HUMAN_.pdf</t>
  </si>
  <si>
    <t>Melting_Curves/meltCurve_tr_H3BMM5_H3BMM5_HUMAN_.pdf</t>
  </si>
  <si>
    <t>Melting_Curves/meltCurve_tr_H3BND3_H3BND3_HUMAN_.pdf</t>
  </si>
  <si>
    <t>Melting_Curves/meltCurve_tr_H3BNU9_H3BNU9_HUMAN_.pdf</t>
  </si>
  <si>
    <t>Melting_Curves/meltCurve_tr_H3BPB8_H3BPB8_HUMAN_.pdf</t>
  </si>
  <si>
    <t>Melting_Curves/meltCurve_tr_H3BPE1_H3BPE1_HUMAN_.pdf</t>
  </si>
  <si>
    <t>Melting_Curves/meltCurve_tr_H3BPZ6_H3BPZ6_HUMAN_.pdf</t>
  </si>
  <si>
    <t>Melting_Curves/meltCurve_tr_H3BQ52_H3BQ52_HUMAN_.pdf</t>
  </si>
  <si>
    <t>Melting_Curves/meltCurve_tr_H3BQ58_H3BQ58_HUMAN_.pdf</t>
  </si>
  <si>
    <t>Melting_Curves/meltCurve_tr_H3BQP5_H3BQP5_HUMAN_.pdf</t>
  </si>
  <si>
    <t>Melting_Curves/meltCurve_tr_H3BQV3_H3BQV3_HUMAN_.pdf</t>
  </si>
  <si>
    <t>Melting_Curves/meltCurve_tr_H3BQZ7_H3BQZ7_HUMAN_.pdf</t>
  </si>
  <si>
    <t>Melting_Curves/meltCurve_tr_H3BR03_H3BR03_HUMAN_.pdf</t>
  </si>
  <si>
    <t>Melting_Curves/meltCurve_tr_H3BR95_H3BR95_HUMAN_.pdf</t>
  </si>
  <si>
    <t>Melting_Curves/meltCurve_tr_H3BRF9_H3BRF9_HUMAN_.pdf</t>
  </si>
  <si>
    <t>Melting_Curves/meltCurve_tr_H3BRG4_H3BRG4_HUMAN_.pdf</t>
  </si>
  <si>
    <t>Melting_Curves/meltCurve_tr_H3BRL3_H3BRL3_HUMAN_.pdf</t>
  </si>
  <si>
    <t>Melting_Curves/meltCurve_tr_H3BRQ0_H3BRQ0_HUMAN_.pdf</t>
  </si>
  <si>
    <t>Melting_Curves/meltCurve_tr_H3BRQ8_H3BRQ8_HUMAN_.pdf</t>
  </si>
  <si>
    <t>Melting_Curves/meltCurve_tr_H3BRT1_H3BRT1_HUMAN_.pdf</t>
  </si>
  <si>
    <t>Melting_Curves/meltCurve_tr_H3BRV0_H3BRV0_HUMAN_.pdf</t>
  </si>
  <si>
    <t>Melting_Curves/meltCurve_tr_H3BTA2_H3BTA2_HUMAN_.pdf</t>
  </si>
  <si>
    <t>Melting_Curves/meltCurve_tr_H3BTB7_H3BTB7_HUMAN_.pdf</t>
  </si>
  <si>
    <t>Melting_Curves/meltCurve_tr_H3BTL2_H3BTL2_HUMAN_.pdf</t>
  </si>
  <si>
    <t>Melting_Curves/meltCurve_tr_H3BU49_H3BU49_HUMAN_.pdf</t>
  </si>
  <si>
    <t>Melting_Curves/meltCurve_tr_H3BUU5_H3BUU5_HUMAN_.pdf</t>
  </si>
  <si>
    <t>Melting_Curves/meltCurve_tr_H3BV16_H3BV16_HUMAN_.pdf</t>
  </si>
  <si>
    <t>Melting_Curves/meltCurve_tr_H7BXH2_H7BXH2_HUMAN_.pdf</t>
  </si>
  <si>
    <t>Melting_Curves/meltCurve_tr_H7BXV2_H7BXV2_HUMAN_.pdf</t>
  </si>
  <si>
    <t>Melting_Curves/meltCurve_tr_H7BXV5_H7BXV5_HUMAN_.pdf</t>
  </si>
  <si>
    <t>Melting_Curves/meltCurve_tr_H7BYD0_H7BYD0_HUMAN_.pdf</t>
  </si>
  <si>
    <t>Melting_Curves/meltCurve_tr_H7BYY1_H7BYY1_HUMAN_.pdf</t>
  </si>
  <si>
    <t>Melting_Curves/meltCurve_tr_H7BZ00_H7BZ00_HUMAN_.pdf</t>
  </si>
  <si>
    <t>Melting_Curves/meltCurve_tr_H7BZJ3_H7BZJ3_HUMAN_.pdf</t>
  </si>
  <si>
    <t>Melting_Curves/meltCurve_tr_H7BZL0_H7BZL0_HUMAN_.pdf</t>
  </si>
  <si>
    <t>Melting_Curves/meltCurve_tr_H7C0E5_H7C0E5_HUMAN_.pdf</t>
  </si>
  <si>
    <t>Melting_Curves/meltCurve_tr_H7C0G7_H7C0G7_HUMAN_.pdf</t>
  </si>
  <si>
    <t>Melting_Curves/meltCurve_tr_H7C0I1_H7C0I1_HUMAN_.pdf</t>
  </si>
  <si>
    <t>Melting_Curves/meltCurve_tr_H7C0V9_H7C0V9_HUMAN_.pdf</t>
  </si>
  <si>
    <t>Melting_Curves/meltCurve_tr_H7C0Y4_H7C0Y4_HUMAN_.pdf</t>
  </si>
  <si>
    <t>Melting_Curves/meltCurve_tr_H7C1I7_H7C1I7_HUMAN_.pdf</t>
  </si>
  <si>
    <t>Melting_Curves/meltCurve_tr_H7C1J4_H7C1J4_HUMAN_.pdf</t>
  </si>
  <si>
    <t>Melting_Curves/meltCurve_tr_H7C1U3_H7C1U3_HUMAN_.pdf</t>
  </si>
  <si>
    <t>Melting_Curves/meltCurve_tr_H7C1V3_H7C1V3_HUMAN_.pdf</t>
  </si>
  <si>
    <t>Melting_Curves/meltCurve_tr_H7C2B1_H7C2B1_HUMAN_.pdf</t>
  </si>
  <si>
    <t>Melting_Curves/meltCurve_tr_H7C2G2_H7C2G2_HUMAN_.pdf</t>
  </si>
  <si>
    <t>Melting_Curves/meltCurve_tr_H7C2Z6_H7C2Z6_HUMAN_.pdf</t>
  </si>
  <si>
    <t>Melting_Curves/meltCurve_tr_H7C331_H7C331_HUMAN_.pdf</t>
  </si>
  <si>
    <t>Melting_Curves/meltCurve_tr_H7C3D5_H7C3D5_HUMAN_.pdf</t>
  </si>
  <si>
    <t>Melting_Curves/meltCurve_tr_H7C3G7_H7C3G7_HUMAN_.pdf</t>
  </si>
  <si>
    <t>Melting_Curves/meltCurve_tr_H7C3P4_H7C3P4_HUMAN_.pdf</t>
  </si>
  <si>
    <t>Melting_Curves/meltCurve_tr_H7C3T2_H7C3T2_HUMAN_.pdf</t>
  </si>
  <si>
    <t>Melting_Curves/meltCurve_tr_H7C462_H7C462_HUMAN_.pdf</t>
  </si>
  <si>
    <t>Melting_Curves/meltCurve_tr_H7C4T5_H7C4T5_HUMAN_.pdf</t>
  </si>
  <si>
    <t>Melting_Curves/meltCurve_tr_H7C4Y3_H7C4Y3_HUMAN_.pdf</t>
  </si>
  <si>
    <t>Melting_Curves/meltCurve_tr_H7C5G1_H7C5G1_HUMAN_.pdf</t>
  </si>
  <si>
    <t>Melting_Curves/meltCurve_tr_I3L097_I3L097_HUMAN_.pdf</t>
  </si>
  <si>
    <t>Melting_Curves/meltCurve_tr_I3L0A5_I3L0A5_HUMAN_.pdf</t>
  </si>
  <si>
    <t>Melting_Curves/meltCurve_tr_I3L0H8_I3L0H8_HUMAN_.pdf</t>
  </si>
  <si>
    <t>Melting_Curves/meltCurve_tr_I3L0K7_I3L0K7_HUMAN_.pdf</t>
  </si>
  <si>
    <t>Melting_Curves/meltCurve_tr_I3L1H5_I3L1H5_HUMAN_.pdf</t>
  </si>
  <si>
    <t>Melting_Curves/meltCurve_tr_I3L1K7_I3L1K7_HUMAN_.pdf</t>
  </si>
  <si>
    <t>Melting_Curves/meltCurve_tr_I3L2B0_I3L2B0_HUMAN_.pdf</t>
  </si>
  <si>
    <t>Melting_Curves/meltCurve_tr_I3L2J0_I3L2J0_HUMAN_.pdf</t>
  </si>
  <si>
    <t>Melting_Curves/meltCurve_tr_I3L2L5_I3L2L5_HUMAN_.pdf</t>
  </si>
  <si>
    <t>Melting_Curves/meltCurve_tr_I3L397_I3L397_HUMAN_.pdf</t>
  </si>
  <si>
    <t>Melting_Curves/meltCurve_tr_I3L3G9_I3L3G9_HUMAN_.pdf</t>
  </si>
  <si>
    <t>Melting_Curves/meltCurve_tr_I3L3P7_I3L3P7_HUMAN_.pdf</t>
  </si>
  <si>
    <t>Melting_Curves/meltCurve_tr_I3L4B1_I3L4B1_HUMAN_.pdf</t>
  </si>
  <si>
    <t>Melting_Curves/meltCurve_tr_I3L4C3_I3L4C3_HUMAN_.pdf</t>
  </si>
  <si>
    <t>Melting_Curves/meltCurve_tr_I3L4X3_I3L4X3_HUMAN_.pdf</t>
  </si>
  <si>
    <t>Melting_Curves/meltCurve_tr_I3L4X7_I3L4X7_HUMAN_.pdf</t>
  </si>
  <si>
    <t>Melting_Curves/meltCurve_tr_I3L521_I3L521_HUMAN_.pdf</t>
  </si>
  <si>
    <t>Melting_Curves/meltCurve_tr_J3KMY5_J3KMY5_HUMAN_.pdf</t>
  </si>
  <si>
    <t>Melting_Curves/meltCurve_tr_J3KN29_J3KN29_HUMAN_.pdf</t>
  </si>
  <si>
    <t>Melting_Curves/meltCurve_tr_J3KN66_J3KN66_HUMAN_.pdf</t>
  </si>
  <si>
    <t>Melting_Curves/meltCurve_tr_J3KN75_J3KN75_HUMAN_.pdf</t>
  </si>
  <si>
    <t>Melting_Curves/meltCurve_tr_J3KN93_J3KN93_HUMAN_.pdf</t>
  </si>
  <si>
    <t>Melting_Curves/meltCurve_tr_J3KNC0_J3KNC0_HUMAN_.pdf</t>
  </si>
  <si>
    <t>Melting_Curves/meltCurve_tr_J3KND1_J3KND1_HUMAN_.pdf</t>
  </si>
  <si>
    <t>Melting_Curves/meltCurve_tr_J3KNE2_J3KNE2_HUMAN_.pdf</t>
  </si>
  <si>
    <t>Melting_Curves/meltCurve_tr_J3KNF4_J3KNF4_HUMAN_.pdf</t>
  </si>
  <si>
    <t>Melting_Curves/meltCurve_tr_J3KNL6_J3KNL6_HUMAN_.pdf</t>
  </si>
  <si>
    <t>Melting_Curves/meltCurve_tr_J3KNN7_J3KNN7_HUMAN_.pdf</t>
  </si>
  <si>
    <t>Melting_Curves/meltCurve_tr_J3KP15_J3KP15_HUMAN_.pdf</t>
  </si>
  <si>
    <t>Melting_Curves/meltCurve_tr_J3KP19_J3KP19_HUMAN_.pdf</t>
  </si>
  <si>
    <t>Melting_Curves/meltCurve_tr_J3KP30_J3KP30_HUMAN_.pdf</t>
  </si>
  <si>
    <t>Melting_Curves/meltCurve_tr_J3KP36_J3KP36_HUMAN_.pdf</t>
  </si>
  <si>
    <t>Melting_Curves/meltCurve_tr_J3KPS2_J3KPS2_HUMAN_.pdf</t>
  </si>
  <si>
    <t>Melting_Curves/meltCurve_tr_J3KPV7_J3KPV7_HUMAN_.pdf</t>
  </si>
  <si>
    <t>Melting_Curves/meltCurve_tr_J3KQ34_J3KQ34_HUMAN_.pdf</t>
  </si>
  <si>
    <t>Melting_Curves/meltCurve_tr_J3KQ72_J3KQ72_HUMAN_.pdf</t>
  </si>
  <si>
    <t>Melting_Curves/meltCurve_tr_J3KQG4_J3KQG4_HUMAN_.pdf</t>
  </si>
  <si>
    <t>Melting_Curves/meltCurve_tr_J3KQS6_J3KQS6_HUMAN_.pdf</t>
  </si>
  <si>
    <t>Melting_Curves/meltCurve_tr_J3KRP0_J3KRP0_HUMAN_.pdf</t>
  </si>
  <si>
    <t>Melting_Curves/meltCurve_tr_J3KRR7_J3KRR7_HUMAN_.pdf</t>
  </si>
  <si>
    <t>Melting_Curves/meltCurve_tr_J3KS05_J3KS05_HUMAN_.pdf</t>
  </si>
  <si>
    <t>Melting_Curves/meltCurve_tr_J3KS94_J3KS94_HUMAN_.pdf</t>
  </si>
  <si>
    <t>Melting_Curves/meltCurve_tr_J3KSS7_J3KSS7_HUMAN_.pdf</t>
  </si>
  <si>
    <t>Melting_Curves/meltCurve_tr_J3KSZ8_J3KSZ8_HUMAN_.pdf</t>
  </si>
  <si>
    <t>Melting_Curves/meltCurve_tr_J3KT51_J3KT51_HUMAN_.pdf</t>
  </si>
  <si>
    <t>Melting_Curves/meltCurve_tr_J3KTJ8_J3KTJ8_HUMAN_.pdf</t>
  </si>
  <si>
    <t>Melting_Curves/meltCurve_tr_J3KTN0_J3KTN0_HUMAN_.pdf</t>
  </si>
  <si>
    <t>Melting_Curves/meltCurve_tr_J3QKS7_J3QKS7_HUMAN_.pdf</t>
  </si>
  <si>
    <t>Melting_Curves/meltCurve_tr_J3QL56_J3QL56_HUMAN_.pdf</t>
  </si>
  <si>
    <t>Melting_Curves/meltCurve_tr_J3QLE5_J3QLE5_HUMAN_.pdf</t>
  </si>
  <si>
    <t>Melting_Curves/meltCurve_tr_J3QLP3_J3QLP3_HUMAN_.pdf</t>
  </si>
  <si>
    <t>Melting_Curves/meltCurve_tr_J3QLP6_J3QLP6_HUMAN_.pdf</t>
  </si>
  <si>
    <t>Melting_Curves/meltCurve_tr_J3QLU0_J3QLU0_HUMAN_.pdf</t>
  </si>
  <si>
    <t>Melting_Curves/meltCurve_tr_J3QQJ5_J3QQJ5_HUMAN_.pdf</t>
  </si>
  <si>
    <t>Melting_Curves/meltCurve_tr_J3QQT2_J3QQT2_HUMAN_.pdf</t>
  </si>
  <si>
    <t>Melting_Curves/meltCurve_tr_J3QQU4_J3QQU4_HUMAN_.pdf</t>
  </si>
  <si>
    <t>Melting_Curves/meltCurve_tr_J3QQX3_J3QQX3_HUMAN_.pdf</t>
  </si>
  <si>
    <t>Melting_Curves/meltCurve_tr_J3QR09_J3QR09_HUMAN_.pdf</t>
  </si>
  <si>
    <t>Melting_Curves/meltCurve_tr_J3QRD1_J3QRD1_HUMAN_.pdf</t>
  </si>
  <si>
    <t>Melting_Curves/meltCurve_tr_J3QRK2_J3QRK2_HUMAN_.pdf</t>
  </si>
  <si>
    <t>Melting_Curves/meltCurve_tr_J3QSE5_J3QSE5_HUMAN_.pdf</t>
  </si>
  <si>
    <t>Melting_Curves/meltCurve_tr_J3QSV6_J3QSV6_HUMAN_.pdf</t>
  </si>
  <si>
    <t>Melting_Curves/meltCurve_tr_J3QSY4_J3QSY4_HUMAN_.pdf</t>
  </si>
  <si>
    <t>Melting_Curves/meltCurve_tr_J3QSY7_J3QSY7_HUMAN_.pdf</t>
  </si>
  <si>
    <t>Melting_Curves/meltCurve_tr_J9JIC5_J9JIC5_HUMAN_.pdf</t>
  </si>
  <si>
    <t>Melting_Curves/meltCurve_tr_J9JIE0_J9JIE0_HUMAN_.pdf</t>
  </si>
  <si>
    <t>Melting_Curves/meltCurve_tr_J9JIE9_J9JIE9_HUMAN_.pdf</t>
  </si>
  <si>
    <t>Melting_Curves/meltCurve_tr_K4DI92_K4DI92_HUMAN_.pdf</t>
  </si>
  <si>
    <t>Melting_Curves/meltCurve_tr_K7EIE8_K7EIE8_HUMAN_.pdf</t>
  </si>
  <si>
    <t>Melting_Curves/meltCurve_tr_K7EIG1_K7EIG1_HUMAN_.pdf</t>
  </si>
  <si>
    <t>Melting_Curves/meltCurve_tr_K7EIU8_K7EIU8_HUMAN_.pdf</t>
  </si>
  <si>
    <t>Melting_Curves/meltCurve_tr_K7EIV9_K7EIV9_HUMAN_.pdf</t>
  </si>
  <si>
    <t>Melting_Curves/meltCurve_tr_K7EJ05_K7EJ05_HUMAN_.pdf</t>
  </si>
  <si>
    <t>Melting_Curves/meltCurve_tr_K7EJB9_K7EJB9_HUMAN_.pdf</t>
  </si>
  <si>
    <t>Melting_Curves/meltCurve_tr_K7EJG0_K7EJG0_HUMAN_.pdf</t>
  </si>
  <si>
    <t>Melting_Curves/meltCurve_tr_K7EJH8_K7EJH8_HUMAN_.pdf</t>
  </si>
  <si>
    <t>Melting_Curves/meltCurve_tr_K7EK06_K7EK06_HUMAN_.pdf</t>
  </si>
  <si>
    <t>Melting_Curves/meltCurve_tr_K7EK07_K7EK07_HUMAN_.pdf</t>
  </si>
  <si>
    <t>Melting_Curves/meltCurve_tr_K7EK11_K7EK11_HUMAN_.pdf</t>
  </si>
  <si>
    <t>Melting_Curves/meltCurve_tr_K7EKE6_K7EKE6_HUMAN_.pdf</t>
  </si>
  <si>
    <t>Melting_Curves/meltCurve_tr_K7EL68_K7EL68_HUMAN_.pdf</t>
  </si>
  <si>
    <t>Melting_Curves/meltCurve_tr_K7ELL7_K7ELL7_HUMAN_.pdf</t>
  </si>
  <si>
    <t>Melting_Curves/meltCurve_tr_K7EM02_K7EM02_HUMAN_.pdf</t>
  </si>
  <si>
    <t>Melting_Curves/meltCurve_tr_K7EM09_K7EM09_HUMAN_.pdf</t>
  </si>
  <si>
    <t>Melting_Curves/meltCurve_tr_K7EM11_K7EM11_HUMAN_.pdf</t>
  </si>
  <si>
    <t>Melting_Curves/meltCurve_tr_K7EME0_K7EME0_HUMAN_.pdf</t>
  </si>
  <si>
    <t>Melting_Curves/meltCurve_tr_K7EMS3_K7EMS3_HUMAN_.pdf</t>
  </si>
  <si>
    <t>Melting_Curves/meltCurve_tr_K7EN05_K7EN05_HUMAN_.pdf</t>
  </si>
  <si>
    <t>Melting_Curves/meltCurve_tr_K7ENL9_K7ENL9_HUMAN_.pdf</t>
  </si>
  <si>
    <t>Melting_Curves/meltCurve_tr_K7ENR6_K7ENR6_HUMAN_.pdf</t>
  </si>
  <si>
    <t>Melting_Curves/meltCurve_tr_K7ENT8_K7ENT8_HUMAN_.pdf</t>
  </si>
  <si>
    <t>Melting_Curves/meltCurve_tr_K7ENY9_K7ENY9_HUMAN_.pdf</t>
  </si>
  <si>
    <t>Melting_Curves/meltCurve_tr_K7EP80_K7EP80_HUMAN_.pdf</t>
  </si>
  <si>
    <t>Melting_Curves/meltCurve_tr_K7EQD9_K7EQD9_HUMAN_.pdf</t>
  </si>
  <si>
    <t>Melting_Curves/meltCurve_tr_K7ER46_K7ER46_HUMAN_.pdf</t>
  </si>
  <si>
    <t>Melting_Curves/meltCurve_tr_K7ERI9_K7ERI9_HUMAN_.pdf</t>
  </si>
  <si>
    <t>Melting_Curves/meltCurve_tr_K7ES31_K7ES31_HUMAN_.pdf</t>
  </si>
  <si>
    <t>Melting_Curves/meltCurve_tr_K7ESE3_K7ESE3_HUMAN_.pdf</t>
  </si>
  <si>
    <t>Melting_Curves/meltCurve_tr_M0QWZ7_M0QWZ7_HUMAN_.pdf</t>
  </si>
  <si>
    <t>Melting_Curves/meltCurve_tr_M0QX35_M0QX35_HUMAN_.pdf</t>
  </si>
  <si>
    <t>Melting_Curves/meltCurve_tr_M0QXL5_M0QXL5_HUMAN_.pdf</t>
  </si>
  <si>
    <t>Melting_Curves/meltCurve_tr_M0QYH2_M0QYH2_HUMAN_.pdf</t>
  </si>
  <si>
    <t>Melting_Curves/meltCurve_tr_M0QZC7_M0QZC7_HUMAN_.pdf</t>
  </si>
  <si>
    <t>Melting_Curves/meltCurve_tr_M0QZE0_M0QZE0_HUMAN_.pdf</t>
  </si>
  <si>
    <t>Melting_Curves/meltCurve_tr_M0R0B4_M0R0B4_HUMAN_.pdf</t>
  </si>
  <si>
    <t>Melting_Curves/meltCurve_tr_M0R0F0_M0R0F0_HUMAN_.pdf</t>
  </si>
  <si>
    <t>Melting_Curves/meltCurve_tr_M0R210_M0R210_HUMAN_.pdf</t>
  </si>
  <si>
    <t>Melting_Curves/meltCurve_tr_M0R2L9_M0R2L9_HUMAN_.pdf</t>
  </si>
  <si>
    <t>Melting_Curves/meltCurve_tr_M0R3D4_M0R3D4_HUMAN_.pdf</t>
  </si>
  <si>
    <t>Melting_Curves/meltCurve_tr_M0R3H3_M0R3H3_HUMAN_.pdf</t>
  </si>
  <si>
    <t>Melting_Curves/meltCurve_tr_O95205_O95205_HUMAN_.pdf</t>
  </si>
  <si>
    <t>Melting_Curves/meltCurve_tr_Q17RU2_Q17RU2_HUMAN_.pdf</t>
  </si>
  <si>
    <t>Melting_Curves/meltCurve_tr_Q2TAM5_Q2TAM5_HUMAN_.pdf</t>
  </si>
  <si>
    <t>Melting_Curves/meltCurve_tr_Q32N00_Q32N00_HUMAN_.pdf</t>
  </si>
  <si>
    <t>Melting_Curves/meltCurve_tr_Q567Q0_Q567Q0_HUMAN_.pdf</t>
  </si>
  <si>
    <t>Melting_Curves/meltCurve_tr_Q5H8W9_Q5H8W9_HUMAN_.pdf</t>
  </si>
  <si>
    <t>Melting_Curves/meltCurve_tr_Q5H937_Q5H937_HUMAN_.pdf</t>
  </si>
  <si>
    <t>Melting_Curves/meltCurve_tr_Q5HY54_Q5HY54_HUMAN_.pdf</t>
  </si>
  <si>
    <t>Melting_Curves/meltCurve_tr_Q5JB52_Q5JB52_HUMAN_.pdf</t>
  </si>
  <si>
    <t>Melting_Curves/meltCurve_tr_Q5JP53_Q5JP53_HUMAN_.pdf</t>
  </si>
  <si>
    <t>Melting_Curves/meltCurve_tr_Q5JR08_Q5JR08_HUMAN_.pdf</t>
  </si>
  <si>
    <t>Melting_Curves/meltCurve_tr_Q5JSK9_Q5JSK9_HUMAN_.pdf</t>
  </si>
  <si>
    <t>Melting_Curves/meltCurve_tr_Q5JTV1_Q5JTV1_HUMAN_.pdf</t>
  </si>
  <si>
    <t>Melting_Curves/meltCurve_tr_Q5JW30_Q5JW30_HUMAN_.pdf</t>
  </si>
  <si>
    <t>Melting_Curves/meltCurve_tr_Q5JW53_Q5JW53_HUMAN_.pdf</t>
  </si>
  <si>
    <t>Melting_Curves/meltCurve_tr_Q5JXX2_Q5JXX2_HUMAN_.pdf</t>
  </si>
  <si>
    <t>Melting_Curves/meltCurve_tr_Q5QNY5_Q5QNY5_HUMAN_.pdf</t>
  </si>
  <si>
    <t>Melting_Curves/meltCurve_tr_Q5QPL9_Q5QPL9_HUMAN_.pdf</t>
  </si>
  <si>
    <t>Melting_Curves/meltCurve_tr_Q5QPM7_Q5QPM7_HUMAN_.pdf</t>
  </si>
  <si>
    <t>Melting_Curves/meltCurve_tr_Q5SSZ3_Q5SSZ3_HUMAN_.pdf</t>
  </si>
  <si>
    <t>Melting_Curves/meltCurve_tr_Q5SZC6_Q5SZC6_HUMAN_.pdf</t>
  </si>
  <si>
    <t>Melting_Curves/meltCurve_tr_Q5T123_Q5T123_HUMAN_.pdf</t>
  </si>
  <si>
    <t>Melting_Curves/meltCurve_tr_Q5T179_Q5T179_HUMAN_.pdf</t>
  </si>
  <si>
    <t>Melting_Curves/meltCurve_tr_Q5T4K5_Q5T4K5_HUMAN_.pdf</t>
  </si>
  <si>
    <t>Melting_Curves/meltCurve_tr_Q5T6K7_Q5T6K7_HUMAN_.pdf</t>
  </si>
  <si>
    <t>Melting_Curves/meltCurve_tr_Q5T7A4_Q5T7A4_HUMAN_.pdf</t>
  </si>
  <si>
    <t>Melting_Curves/meltCurve_tr_Q5T985_Q5T985_HUMAN_.pdf</t>
  </si>
  <si>
    <t>Melting_Curves/meltCurve_tr_Q5TA04_Q5TA04_HUMAN_.pdf</t>
  </si>
  <si>
    <t>Melting_Curves/meltCurve_tr_Q5TA58_Q5TA58_HUMAN_.pdf</t>
  </si>
  <si>
    <t>Melting_Curves/meltCurve_tr_Q5TAQ0_Q5TAQ0_HUMAN_.pdf</t>
  </si>
  <si>
    <t>Melting_Curves/meltCurve_tr_Q5TAW7_Q5TAW7_HUMAN_.pdf</t>
  </si>
  <si>
    <t>Melting_Curves/meltCurve_tr_Q5TBP5_Q5TBP5_HUMAN_.pdf</t>
  </si>
  <si>
    <t>Melting_Curves/meltCurve_tr_Q5TBP9_Q5TBP9_HUMAN_.pdf</t>
  </si>
  <si>
    <t>Melting_Curves/meltCurve_tr_Q5TCT4_Q5TCT4_HUMAN_.pdf</t>
  </si>
  <si>
    <t>Melting_Curves/meltCurve_tr_Q5TCW7_Q5TCW7_HUMAN_.pdf</t>
  </si>
  <si>
    <t>Melting_Curves/meltCurve_tr_Q5TIJ2_Q5TIJ2_HUMAN_.pdf</t>
  </si>
  <si>
    <t>Melting_Curves/meltCurve_tr_Q5VTI5_Q5VTI5_HUMAN_.pdf</t>
  </si>
  <si>
    <t>Melting_Curves/meltCurve_tr_Q5VTU3_Q5VTU3_HUMAN_.pdf</t>
  </si>
  <si>
    <t>Melting_Curves/meltCurve_tr_Q5VU58_Q5VU58_HUMAN_.pdf</t>
  </si>
  <si>
    <t>Melting_Curves/meltCurve_tr_Q5VW52_Q5VW52_HUMAN_.pdf</t>
  </si>
  <si>
    <t>Melting_Curves/meltCurve_tr_Q5VZM0_Q5VZM0_HUMAN_.pdf</t>
  </si>
  <si>
    <t>Melting_Curves/meltCurve_tr_Q5W125_Q5W125_HUMAN_.pdf</t>
  </si>
  <si>
    <t>Melting_Curves/meltCurve_tr_Q64EX5_Q64EX5_HUMAN_.pdf</t>
  </si>
  <si>
    <t>Melting_Curves/meltCurve_tr_Q6ICJ4_Q6ICJ4_HUMAN_.pdf</t>
  </si>
  <si>
    <t>Melting_Curves/meltCurve_tr_Q6NZ53_Q6NZ53_HUMAN_.pdf</t>
  </si>
  <si>
    <t>Melting_Curves/meltCurve_tr_Q6P275_Q6P275_HUMAN_.pdf</t>
  </si>
  <si>
    <t>Melting_Curves/meltCurve_tr_Q6PIR0_Q6PIR0_HUMAN_.pdf</t>
  </si>
  <si>
    <t>Melting_Curves/meltCurve_tr_Q71TU5_Q71TU5_HUMAN_.pdf</t>
  </si>
  <si>
    <t>Melting_Curves/meltCurve_tr_Q7Z721_Q7Z721_HUMAN_.pdf</t>
  </si>
  <si>
    <t>Melting_Curves/meltCurve_tr_Q86UY0_Q86UY0_HUMAN_.pdf</t>
  </si>
  <si>
    <t>Melting_Curves/meltCurve_tr_Q86V84_Q86V84_HUMAN_.pdf</t>
  </si>
  <si>
    <t>Melting_Curves/meltCurve_tr_Q86VQ2_Q86VQ2_HUMAN_.pdf</t>
  </si>
  <si>
    <t>Melting_Curves/meltCurve_tr_Q8IYN9_Q8IYN9_HUMAN_.pdf</t>
  </si>
  <si>
    <t>Melting_Curves/meltCurve_tr_Q8N749_Q8N749_HUMAN_.pdf</t>
  </si>
  <si>
    <t>Melting_Curves/meltCurve_tr_Q8NBY1_Q8NBY1_HUMAN_.pdf</t>
  </si>
  <si>
    <t>Melting_Curves/meltCurve_tr_Q8NEC6_Q8NEC6_HUMAN_.pdf</t>
  </si>
  <si>
    <t>Melting_Curves/meltCurve_tr_Q8WVC2_Q8WVC2_HUMAN_.pdf</t>
  </si>
  <si>
    <t>Melting_Curves/meltCurve_tr_Q8WYQ7_Q8WYQ7_HUMAN_.pdf</t>
  </si>
  <si>
    <t>Melting_Curves/meltCurve_tr_Q96G53_Q96G53_HUMAN_.pdf</t>
  </si>
  <si>
    <t>Melting_Curves/meltCurve_tr_Q9H6Y6_Q9H6Y6_HUMAN_.pdf</t>
  </si>
  <si>
    <t>Melting_Curves/meltCurve_tr_Q9H9M6_Q9H9M6_HUMAN_.pdf</t>
  </si>
  <si>
    <t>Melting_Curves/meltCurve_tr_Q9UII8_Q9UII8_HUMAN_.pdf</t>
  </si>
  <si>
    <t>Melting_Curves/meltCurve_tr_R4GMN1_R4GMN1_HUMAN_.pdf</t>
  </si>
  <si>
    <t>Melting_Curves/meltCurve_tr_R4GMR5_R4GMR5_HUMAN_.pdf</t>
  </si>
  <si>
    <t>Melting_Curves/meltCurve_tr_R4GMU8_R4GMU8_HUMAN_.pdf</t>
  </si>
  <si>
    <t>Melting_Curves/meltCurve_tr_R4GMX3_R4GMX3_HUMAN_.pdf</t>
  </si>
  <si>
    <t>Melting_Curves/meltCurve_tr_R4GN55_R4GN55_HUMAN_.pdf</t>
  </si>
  <si>
    <t>Melting_Curves/meltCurve_tr_R4GN72_R4GN72_HUMAN_.pdf</t>
  </si>
  <si>
    <t>Melting_Curves/meltCurve_tr_R4GN98_R4GN98_HUMAN_.pdf</t>
  </si>
  <si>
    <t>Melting_Curves/meltCurve_tr_R4GNB2_R4GNB2_HUMAN_.pdf</t>
  </si>
  <si>
    <t>Melting_Curves/meltCurve_tr_R4GNH3_R4GNH3_HUMAN_.pdf</t>
  </si>
  <si>
    <t>Melting_Curves/meltCurve_tr_R4GNH9_R4GNH9_HUMAN_.pdf</t>
  </si>
  <si>
    <t>Yes</t>
  </si>
  <si>
    <t>No</t>
  </si>
  <si>
    <t>A0AVT1</t>
  </si>
  <si>
    <t>A0JNW5</t>
  </si>
  <si>
    <t>A0MZ66</t>
  </si>
  <si>
    <t>A1L0T0</t>
  </si>
  <si>
    <t>A1L170</t>
  </si>
  <si>
    <t>A1L188</t>
  </si>
  <si>
    <t>A1X283</t>
  </si>
  <si>
    <t>A1Z1Q3-2</t>
  </si>
  <si>
    <t>A2RUC4</t>
  </si>
  <si>
    <t>A2VDF0-2</t>
  </si>
  <si>
    <t>A3KMH1-3</t>
  </si>
  <si>
    <t>A3KN83-3</t>
  </si>
  <si>
    <t>A4D126-2</t>
  </si>
  <si>
    <t>A4D1P6-2</t>
  </si>
  <si>
    <t>A5PLN9-2</t>
  </si>
  <si>
    <t>A5YKK6-2</t>
  </si>
  <si>
    <t>A5YM69</t>
  </si>
  <si>
    <t>A6ND36-2</t>
  </si>
  <si>
    <t>A6ND91</t>
  </si>
  <si>
    <t>A6NDB9</t>
  </si>
  <si>
    <t>A6NDG6</t>
  </si>
  <si>
    <t>A6NDU8</t>
  </si>
  <si>
    <t>A6NED2</t>
  </si>
  <si>
    <t>A6NEL2</t>
  </si>
  <si>
    <t>A6NFY7</t>
  </si>
  <si>
    <t>A6NHQ2</t>
  </si>
  <si>
    <t>A6NIH7</t>
  </si>
  <si>
    <t>A6NK44</t>
  </si>
  <si>
    <t>A6NK58</t>
  </si>
  <si>
    <t>A6NKD9</t>
  </si>
  <si>
    <t>A6NKN8</t>
  </si>
  <si>
    <t>A6NLP5</t>
  </si>
  <si>
    <t>A8MSI8</t>
  </si>
  <si>
    <t>A8MXV4</t>
  </si>
  <si>
    <t>B1AJZ9-4</t>
  </si>
  <si>
    <t>B1AK53</t>
  </si>
  <si>
    <t>B7ZBB8</t>
  </si>
  <si>
    <t>B9A064</t>
  </si>
  <si>
    <t>C4AMC7</t>
  </si>
  <si>
    <t>F8WCM5</t>
  </si>
  <si>
    <t>O00116</t>
  </si>
  <si>
    <t>O00124-3</t>
  </si>
  <si>
    <t>O00139-2</t>
  </si>
  <si>
    <t>O00142</t>
  </si>
  <si>
    <t>O00148</t>
  </si>
  <si>
    <t>O00151</t>
  </si>
  <si>
    <t>O00154-6</t>
  </si>
  <si>
    <t>O00161</t>
  </si>
  <si>
    <t>O00170</t>
  </si>
  <si>
    <t>O00178</t>
  </si>
  <si>
    <t>O00214</t>
  </si>
  <si>
    <t>O00231</t>
  </si>
  <si>
    <t>O00232</t>
  </si>
  <si>
    <t>O00244</t>
  </si>
  <si>
    <t>O00257</t>
  </si>
  <si>
    <t>O00264</t>
  </si>
  <si>
    <t>O00267-2</t>
  </si>
  <si>
    <t>O00273</t>
  </si>
  <si>
    <t>O00291</t>
  </si>
  <si>
    <t>O00299</t>
  </si>
  <si>
    <t>O00399</t>
  </si>
  <si>
    <t>O00401</t>
  </si>
  <si>
    <t>O00410</t>
  </si>
  <si>
    <t>O00429-4</t>
  </si>
  <si>
    <t>O00459</t>
  </si>
  <si>
    <t>O00462</t>
  </si>
  <si>
    <t>O00468-2</t>
  </si>
  <si>
    <t>O00471</t>
  </si>
  <si>
    <t>O00479</t>
  </si>
  <si>
    <t>O00487</t>
  </si>
  <si>
    <t>O00499-6</t>
  </si>
  <si>
    <t>O00505</t>
  </si>
  <si>
    <t>O00506</t>
  </si>
  <si>
    <t>O00515</t>
  </si>
  <si>
    <t>O00522</t>
  </si>
  <si>
    <t>O00534</t>
  </si>
  <si>
    <t>O00566</t>
  </si>
  <si>
    <t>O00567</t>
  </si>
  <si>
    <t>O00571</t>
  </si>
  <si>
    <t>O00625</t>
  </si>
  <si>
    <t>O00629</t>
  </si>
  <si>
    <t>O00635</t>
  </si>
  <si>
    <t>O00712</t>
  </si>
  <si>
    <t>O00743</t>
  </si>
  <si>
    <t>O00748</t>
  </si>
  <si>
    <t>O00754</t>
  </si>
  <si>
    <t>O00757</t>
  </si>
  <si>
    <t>O00763</t>
  </si>
  <si>
    <t>O00764</t>
  </si>
  <si>
    <t>O14497</t>
  </si>
  <si>
    <t>O14519-2</t>
  </si>
  <si>
    <t>O14545</t>
  </si>
  <si>
    <t>O14561</t>
  </si>
  <si>
    <t>O14579</t>
  </si>
  <si>
    <t>O14617-4</t>
  </si>
  <si>
    <t>O14686</t>
  </si>
  <si>
    <t>O14732-2</t>
  </si>
  <si>
    <t>O14733</t>
  </si>
  <si>
    <t>O14734</t>
  </si>
  <si>
    <t>O14737</t>
  </si>
  <si>
    <t>O14744</t>
  </si>
  <si>
    <t>O14745</t>
  </si>
  <si>
    <t>O14756</t>
  </si>
  <si>
    <t>O14772</t>
  </si>
  <si>
    <t>O14773-2</t>
  </si>
  <si>
    <t>O14776-2</t>
  </si>
  <si>
    <t>O14787-2</t>
  </si>
  <si>
    <t>O14818</t>
  </si>
  <si>
    <t>O14828</t>
  </si>
  <si>
    <t>O14832-2</t>
  </si>
  <si>
    <t>O14832</t>
  </si>
  <si>
    <t>O14841</t>
  </si>
  <si>
    <t>O14879</t>
  </si>
  <si>
    <t>O14896</t>
  </si>
  <si>
    <t>O14929</t>
  </si>
  <si>
    <t>O14933</t>
  </si>
  <si>
    <t>O14936-3</t>
  </si>
  <si>
    <t>O14949</t>
  </si>
  <si>
    <t>O14964</t>
  </si>
  <si>
    <t>O14974</t>
  </si>
  <si>
    <t>O14975-2</t>
  </si>
  <si>
    <t>O14976</t>
  </si>
  <si>
    <t>O14979-3</t>
  </si>
  <si>
    <t>O14980</t>
  </si>
  <si>
    <t>O14981</t>
  </si>
  <si>
    <t>O15014</t>
  </si>
  <si>
    <t>O15020</t>
  </si>
  <si>
    <t>O15021-2</t>
  </si>
  <si>
    <t>O15031</t>
  </si>
  <si>
    <t>O15037</t>
  </si>
  <si>
    <t>O15047</t>
  </si>
  <si>
    <t>O15056-3</t>
  </si>
  <si>
    <t>O15067</t>
  </si>
  <si>
    <t>O15084</t>
  </si>
  <si>
    <t>O15085</t>
  </si>
  <si>
    <t>O15116</t>
  </si>
  <si>
    <t>O15143</t>
  </si>
  <si>
    <t>O15144</t>
  </si>
  <si>
    <t>O15145</t>
  </si>
  <si>
    <t>O15156</t>
  </si>
  <si>
    <t>O15164-2</t>
  </si>
  <si>
    <t>O15173</t>
  </si>
  <si>
    <t>O15212</t>
  </si>
  <si>
    <t>O15217</t>
  </si>
  <si>
    <t>O15230</t>
  </si>
  <si>
    <t>O15234</t>
  </si>
  <si>
    <t>O15247</t>
  </si>
  <si>
    <t>O15254</t>
  </si>
  <si>
    <t>O15294-3</t>
  </si>
  <si>
    <t>O15305</t>
  </si>
  <si>
    <t>O15355</t>
  </si>
  <si>
    <t>O15357</t>
  </si>
  <si>
    <t>O15372</t>
  </si>
  <si>
    <t>O15379</t>
  </si>
  <si>
    <t>O15382</t>
  </si>
  <si>
    <t>O15397</t>
  </si>
  <si>
    <t>O15400-2</t>
  </si>
  <si>
    <t>O15467</t>
  </si>
  <si>
    <t>O15488-4</t>
  </si>
  <si>
    <t>O15498</t>
  </si>
  <si>
    <t>O15511</t>
  </si>
  <si>
    <t>O15514</t>
  </si>
  <si>
    <t>O15541</t>
  </si>
  <si>
    <t>O43143</t>
  </si>
  <si>
    <t>O43148</t>
  </si>
  <si>
    <t>O43164-2</t>
  </si>
  <si>
    <t>O43172-2</t>
  </si>
  <si>
    <t>O43175</t>
  </si>
  <si>
    <t>O43236-5</t>
  </si>
  <si>
    <t>O43237</t>
  </si>
  <si>
    <t>O43242</t>
  </si>
  <si>
    <t>O43252</t>
  </si>
  <si>
    <t>O43264</t>
  </si>
  <si>
    <t>O43290</t>
  </si>
  <si>
    <t>O43310</t>
  </si>
  <si>
    <t>O43312-4</t>
  </si>
  <si>
    <t>O43314-2</t>
  </si>
  <si>
    <t>O43318-2</t>
  </si>
  <si>
    <t>O43325</t>
  </si>
  <si>
    <t>O43390</t>
  </si>
  <si>
    <t>O43396</t>
  </si>
  <si>
    <t>O43399</t>
  </si>
  <si>
    <t>O43414-3</t>
  </si>
  <si>
    <t>O43432</t>
  </si>
  <si>
    <t>O43464-3</t>
  </si>
  <si>
    <t>O43491-4</t>
  </si>
  <si>
    <t>O43493-2</t>
  </si>
  <si>
    <t>O43566-5</t>
  </si>
  <si>
    <t>O43583</t>
  </si>
  <si>
    <t>O43592</t>
  </si>
  <si>
    <t>O43598</t>
  </si>
  <si>
    <t>O43615</t>
  </si>
  <si>
    <t>O43617</t>
  </si>
  <si>
    <t>O43633</t>
  </si>
  <si>
    <t>O43660-2</t>
  </si>
  <si>
    <t>O43663-3</t>
  </si>
  <si>
    <t>O43670-2</t>
  </si>
  <si>
    <t>O43678</t>
  </si>
  <si>
    <t>O43681</t>
  </si>
  <si>
    <t>O43684-2</t>
  </si>
  <si>
    <t>O43704</t>
  </si>
  <si>
    <t>O43707</t>
  </si>
  <si>
    <t>O43715</t>
  </si>
  <si>
    <t>O43716</t>
  </si>
  <si>
    <t>O43719</t>
  </si>
  <si>
    <t>O43741</t>
  </si>
  <si>
    <t>O43747</t>
  </si>
  <si>
    <t>O43752</t>
  </si>
  <si>
    <t>O43765</t>
  </si>
  <si>
    <t>O43766</t>
  </si>
  <si>
    <t>O43768-2</t>
  </si>
  <si>
    <t>O43776</t>
  </si>
  <si>
    <t>O43795-2</t>
  </si>
  <si>
    <t>O43805</t>
  </si>
  <si>
    <t>O43809</t>
  </si>
  <si>
    <t>O43813</t>
  </si>
  <si>
    <t>O43815-2</t>
  </si>
  <si>
    <t>O43818</t>
  </si>
  <si>
    <t>O43819</t>
  </si>
  <si>
    <t>O43820-4</t>
  </si>
  <si>
    <t>O43837</t>
  </si>
  <si>
    <t>O43847-2</t>
  </si>
  <si>
    <t>O43852</t>
  </si>
  <si>
    <t>O43865</t>
  </si>
  <si>
    <t>O43896</t>
  </si>
  <si>
    <t>O43924</t>
  </si>
  <si>
    <t>O60216</t>
  </si>
  <si>
    <t>O60218</t>
  </si>
  <si>
    <t>O60220</t>
  </si>
  <si>
    <t>O60231</t>
  </si>
  <si>
    <t>O60234</t>
  </si>
  <si>
    <t>O60240</t>
  </si>
  <si>
    <t>O60256</t>
  </si>
  <si>
    <t>O60260-5</t>
  </si>
  <si>
    <t>O60264</t>
  </si>
  <si>
    <t>O60271-4</t>
  </si>
  <si>
    <t>O60333-2</t>
  </si>
  <si>
    <t>O60341</t>
  </si>
  <si>
    <t>O60343-2</t>
  </si>
  <si>
    <t>O60344-4</t>
  </si>
  <si>
    <t>O60437</t>
  </si>
  <si>
    <t>O60443</t>
  </si>
  <si>
    <t>O60447</t>
  </si>
  <si>
    <t>O60493</t>
  </si>
  <si>
    <t>O60504</t>
  </si>
  <si>
    <t>O60506-3</t>
  </si>
  <si>
    <t>O60518</t>
  </si>
  <si>
    <t>O60547-2</t>
  </si>
  <si>
    <t>O60551</t>
  </si>
  <si>
    <t>O60568</t>
  </si>
  <si>
    <t>O60613</t>
  </si>
  <si>
    <t>O60645-3</t>
  </si>
  <si>
    <t>O60664-4</t>
  </si>
  <si>
    <t>O60701</t>
  </si>
  <si>
    <t>O60716-5</t>
  </si>
  <si>
    <t>O60749</t>
  </si>
  <si>
    <t>O60763</t>
  </si>
  <si>
    <t>O60826</t>
  </si>
  <si>
    <t>O60828-2</t>
  </si>
  <si>
    <t>O60832</t>
  </si>
  <si>
    <t>O60841</t>
  </si>
  <si>
    <t>O60869</t>
  </si>
  <si>
    <t>O60884</t>
  </si>
  <si>
    <t>O60885</t>
  </si>
  <si>
    <t>O60888-3</t>
  </si>
  <si>
    <t>O60907</t>
  </si>
  <si>
    <t>O60925</t>
  </si>
  <si>
    <t>O60927</t>
  </si>
  <si>
    <t>O60934</t>
  </si>
  <si>
    <t>O75052-3</t>
  </si>
  <si>
    <t>O75081-2</t>
  </si>
  <si>
    <t>O75083</t>
  </si>
  <si>
    <t>O75113</t>
  </si>
  <si>
    <t>O75116</t>
  </si>
  <si>
    <t>O75128</t>
  </si>
  <si>
    <t>O75131</t>
  </si>
  <si>
    <t>O75146</t>
  </si>
  <si>
    <t>O75150</t>
  </si>
  <si>
    <t>O75152</t>
  </si>
  <si>
    <t>O75154-2</t>
  </si>
  <si>
    <t>O75157-2</t>
  </si>
  <si>
    <t>O75165</t>
  </si>
  <si>
    <t>O75170-4</t>
  </si>
  <si>
    <t>O75175</t>
  </si>
  <si>
    <t>O75177</t>
  </si>
  <si>
    <t>O75191</t>
  </si>
  <si>
    <t>O75208</t>
  </si>
  <si>
    <t>O75223</t>
  </si>
  <si>
    <t>O75323</t>
  </si>
  <si>
    <t>O75340</t>
  </si>
  <si>
    <t>O75347</t>
  </si>
  <si>
    <t>O75348</t>
  </si>
  <si>
    <t>O75351</t>
  </si>
  <si>
    <t>O75356</t>
  </si>
  <si>
    <t>O75367-2</t>
  </si>
  <si>
    <t>O75368</t>
  </si>
  <si>
    <t>O75369-8</t>
  </si>
  <si>
    <t>O75376</t>
  </si>
  <si>
    <t>O75380</t>
  </si>
  <si>
    <t>O75396</t>
  </si>
  <si>
    <t>O75410-7</t>
  </si>
  <si>
    <t>O75420</t>
  </si>
  <si>
    <t>O75436</t>
  </si>
  <si>
    <t>O75439</t>
  </si>
  <si>
    <t>O75449</t>
  </si>
  <si>
    <t>O75452</t>
  </si>
  <si>
    <t>O75475</t>
  </si>
  <si>
    <t>O75503</t>
  </si>
  <si>
    <t>O75506</t>
  </si>
  <si>
    <t>O75521-2</t>
  </si>
  <si>
    <t>O75525-2</t>
  </si>
  <si>
    <t>O75531</t>
  </si>
  <si>
    <t>O75533</t>
  </si>
  <si>
    <t>O75534</t>
  </si>
  <si>
    <t>O75600</t>
  </si>
  <si>
    <t>O75607</t>
  </si>
  <si>
    <t>O75608-2</t>
  </si>
  <si>
    <t>O75629</t>
  </si>
  <si>
    <t>O75643</t>
  </si>
  <si>
    <t>O75648</t>
  </si>
  <si>
    <t>O75663</t>
  </si>
  <si>
    <t>O75688</t>
  </si>
  <si>
    <t>O75695</t>
  </si>
  <si>
    <t>O75764</t>
  </si>
  <si>
    <t>O75818-2</t>
  </si>
  <si>
    <t>O75821</t>
  </si>
  <si>
    <t>O75822</t>
  </si>
  <si>
    <t>O75828</t>
  </si>
  <si>
    <t>O75843</t>
  </si>
  <si>
    <t>O75865</t>
  </si>
  <si>
    <t>O75874</t>
  </si>
  <si>
    <t>O75882-2</t>
  </si>
  <si>
    <t>O75884</t>
  </si>
  <si>
    <t>O75886</t>
  </si>
  <si>
    <t>O75891</t>
  </si>
  <si>
    <t>O75896</t>
  </si>
  <si>
    <t>O75915</t>
  </si>
  <si>
    <t>O75934</t>
  </si>
  <si>
    <t>O75935</t>
  </si>
  <si>
    <t>O75936</t>
  </si>
  <si>
    <t>O75937</t>
  </si>
  <si>
    <t>O75940</t>
  </si>
  <si>
    <t>O75970-3</t>
  </si>
  <si>
    <t>O75976</t>
  </si>
  <si>
    <t>O76003</t>
  </si>
  <si>
    <t>O76024</t>
  </si>
  <si>
    <t>O76031</t>
  </si>
  <si>
    <t>O76041</t>
  </si>
  <si>
    <t>O76054</t>
  </si>
  <si>
    <t>O76071</t>
  </si>
  <si>
    <t>O76094</t>
  </si>
  <si>
    <t>O94760</t>
  </si>
  <si>
    <t>O94763</t>
  </si>
  <si>
    <t>O94776</t>
  </si>
  <si>
    <t>O94788-4</t>
  </si>
  <si>
    <t>O94811</t>
  </si>
  <si>
    <t>O94817</t>
  </si>
  <si>
    <t>O94819</t>
  </si>
  <si>
    <t>O94822</t>
  </si>
  <si>
    <t>O94826</t>
  </si>
  <si>
    <t>O94829</t>
  </si>
  <si>
    <t>O94851-5</t>
  </si>
  <si>
    <t>O94855</t>
  </si>
  <si>
    <t>O94874</t>
  </si>
  <si>
    <t>O94875-12</t>
  </si>
  <si>
    <t>O94880</t>
  </si>
  <si>
    <t>O94887</t>
  </si>
  <si>
    <t>O94888</t>
  </si>
  <si>
    <t>O94903</t>
  </si>
  <si>
    <t>O94913</t>
  </si>
  <si>
    <t>O94925</t>
  </si>
  <si>
    <t>O94929-2</t>
  </si>
  <si>
    <t>O94966-7</t>
  </si>
  <si>
    <t>O94973</t>
  </si>
  <si>
    <t>O94979-6</t>
  </si>
  <si>
    <t>O94992</t>
  </si>
  <si>
    <t>O95081</t>
  </si>
  <si>
    <t>O95104-3</t>
  </si>
  <si>
    <t>O95149</t>
  </si>
  <si>
    <t>O95154</t>
  </si>
  <si>
    <t>O95155-2</t>
  </si>
  <si>
    <t>O95163</t>
  </si>
  <si>
    <t>O95202</t>
  </si>
  <si>
    <t>O95210</t>
  </si>
  <si>
    <t>O95218-2</t>
  </si>
  <si>
    <t>O95219</t>
  </si>
  <si>
    <t>O95232</t>
  </si>
  <si>
    <t>O95243-3</t>
  </si>
  <si>
    <t>O95248</t>
  </si>
  <si>
    <t>O95251-2</t>
  </si>
  <si>
    <t>O95278-6</t>
  </si>
  <si>
    <t>O95292</t>
  </si>
  <si>
    <t>O95295</t>
  </si>
  <si>
    <t>O95302</t>
  </si>
  <si>
    <t>O95336</t>
  </si>
  <si>
    <t>O95340</t>
  </si>
  <si>
    <t>O95352</t>
  </si>
  <si>
    <t>O95363</t>
  </si>
  <si>
    <t>O95365</t>
  </si>
  <si>
    <t>O95372</t>
  </si>
  <si>
    <t>O95373</t>
  </si>
  <si>
    <t>O95376</t>
  </si>
  <si>
    <t>O95394</t>
  </si>
  <si>
    <t>O95396</t>
  </si>
  <si>
    <t>O95399</t>
  </si>
  <si>
    <t>O95400</t>
  </si>
  <si>
    <t>O95405</t>
  </si>
  <si>
    <t>O95425-2</t>
  </si>
  <si>
    <t>O95429-2</t>
  </si>
  <si>
    <t>O95433</t>
  </si>
  <si>
    <t>O95453-2</t>
  </si>
  <si>
    <t>O95456</t>
  </si>
  <si>
    <t>O95479</t>
  </si>
  <si>
    <t>O95486</t>
  </si>
  <si>
    <t>O95487-2</t>
  </si>
  <si>
    <t>O95497</t>
  </si>
  <si>
    <t>O95544</t>
  </si>
  <si>
    <t>O95551</t>
  </si>
  <si>
    <t>O95571</t>
  </si>
  <si>
    <t>O95628-5</t>
  </si>
  <si>
    <t>O95630</t>
  </si>
  <si>
    <t>O95671-2</t>
  </si>
  <si>
    <t>O95684</t>
  </si>
  <si>
    <t>O95721</t>
  </si>
  <si>
    <t>O95747</t>
  </si>
  <si>
    <t>O95757</t>
  </si>
  <si>
    <t>O95777</t>
  </si>
  <si>
    <t>O95782-2</t>
  </si>
  <si>
    <t>O95786-2</t>
  </si>
  <si>
    <t>O95801</t>
  </si>
  <si>
    <t>O95810</t>
  </si>
  <si>
    <t>O95816</t>
  </si>
  <si>
    <t>O95817</t>
  </si>
  <si>
    <t>O95822</t>
  </si>
  <si>
    <t>O95825</t>
  </si>
  <si>
    <t>O95831-3</t>
  </si>
  <si>
    <t>O95834</t>
  </si>
  <si>
    <t>O95848</t>
  </si>
  <si>
    <t>O95865</t>
  </si>
  <si>
    <t>O95881</t>
  </si>
  <si>
    <t>O95954</t>
  </si>
  <si>
    <t>O95985</t>
  </si>
  <si>
    <t>O95989</t>
  </si>
  <si>
    <t>O95999</t>
  </si>
  <si>
    <t>O96006</t>
  </si>
  <si>
    <t>O96007</t>
  </si>
  <si>
    <t>O96013-4</t>
  </si>
  <si>
    <t>O96019</t>
  </si>
  <si>
    <t>O96033</t>
  </si>
  <si>
    <t>P00325</t>
  </si>
  <si>
    <t>P00326</t>
  </si>
  <si>
    <t>P00338</t>
  </si>
  <si>
    <t>P00352</t>
  </si>
  <si>
    <t>P00374</t>
  </si>
  <si>
    <t>P00387-2</t>
  </si>
  <si>
    <t>P00390-2</t>
  </si>
  <si>
    <t>P00403</t>
  </si>
  <si>
    <t>P00439</t>
  </si>
  <si>
    <t>P00450</t>
  </si>
  <si>
    <t>P00480</t>
  </si>
  <si>
    <t>P00491</t>
  </si>
  <si>
    <t>P00492</t>
  </si>
  <si>
    <t>P00505</t>
  </si>
  <si>
    <t>P00558</t>
  </si>
  <si>
    <t>P00568</t>
  </si>
  <si>
    <t>P00734</t>
  </si>
  <si>
    <t>P00736</t>
  </si>
  <si>
    <t>P00738</t>
  </si>
  <si>
    <t>P00739</t>
  </si>
  <si>
    <t>P00740</t>
  </si>
  <si>
    <t>P00742</t>
  </si>
  <si>
    <t>P00747</t>
  </si>
  <si>
    <t>P00748</t>
  </si>
  <si>
    <t>P00966</t>
  </si>
  <si>
    <t>P01009</t>
  </si>
  <si>
    <t>P01011</t>
  </si>
  <si>
    <t>P01019</t>
  </si>
  <si>
    <t>P01023</t>
  </si>
  <si>
    <t>P01024</t>
  </si>
  <si>
    <t>P01034</t>
  </si>
  <si>
    <t>P01040</t>
  </si>
  <si>
    <t>P01042-2</t>
  </si>
  <si>
    <t>P01111</t>
  </si>
  <si>
    <t>P01116-2</t>
  </si>
  <si>
    <t>P01116</t>
  </si>
  <si>
    <t>P01598</t>
  </si>
  <si>
    <t>P01608</t>
  </si>
  <si>
    <t>P01617</t>
  </si>
  <si>
    <t>P01743</t>
  </si>
  <si>
    <t>P01764</t>
  </si>
  <si>
    <t>P01766</t>
  </si>
  <si>
    <t>P01834</t>
  </si>
  <si>
    <t>P01857</t>
  </si>
  <si>
    <t>P01859</t>
  </si>
  <si>
    <t>P01860</t>
  </si>
  <si>
    <t>P01871</t>
  </si>
  <si>
    <t>P01876</t>
  </si>
  <si>
    <t>P01877</t>
  </si>
  <si>
    <t>P02008</t>
  </si>
  <si>
    <t>P02452</t>
  </si>
  <si>
    <t>P02458-3</t>
  </si>
  <si>
    <t>P02462</t>
  </si>
  <si>
    <t>P02533</t>
  </si>
  <si>
    <t>P02538</t>
  </si>
  <si>
    <t>P02545</t>
  </si>
  <si>
    <t>P02647</t>
  </si>
  <si>
    <t>P02649</t>
  </si>
  <si>
    <t>P02652</t>
  </si>
  <si>
    <t>P02656</t>
  </si>
  <si>
    <t>P02671-2</t>
  </si>
  <si>
    <t>P02675</t>
  </si>
  <si>
    <t>P02679-2</t>
  </si>
  <si>
    <t>P02743</t>
  </si>
  <si>
    <t>P02748</t>
  </si>
  <si>
    <t>P02749</t>
  </si>
  <si>
    <t>P02750</t>
  </si>
  <si>
    <t>P02751-10</t>
  </si>
  <si>
    <t>P02760</t>
  </si>
  <si>
    <t>P02763</t>
  </si>
  <si>
    <t>P02765</t>
  </si>
  <si>
    <t>P02766</t>
  </si>
  <si>
    <t>P02771</t>
  </si>
  <si>
    <t>P02774</t>
  </si>
  <si>
    <t>P02790</t>
  </si>
  <si>
    <t>P02792</t>
  </si>
  <si>
    <t>P02794</t>
  </si>
  <si>
    <t>P02795</t>
  </si>
  <si>
    <t>P03950</t>
  </si>
  <si>
    <t>P03952</t>
  </si>
  <si>
    <t>P04003</t>
  </si>
  <si>
    <t>P04004</t>
  </si>
  <si>
    <t>P04066</t>
  </si>
  <si>
    <t>P04080</t>
  </si>
  <si>
    <t>P04114</t>
  </si>
  <si>
    <t>P04150-7</t>
  </si>
  <si>
    <t>P04179</t>
  </si>
  <si>
    <t>P04181</t>
  </si>
  <si>
    <t>P04196</t>
  </si>
  <si>
    <t>P04206</t>
  </si>
  <si>
    <t>P04217</t>
  </si>
  <si>
    <t>P04259</t>
  </si>
  <si>
    <t>P04264</t>
  </si>
  <si>
    <t>P04275</t>
  </si>
  <si>
    <t>P04406</t>
  </si>
  <si>
    <t>P04424</t>
  </si>
  <si>
    <t>P04632</t>
  </si>
  <si>
    <t>P04731</t>
  </si>
  <si>
    <t>P04732</t>
  </si>
  <si>
    <t>P04733</t>
  </si>
  <si>
    <t>P04792</t>
  </si>
  <si>
    <t>P04843</t>
  </si>
  <si>
    <t>P04899</t>
  </si>
  <si>
    <t>P05023-3</t>
  </si>
  <si>
    <t>P05062</t>
  </si>
  <si>
    <t>P05089</t>
  </si>
  <si>
    <t>P05090</t>
  </si>
  <si>
    <t>P05091</t>
  </si>
  <si>
    <t>P05109</t>
  </si>
  <si>
    <t>P05114</t>
  </si>
  <si>
    <t>P05141</t>
  </si>
  <si>
    <t>P05154</t>
  </si>
  <si>
    <t>P05155</t>
  </si>
  <si>
    <t>P05161</t>
  </si>
  <si>
    <t>P05164-2</t>
  </si>
  <si>
    <t>P05165</t>
  </si>
  <si>
    <t>P05166</t>
  </si>
  <si>
    <t>P05177</t>
  </si>
  <si>
    <t>P05181</t>
  </si>
  <si>
    <t>P05186</t>
  </si>
  <si>
    <t>P05198</t>
  </si>
  <si>
    <t>P05204</t>
  </si>
  <si>
    <t>P05387</t>
  </si>
  <si>
    <t>P05455</t>
  </si>
  <si>
    <t>P05543</t>
  </si>
  <si>
    <t>P05546</t>
  </si>
  <si>
    <t>P05556</t>
  </si>
  <si>
    <t>P05783</t>
  </si>
  <si>
    <t>P05787</t>
  </si>
  <si>
    <t>P05976-2</t>
  </si>
  <si>
    <t>P06132</t>
  </si>
  <si>
    <t>P06133</t>
  </si>
  <si>
    <t>P06280</t>
  </si>
  <si>
    <t>P06576</t>
  </si>
  <si>
    <t>P06681</t>
  </si>
  <si>
    <t>P06702</t>
  </si>
  <si>
    <t>P06727</t>
  </si>
  <si>
    <t>P06730</t>
  </si>
  <si>
    <t>P06733</t>
  </si>
  <si>
    <t>P06737</t>
  </si>
  <si>
    <t>P06744</t>
  </si>
  <si>
    <t>P06748</t>
  </si>
  <si>
    <t>P06753-2</t>
  </si>
  <si>
    <t>P06865</t>
  </si>
  <si>
    <t>P07099</t>
  </si>
  <si>
    <t>P07108</t>
  </si>
  <si>
    <t>P07148</t>
  </si>
  <si>
    <t>P07195</t>
  </si>
  <si>
    <t>P07203</t>
  </si>
  <si>
    <t>P07205</t>
  </si>
  <si>
    <t>P07237</t>
  </si>
  <si>
    <t>P07305</t>
  </si>
  <si>
    <t>P07306-2</t>
  </si>
  <si>
    <t>P07307-3</t>
  </si>
  <si>
    <t>P07327</t>
  </si>
  <si>
    <t>P07332-3</t>
  </si>
  <si>
    <t>P07355</t>
  </si>
  <si>
    <t>P07357</t>
  </si>
  <si>
    <t>P07360</t>
  </si>
  <si>
    <t>P07384</t>
  </si>
  <si>
    <t>P07438</t>
  </si>
  <si>
    <t>P07602</t>
  </si>
  <si>
    <t>P07686</t>
  </si>
  <si>
    <t>P07711</t>
  </si>
  <si>
    <t>P07737</t>
  </si>
  <si>
    <t>P07738</t>
  </si>
  <si>
    <t>P07741</t>
  </si>
  <si>
    <t>P07814</t>
  </si>
  <si>
    <t>P07858</t>
  </si>
  <si>
    <t>P07900</t>
  </si>
  <si>
    <t>P07902</t>
  </si>
  <si>
    <t>P07919</t>
  </si>
  <si>
    <t>P07947</t>
  </si>
  <si>
    <t>P07948-2</t>
  </si>
  <si>
    <t>P07954-2</t>
  </si>
  <si>
    <t>P07996</t>
  </si>
  <si>
    <t>P08107</t>
  </si>
  <si>
    <t>P08123</t>
  </si>
  <si>
    <t>P08133</t>
  </si>
  <si>
    <t>P08185</t>
  </si>
  <si>
    <t>P08236-2</t>
  </si>
  <si>
    <t>P08238</t>
  </si>
  <si>
    <t>P08240-2</t>
  </si>
  <si>
    <t>P08294</t>
  </si>
  <si>
    <t>P08319</t>
  </si>
  <si>
    <t>P08397-2</t>
  </si>
  <si>
    <t>P08519</t>
  </si>
  <si>
    <t>P08559-3</t>
  </si>
  <si>
    <t>P08567</t>
  </si>
  <si>
    <t>P08571</t>
  </si>
  <si>
    <t>P08572</t>
  </si>
  <si>
    <t>P08579</t>
  </si>
  <si>
    <t>P08581</t>
  </si>
  <si>
    <t>P08603</t>
  </si>
  <si>
    <t>P08621-2</t>
  </si>
  <si>
    <t>P08651-2</t>
  </si>
  <si>
    <t>P08670</t>
  </si>
  <si>
    <t>P08684</t>
  </si>
  <si>
    <t>P08697</t>
  </si>
  <si>
    <t>P08727</t>
  </si>
  <si>
    <t>P08729</t>
  </si>
  <si>
    <t>P08754</t>
  </si>
  <si>
    <t>P08779</t>
  </si>
  <si>
    <t>P09012</t>
  </si>
  <si>
    <t>P09110</t>
  </si>
  <si>
    <t>P09132</t>
  </si>
  <si>
    <t>P09210</t>
  </si>
  <si>
    <t>P09234</t>
  </si>
  <si>
    <t>P09327</t>
  </si>
  <si>
    <t>P09382</t>
  </si>
  <si>
    <t>P09417</t>
  </si>
  <si>
    <t>P09429</t>
  </si>
  <si>
    <t>P09467</t>
  </si>
  <si>
    <t>P09493-3</t>
  </si>
  <si>
    <t>P09496-2</t>
  </si>
  <si>
    <t>P09497-2</t>
  </si>
  <si>
    <t>P09525</t>
  </si>
  <si>
    <t>P09543-2</t>
  </si>
  <si>
    <t>P09601</t>
  </si>
  <si>
    <t>P09622</t>
  </si>
  <si>
    <t>P09651-3</t>
  </si>
  <si>
    <t>P09661</t>
  </si>
  <si>
    <t>P09668</t>
  </si>
  <si>
    <t>P09871</t>
  </si>
  <si>
    <t>P09874</t>
  </si>
  <si>
    <t>P09913</t>
  </si>
  <si>
    <t>P09960</t>
  </si>
  <si>
    <t>P09972</t>
  </si>
  <si>
    <t>P0C0L5</t>
  </si>
  <si>
    <t>P0C7P0</t>
  </si>
  <si>
    <t>P0C7T5</t>
  </si>
  <si>
    <t>P0C7U0</t>
  </si>
  <si>
    <t>P0C870</t>
  </si>
  <si>
    <t>P0CAP1-11</t>
  </si>
  <si>
    <t>P0CG05</t>
  </si>
  <si>
    <t>P0CW22</t>
  </si>
  <si>
    <t>P0DI82</t>
  </si>
  <si>
    <t>P0DJI8</t>
  </si>
  <si>
    <t>P10109</t>
  </si>
  <si>
    <t>P10153</t>
  </si>
  <si>
    <t>P10155</t>
  </si>
  <si>
    <t>P10253</t>
  </si>
  <si>
    <t>P10301</t>
  </si>
  <si>
    <t>P10398</t>
  </si>
  <si>
    <t>P10412</t>
  </si>
  <si>
    <t>P10515</t>
  </si>
  <si>
    <t>P10586-2</t>
  </si>
  <si>
    <t>P10588</t>
  </si>
  <si>
    <t>P10606</t>
  </si>
  <si>
    <t>P10619</t>
  </si>
  <si>
    <t>P10632</t>
  </si>
  <si>
    <t>P10635</t>
  </si>
  <si>
    <t>P10643</t>
  </si>
  <si>
    <t>P10644</t>
  </si>
  <si>
    <t>P10746</t>
  </si>
  <si>
    <t>P10768</t>
  </si>
  <si>
    <t>P10809</t>
  </si>
  <si>
    <t>P10909-4</t>
  </si>
  <si>
    <t>P11021</t>
  </si>
  <si>
    <t>P11047</t>
  </si>
  <si>
    <t>P11142</t>
  </si>
  <si>
    <t>P11171-4</t>
  </si>
  <si>
    <t>P11172</t>
  </si>
  <si>
    <t>P11177-2</t>
  </si>
  <si>
    <t>P11182</t>
  </si>
  <si>
    <t>P11216</t>
  </si>
  <si>
    <t>P11226</t>
  </si>
  <si>
    <t>P11245</t>
  </si>
  <si>
    <t>P11274-2</t>
  </si>
  <si>
    <t>P11279</t>
  </si>
  <si>
    <t>P11310</t>
  </si>
  <si>
    <t>P11387</t>
  </si>
  <si>
    <t>P11413</t>
  </si>
  <si>
    <t>P11441</t>
  </si>
  <si>
    <t>P11498</t>
  </si>
  <si>
    <t>P11509</t>
  </si>
  <si>
    <t>P11532-3</t>
  </si>
  <si>
    <t>P11586</t>
  </si>
  <si>
    <t>P11712</t>
  </si>
  <si>
    <t>P11717</t>
  </si>
  <si>
    <t>P11766</t>
  </si>
  <si>
    <t>P11802</t>
  </si>
  <si>
    <t>P11908</t>
  </si>
  <si>
    <t>P11940</t>
  </si>
  <si>
    <t>P12004</t>
  </si>
  <si>
    <t>P12109</t>
  </si>
  <si>
    <t>P12270</t>
  </si>
  <si>
    <t>P12694</t>
  </si>
  <si>
    <t>P12724</t>
  </si>
  <si>
    <t>P12814</t>
  </si>
  <si>
    <t>P12931</t>
  </si>
  <si>
    <t>P12955</t>
  </si>
  <si>
    <t>P12956</t>
  </si>
  <si>
    <t>P13010</t>
  </si>
  <si>
    <t>P13073</t>
  </si>
  <si>
    <t>P13196</t>
  </si>
  <si>
    <t>P13284</t>
  </si>
  <si>
    <t>P13473</t>
  </si>
  <si>
    <t>P13489</t>
  </si>
  <si>
    <t>P13498</t>
  </si>
  <si>
    <t>P13639</t>
  </si>
  <si>
    <t>P13640-2</t>
  </si>
  <si>
    <t>P13640</t>
  </si>
  <si>
    <t>P13647</t>
  </si>
  <si>
    <t>P13667</t>
  </si>
  <si>
    <t>P13671</t>
  </si>
  <si>
    <t>P13674-2</t>
  </si>
  <si>
    <t>P13693</t>
  </si>
  <si>
    <t>P13796</t>
  </si>
  <si>
    <t>P13797</t>
  </si>
  <si>
    <t>P13798</t>
  </si>
  <si>
    <t>P13804</t>
  </si>
  <si>
    <t>P13861</t>
  </si>
  <si>
    <t>P13929</t>
  </si>
  <si>
    <t>P13984</t>
  </si>
  <si>
    <t>P14174</t>
  </si>
  <si>
    <t>P14209-3</t>
  </si>
  <si>
    <t>P14210-3</t>
  </si>
  <si>
    <t>P14317</t>
  </si>
  <si>
    <t>P14324-2</t>
  </si>
  <si>
    <t>P14543</t>
  </si>
  <si>
    <t>P14550</t>
  </si>
  <si>
    <t>P14618</t>
  </si>
  <si>
    <t>P14621</t>
  </si>
  <si>
    <t>P14625</t>
  </si>
  <si>
    <t>P14649</t>
  </si>
  <si>
    <t>P14735</t>
  </si>
  <si>
    <t>P14854</t>
  </si>
  <si>
    <t>P14866</t>
  </si>
  <si>
    <t>P14868</t>
  </si>
  <si>
    <t>P14920</t>
  </si>
  <si>
    <t>P14923</t>
  </si>
  <si>
    <t>P15104</t>
  </si>
  <si>
    <t>P15121</t>
  </si>
  <si>
    <t>P15144</t>
  </si>
  <si>
    <t>P15170-2</t>
  </si>
  <si>
    <t>P15289-2</t>
  </si>
  <si>
    <t>P15289</t>
  </si>
  <si>
    <t>P15311</t>
  </si>
  <si>
    <t>P15336-3</t>
  </si>
  <si>
    <t>P15374</t>
  </si>
  <si>
    <t>P15428</t>
  </si>
  <si>
    <t>P15531</t>
  </si>
  <si>
    <t>P15735-2</t>
  </si>
  <si>
    <t>P15848</t>
  </si>
  <si>
    <t>P15907</t>
  </si>
  <si>
    <t>P15924</t>
  </si>
  <si>
    <t>P15927</t>
  </si>
  <si>
    <t>P16112-3</t>
  </si>
  <si>
    <t>P16118</t>
  </si>
  <si>
    <t>P16152</t>
  </si>
  <si>
    <t>P16219</t>
  </si>
  <si>
    <t>P16220-3</t>
  </si>
  <si>
    <t>P16278-3</t>
  </si>
  <si>
    <t>P16298-3</t>
  </si>
  <si>
    <t>P16333</t>
  </si>
  <si>
    <t>P16383-2</t>
  </si>
  <si>
    <t>P16401</t>
  </si>
  <si>
    <t>P16435</t>
  </si>
  <si>
    <t>P16455</t>
  </si>
  <si>
    <t>P16662</t>
  </si>
  <si>
    <t>P16885</t>
  </si>
  <si>
    <t>P16930</t>
  </si>
  <si>
    <t>P16949</t>
  </si>
  <si>
    <t>P16989-2</t>
  </si>
  <si>
    <t>P17028</t>
  </si>
  <si>
    <t>P17029</t>
  </si>
  <si>
    <t>P17050</t>
  </si>
  <si>
    <t>P17066</t>
  </si>
  <si>
    <t>P17096-2</t>
  </si>
  <si>
    <t>P17174</t>
  </si>
  <si>
    <t>P17480-2</t>
  </si>
  <si>
    <t>P17516</t>
  </si>
  <si>
    <t>P17544-5</t>
  </si>
  <si>
    <t>P17612</t>
  </si>
  <si>
    <t>P17655</t>
  </si>
  <si>
    <t>P17676</t>
  </si>
  <si>
    <t>P17735</t>
  </si>
  <si>
    <t>P17812</t>
  </si>
  <si>
    <t>P17858</t>
  </si>
  <si>
    <t>P17900</t>
  </si>
  <si>
    <t>P17931</t>
  </si>
  <si>
    <t>P17987</t>
  </si>
  <si>
    <t>P18031</t>
  </si>
  <si>
    <t>P18054</t>
  </si>
  <si>
    <t>P18065</t>
  </si>
  <si>
    <t>P18085</t>
  </si>
  <si>
    <t>P18206-2</t>
  </si>
  <si>
    <t>P18283</t>
  </si>
  <si>
    <t>P18428</t>
  </si>
  <si>
    <t>P18440</t>
  </si>
  <si>
    <t>P18510-4</t>
  </si>
  <si>
    <t>P18583-6</t>
  </si>
  <si>
    <t>P18615</t>
  </si>
  <si>
    <t>P18669</t>
  </si>
  <si>
    <t>P18827</t>
  </si>
  <si>
    <t>P18859</t>
  </si>
  <si>
    <t>P19105</t>
  </si>
  <si>
    <t>P19174</t>
  </si>
  <si>
    <t>P19338</t>
  </si>
  <si>
    <t>P19367-4</t>
  </si>
  <si>
    <t>P19388</t>
  </si>
  <si>
    <t>P19404</t>
  </si>
  <si>
    <t>P19525</t>
  </si>
  <si>
    <t>P19623</t>
  </si>
  <si>
    <t>P19652</t>
  </si>
  <si>
    <t>P19784</t>
  </si>
  <si>
    <t>P19827</t>
  </si>
  <si>
    <t>P19838</t>
  </si>
  <si>
    <t>P19971</t>
  </si>
  <si>
    <t>P20042</t>
  </si>
  <si>
    <t>P20132</t>
  </si>
  <si>
    <t>P20290</t>
  </si>
  <si>
    <t>P20338</t>
  </si>
  <si>
    <t>P20340-2</t>
  </si>
  <si>
    <t>P20585</t>
  </si>
  <si>
    <t>P20591</t>
  </si>
  <si>
    <t>P20618</t>
  </si>
  <si>
    <t>P20674</t>
  </si>
  <si>
    <t>P20700</t>
  </si>
  <si>
    <t>P20711</t>
  </si>
  <si>
    <t>P20742</t>
  </si>
  <si>
    <t>P20810-5</t>
  </si>
  <si>
    <t>P20810-6</t>
  </si>
  <si>
    <t>P20813</t>
  </si>
  <si>
    <t>P20823-3</t>
  </si>
  <si>
    <t>P20933</t>
  </si>
  <si>
    <t>P20936-2</t>
  </si>
  <si>
    <t>P20962</t>
  </si>
  <si>
    <t>P21127-8</t>
  </si>
  <si>
    <t>P21266</t>
  </si>
  <si>
    <t>P21281</t>
  </si>
  <si>
    <t>P21283</t>
  </si>
  <si>
    <t>P21291</t>
  </si>
  <si>
    <t>P21397-2</t>
  </si>
  <si>
    <t>P21399</t>
  </si>
  <si>
    <t>P21549</t>
  </si>
  <si>
    <t>P21580</t>
  </si>
  <si>
    <t>P21589-2</t>
  </si>
  <si>
    <t>P21695-2</t>
  </si>
  <si>
    <t>P21912</t>
  </si>
  <si>
    <t>P21953</t>
  </si>
  <si>
    <t>P21964-2</t>
  </si>
  <si>
    <t>P21980</t>
  </si>
  <si>
    <t>P22033</t>
  </si>
  <si>
    <t>P22059</t>
  </si>
  <si>
    <t>P22061</t>
  </si>
  <si>
    <t>P22102</t>
  </si>
  <si>
    <t>P22234</t>
  </si>
  <si>
    <t>P22307-2</t>
  </si>
  <si>
    <t>P22307</t>
  </si>
  <si>
    <t>P22310</t>
  </si>
  <si>
    <t>P22314</t>
  </si>
  <si>
    <t>P22352</t>
  </si>
  <si>
    <t>P22392-2</t>
  </si>
  <si>
    <t>P22570</t>
  </si>
  <si>
    <t>P22626</t>
  </si>
  <si>
    <t>P22694-4</t>
  </si>
  <si>
    <t>P22830</t>
  </si>
  <si>
    <t>P23141</t>
  </si>
  <si>
    <t>P23142-3</t>
  </si>
  <si>
    <t>P23193</t>
  </si>
  <si>
    <t>P23246</t>
  </si>
  <si>
    <t>P23284</t>
  </si>
  <si>
    <t>P23368</t>
  </si>
  <si>
    <t>P23378</t>
  </si>
  <si>
    <t>P23381</t>
  </si>
  <si>
    <t>P23396</t>
  </si>
  <si>
    <t>P23409</t>
  </si>
  <si>
    <t>P23434</t>
  </si>
  <si>
    <t>P23497</t>
  </si>
  <si>
    <t>P23508-2</t>
  </si>
  <si>
    <t>P23526</t>
  </si>
  <si>
    <t>P23528</t>
  </si>
  <si>
    <t>P23588</t>
  </si>
  <si>
    <t>P23610</t>
  </si>
  <si>
    <t>P23786</t>
  </si>
  <si>
    <t>P23919</t>
  </si>
  <si>
    <t>P23921</t>
  </si>
  <si>
    <t>P24158</t>
  </si>
  <si>
    <t>P24298</t>
  </si>
  <si>
    <t>P24385</t>
  </si>
  <si>
    <t>P24534</t>
  </si>
  <si>
    <t>P24666</t>
  </si>
  <si>
    <t>P24752</t>
  </si>
  <si>
    <t>P24928</t>
  </si>
  <si>
    <t>P24941</t>
  </si>
  <si>
    <t>P25098</t>
  </si>
  <si>
    <t>P25205</t>
  </si>
  <si>
    <t>P25311</t>
  </si>
  <si>
    <t>P25398</t>
  </si>
  <si>
    <t>P25440</t>
  </si>
  <si>
    <t>P25685</t>
  </si>
  <si>
    <t>P25686</t>
  </si>
  <si>
    <t>P25705</t>
  </si>
  <si>
    <t>P25774</t>
  </si>
  <si>
    <t>P25786</t>
  </si>
  <si>
    <t>P25787</t>
  </si>
  <si>
    <t>P25788-2</t>
  </si>
  <si>
    <t>P25789</t>
  </si>
  <si>
    <t>P25815</t>
  </si>
  <si>
    <t>P26038</t>
  </si>
  <si>
    <t>P26196</t>
  </si>
  <si>
    <t>P26358</t>
  </si>
  <si>
    <t>P26368-2</t>
  </si>
  <si>
    <t>P26373</t>
  </si>
  <si>
    <t>P26440</t>
  </si>
  <si>
    <t>P26447</t>
  </si>
  <si>
    <t>P26583</t>
  </si>
  <si>
    <t>P26599</t>
  </si>
  <si>
    <t>P26639</t>
  </si>
  <si>
    <t>P26640</t>
  </si>
  <si>
    <t>P26641</t>
  </si>
  <si>
    <t>P26651</t>
  </si>
  <si>
    <t>P26885</t>
  </si>
  <si>
    <t>P26927</t>
  </si>
  <si>
    <t>P27144</t>
  </si>
  <si>
    <t>P27169</t>
  </si>
  <si>
    <t>P27348</t>
  </si>
  <si>
    <t>P27540-2</t>
  </si>
  <si>
    <t>P27694</t>
  </si>
  <si>
    <t>P27695</t>
  </si>
  <si>
    <t>P27797</t>
  </si>
  <si>
    <t>P27816</t>
  </si>
  <si>
    <t>P27824</t>
  </si>
  <si>
    <t>P27986</t>
  </si>
  <si>
    <t>P28062-2</t>
  </si>
  <si>
    <t>P28066</t>
  </si>
  <si>
    <t>P28070</t>
  </si>
  <si>
    <t>P28072</t>
  </si>
  <si>
    <t>P28074</t>
  </si>
  <si>
    <t>P28330</t>
  </si>
  <si>
    <t>P28331</t>
  </si>
  <si>
    <t>P28332</t>
  </si>
  <si>
    <t>P28340</t>
  </si>
  <si>
    <t>P28482</t>
  </si>
  <si>
    <t>P28715</t>
  </si>
  <si>
    <t>P28799</t>
  </si>
  <si>
    <t>P28838-2</t>
  </si>
  <si>
    <t>P28845</t>
  </si>
  <si>
    <t>P29083</t>
  </si>
  <si>
    <t>P29084</t>
  </si>
  <si>
    <t>P29144</t>
  </si>
  <si>
    <t>P29218</t>
  </si>
  <si>
    <t>P29350</t>
  </si>
  <si>
    <t>P29353-7</t>
  </si>
  <si>
    <t>P29372-5</t>
  </si>
  <si>
    <t>P29374-3</t>
  </si>
  <si>
    <t>P29401</t>
  </si>
  <si>
    <t>P29590</t>
  </si>
  <si>
    <t>P29692-3</t>
  </si>
  <si>
    <t>P29966</t>
  </si>
  <si>
    <t>P30038</t>
  </si>
  <si>
    <t>P30039</t>
  </si>
  <si>
    <t>P30040</t>
  </si>
  <si>
    <t>P30041</t>
  </si>
  <si>
    <t>P30042</t>
  </si>
  <si>
    <t>P30043</t>
  </si>
  <si>
    <t>P30044-2</t>
  </si>
  <si>
    <t>P30046</t>
  </si>
  <si>
    <t>P30047</t>
  </si>
  <si>
    <t>P30049</t>
  </si>
  <si>
    <t>P30050</t>
  </si>
  <si>
    <t>P30084</t>
  </si>
  <si>
    <t>P30085</t>
  </si>
  <si>
    <t>P30086</t>
  </si>
  <si>
    <t>P30153</t>
  </si>
  <si>
    <t>P30154</t>
  </si>
  <si>
    <t>P30405</t>
  </si>
  <si>
    <t>P30419</t>
  </si>
  <si>
    <t>P30519</t>
  </si>
  <si>
    <t>P30520</t>
  </si>
  <si>
    <t>P30533</t>
  </si>
  <si>
    <t>P30566</t>
  </si>
  <si>
    <t>P30613-2</t>
  </si>
  <si>
    <t>P30622-2</t>
  </si>
  <si>
    <t>P30711</t>
  </si>
  <si>
    <t>P30740</t>
  </si>
  <si>
    <t>P30793</t>
  </si>
  <si>
    <t>P30837</t>
  </si>
  <si>
    <t>P31040</t>
  </si>
  <si>
    <t>P31146</t>
  </si>
  <si>
    <t>P31150</t>
  </si>
  <si>
    <t>P31153</t>
  </si>
  <si>
    <t>P31321</t>
  </si>
  <si>
    <t>P31327-2</t>
  </si>
  <si>
    <t>P31327</t>
  </si>
  <si>
    <t>P31350</t>
  </si>
  <si>
    <t>P31513</t>
  </si>
  <si>
    <t>P31689</t>
  </si>
  <si>
    <t>P31749</t>
  </si>
  <si>
    <t>P31751</t>
  </si>
  <si>
    <t>P31930</t>
  </si>
  <si>
    <t>P31937</t>
  </si>
  <si>
    <t>P31939</t>
  </si>
  <si>
    <t>P31942-2</t>
  </si>
  <si>
    <t>P31944</t>
  </si>
  <si>
    <t>P31946-2</t>
  </si>
  <si>
    <t>P31947-2</t>
  </si>
  <si>
    <t>P31948</t>
  </si>
  <si>
    <t>P31949</t>
  </si>
  <si>
    <t>P32119</t>
  </si>
  <si>
    <t>P32121-5</t>
  </si>
  <si>
    <t>P32189-1</t>
  </si>
  <si>
    <t>P32320</t>
  </si>
  <si>
    <t>P32321</t>
  </si>
  <si>
    <t>P32455</t>
  </si>
  <si>
    <t>P32456</t>
  </si>
  <si>
    <t>P32519-2</t>
  </si>
  <si>
    <t>P32754-2</t>
  </si>
  <si>
    <t>P32754</t>
  </si>
  <si>
    <t>P32929</t>
  </si>
  <si>
    <t>P33121</t>
  </si>
  <si>
    <t>P33176</t>
  </si>
  <si>
    <t>P33240-2</t>
  </si>
  <si>
    <t>P33241</t>
  </si>
  <si>
    <t>P33261</t>
  </si>
  <si>
    <t>P33316-2</t>
  </si>
  <si>
    <t>P33316</t>
  </si>
  <si>
    <t>P33908</t>
  </si>
  <si>
    <t>P33991</t>
  </si>
  <si>
    <t>P33992</t>
  </si>
  <si>
    <t>P33993</t>
  </si>
  <si>
    <t>P34059</t>
  </si>
  <si>
    <t>P34096</t>
  </si>
  <si>
    <t>P34896</t>
  </si>
  <si>
    <t>P34897-3</t>
  </si>
  <si>
    <t>P34913</t>
  </si>
  <si>
    <t>P34931</t>
  </si>
  <si>
    <t>P34932</t>
  </si>
  <si>
    <t>P35030-2</t>
  </si>
  <si>
    <t>P35218</t>
  </si>
  <si>
    <t>P35221</t>
  </si>
  <si>
    <t>P35237</t>
  </si>
  <si>
    <t>P35241</t>
  </si>
  <si>
    <t>P35251-2</t>
  </si>
  <si>
    <t>P35268</t>
  </si>
  <si>
    <t>P35269</t>
  </si>
  <si>
    <t>P35270</t>
  </si>
  <si>
    <t>P35520</t>
  </si>
  <si>
    <t>P35542</t>
  </si>
  <si>
    <t>P35555</t>
  </si>
  <si>
    <t>P35558</t>
  </si>
  <si>
    <t>P35568</t>
  </si>
  <si>
    <t>P35573</t>
  </si>
  <si>
    <t>P35579</t>
  </si>
  <si>
    <t>P35580</t>
  </si>
  <si>
    <t>P35606</t>
  </si>
  <si>
    <t>P35611-2</t>
  </si>
  <si>
    <t>P35637-2</t>
  </si>
  <si>
    <t>P35658-2</t>
  </si>
  <si>
    <t>P35659</t>
  </si>
  <si>
    <t>P35749-4</t>
  </si>
  <si>
    <t>P35754</t>
  </si>
  <si>
    <t>P35790-2</t>
  </si>
  <si>
    <t>P35813</t>
  </si>
  <si>
    <t>P35858</t>
  </si>
  <si>
    <t>P35914</t>
  </si>
  <si>
    <t>P35998</t>
  </si>
  <si>
    <t>P36404</t>
  </si>
  <si>
    <t>P36405</t>
  </si>
  <si>
    <t>P36507</t>
  </si>
  <si>
    <t>P36543</t>
  </si>
  <si>
    <t>P36551</t>
  </si>
  <si>
    <t>P36578</t>
  </si>
  <si>
    <t>P36639-4</t>
  </si>
  <si>
    <t>P36871</t>
  </si>
  <si>
    <t>P36915</t>
  </si>
  <si>
    <t>P36955</t>
  </si>
  <si>
    <t>P36957</t>
  </si>
  <si>
    <t>P36959</t>
  </si>
  <si>
    <t>P36969-2</t>
  </si>
  <si>
    <t>P36980-2</t>
  </si>
  <si>
    <t>P37059</t>
  </si>
  <si>
    <t>P37108</t>
  </si>
  <si>
    <t>P37198</t>
  </si>
  <si>
    <t>P37235</t>
  </si>
  <si>
    <t>P37802</t>
  </si>
  <si>
    <t>P37837</t>
  </si>
  <si>
    <t>P38117</t>
  </si>
  <si>
    <t>P38159</t>
  </si>
  <si>
    <t>P38432</t>
  </si>
  <si>
    <t>P38606</t>
  </si>
  <si>
    <t>P38646</t>
  </si>
  <si>
    <t>P38919</t>
  </si>
  <si>
    <t>P39687</t>
  </si>
  <si>
    <t>P39748</t>
  </si>
  <si>
    <t>P40123</t>
  </si>
  <si>
    <t>P40222</t>
  </si>
  <si>
    <t>P40227</t>
  </si>
  <si>
    <t>P40261</t>
  </si>
  <si>
    <t>P40306</t>
  </si>
  <si>
    <t>P40394</t>
  </si>
  <si>
    <t>P40763-2</t>
  </si>
  <si>
    <t>P40763</t>
  </si>
  <si>
    <t>P40818</t>
  </si>
  <si>
    <t>P40925</t>
  </si>
  <si>
    <t>P40926</t>
  </si>
  <si>
    <t>P40939</t>
  </si>
  <si>
    <t>P41091</t>
  </si>
  <si>
    <t>P41208</t>
  </si>
  <si>
    <t>P41223</t>
  </si>
  <si>
    <t>P41226</t>
  </si>
  <si>
    <t>P41227-2</t>
  </si>
  <si>
    <t>P41235-7</t>
  </si>
  <si>
    <t>P41236</t>
  </si>
  <si>
    <t>P41240</t>
  </si>
  <si>
    <t>P41250</t>
  </si>
  <si>
    <t>P41252</t>
  </si>
  <si>
    <t>P41567</t>
  </si>
  <si>
    <t>P41743</t>
  </si>
  <si>
    <t>P42025</t>
  </si>
  <si>
    <t>P42126-2</t>
  </si>
  <si>
    <t>P42166</t>
  </si>
  <si>
    <t>P42167</t>
  </si>
  <si>
    <t>P42224</t>
  </si>
  <si>
    <t>P42226</t>
  </si>
  <si>
    <t>P42285</t>
  </si>
  <si>
    <t>P42330</t>
  </si>
  <si>
    <t>P42336</t>
  </si>
  <si>
    <t>P42338</t>
  </si>
  <si>
    <t>P42345</t>
  </si>
  <si>
    <t>P42356</t>
  </si>
  <si>
    <t>P42357</t>
  </si>
  <si>
    <t>P42566</t>
  </si>
  <si>
    <t>P42574</t>
  </si>
  <si>
    <t>P42704</t>
  </si>
  <si>
    <t>P42765</t>
  </si>
  <si>
    <t>P42768</t>
  </si>
  <si>
    <t>P42773</t>
  </si>
  <si>
    <t>P42785</t>
  </si>
  <si>
    <t>P42858</t>
  </si>
  <si>
    <t>P42898</t>
  </si>
  <si>
    <t>P43034</t>
  </si>
  <si>
    <t>P43155-2</t>
  </si>
  <si>
    <t>P43246</t>
  </si>
  <si>
    <t>P43487</t>
  </si>
  <si>
    <t>P43490</t>
  </si>
  <si>
    <t>P43652</t>
  </si>
  <si>
    <t>P43686</t>
  </si>
  <si>
    <t>P43694</t>
  </si>
  <si>
    <t>P43897</t>
  </si>
  <si>
    <t>P45381</t>
  </si>
  <si>
    <t>P45877</t>
  </si>
  <si>
    <t>P45954</t>
  </si>
  <si>
    <t>P45973</t>
  </si>
  <si>
    <t>P45974-2</t>
  </si>
  <si>
    <t>P45983-3</t>
  </si>
  <si>
    <t>P45984-2</t>
  </si>
  <si>
    <t>P45985</t>
  </si>
  <si>
    <t>P46013-2</t>
  </si>
  <si>
    <t>P46019</t>
  </si>
  <si>
    <t>P46060</t>
  </si>
  <si>
    <t>P46063</t>
  </si>
  <si>
    <t>P46087-2</t>
  </si>
  <si>
    <t>P46100-2</t>
  </si>
  <si>
    <t>P46108</t>
  </si>
  <si>
    <t>P46109</t>
  </si>
  <si>
    <t>P46199</t>
  </si>
  <si>
    <t>P46527</t>
  </si>
  <si>
    <t>P46734-2</t>
  </si>
  <si>
    <t>P46736-2</t>
  </si>
  <si>
    <t>P46777</t>
  </si>
  <si>
    <t>P46779-4</t>
  </si>
  <si>
    <t>P46781</t>
  </si>
  <si>
    <t>P46783</t>
  </si>
  <si>
    <t>P46926</t>
  </si>
  <si>
    <t>P46934-4</t>
  </si>
  <si>
    <t>P46937</t>
  </si>
  <si>
    <t>P46939</t>
  </si>
  <si>
    <t>P46940</t>
  </si>
  <si>
    <t>P46952</t>
  </si>
  <si>
    <t>P46976-2</t>
  </si>
  <si>
    <t>P47224</t>
  </si>
  <si>
    <t>P47755</t>
  </si>
  <si>
    <t>P47813</t>
  </si>
  <si>
    <t>P47897</t>
  </si>
  <si>
    <t>P47914</t>
  </si>
  <si>
    <t>P47985</t>
  </si>
  <si>
    <t>P47989</t>
  </si>
  <si>
    <t>P48047</t>
  </si>
  <si>
    <t>P48059</t>
  </si>
  <si>
    <t>P48147</t>
  </si>
  <si>
    <t>P48163</t>
  </si>
  <si>
    <t>P48200</t>
  </si>
  <si>
    <t>P48444</t>
  </si>
  <si>
    <t>P48449-3</t>
  </si>
  <si>
    <t>P48506</t>
  </si>
  <si>
    <t>P48507</t>
  </si>
  <si>
    <t>P48553</t>
  </si>
  <si>
    <t>P48634</t>
  </si>
  <si>
    <t>P48637</t>
  </si>
  <si>
    <t>P48643</t>
  </si>
  <si>
    <t>P48668</t>
  </si>
  <si>
    <t>P48728</t>
  </si>
  <si>
    <t>P48735</t>
  </si>
  <si>
    <t>P48739</t>
  </si>
  <si>
    <t>P48740</t>
  </si>
  <si>
    <t>P48775</t>
  </si>
  <si>
    <t>P49005</t>
  </si>
  <si>
    <t>P49006</t>
  </si>
  <si>
    <t>P49023-2</t>
  </si>
  <si>
    <t>P49116</t>
  </si>
  <si>
    <t>P49189</t>
  </si>
  <si>
    <t>P49247</t>
  </si>
  <si>
    <t>P49257</t>
  </si>
  <si>
    <t>P49321</t>
  </si>
  <si>
    <t>P49326</t>
  </si>
  <si>
    <t>P49327</t>
  </si>
  <si>
    <t>P49354</t>
  </si>
  <si>
    <t>P49356</t>
  </si>
  <si>
    <t>P49366</t>
  </si>
  <si>
    <t>P49368</t>
  </si>
  <si>
    <t>P49407-2</t>
  </si>
  <si>
    <t>P49411</t>
  </si>
  <si>
    <t>P49419-2</t>
  </si>
  <si>
    <t>P49427</t>
  </si>
  <si>
    <t>P49441</t>
  </si>
  <si>
    <t>P49448</t>
  </si>
  <si>
    <t>P49458</t>
  </si>
  <si>
    <t>P49459</t>
  </si>
  <si>
    <t>P49585</t>
  </si>
  <si>
    <t>P49588</t>
  </si>
  <si>
    <t>P49589-3</t>
  </si>
  <si>
    <t>P49590</t>
  </si>
  <si>
    <t>P49591</t>
  </si>
  <si>
    <t>P49638</t>
  </si>
  <si>
    <t>P49662-2</t>
  </si>
  <si>
    <t>P49674</t>
  </si>
  <si>
    <t>P49720</t>
  </si>
  <si>
    <t>P49721</t>
  </si>
  <si>
    <t>P49736</t>
  </si>
  <si>
    <t>P49748</t>
  </si>
  <si>
    <t>P49750-4</t>
  </si>
  <si>
    <t>P49753</t>
  </si>
  <si>
    <t>P49755</t>
  </si>
  <si>
    <t>P49756</t>
  </si>
  <si>
    <t>P49757-3</t>
  </si>
  <si>
    <t>P49770</t>
  </si>
  <si>
    <t>P49773</t>
  </si>
  <si>
    <t>P49789</t>
  </si>
  <si>
    <t>P49790</t>
  </si>
  <si>
    <t>P49792</t>
  </si>
  <si>
    <t>P49821-2</t>
  </si>
  <si>
    <t>P49840</t>
  </si>
  <si>
    <t>P49841</t>
  </si>
  <si>
    <t>P49888</t>
  </si>
  <si>
    <t>P49902</t>
  </si>
  <si>
    <t>P49903</t>
  </si>
  <si>
    <t>P49914</t>
  </si>
  <si>
    <t>P49959</t>
  </si>
  <si>
    <t>P50053-2</t>
  </si>
  <si>
    <t>P50053</t>
  </si>
  <si>
    <t>P50135</t>
  </si>
  <si>
    <t>P50151</t>
  </si>
  <si>
    <t>P50213</t>
  </si>
  <si>
    <t>P50224</t>
  </si>
  <si>
    <t>P50225</t>
  </si>
  <si>
    <t>P50226</t>
  </si>
  <si>
    <t>P50336</t>
  </si>
  <si>
    <t>P50395</t>
  </si>
  <si>
    <t>P50402</t>
  </si>
  <si>
    <t>P50440-2</t>
  </si>
  <si>
    <t>P50452</t>
  </si>
  <si>
    <t>P50453</t>
  </si>
  <si>
    <t>P50454</t>
  </si>
  <si>
    <t>P50502</t>
  </si>
  <si>
    <t>P50542-2</t>
  </si>
  <si>
    <t>P50552</t>
  </si>
  <si>
    <t>P50570</t>
  </si>
  <si>
    <t>P50579</t>
  </si>
  <si>
    <t>P50583</t>
  </si>
  <si>
    <t>P50747</t>
  </si>
  <si>
    <t>P50748</t>
  </si>
  <si>
    <t>P50750</t>
  </si>
  <si>
    <t>P50895</t>
  </si>
  <si>
    <t>P50897</t>
  </si>
  <si>
    <t>P50991</t>
  </si>
  <si>
    <t>P51003</t>
  </si>
  <si>
    <t>P51116</t>
  </si>
  <si>
    <t>P51148</t>
  </si>
  <si>
    <t>P51149</t>
  </si>
  <si>
    <t>P51153</t>
  </si>
  <si>
    <t>P51178-2</t>
  </si>
  <si>
    <t>P51398-2</t>
  </si>
  <si>
    <t>P51452</t>
  </si>
  <si>
    <t>P51531-2</t>
  </si>
  <si>
    <t>P51532-5</t>
  </si>
  <si>
    <t>P51553</t>
  </si>
  <si>
    <t>P51570</t>
  </si>
  <si>
    <t>P51572</t>
  </si>
  <si>
    <t>P51580</t>
  </si>
  <si>
    <t>P51589</t>
  </si>
  <si>
    <t>P51608</t>
  </si>
  <si>
    <t>P51610-4</t>
  </si>
  <si>
    <t>P51649</t>
  </si>
  <si>
    <t>P51659</t>
  </si>
  <si>
    <t>P51665</t>
  </si>
  <si>
    <t>P51687</t>
  </si>
  <si>
    <t>P51688</t>
  </si>
  <si>
    <t>P51692</t>
  </si>
  <si>
    <t>P51808</t>
  </si>
  <si>
    <t>P51857</t>
  </si>
  <si>
    <t>P51858</t>
  </si>
  <si>
    <t>P51884</t>
  </si>
  <si>
    <t>P51948-2</t>
  </si>
  <si>
    <t>P51991</t>
  </si>
  <si>
    <t>P52272-2</t>
  </si>
  <si>
    <t>P52292</t>
  </si>
  <si>
    <t>P52294</t>
  </si>
  <si>
    <t>P52306</t>
  </si>
  <si>
    <t>P52565</t>
  </si>
  <si>
    <t>P52594-2</t>
  </si>
  <si>
    <t>P52597</t>
  </si>
  <si>
    <t>P52630-4</t>
  </si>
  <si>
    <t>P52701</t>
  </si>
  <si>
    <t>P52735-3</t>
  </si>
  <si>
    <t>P52756</t>
  </si>
  <si>
    <t>P52758</t>
  </si>
  <si>
    <t>P52788</t>
  </si>
  <si>
    <t>P52790</t>
  </si>
  <si>
    <t>P52888</t>
  </si>
  <si>
    <t>P52895</t>
  </si>
  <si>
    <t>P52907</t>
  </si>
  <si>
    <t>P52943</t>
  </si>
  <si>
    <t>P52948-6</t>
  </si>
  <si>
    <t>P53004</t>
  </si>
  <si>
    <t>P53007</t>
  </si>
  <si>
    <t>P53365-2</t>
  </si>
  <si>
    <t>P53367</t>
  </si>
  <si>
    <t>P53370</t>
  </si>
  <si>
    <t>P53384-2</t>
  </si>
  <si>
    <t>P53396</t>
  </si>
  <si>
    <t>P53582</t>
  </si>
  <si>
    <t>P53597</t>
  </si>
  <si>
    <t>P53602</t>
  </si>
  <si>
    <t>P53609</t>
  </si>
  <si>
    <t>P53611</t>
  </si>
  <si>
    <t>P53618</t>
  </si>
  <si>
    <t>P53621</t>
  </si>
  <si>
    <t>P53634</t>
  </si>
  <si>
    <t>P53675-2</t>
  </si>
  <si>
    <t>P53680</t>
  </si>
  <si>
    <t>P53805</t>
  </si>
  <si>
    <t>P53990-2</t>
  </si>
  <si>
    <t>P53992</t>
  </si>
  <si>
    <t>P53999</t>
  </si>
  <si>
    <t>P54136</t>
  </si>
  <si>
    <t>P54253</t>
  </si>
  <si>
    <t>P54278-3</t>
  </si>
  <si>
    <t>P54577</t>
  </si>
  <si>
    <t>P54578-2</t>
  </si>
  <si>
    <t>P54619-2</t>
  </si>
  <si>
    <t>P54687-5</t>
  </si>
  <si>
    <t>P54727</t>
  </si>
  <si>
    <t>P54802</t>
  </si>
  <si>
    <t>P54840</t>
  </si>
  <si>
    <t>P54855</t>
  </si>
  <si>
    <t>P54868</t>
  </si>
  <si>
    <t>P54886-2</t>
  </si>
  <si>
    <t>P54920</t>
  </si>
  <si>
    <t>P55008</t>
  </si>
  <si>
    <t>P55010</t>
  </si>
  <si>
    <t>P55036</t>
  </si>
  <si>
    <t>P55039</t>
  </si>
  <si>
    <t>P55058</t>
  </si>
  <si>
    <t>P55060-3</t>
  </si>
  <si>
    <t>P55072</t>
  </si>
  <si>
    <t>P55081</t>
  </si>
  <si>
    <t>P55084</t>
  </si>
  <si>
    <t>P55103</t>
  </si>
  <si>
    <t>P55145</t>
  </si>
  <si>
    <t>P55157</t>
  </si>
  <si>
    <t>P55196-3</t>
  </si>
  <si>
    <t>P55196</t>
  </si>
  <si>
    <t>P55210</t>
  </si>
  <si>
    <t>P55212</t>
  </si>
  <si>
    <t>P55263</t>
  </si>
  <si>
    <t>P55265-3</t>
  </si>
  <si>
    <t>P55268</t>
  </si>
  <si>
    <t>P55290-3</t>
  </si>
  <si>
    <t>P55327-2</t>
  </si>
  <si>
    <t>P55735</t>
  </si>
  <si>
    <t>P55769</t>
  </si>
  <si>
    <t>P55789</t>
  </si>
  <si>
    <t>P55795</t>
  </si>
  <si>
    <t>P55854</t>
  </si>
  <si>
    <t>P55884</t>
  </si>
  <si>
    <t>P56181-2</t>
  </si>
  <si>
    <t>P56181</t>
  </si>
  <si>
    <t>P56192</t>
  </si>
  <si>
    <t>P56277</t>
  </si>
  <si>
    <t>P56385</t>
  </si>
  <si>
    <t>P56470</t>
  </si>
  <si>
    <t>P56524</t>
  </si>
  <si>
    <t>P56537</t>
  </si>
  <si>
    <t>P57060</t>
  </si>
  <si>
    <t>P57076</t>
  </si>
  <si>
    <t>P57081-2</t>
  </si>
  <si>
    <t>P57105</t>
  </si>
  <si>
    <t>P57737-3</t>
  </si>
  <si>
    <t>P57764</t>
  </si>
  <si>
    <t>P57772</t>
  </si>
  <si>
    <t>P58004</t>
  </si>
  <si>
    <t>P58546</t>
  </si>
  <si>
    <t>P59282</t>
  </si>
  <si>
    <t>P59666</t>
  </si>
  <si>
    <t>P59998</t>
  </si>
  <si>
    <t>P60174-1</t>
  </si>
  <si>
    <t>P60228</t>
  </si>
  <si>
    <t>P60468</t>
  </si>
  <si>
    <t>P60604-2</t>
  </si>
  <si>
    <t>P60763</t>
  </si>
  <si>
    <t>P60842</t>
  </si>
  <si>
    <t>P60891</t>
  </si>
  <si>
    <t>P60900</t>
  </si>
  <si>
    <t>P60903</t>
  </si>
  <si>
    <t>P60953</t>
  </si>
  <si>
    <t>P60981-2</t>
  </si>
  <si>
    <t>P60983</t>
  </si>
  <si>
    <t>P61006</t>
  </si>
  <si>
    <t>P61011</t>
  </si>
  <si>
    <t>P61019</t>
  </si>
  <si>
    <t>P61020</t>
  </si>
  <si>
    <t>P61026</t>
  </si>
  <si>
    <t>P61077</t>
  </si>
  <si>
    <t>P61081</t>
  </si>
  <si>
    <t>P61086</t>
  </si>
  <si>
    <t>P61088</t>
  </si>
  <si>
    <t>P61106</t>
  </si>
  <si>
    <t>P61158</t>
  </si>
  <si>
    <t>P61160</t>
  </si>
  <si>
    <t>P61163</t>
  </si>
  <si>
    <t>P61201</t>
  </si>
  <si>
    <t>P61221</t>
  </si>
  <si>
    <t>P61224-3</t>
  </si>
  <si>
    <t>P61247</t>
  </si>
  <si>
    <t>P61289</t>
  </si>
  <si>
    <t>P61326</t>
  </si>
  <si>
    <t>P61457</t>
  </si>
  <si>
    <t>P61586</t>
  </si>
  <si>
    <t>P61604</t>
  </si>
  <si>
    <t>P61758</t>
  </si>
  <si>
    <t>P61923</t>
  </si>
  <si>
    <t>P61956-2</t>
  </si>
  <si>
    <t>P61962</t>
  </si>
  <si>
    <t>P61964</t>
  </si>
  <si>
    <t>P61966</t>
  </si>
  <si>
    <t>P61970</t>
  </si>
  <si>
    <t>P61978-3</t>
  </si>
  <si>
    <t>P61981</t>
  </si>
  <si>
    <t>P62070</t>
  </si>
  <si>
    <t>P62072</t>
  </si>
  <si>
    <t>P62136</t>
  </si>
  <si>
    <t>P62140</t>
  </si>
  <si>
    <t>P62158</t>
  </si>
  <si>
    <t>P62191</t>
  </si>
  <si>
    <t>P62195-2</t>
  </si>
  <si>
    <t>P62241</t>
  </si>
  <si>
    <t>P62258</t>
  </si>
  <si>
    <t>P62263</t>
  </si>
  <si>
    <t>P62269</t>
  </si>
  <si>
    <t>P62277</t>
  </si>
  <si>
    <t>P62280</t>
  </si>
  <si>
    <t>P62304</t>
  </si>
  <si>
    <t>P62306</t>
  </si>
  <si>
    <t>P62308</t>
  </si>
  <si>
    <t>P62310</t>
  </si>
  <si>
    <t>P62312</t>
  </si>
  <si>
    <t>P62314</t>
  </si>
  <si>
    <t>P62316</t>
  </si>
  <si>
    <t>P62328</t>
  </si>
  <si>
    <t>P62330</t>
  </si>
  <si>
    <t>P62333</t>
  </si>
  <si>
    <t>P62424</t>
  </si>
  <si>
    <t>P62487</t>
  </si>
  <si>
    <t>P62495</t>
  </si>
  <si>
    <t>P62633-2</t>
  </si>
  <si>
    <t>P62701</t>
  </si>
  <si>
    <t>P62714</t>
  </si>
  <si>
    <t>P62750</t>
  </si>
  <si>
    <t>P62753</t>
  </si>
  <si>
    <t>P62760</t>
  </si>
  <si>
    <t>P62805</t>
  </si>
  <si>
    <t>P62807</t>
  </si>
  <si>
    <t>P62820</t>
  </si>
  <si>
    <t>P62826</t>
  </si>
  <si>
    <t>P62829</t>
  </si>
  <si>
    <t>P62834</t>
  </si>
  <si>
    <t>P62837</t>
  </si>
  <si>
    <t>P62851</t>
  </si>
  <si>
    <t>P62854</t>
  </si>
  <si>
    <t>P62857</t>
  </si>
  <si>
    <t>P62873</t>
  </si>
  <si>
    <t>P62877</t>
  </si>
  <si>
    <t>P62913-2</t>
  </si>
  <si>
    <t>P62942</t>
  </si>
  <si>
    <t>P62993</t>
  </si>
  <si>
    <t>P62995-3</t>
  </si>
  <si>
    <t>P63000</t>
  </si>
  <si>
    <t>P63010</t>
  </si>
  <si>
    <t>P63092-3</t>
  </si>
  <si>
    <t>P63096</t>
  </si>
  <si>
    <t>P63104</t>
  </si>
  <si>
    <t>P63151</t>
  </si>
  <si>
    <t>P63167</t>
  </si>
  <si>
    <t>P63244</t>
  </si>
  <si>
    <t>P63261</t>
  </si>
  <si>
    <t>P63313</t>
  </si>
  <si>
    <t>P67775</t>
  </si>
  <si>
    <t>P67809</t>
  </si>
  <si>
    <t>P67870</t>
  </si>
  <si>
    <t>P67936</t>
  </si>
  <si>
    <t>P68036</t>
  </si>
  <si>
    <t>P68133</t>
  </si>
  <si>
    <t>P68363</t>
  </si>
  <si>
    <t>P68371</t>
  </si>
  <si>
    <t>P68402</t>
  </si>
  <si>
    <t>P78314</t>
  </si>
  <si>
    <t>P78318</t>
  </si>
  <si>
    <t>P78329</t>
  </si>
  <si>
    <t>P78332</t>
  </si>
  <si>
    <t>P78346</t>
  </si>
  <si>
    <t>P78347-2</t>
  </si>
  <si>
    <t>P78356</t>
  </si>
  <si>
    <t>P78362</t>
  </si>
  <si>
    <t>P78371</t>
  </si>
  <si>
    <t>P78406</t>
  </si>
  <si>
    <t>P78417</t>
  </si>
  <si>
    <t>P78524</t>
  </si>
  <si>
    <t>P78560</t>
  </si>
  <si>
    <t>P80188-2</t>
  </si>
  <si>
    <t>P80217</t>
  </si>
  <si>
    <t>P80294</t>
  </si>
  <si>
    <t>P80297</t>
  </si>
  <si>
    <t>P80303</t>
  </si>
  <si>
    <t>P80404</t>
  </si>
  <si>
    <t>P80723</t>
  </si>
  <si>
    <t>P81605</t>
  </si>
  <si>
    <t>P82094</t>
  </si>
  <si>
    <t>P82673</t>
  </si>
  <si>
    <t>P82675</t>
  </si>
  <si>
    <t>P82909</t>
  </si>
  <si>
    <t>P82914</t>
  </si>
  <si>
    <t>P82930</t>
  </si>
  <si>
    <t>P82932</t>
  </si>
  <si>
    <t>P82933</t>
  </si>
  <si>
    <t>P82979</t>
  </si>
  <si>
    <t>P82980</t>
  </si>
  <si>
    <t>P83111</t>
  </si>
  <si>
    <t>P83436</t>
  </si>
  <si>
    <t>P83876</t>
  </si>
  <si>
    <t>P84077</t>
  </si>
  <si>
    <t>P84085</t>
  </si>
  <si>
    <t>P84090</t>
  </si>
  <si>
    <t>P84095</t>
  </si>
  <si>
    <t>P85037</t>
  </si>
  <si>
    <t>P86397</t>
  </si>
  <si>
    <t>P86791</t>
  </si>
  <si>
    <t>P98082-2</t>
  </si>
  <si>
    <t>P98160</t>
  </si>
  <si>
    <t>P98170</t>
  </si>
  <si>
    <t>P98175-2</t>
  </si>
  <si>
    <t>P98179</t>
  </si>
  <si>
    <t>Q00013-2</t>
  </si>
  <si>
    <t>Q00059</t>
  </si>
  <si>
    <t>Q00169</t>
  </si>
  <si>
    <t>Q00266</t>
  </si>
  <si>
    <t>Q00341</t>
  </si>
  <si>
    <t>Q00403</t>
  </si>
  <si>
    <t>Q00534</t>
  </si>
  <si>
    <t>Q00535</t>
  </si>
  <si>
    <t>Q00577</t>
  </si>
  <si>
    <t>Q00610-2</t>
  </si>
  <si>
    <t>Q00688</t>
  </si>
  <si>
    <t>Q00796</t>
  </si>
  <si>
    <t>Q00839</t>
  </si>
  <si>
    <t>Q00G26</t>
  </si>
  <si>
    <t>Q01081</t>
  </si>
  <si>
    <t>Q01082-3</t>
  </si>
  <si>
    <t>Q01082</t>
  </si>
  <si>
    <t>Q01085-2</t>
  </si>
  <si>
    <t>Q01105</t>
  </si>
  <si>
    <t>Q01433-2</t>
  </si>
  <si>
    <t>Q01459</t>
  </si>
  <si>
    <t>Q01469</t>
  </si>
  <si>
    <t>Q01518-2</t>
  </si>
  <si>
    <t>Q01581</t>
  </si>
  <si>
    <t>Q01658</t>
  </si>
  <si>
    <t>Q01804</t>
  </si>
  <si>
    <t>Q01813</t>
  </si>
  <si>
    <t>Q01844-6</t>
  </si>
  <si>
    <t>Q01968-2</t>
  </si>
  <si>
    <t>Q01970-2</t>
  </si>
  <si>
    <t>Q02083-2</t>
  </si>
  <si>
    <t>Q02086-2</t>
  </si>
  <si>
    <t>Q02252</t>
  </si>
  <si>
    <t>Q02318</t>
  </si>
  <si>
    <t>Q02325</t>
  </si>
  <si>
    <t>Q02410</t>
  </si>
  <si>
    <t>Q02413</t>
  </si>
  <si>
    <t>Q02447-4</t>
  </si>
  <si>
    <t>Q02487-2</t>
  </si>
  <si>
    <t>Q02487</t>
  </si>
  <si>
    <t>Q02750</t>
  </si>
  <si>
    <t>Q02790</t>
  </si>
  <si>
    <t>Q02818</t>
  </si>
  <si>
    <t>Q02928</t>
  </si>
  <si>
    <t>Q02952-3</t>
  </si>
  <si>
    <t>Q02985-2</t>
  </si>
  <si>
    <t>Q03001-8</t>
  </si>
  <si>
    <t>Q03013-2</t>
  </si>
  <si>
    <t>Q03154</t>
  </si>
  <si>
    <t>Q03252</t>
  </si>
  <si>
    <t>Q03591</t>
  </si>
  <si>
    <t>Q04446</t>
  </si>
  <si>
    <t>Q04637-5</t>
  </si>
  <si>
    <t>Q04695</t>
  </si>
  <si>
    <t>Q04721</t>
  </si>
  <si>
    <t>Q04724</t>
  </si>
  <si>
    <t>Q04726-2</t>
  </si>
  <si>
    <t>Q04756</t>
  </si>
  <si>
    <t>Q04760</t>
  </si>
  <si>
    <t>Q04828</t>
  </si>
  <si>
    <t>Q04837</t>
  </si>
  <si>
    <t>Q04917</t>
  </si>
  <si>
    <t>Q05048</t>
  </si>
  <si>
    <t>Q05086-3</t>
  </si>
  <si>
    <t>Q05209</t>
  </si>
  <si>
    <t>Q05513-2</t>
  </si>
  <si>
    <t>Q05519-2</t>
  </si>
  <si>
    <t>Q05639</t>
  </si>
  <si>
    <t>Q05682-5</t>
  </si>
  <si>
    <t>Q06033-2</t>
  </si>
  <si>
    <t>Q06124-2</t>
  </si>
  <si>
    <t>Q06203</t>
  </si>
  <si>
    <t>Q06210-2</t>
  </si>
  <si>
    <t>Q06265</t>
  </si>
  <si>
    <t>Q06278</t>
  </si>
  <si>
    <t>Q06323</t>
  </si>
  <si>
    <t>Q06520</t>
  </si>
  <si>
    <t>Q06546</t>
  </si>
  <si>
    <t>Q07021</t>
  </si>
  <si>
    <t>Q07075</t>
  </si>
  <si>
    <t>Q07157</t>
  </si>
  <si>
    <t>Q07283</t>
  </si>
  <si>
    <t>Q07666</t>
  </si>
  <si>
    <t>Q07812-5</t>
  </si>
  <si>
    <t>Q07820</t>
  </si>
  <si>
    <t>Q07912</t>
  </si>
  <si>
    <t>Q07954</t>
  </si>
  <si>
    <t>Q07955</t>
  </si>
  <si>
    <t>Q07960</t>
  </si>
  <si>
    <t>Q08170</t>
  </si>
  <si>
    <t>Q08174-2</t>
  </si>
  <si>
    <t>Q08209-2</t>
  </si>
  <si>
    <t>Q08211</t>
  </si>
  <si>
    <t>Q08257</t>
  </si>
  <si>
    <t>Q08378</t>
  </si>
  <si>
    <t>Q08379</t>
  </si>
  <si>
    <t>Q08380</t>
  </si>
  <si>
    <t>Q08426</t>
  </si>
  <si>
    <t>Q08477-2</t>
  </si>
  <si>
    <t>Q08495-2</t>
  </si>
  <si>
    <t>Q08752</t>
  </si>
  <si>
    <t>Q08830</t>
  </si>
  <si>
    <t>Q08945</t>
  </si>
  <si>
    <t>Q08AG7</t>
  </si>
  <si>
    <t>Q08AH1</t>
  </si>
  <si>
    <t>Q08AH3</t>
  </si>
  <si>
    <t>Q08AM6</t>
  </si>
  <si>
    <t>Q08J23</t>
  </si>
  <si>
    <t>Q09028-3</t>
  </si>
  <si>
    <t>Q09161</t>
  </si>
  <si>
    <t>Q09472</t>
  </si>
  <si>
    <t>Q09666</t>
  </si>
  <si>
    <t>Q0JRZ9</t>
  </si>
  <si>
    <t>Q0VDG4</t>
  </si>
  <si>
    <t>Q0VF96</t>
  </si>
  <si>
    <t>Q10567-2</t>
  </si>
  <si>
    <t>Q10567-3</t>
  </si>
  <si>
    <t>Q10570</t>
  </si>
  <si>
    <t>Q10713</t>
  </si>
  <si>
    <t>Q12768</t>
  </si>
  <si>
    <t>Q12769</t>
  </si>
  <si>
    <t>Q12774</t>
  </si>
  <si>
    <t>Q12789-3</t>
  </si>
  <si>
    <t>Q12792</t>
  </si>
  <si>
    <t>Q12794-7</t>
  </si>
  <si>
    <t>Q12797-10</t>
  </si>
  <si>
    <t>Q12802-4</t>
  </si>
  <si>
    <t>Q12849-5</t>
  </si>
  <si>
    <t>Q12872</t>
  </si>
  <si>
    <t>Q12874</t>
  </si>
  <si>
    <t>Q12882</t>
  </si>
  <si>
    <t>Q12888</t>
  </si>
  <si>
    <t>Q12899</t>
  </si>
  <si>
    <t>Q12904</t>
  </si>
  <si>
    <t>Q12905</t>
  </si>
  <si>
    <t>Q12906-4</t>
  </si>
  <si>
    <t>Q12929</t>
  </si>
  <si>
    <t>Q12933-4</t>
  </si>
  <si>
    <t>Q12959-5</t>
  </si>
  <si>
    <t>Q12962</t>
  </si>
  <si>
    <t>Q12965</t>
  </si>
  <si>
    <t>Q12972</t>
  </si>
  <si>
    <t>Q12974</t>
  </si>
  <si>
    <t>Q12986-3</t>
  </si>
  <si>
    <t>Q12996</t>
  </si>
  <si>
    <t>Q13011</t>
  </si>
  <si>
    <t>Q13017-2</t>
  </si>
  <si>
    <t>Q13033-2</t>
  </si>
  <si>
    <t>Q13043-2</t>
  </si>
  <si>
    <t>Q13045-2</t>
  </si>
  <si>
    <t>Q13045</t>
  </si>
  <si>
    <t>Q13057</t>
  </si>
  <si>
    <t>Q13085</t>
  </si>
  <si>
    <t>Q13107-2</t>
  </si>
  <si>
    <t>Q13123</t>
  </si>
  <si>
    <t>Q13126</t>
  </si>
  <si>
    <t>Q13131</t>
  </si>
  <si>
    <t>Q13136-2</t>
  </si>
  <si>
    <t>Q13148</t>
  </si>
  <si>
    <t>Q13151</t>
  </si>
  <si>
    <t>Q13153</t>
  </si>
  <si>
    <t>Q13155</t>
  </si>
  <si>
    <t>Q13158</t>
  </si>
  <si>
    <t>Q13162</t>
  </si>
  <si>
    <t>Q13177</t>
  </si>
  <si>
    <t>Q13185</t>
  </si>
  <si>
    <t>Q13188</t>
  </si>
  <si>
    <t>Q13200</t>
  </si>
  <si>
    <t>Q13206</t>
  </si>
  <si>
    <t>Q13217</t>
  </si>
  <si>
    <t>Q13228</t>
  </si>
  <si>
    <t>Q13232</t>
  </si>
  <si>
    <t>Q13243-3</t>
  </si>
  <si>
    <t>Q13247-3</t>
  </si>
  <si>
    <t>Q13257</t>
  </si>
  <si>
    <t>Q13263</t>
  </si>
  <si>
    <t>Q13283</t>
  </si>
  <si>
    <t>Q13287</t>
  </si>
  <si>
    <t>Q13310-3</t>
  </si>
  <si>
    <t>Q13310</t>
  </si>
  <si>
    <t>Q13315</t>
  </si>
  <si>
    <t>Q13325</t>
  </si>
  <si>
    <t>Q13330-3</t>
  </si>
  <si>
    <t>Q13347</t>
  </si>
  <si>
    <t>Q13362-4</t>
  </si>
  <si>
    <t>Q13363-2</t>
  </si>
  <si>
    <t>Q13404</t>
  </si>
  <si>
    <t>Q13409-6</t>
  </si>
  <si>
    <t>Q13418</t>
  </si>
  <si>
    <t>Q13423</t>
  </si>
  <si>
    <t>Q13424</t>
  </si>
  <si>
    <t>Q13426-2</t>
  </si>
  <si>
    <t>Q13427-2</t>
  </si>
  <si>
    <t>Q13428-4</t>
  </si>
  <si>
    <t>Q13435</t>
  </si>
  <si>
    <t>Q13442</t>
  </si>
  <si>
    <t>Q13451</t>
  </si>
  <si>
    <t>Q13459-2</t>
  </si>
  <si>
    <t>Q13464</t>
  </si>
  <si>
    <t>Q13490-2</t>
  </si>
  <si>
    <t>Q13492-3</t>
  </si>
  <si>
    <t>Q13496</t>
  </si>
  <si>
    <t>Q13501-2</t>
  </si>
  <si>
    <t>Q13522</t>
  </si>
  <si>
    <t>Q13526</t>
  </si>
  <si>
    <t>Q13541</t>
  </si>
  <si>
    <t>Q13542</t>
  </si>
  <si>
    <t>Q13546</t>
  </si>
  <si>
    <t>Q13547</t>
  </si>
  <si>
    <t>Q13554-7</t>
  </si>
  <si>
    <t>Q13555-10</t>
  </si>
  <si>
    <t>Q13557-8</t>
  </si>
  <si>
    <t>Q13561</t>
  </si>
  <si>
    <t>Q13572</t>
  </si>
  <si>
    <t>Q13573</t>
  </si>
  <si>
    <t>Q13576</t>
  </si>
  <si>
    <t>Q13586</t>
  </si>
  <si>
    <t>Q13596</t>
  </si>
  <si>
    <t>Q13610</t>
  </si>
  <si>
    <t>Q13616</t>
  </si>
  <si>
    <t>Q13617</t>
  </si>
  <si>
    <t>Q13618</t>
  </si>
  <si>
    <t>Q13619</t>
  </si>
  <si>
    <t>Q13620-1</t>
  </si>
  <si>
    <t>Q13625</t>
  </si>
  <si>
    <t>Q13627-3</t>
  </si>
  <si>
    <t>Q13630</t>
  </si>
  <si>
    <t>Q13642-1</t>
  </si>
  <si>
    <t>Q13643</t>
  </si>
  <si>
    <t>Q13686</t>
  </si>
  <si>
    <t>Q13796</t>
  </si>
  <si>
    <t>Q13813-2</t>
  </si>
  <si>
    <t>Q13813</t>
  </si>
  <si>
    <t>Q13825</t>
  </si>
  <si>
    <t>Q13838</t>
  </si>
  <si>
    <t>Q13867</t>
  </si>
  <si>
    <t>Q13868</t>
  </si>
  <si>
    <t>Q13884</t>
  </si>
  <si>
    <t>Q13885</t>
  </si>
  <si>
    <t>Q13907</t>
  </si>
  <si>
    <t>Q13938</t>
  </si>
  <si>
    <t>Q13951-2</t>
  </si>
  <si>
    <t>Q14004-2</t>
  </si>
  <si>
    <t>Q14005-3</t>
  </si>
  <si>
    <t>Q14008-2</t>
  </si>
  <si>
    <t>Q14011</t>
  </si>
  <si>
    <t>Q14012</t>
  </si>
  <si>
    <t>Q14019</t>
  </si>
  <si>
    <t>Q14032</t>
  </si>
  <si>
    <t>Q14061</t>
  </si>
  <si>
    <t>Q14103-3</t>
  </si>
  <si>
    <t>Q14103-4</t>
  </si>
  <si>
    <t>Q14116-2</t>
  </si>
  <si>
    <t>Q14117</t>
  </si>
  <si>
    <t>Q14118</t>
  </si>
  <si>
    <t>Q14126</t>
  </si>
  <si>
    <t>Q14137</t>
  </si>
  <si>
    <t>Q14139</t>
  </si>
  <si>
    <t>Q14141-2</t>
  </si>
  <si>
    <t>Q14151</t>
  </si>
  <si>
    <t>Q14155-1</t>
  </si>
  <si>
    <t>Q14157</t>
  </si>
  <si>
    <t>Q14160</t>
  </si>
  <si>
    <t>Q14161</t>
  </si>
  <si>
    <t>Q14166</t>
  </si>
  <si>
    <t>Q14181</t>
  </si>
  <si>
    <t>Q14185</t>
  </si>
  <si>
    <t>Q14192</t>
  </si>
  <si>
    <t>Q14203-6</t>
  </si>
  <si>
    <t>Q14204</t>
  </si>
  <si>
    <t>Q14232</t>
  </si>
  <si>
    <t>Q14240</t>
  </si>
  <si>
    <t>Q14241</t>
  </si>
  <si>
    <t>Q14244-2</t>
  </si>
  <si>
    <t>Q14247-3</t>
  </si>
  <si>
    <t>Q14247</t>
  </si>
  <si>
    <t>Q14249</t>
  </si>
  <si>
    <t>Q14257</t>
  </si>
  <si>
    <t>Q14258</t>
  </si>
  <si>
    <t>Q14289-2</t>
  </si>
  <si>
    <t>Q14318-2</t>
  </si>
  <si>
    <t>Q14318</t>
  </si>
  <si>
    <t>Q14320</t>
  </si>
  <si>
    <t>Q14353</t>
  </si>
  <si>
    <t>Q14376</t>
  </si>
  <si>
    <t>Q14397</t>
  </si>
  <si>
    <t>Q14444-2</t>
  </si>
  <si>
    <t>Q14498-2</t>
  </si>
  <si>
    <t>Q14520-2</t>
  </si>
  <si>
    <t>Q14527</t>
  </si>
  <si>
    <t>Q14554</t>
  </si>
  <si>
    <t>Q14558</t>
  </si>
  <si>
    <t>Q14566</t>
  </si>
  <si>
    <t>Q14596-2</t>
  </si>
  <si>
    <t>Q14624</t>
  </si>
  <si>
    <t>Q14651</t>
  </si>
  <si>
    <t>Q14653</t>
  </si>
  <si>
    <t>Q14657</t>
  </si>
  <si>
    <t>Q14669</t>
  </si>
  <si>
    <t>Q14676-3</t>
  </si>
  <si>
    <t>Q14677</t>
  </si>
  <si>
    <t>Q14678-2</t>
  </si>
  <si>
    <t>Q14683</t>
  </si>
  <si>
    <t>Q14684-2</t>
  </si>
  <si>
    <t>Q14687-2</t>
  </si>
  <si>
    <t>Q14689-6</t>
  </si>
  <si>
    <t>Q14690</t>
  </si>
  <si>
    <t>Q14694</t>
  </si>
  <si>
    <t>Q14696</t>
  </si>
  <si>
    <t>Q14697-2</t>
  </si>
  <si>
    <t>Q14697</t>
  </si>
  <si>
    <t>Q14749</t>
  </si>
  <si>
    <t>Q14789</t>
  </si>
  <si>
    <t>Q14790</t>
  </si>
  <si>
    <t>Q147X3</t>
  </si>
  <si>
    <t>Q14814-6</t>
  </si>
  <si>
    <t>Q14847</t>
  </si>
  <si>
    <t>Q14894</t>
  </si>
  <si>
    <t>Q14914-2</t>
  </si>
  <si>
    <t>Q14938-5</t>
  </si>
  <si>
    <t>Q14966</t>
  </si>
  <si>
    <t>Q14974</t>
  </si>
  <si>
    <t>Q14978</t>
  </si>
  <si>
    <t>Q14980</t>
  </si>
  <si>
    <t>Q14997</t>
  </si>
  <si>
    <t>Q14C86-4</t>
  </si>
  <si>
    <t>Q14CX7-2</t>
  </si>
  <si>
    <t>Q14CZ8</t>
  </si>
  <si>
    <t>Q15007</t>
  </si>
  <si>
    <t>Q15008</t>
  </si>
  <si>
    <t>Q15018</t>
  </si>
  <si>
    <t>Q15019</t>
  </si>
  <si>
    <t>Q15020</t>
  </si>
  <si>
    <t>Q15024</t>
  </si>
  <si>
    <t>Q15029-2</t>
  </si>
  <si>
    <t>Q15036-2</t>
  </si>
  <si>
    <t>Q15043-2</t>
  </si>
  <si>
    <t>Q15046</t>
  </si>
  <si>
    <t>Q15048</t>
  </si>
  <si>
    <t>Q15052</t>
  </si>
  <si>
    <t>Q15056-2</t>
  </si>
  <si>
    <t>Q15057</t>
  </si>
  <si>
    <t>Q15059</t>
  </si>
  <si>
    <t>Q15063-4</t>
  </si>
  <si>
    <t>Q15067-2</t>
  </si>
  <si>
    <t>Q15067</t>
  </si>
  <si>
    <t>Q15075</t>
  </si>
  <si>
    <t>Q15102</t>
  </si>
  <si>
    <t>Q15118</t>
  </si>
  <si>
    <t>Q15119</t>
  </si>
  <si>
    <t>Q15120</t>
  </si>
  <si>
    <t>Q15124-2</t>
  </si>
  <si>
    <t>Q15126</t>
  </si>
  <si>
    <t>Q15149-8</t>
  </si>
  <si>
    <t>Q15170-2</t>
  </si>
  <si>
    <t>Q15172</t>
  </si>
  <si>
    <t>Q15181</t>
  </si>
  <si>
    <t>Q15208</t>
  </si>
  <si>
    <t>Q15233</t>
  </si>
  <si>
    <t>Q15257-2</t>
  </si>
  <si>
    <t>Q15257</t>
  </si>
  <si>
    <t>Q15262</t>
  </si>
  <si>
    <t>Q15274</t>
  </si>
  <si>
    <t>Q15276</t>
  </si>
  <si>
    <t>Q15283-2</t>
  </si>
  <si>
    <t>Q15291</t>
  </si>
  <si>
    <t>Q15293</t>
  </si>
  <si>
    <t>Q15311</t>
  </si>
  <si>
    <t>Q15345</t>
  </si>
  <si>
    <t>Q15365</t>
  </si>
  <si>
    <t>Q15382</t>
  </si>
  <si>
    <t>Q15386</t>
  </si>
  <si>
    <t>Q15393</t>
  </si>
  <si>
    <t>Q15404</t>
  </si>
  <si>
    <t>Q15417</t>
  </si>
  <si>
    <t>Q15424</t>
  </si>
  <si>
    <t>Q15427</t>
  </si>
  <si>
    <t>Q15428</t>
  </si>
  <si>
    <t>Q15435</t>
  </si>
  <si>
    <t>Q15437</t>
  </si>
  <si>
    <t>Q15459</t>
  </si>
  <si>
    <t>Q15477</t>
  </si>
  <si>
    <t>Q15493</t>
  </si>
  <si>
    <t>Q15526-2</t>
  </si>
  <si>
    <t>Q15527</t>
  </si>
  <si>
    <t>Q15554</t>
  </si>
  <si>
    <t>Q15555-4</t>
  </si>
  <si>
    <t>Q15596</t>
  </si>
  <si>
    <t>Q15599</t>
  </si>
  <si>
    <t>Q15628</t>
  </si>
  <si>
    <t>Q15633-2</t>
  </si>
  <si>
    <t>Q15637-5</t>
  </si>
  <si>
    <t>Q15642</t>
  </si>
  <si>
    <t>Q15643</t>
  </si>
  <si>
    <t>Q15650</t>
  </si>
  <si>
    <t>Q15651</t>
  </si>
  <si>
    <t>Q15652</t>
  </si>
  <si>
    <t>Q15654</t>
  </si>
  <si>
    <t>Q15691</t>
  </si>
  <si>
    <t>Q15714-2</t>
  </si>
  <si>
    <t>Q15717</t>
  </si>
  <si>
    <t>Q15738</t>
  </si>
  <si>
    <t>Q15746-2</t>
  </si>
  <si>
    <t>Q15750-2</t>
  </si>
  <si>
    <t>Q15785</t>
  </si>
  <si>
    <t>Q15813</t>
  </si>
  <si>
    <t>Q15814</t>
  </si>
  <si>
    <t>Q15819</t>
  </si>
  <si>
    <t>Q15833</t>
  </si>
  <si>
    <t>Q15847</t>
  </si>
  <si>
    <t>Q15907</t>
  </si>
  <si>
    <t>Q15942</t>
  </si>
  <si>
    <t>Q16134</t>
  </si>
  <si>
    <t>Q16181</t>
  </si>
  <si>
    <t>Q16186</t>
  </si>
  <si>
    <t>Q16204</t>
  </si>
  <si>
    <t>Q16222-2</t>
  </si>
  <si>
    <t>Q16270-2</t>
  </si>
  <si>
    <t>Q16401-2</t>
  </si>
  <si>
    <t>Q16513-3</t>
  </si>
  <si>
    <t>Q16531</t>
  </si>
  <si>
    <t>Q16539</t>
  </si>
  <si>
    <t>Q16543</t>
  </si>
  <si>
    <t>Q16555-2</t>
  </si>
  <si>
    <t>Q16576</t>
  </si>
  <si>
    <t>Q16625-5</t>
  </si>
  <si>
    <t>Q16626</t>
  </si>
  <si>
    <t>Q16629-3</t>
  </si>
  <si>
    <t>Q16644</t>
  </si>
  <si>
    <t>Q16654</t>
  </si>
  <si>
    <t>Q16658</t>
  </si>
  <si>
    <t>Q16719</t>
  </si>
  <si>
    <t>Q16740</t>
  </si>
  <si>
    <t>Q16762</t>
  </si>
  <si>
    <t>Q16773</t>
  </si>
  <si>
    <t>Q16775</t>
  </si>
  <si>
    <t>Q16822</t>
  </si>
  <si>
    <t>Q16825</t>
  </si>
  <si>
    <t>Q16831</t>
  </si>
  <si>
    <t>Q16836</t>
  </si>
  <si>
    <t>Q16851-2</t>
  </si>
  <si>
    <t>Q16851</t>
  </si>
  <si>
    <t>Q16854</t>
  </si>
  <si>
    <t>Q16864</t>
  </si>
  <si>
    <t>Q16878</t>
  </si>
  <si>
    <t>Q17R31-5</t>
  </si>
  <si>
    <t>Q17RC7</t>
  </si>
  <si>
    <t>Q17RN3</t>
  </si>
  <si>
    <t>Q1W6H9</t>
  </si>
  <si>
    <t>Q27J81</t>
  </si>
  <si>
    <t>Q29836</t>
  </si>
  <si>
    <t>Q29RF7</t>
  </si>
  <si>
    <t>Q2KHT3</t>
  </si>
  <si>
    <t>Q2M389</t>
  </si>
  <si>
    <t>Q2NL82</t>
  </si>
  <si>
    <t>Q2PPJ7-3</t>
  </si>
  <si>
    <t>Q2T9J0</t>
  </si>
  <si>
    <t>Q2TAY7</t>
  </si>
  <si>
    <t>Q32M88</t>
  </si>
  <si>
    <t>Q32MZ4-2</t>
  </si>
  <si>
    <t>Q32MZ4-3</t>
  </si>
  <si>
    <t>Q32MZ4-4</t>
  </si>
  <si>
    <t>Q32P41</t>
  </si>
  <si>
    <t>Q32P44</t>
  </si>
  <si>
    <t>Q3B7J2</t>
  </si>
  <si>
    <t>Q3LXA3</t>
  </si>
  <si>
    <t>Q3MHD2</t>
  </si>
  <si>
    <t>Q3MIT2</t>
  </si>
  <si>
    <t>Q3YEC7</t>
  </si>
  <si>
    <t>Q3ZCM7</t>
  </si>
  <si>
    <t>Q3ZCW2</t>
  </si>
  <si>
    <t>Q49A26-5</t>
  </si>
  <si>
    <t>Q49AH0</t>
  </si>
  <si>
    <t>Q49AR2-2</t>
  </si>
  <si>
    <t>Q49B96</t>
  </si>
  <si>
    <t>Q4G0F5</t>
  </si>
  <si>
    <t>Q4G0J3</t>
  </si>
  <si>
    <t>Q4G0N4</t>
  </si>
  <si>
    <t>Q4G0X4</t>
  </si>
  <si>
    <t>Q4G176</t>
  </si>
  <si>
    <t>Q4J6C6-4</t>
  </si>
  <si>
    <t>Q4KMP7</t>
  </si>
  <si>
    <t>Q4KMQ1-2</t>
  </si>
  <si>
    <t>Q4KWH8-3</t>
  </si>
  <si>
    <t>Q4LE39-3</t>
  </si>
  <si>
    <t>Q4V328</t>
  </si>
  <si>
    <t>Q4V348</t>
  </si>
  <si>
    <t>Q504Q3-2</t>
  </si>
  <si>
    <t>Q52LJ0-2</t>
  </si>
  <si>
    <t>Q52LW3</t>
  </si>
  <si>
    <t>Q53EL6-2</t>
  </si>
  <si>
    <t>Q53F19</t>
  </si>
  <si>
    <t>Q53FA7</t>
  </si>
  <si>
    <t>Q53FZ2</t>
  </si>
  <si>
    <t>Q53GS9-3</t>
  </si>
  <si>
    <t>Q53H82</t>
  </si>
  <si>
    <t>Q53HC9</t>
  </si>
  <si>
    <t>Q53HV7</t>
  </si>
  <si>
    <t>Q53LP3</t>
  </si>
  <si>
    <t>Q53S33</t>
  </si>
  <si>
    <t>Q53SF7-4</t>
  </si>
  <si>
    <t>Q53T59</t>
  </si>
  <si>
    <t>Q58FF8</t>
  </si>
  <si>
    <t>Q58WW2</t>
  </si>
  <si>
    <t>Q59GN2</t>
  </si>
  <si>
    <t>Q5BKU9</t>
  </si>
  <si>
    <t>Q5BKZ1</t>
  </si>
  <si>
    <t>Q5C9Z4</t>
  </si>
  <si>
    <t>Q5D862</t>
  </si>
  <si>
    <t>Q5EBL4-2</t>
  </si>
  <si>
    <t>Q5EBL8</t>
  </si>
  <si>
    <t>Q5EBM0</t>
  </si>
  <si>
    <t>Q5F1R6</t>
  </si>
  <si>
    <t>Q5GLZ8-3</t>
  </si>
  <si>
    <t>Q5HYK7-3</t>
  </si>
  <si>
    <t>Q5I0X7</t>
  </si>
  <si>
    <t>Q5JRX3</t>
  </si>
  <si>
    <t>Q5JS37</t>
  </si>
  <si>
    <t>Q5JS54</t>
  </si>
  <si>
    <t>Q5JSH3-2</t>
  </si>
  <si>
    <t>Q5JSZ5-5</t>
  </si>
  <si>
    <t>Q5JTC6-2</t>
  </si>
  <si>
    <t>Q5JTD0-2</t>
  </si>
  <si>
    <t>Q5JTJ3-3</t>
  </si>
  <si>
    <t>Q5JTV8</t>
  </si>
  <si>
    <t>Q5JTZ9</t>
  </si>
  <si>
    <t>Q5JVF3-3</t>
  </si>
  <si>
    <t>Q5KU26</t>
  </si>
  <si>
    <t>Q5MIZ7-3</t>
  </si>
  <si>
    <t>Q5MNZ9-2</t>
  </si>
  <si>
    <t>Q5NDL2</t>
  </si>
  <si>
    <t>Q5QJ74</t>
  </si>
  <si>
    <t>Q5R372-4</t>
  </si>
  <si>
    <t>Q5R3I4</t>
  </si>
  <si>
    <t>Q5RHP9</t>
  </si>
  <si>
    <t>Q5RKV6</t>
  </si>
  <si>
    <t>Q5SRE7</t>
  </si>
  <si>
    <t>Q5SSJ5</t>
  </si>
  <si>
    <t>Q5ST30</t>
  </si>
  <si>
    <t>Q5SW79-2</t>
  </si>
  <si>
    <t>Q5SXM8</t>
  </si>
  <si>
    <t>Q5SYE7-2</t>
  </si>
  <si>
    <t>Q5T0N5-3</t>
  </si>
  <si>
    <t>Q5T160</t>
  </si>
  <si>
    <t>Q5T1C6</t>
  </si>
  <si>
    <t>Q5T1M5</t>
  </si>
  <si>
    <t>Q5T200</t>
  </si>
  <si>
    <t>Q5T2E6</t>
  </si>
  <si>
    <t>Q5T2W1</t>
  </si>
  <si>
    <t>Q5T440</t>
  </si>
  <si>
    <t>Q5T447</t>
  </si>
  <si>
    <t>Q5T4F4-6</t>
  </si>
  <si>
    <t>Q5T4S7-3</t>
  </si>
  <si>
    <t>Q5T5P2</t>
  </si>
  <si>
    <t>Q5T5U3</t>
  </si>
  <si>
    <t>Q5T6J7</t>
  </si>
  <si>
    <t>Q5T6V5</t>
  </si>
  <si>
    <t>Q5T749</t>
  </si>
  <si>
    <t>Q5T7V8</t>
  </si>
  <si>
    <t>Q5T8D3-2</t>
  </si>
  <si>
    <t>Q5T8D3</t>
  </si>
  <si>
    <t>Q5T8P6-2</t>
  </si>
  <si>
    <t>Q5TA50</t>
  </si>
  <si>
    <t>Q5TBA9</t>
  </si>
  <si>
    <t>Q5TC12</t>
  </si>
  <si>
    <t>Q5TCQ9-4</t>
  </si>
  <si>
    <t>Q5TDH0</t>
  </si>
  <si>
    <t>Q5TEU4</t>
  </si>
  <si>
    <t>Q5TFE4</t>
  </si>
  <si>
    <t>Q5TFQ8</t>
  </si>
  <si>
    <t>Q5TGL8</t>
  </si>
  <si>
    <t>Q5TZA2</t>
  </si>
  <si>
    <t>Q5U5X0</t>
  </si>
  <si>
    <t>Q5UIP0-2</t>
  </si>
  <si>
    <t>Q5VIR6-4</t>
  </si>
  <si>
    <t>Q5VSL9</t>
  </si>
  <si>
    <t>Q5VSY0-2</t>
  </si>
  <si>
    <t>Q5VT06</t>
  </si>
  <si>
    <t>Q5VT52</t>
  </si>
  <si>
    <t>Q5VTE0</t>
  </si>
  <si>
    <t>Q5VTQ0-5</t>
  </si>
  <si>
    <t>Q5VTR2</t>
  </si>
  <si>
    <t>Q5VTU8</t>
  </si>
  <si>
    <t>Q5VUA4</t>
  </si>
  <si>
    <t>Q5VUE5</t>
  </si>
  <si>
    <t>Q5VUM1</t>
  </si>
  <si>
    <t>Q5VV41</t>
  </si>
  <si>
    <t>Q5VVQ6-2</t>
  </si>
  <si>
    <t>Q5VW32</t>
  </si>
  <si>
    <t>Q5VW36</t>
  </si>
  <si>
    <t>Q5VWJ9</t>
  </si>
  <si>
    <t>Q5VWP3</t>
  </si>
  <si>
    <t>Q5VWQ8-3</t>
  </si>
  <si>
    <t>Q5VWZ2</t>
  </si>
  <si>
    <t>Q5VYK3</t>
  </si>
  <si>
    <t>Q5VYS8-6</t>
  </si>
  <si>
    <t>Q5VYX0-2</t>
  </si>
  <si>
    <t>Q5VZE5</t>
  </si>
  <si>
    <t>Q5VZK9</t>
  </si>
  <si>
    <t>Q5W0V3</t>
  </si>
  <si>
    <t>Q5W111</t>
  </si>
  <si>
    <t>Q5XPI4</t>
  </si>
  <si>
    <t>Q63HM1</t>
  </si>
  <si>
    <t>Q63HN8</t>
  </si>
  <si>
    <t>Q63ZY3-3</t>
  </si>
  <si>
    <t>Q658Y4</t>
  </si>
  <si>
    <t>Q659C4-9</t>
  </si>
  <si>
    <t>Q66K14-2</t>
  </si>
  <si>
    <t>Q66LE6</t>
  </si>
  <si>
    <t>Q66PJ3-5</t>
  </si>
  <si>
    <t>Q66PJ3</t>
  </si>
  <si>
    <t>Q676U5-2</t>
  </si>
  <si>
    <t>Q68CK6</t>
  </si>
  <si>
    <t>Q68CZ2</t>
  </si>
  <si>
    <t>Q68D10-3</t>
  </si>
  <si>
    <t>Q68DH5</t>
  </si>
  <si>
    <t>Q68E01-2</t>
  </si>
  <si>
    <t>Q68EM7-6</t>
  </si>
  <si>
    <t>Q69YN2</t>
  </si>
  <si>
    <t>Q69YN4-3</t>
  </si>
  <si>
    <t>Q69YQ0-2</t>
  </si>
  <si>
    <t>Q6A1A2</t>
  </si>
  <si>
    <t>Q6AWC2-3</t>
  </si>
  <si>
    <t>Q6DD87</t>
  </si>
  <si>
    <t>Q6DD88</t>
  </si>
  <si>
    <t>Q6DHV7-2</t>
  </si>
  <si>
    <t>Q6DKK2</t>
  </si>
  <si>
    <t>Q6DN90-2</t>
  </si>
  <si>
    <t>Q6EMK4</t>
  </si>
  <si>
    <t>Q6FI81-3</t>
  </si>
  <si>
    <t>Q6FIF0-2</t>
  </si>
  <si>
    <t>Q6GMV2</t>
  </si>
  <si>
    <t>Q6GMV3</t>
  </si>
  <si>
    <t>Q6GQQ9-2</t>
  </si>
  <si>
    <t>Q6GYQ0-4</t>
  </si>
  <si>
    <t>Q6IA69</t>
  </si>
  <si>
    <t>Q6IA86-2</t>
  </si>
  <si>
    <t>Q6IB77</t>
  </si>
  <si>
    <t>Q6IBS0</t>
  </si>
  <si>
    <t>Q6IC98</t>
  </si>
  <si>
    <t>Q6ICG6-3</t>
  </si>
  <si>
    <t>Q6IN85-2</t>
  </si>
  <si>
    <t>Q6IPR1</t>
  </si>
  <si>
    <t>Q6IQ22</t>
  </si>
  <si>
    <t>Q6IQ23-2</t>
  </si>
  <si>
    <t>Q6IQ49-3</t>
  </si>
  <si>
    <t>Q6JBY9-2</t>
  </si>
  <si>
    <t>Q6JQN1</t>
  </si>
  <si>
    <t>Q6KB66-2</t>
  </si>
  <si>
    <t>Q6KC79-2</t>
  </si>
  <si>
    <t>Q6N043-2</t>
  </si>
  <si>
    <t>Q6N063</t>
  </si>
  <si>
    <t>Q6NUM9</t>
  </si>
  <si>
    <t>Q6NUN0</t>
  </si>
  <si>
    <t>Q6NUQ1</t>
  </si>
  <si>
    <t>Q6NUQ4-2</t>
  </si>
  <si>
    <t>Q6NVY1</t>
  </si>
  <si>
    <t>Q6NY19-2</t>
  </si>
  <si>
    <t>Q6NYC8</t>
  </si>
  <si>
    <t>Q6NZY4</t>
  </si>
  <si>
    <t>Q6P1J9</t>
  </si>
  <si>
    <t>Q6P1M3-2</t>
  </si>
  <si>
    <t>Q6P1N0-2</t>
  </si>
  <si>
    <t>Q6P1N9</t>
  </si>
  <si>
    <t>Q6P1R4</t>
  </si>
  <si>
    <t>Q6P1X6</t>
  </si>
  <si>
    <t>Q6P2E9</t>
  </si>
  <si>
    <t>Q6P2P2</t>
  </si>
  <si>
    <t>Q6P2Q9</t>
  </si>
  <si>
    <t>Q6P3W7</t>
  </si>
  <si>
    <t>Q6P3X3</t>
  </si>
  <si>
    <t>Q6P4A8</t>
  </si>
  <si>
    <t>Q6P4F2</t>
  </si>
  <si>
    <t>Q6P4R8-3</t>
  </si>
  <si>
    <t>Q6P587</t>
  </si>
  <si>
    <t>Q6P6B1</t>
  </si>
  <si>
    <t>Q6P6C2</t>
  </si>
  <si>
    <t>Q6PD62</t>
  </si>
  <si>
    <t>Q6PD74</t>
  </si>
  <si>
    <t>Q6PGP7</t>
  </si>
  <si>
    <t>Q6PI48</t>
  </si>
  <si>
    <t>Q6PIJ6-2</t>
  </si>
  <si>
    <t>Q6PJG6</t>
  </si>
  <si>
    <t>Q6PJT7-4</t>
  </si>
  <si>
    <t>Q6PK81-2</t>
  </si>
  <si>
    <t>Q6PKG0</t>
  </si>
  <si>
    <t>Q6PL24</t>
  </si>
  <si>
    <t>Q6Q6R5-3</t>
  </si>
  <si>
    <t>Q6QHF9-3</t>
  </si>
  <si>
    <t>Q6QNY0</t>
  </si>
  <si>
    <t>Q6QNY1-2</t>
  </si>
  <si>
    <t>Q6SPF0</t>
  </si>
  <si>
    <t>Q6UB28</t>
  </si>
  <si>
    <t>Q6ULP2-5</t>
  </si>
  <si>
    <t>Q6UN15-4</t>
  </si>
  <si>
    <t>Q6UW63</t>
  </si>
  <si>
    <t>Q6UWE0</t>
  </si>
  <si>
    <t>Q6UWP2</t>
  </si>
  <si>
    <t>Q6UWP8</t>
  </si>
  <si>
    <t>Q6UWW8</t>
  </si>
  <si>
    <t>Q6UX04-2</t>
  </si>
  <si>
    <t>Q6UX53</t>
  </si>
  <si>
    <t>Q6UXH1-4</t>
  </si>
  <si>
    <t>Q6UXN9</t>
  </si>
  <si>
    <t>Q6UXV4</t>
  </si>
  <si>
    <t>Q6VMQ6-2</t>
  </si>
  <si>
    <t>Q6VY07</t>
  </si>
  <si>
    <t>Q6WCQ1</t>
  </si>
  <si>
    <t>Q6WKZ4-3</t>
  </si>
  <si>
    <t>Q6XQN6</t>
  </si>
  <si>
    <t>Q6XZF7</t>
  </si>
  <si>
    <t>Q6Y7W6-4</t>
  </si>
  <si>
    <t>Q6YN16</t>
  </si>
  <si>
    <t>Q6YP21-3</t>
  </si>
  <si>
    <t>Q6ZMI0</t>
  </si>
  <si>
    <t>Q6ZMZ3-3</t>
  </si>
  <si>
    <t>Q6ZNW5</t>
  </si>
  <si>
    <t>Q6ZRS2-3</t>
  </si>
  <si>
    <t>Q6ZS17-2</t>
  </si>
  <si>
    <t>Q6ZS30</t>
  </si>
  <si>
    <t>Q6ZSZ5-2</t>
  </si>
  <si>
    <t>Q6ZT12</t>
  </si>
  <si>
    <t>Q6ZUJ8</t>
  </si>
  <si>
    <t>Q6ZVM7</t>
  </si>
  <si>
    <t>Q709C8-3</t>
  </si>
  <si>
    <t>Q709F0</t>
  </si>
  <si>
    <t>Q70E73-7</t>
  </si>
  <si>
    <t>Q70E73</t>
  </si>
  <si>
    <t>Q70EL4-4</t>
  </si>
  <si>
    <t>Q70IA6</t>
  </si>
  <si>
    <t>Q712K3</t>
  </si>
  <si>
    <t>Q71RC2-6</t>
  </si>
  <si>
    <t>Q71U36-2</t>
  </si>
  <si>
    <t>Q71UI9</t>
  </si>
  <si>
    <t>Q765P7</t>
  </si>
  <si>
    <t>Q76FK4-3</t>
  </si>
  <si>
    <t>Q7KZ85</t>
  </si>
  <si>
    <t>Q7KZF4</t>
  </si>
  <si>
    <t>Q7KZI7-12</t>
  </si>
  <si>
    <t>Q7L014</t>
  </si>
  <si>
    <t>Q7L099-4</t>
  </si>
  <si>
    <t>Q7L0Y3</t>
  </si>
  <si>
    <t>Q7L1Q6</t>
  </si>
  <si>
    <t>Q7L266</t>
  </si>
  <si>
    <t>Q7L2J0</t>
  </si>
  <si>
    <t>Q7L3T8</t>
  </si>
  <si>
    <t>Q7L4I2</t>
  </si>
  <si>
    <t>Q7L576</t>
  </si>
  <si>
    <t>Q7L592</t>
  </si>
  <si>
    <t>Q7L5D6</t>
  </si>
  <si>
    <t>Q7L5Y1</t>
  </si>
  <si>
    <t>Q7L775</t>
  </si>
  <si>
    <t>Q7L7X3-3</t>
  </si>
  <si>
    <t>Q7L8L6</t>
  </si>
  <si>
    <t>Q7L9B9</t>
  </si>
  <si>
    <t>Q7LBC6</t>
  </si>
  <si>
    <t>Q7LBR1</t>
  </si>
  <si>
    <t>Q7LG56</t>
  </si>
  <si>
    <t>Q7RTP6</t>
  </si>
  <si>
    <t>Q7RTV0</t>
  </si>
  <si>
    <t>Q7Z2W4</t>
  </si>
  <si>
    <t>Q7Z2Z2</t>
  </si>
  <si>
    <t>Q7Z392-3</t>
  </si>
  <si>
    <t>Q7Z3E2</t>
  </si>
  <si>
    <t>Q7Z3J2</t>
  </si>
  <si>
    <t>Q7Z3T8</t>
  </si>
  <si>
    <t>Q7Z406</t>
  </si>
  <si>
    <t>Q7Z417</t>
  </si>
  <si>
    <t>Q7Z422-2</t>
  </si>
  <si>
    <t>Q7Z434</t>
  </si>
  <si>
    <t>Q7Z460-2</t>
  </si>
  <si>
    <t>Q7Z478</t>
  </si>
  <si>
    <t>Q7Z4G1</t>
  </si>
  <si>
    <t>Q7Z4G4-2</t>
  </si>
  <si>
    <t>Q7Z4H3-2</t>
  </si>
  <si>
    <t>Q7Z4H8</t>
  </si>
  <si>
    <t>Q7Z4I7-3</t>
  </si>
  <si>
    <t>Q7Z4Q2</t>
  </si>
  <si>
    <t>Q7Z4S6-3</t>
  </si>
  <si>
    <t>Q7Z4V5</t>
  </si>
  <si>
    <t>Q7Z4W1</t>
  </si>
  <si>
    <t>Q7Z5K2</t>
  </si>
  <si>
    <t>Q7Z5L9-2</t>
  </si>
  <si>
    <t>Q7Z5P4</t>
  </si>
  <si>
    <t>Q7Z5Q1-7</t>
  </si>
  <si>
    <t>Q7Z5R6</t>
  </si>
  <si>
    <t>Q7Z6B0-2</t>
  </si>
  <si>
    <t>Q7Z6E9-4</t>
  </si>
  <si>
    <t>Q7Z6K3</t>
  </si>
  <si>
    <t>Q7Z6M1</t>
  </si>
  <si>
    <t>Q7Z6M4</t>
  </si>
  <si>
    <t>Q7Z6Z7-2</t>
  </si>
  <si>
    <t>Q7Z794</t>
  </si>
  <si>
    <t>Q7Z7E8-2</t>
  </si>
  <si>
    <t>Q7Z7K0</t>
  </si>
  <si>
    <t>Q7Z7K6-3</t>
  </si>
  <si>
    <t>Q7Z7L7</t>
  </si>
  <si>
    <t>Q86SQ0-3</t>
  </si>
  <si>
    <t>Q86SQ0</t>
  </si>
  <si>
    <t>Q86SX6</t>
  </si>
  <si>
    <t>Q86SZ2</t>
  </si>
  <si>
    <t>Q86TB9-4</t>
  </si>
  <si>
    <t>Q86TI2</t>
  </si>
  <si>
    <t>Q86TP1</t>
  </si>
  <si>
    <t>Q86TU7</t>
  </si>
  <si>
    <t>Q86TX2</t>
  </si>
  <si>
    <t>Q86U17</t>
  </si>
  <si>
    <t>Q86U28</t>
  </si>
  <si>
    <t>Q86U42-2</t>
  </si>
  <si>
    <t>Q86U44</t>
  </si>
  <si>
    <t>Q86U70-3</t>
  </si>
  <si>
    <t>Q86U90</t>
  </si>
  <si>
    <t>Q86UA1</t>
  </si>
  <si>
    <t>Q86UE4</t>
  </si>
  <si>
    <t>Q86UK7-2</t>
  </si>
  <si>
    <t>Q86UP2</t>
  </si>
  <si>
    <t>Q86US8</t>
  </si>
  <si>
    <t>Q86UU0-4</t>
  </si>
  <si>
    <t>Q86UV5-2</t>
  </si>
  <si>
    <t>Q86UX6-2</t>
  </si>
  <si>
    <t>Q86UX7-2</t>
  </si>
  <si>
    <t>Q86UY8-2</t>
  </si>
  <si>
    <t>Q86V48-2</t>
  </si>
  <si>
    <t>Q86V81</t>
  </si>
  <si>
    <t>Q86VM9</t>
  </si>
  <si>
    <t>Q86VN1-2</t>
  </si>
  <si>
    <t>Q86VP6</t>
  </si>
  <si>
    <t>Q86VQ6</t>
  </si>
  <si>
    <t>Q86VR2</t>
  </si>
  <si>
    <t>Q86VS8</t>
  </si>
  <si>
    <t>Q86VX2-2</t>
  </si>
  <si>
    <t>Q86W50</t>
  </si>
  <si>
    <t>Q86W92-4</t>
  </si>
  <si>
    <t>Q86WA6</t>
  </si>
  <si>
    <t>Q86WA8</t>
  </si>
  <si>
    <t>Q86WB0-3</t>
  </si>
  <si>
    <t>Q86WP2-4</t>
  </si>
  <si>
    <t>Q86WQ0</t>
  </si>
  <si>
    <t>Q86WR0</t>
  </si>
  <si>
    <t>Q86WR7</t>
  </si>
  <si>
    <t>Q86WU2-2</t>
  </si>
  <si>
    <t>Q86X10-3</t>
  </si>
  <si>
    <t>Q86X27</t>
  </si>
  <si>
    <t>Q86X55-1</t>
  </si>
  <si>
    <t>Q86X76-2</t>
  </si>
  <si>
    <t>Q86X83</t>
  </si>
  <si>
    <t>Q86XE5</t>
  </si>
  <si>
    <t>Q86XP3</t>
  </si>
  <si>
    <t>Q86Y07-4</t>
  </si>
  <si>
    <t>Q86Y82</t>
  </si>
  <si>
    <t>Q86YB7</t>
  </si>
  <si>
    <t>Q86YB8</t>
  </si>
  <si>
    <t>Q86YH6</t>
  </si>
  <si>
    <t>Q86YJ6-4</t>
  </si>
  <si>
    <t>Q86YL5</t>
  </si>
  <si>
    <t>Q86YP4-2</t>
  </si>
  <si>
    <t>Q86YS6</t>
  </si>
  <si>
    <t>Q86YS7</t>
  </si>
  <si>
    <t>Q8IU81</t>
  </si>
  <si>
    <t>Q8IUC4</t>
  </si>
  <si>
    <t>Q8IUD2</t>
  </si>
  <si>
    <t>Q8IUF8-2</t>
  </si>
  <si>
    <t>Q8IUR0</t>
  </si>
  <si>
    <t>Q8IUZ5</t>
  </si>
  <si>
    <t>Q8IV03</t>
  </si>
  <si>
    <t>Q8IV08</t>
  </si>
  <si>
    <t>Q8IV20</t>
  </si>
  <si>
    <t>Q8IV38</t>
  </si>
  <si>
    <t>Q8IVD9</t>
  </si>
  <si>
    <t>Q8IVH4</t>
  </si>
  <si>
    <t>Q8IVM0-2</t>
  </si>
  <si>
    <t>Q8IVM0</t>
  </si>
  <si>
    <t>Q8IVS2</t>
  </si>
  <si>
    <t>Q8IVS8</t>
  </si>
  <si>
    <t>Q8IW45</t>
  </si>
  <si>
    <t>Q8IWB7</t>
  </si>
  <si>
    <t>Q8IWB9</t>
  </si>
  <si>
    <t>Q8IWE2</t>
  </si>
  <si>
    <t>Q8IWJ2</t>
  </si>
  <si>
    <t>Q8IWL3</t>
  </si>
  <si>
    <t>Q8IWR0</t>
  </si>
  <si>
    <t>Q8IWU2</t>
  </si>
  <si>
    <t>Q8IWV7</t>
  </si>
  <si>
    <t>Q8IWV8-4</t>
  </si>
  <si>
    <t>Q8IWW6-2</t>
  </si>
  <si>
    <t>Q8IWW8</t>
  </si>
  <si>
    <t>Q8IWX8</t>
  </si>
  <si>
    <t>Q8IWZ3</t>
  </si>
  <si>
    <t>Q8IWZ8</t>
  </si>
  <si>
    <t>Q8IX04-6</t>
  </si>
  <si>
    <t>Q8IX12-2</t>
  </si>
  <si>
    <t>Q8IXH7-4</t>
  </si>
  <si>
    <t>Q8IXJ6-2</t>
  </si>
  <si>
    <t>Q8IXK0-2</t>
  </si>
  <si>
    <t>Q8IXQ4</t>
  </si>
  <si>
    <t>Q8IXQ6-2</t>
  </si>
  <si>
    <t>Q8IXW5-2</t>
  </si>
  <si>
    <t>Q8IY33-4</t>
  </si>
  <si>
    <t>Q8IY81</t>
  </si>
  <si>
    <t>Q8IYB5-3</t>
  </si>
  <si>
    <t>Q8IYB7</t>
  </si>
  <si>
    <t>Q8IYB8</t>
  </si>
  <si>
    <t>Q8IYD1</t>
  </si>
  <si>
    <t>Q8IYI6</t>
  </si>
  <si>
    <t>Q8IYL3</t>
  </si>
  <si>
    <t>Q8IYQ7</t>
  </si>
  <si>
    <t>Q8IYS1</t>
  </si>
  <si>
    <t>Q8IYT2</t>
  </si>
  <si>
    <t>Q8IZ07</t>
  </si>
  <si>
    <t>Q8IZ21-3</t>
  </si>
  <si>
    <t>Q8IZ69</t>
  </si>
  <si>
    <t>Q8IZ83</t>
  </si>
  <si>
    <t>Q8IZD4</t>
  </si>
  <si>
    <t>Q8IZH2-2</t>
  </si>
  <si>
    <t>Q8IZP0-10</t>
  </si>
  <si>
    <t>Q8IZV5</t>
  </si>
  <si>
    <t>Q8N0T1</t>
  </si>
  <si>
    <t>Q8N0U4</t>
  </si>
  <si>
    <t>Q8N0W3</t>
  </si>
  <si>
    <t>Q8N0X4</t>
  </si>
  <si>
    <t>Q8N0X7</t>
  </si>
  <si>
    <t>Q8N108-17</t>
  </si>
  <si>
    <t>Q8N129</t>
  </si>
  <si>
    <t>Q8N142</t>
  </si>
  <si>
    <t>Q8N163</t>
  </si>
  <si>
    <t>Q8N1B4</t>
  </si>
  <si>
    <t>Q8N1F7</t>
  </si>
  <si>
    <t>Q8N1G2</t>
  </si>
  <si>
    <t>Q8N1G4</t>
  </si>
  <si>
    <t>Q8N1I0</t>
  </si>
  <si>
    <t>Q8N201</t>
  </si>
  <si>
    <t>Q8N283</t>
  </si>
  <si>
    <t>Q8N2H3</t>
  </si>
  <si>
    <t>Q8N302</t>
  </si>
  <si>
    <t>Q8N335</t>
  </si>
  <si>
    <t>Q8N371</t>
  </si>
  <si>
    <t>Q8N392-2</t>
  </si>
  <si>
    <t>Q8N3D4</t>
  </si>
  <si>
    <t>Q8N3F8</t>
  </si>
  <si>
    <t>Q8N3P4-3</t>
  </si>
  <si>
    <t>Q8N3V7-2</t>
  </si>
  <si>
    <t>Q8N3X1</t>
  </si>
  <si>
    <t>Q8N442</t>
  </si>
  <si>
    <t>Q8N465</t>
  </si>
  <si>
    <t>Q8N488</t>
  </si>
  <si>
    <t>Q8N490-4</t>
  </si>
  <si>
    <t>Q8N4C8-4</t>
  </si>
  <si>
    <t>Q8N4J0</t>
  </si>
  <si>
    <t>Q8N4P3</t>
  </si>
  <si>
    <t>Q8N4Q0</t>
  </si>
  <si>
    <t>Q8N4Q1</t>
  </si>
  <si>
    <t>Q8N4T8</t>
  </si>
  <si>
    <t>Q8N573-8</t>
  </si>
  <si>
    <t>Q8N584</t>
  </si>
  <si>
    <t>Q8N5A5-3</t>
  </si>
  <si>
    <t>Q8N5G2</t>
  </si>
  <si>
    <t>Q8N5I9</t>
  </si>
  <si>
    <t>Q8N5J2</t>
  </si>
  <si>
    <t>Q8N5K1</t>
  </si>
  <si>
    <t>Q8N5L8</t>
  </si>
  <si>
    <t>Q8N5M1</t>
  </si>
  <si>
    <t>Q8N5N7</t>
  </si>
  <si>
    <t>Q8N5P1</t>
  </si>
  <si>
    <t>Q8N5V2</t>
  </si>
  <si>
    <t>Q8N5Z0</t>
  </si>
  <si>
    <t>Q8N612</t>
  </si>
  <si>
    <t>Q8N684-2</t>
  </si>
  <si>
    <t>Q8N6H7</t>
  </si>
  <si>
    <t>Q8N6N3-2</t>
  </si>
  <si>
    <t>Q8N6R0-3</t>
  </si>
  <si>
    <t>Q8N8N7</t>
  </si>
  <si>
    <t>Q8N8R5</t>
  </si>
  <si>
    <t>Q8N8S7</t>
  </si>
  <si>
    <t>Q8N8V2</t>
  </si>
  <si>
    <t>Q8N9L9</t>
  </si>
  <si>
    <t>Q8N9N7</t>
  </si>
  <si>
    <t>Q8N9R8</t>
  </si>
  <si>
    <t>Q8N9V3-2</t>
  </si>
  <si>
    <t>Q8NAF0</t>
  </si>
  <si>
    <t>Q8NB15-2</t>
  </si>
  <si>
    <t>Q8NB37</t>
  </si>
  <si>
    <t>Q8NBF2</t>
  </si>
  <si>
    <t>Q8NBJ4-2</t>
  </si>
  <si>
    <t>Q8NBJ5</t>
  </si>
  <si>
    <t>Q8NBJ7</t>
  </si>
  <si>
    <t>Q8NBK3-4</t>
  </si>
  <si>
    <t>Q8NBL1</t>
  </si>
  <si>
    <t>Q8NBN7-2</t>
  </si>
  <si>
    <t>Q8NBX0</t>
  </si>
  <si>
    <t>Q8NC06</t>
  </si>
  <si>
    <t>Q8NC51-4</t>
  </si>
  <si>
    <t>Q8NC96</t>
  </si>
  <si>
    <t>Q8NCA5-2</t>
  </si>
  <si>
    <t>Q8NCC3</t>
  </si>
  <si>
    <t>Q8NCE2-3</t>
  </si>
  <si>
    <t>Q8NCF5</t>
  </si>
  <si>
    <t>Q8NCN4</t>
  </si>
  <si>
    <t>Q8NCN5</t>
  </si>
  <si>
    <t>Q8NCW5</t>
  </si>
  <si>
    <t>Q8ND23-2</t>
  </si>
  <si>
    <t>Q8ND24</t>
  </si>
  <si>
    <t>Q8ND30</t>
  </si>
  <si>
    <t>Q8ND76-3</t>
  </si>
  <si>
    <t>Q8NDH3</t>
  </si>
  <si>
    <t>Q8NDI1-3</t>
  </si>
  <si>
    <t>Q8NE62</t>
  </si>
  <si>
    <t>Q8NE71</t>
  </si>
  <si>
    <t>Q8NEB9</t>
  </si>
  <si>
    <t>Q8NEN9</t>
  </si>
  <si>
    <t>Q8NEU8</t>
  </si>
  <si>
    <t>Q8NEY8-6</t>
  </si>
  <si>
    <t>Q8NEZ2-2</t>
  </si>
  <si>
    <t>Q8NEZ5</t>
  </si>
  <si>
    <t>Q8NFC6</t>
  </si>
  <si>
    <t>Q8NFF5-2</t>
  </si>
  <si>
    <t>Q8NFH3</t>
  </si>
  <si>
    <t>Q8NFH4</t>
  </si>
  <si>
    <t>Q8NFH8-4</t>
  </si>
  <si>
    <t>Q8NFI3</t>
  </si>
  <si>
    <t>Q8NFQ8</t>
  </si>
  <si>
    <t>Q8NFU3-4</t>
  </si>
  <si>
    <t>Q8NFU3</t>
  </si>
  <si>
    <t>Q8NFV4</t>
  </si>
  <si>
    <t>Q8NFW8</t>
  </si>
  <si>
    <t>Q8NHG8</t>
  </si>
  <si>
    <t>Q8NHM4</t>
  </si>
  <si>
    <t>Q8NHP8</t>
  </si>
  <si>
    <t>Q8NHU6</t>
  </si>
  <si>
    <t>Q8NHZ8</t>
  </si>
  <si>
    <t>Q8NI08-2</t>
  </si>
  <si>
    <t>Q8NI22-2</t>
  </si>
  <si>
    <t>Q8NI35</t>
  </si>
  <si>
    <t>Q8NI37</t>
  </si>
  <si>
    <t>Q8TAF3</t>
  </si>
  <si>
    <t>Q8TAQ2-2</t>
  </si>
  <si>
    <t>Q8TAT6</t>
  </si>
  <si>
    <t>Q8TB03</t>
  </si>
  <si>
    <t>Q8TB22</t>
  </si>
  <si>
    <t>Q8TB24</t>
  </si>
  <si>
    <t>Q8TB37</t>
  </si>
  <si>
    <t>Q8TB45</t>
  </si>
  <si>
    <t>Q8TB72-2</t>
  </si>
  <si>
    <t>Q8TBA6-2</t>
  </si>
  <si>
    <t>Q8TBC4</t>
  </si>
  <si>
    <t>Q8TBC5</t>
  </si>
  <si>
    <t>Q8TBE9</t>
  </si>
  <si>
    <t>Q8TBF2-4</t>
  </si>
  <si>
    <t>Q8TBG4-3</t>
  </si>
  <si>
    <t>Q8TBX8</t>
  </si>
  <si>
    <t>Q8TC07-2</t>
  </si>
  <si>
    <t>Q8TC12</t>
  </si>
  <si>
    <t>Q8TCA0</t>
  </si>
  <si>
    <t>Q8TCD1</t>
  </si>
  <si>
    <t>Q8TCD5</t>
  </si>
  <si>
    <t>Q8TCE6-2</t>
  </si>
  <si>
    <t>Q8TCS8</t>
  </si>
  <si>
    <t>Q8TD16</t>
  </si>
  <si>
    <t>Q8TD19</t>
  </si>
  <si>
    <t>Q8TD30</t>
  </si>
  <si>
    <t>Q8TDB6</t>
  </si>
  <si>
    <t>Q8TDD1-2</t>
  </si>
  <si>
    <t>Q8TDH9-2</t>
  </si>
  <si>
    <t>Q8TDX5-2</t>
  </si>
  <si>
    <t>Q8TDX5</t>
  </si>
  <si>
    <t>Q8TDX7</t>
  </si>
  <si>
    <t>Q8TE04-2</t>
  </si>
  <si>
    <t>Q8TE77</t>
  </si>
  <si>
    <t>Q8TEA1</t>
  </si>
  <si>
    <t>Q8TEA7-3</t>
  </si>
  <si>
    <t>Q8TEA8</t>
  </si>
  <si>
    <t>Q8TEB1-2</t>
  </si>
  <si>
    <t>Q8TEH3</t>
  </si>
  <si>
    <t>Q8TEQ6</t>
  </si>
  <si>
    <t>Q8TER0-5</t>
  </si>
  <si>
    <t>Q8TER5</t>
  </si>
  <si>
    <t>Q8TET4</t>
  </si>
  <si>
    <t>Q8TEW0-5</t>
  </si>
  <si>
    <t>Q8TEW8-5</t>
  </si>
  <si>
    <t>Q8TEX9</t>
  </si>
  <si>
    <t>Q8TF01</t>
  </si>
  <si>
    <t>Q8TF05-2</t>
  </si>
  <si>
    <t>Q8TF65</t>
  </si>
  <si>
    <t>Q8TF72</t>
  </si>
  <si>
    <t>Q8TF74</t>
  </si>
  <si>
    <t>Q8WTS6</t>
  </si>
  <si>
    <t>Q8WTV0-3</t>
  </si>
  <si>
    <t>Q8WU39</t>
  </si>
  <si>
    <t>Q8WU79-2</t>
  </si>
  <si>
    <t>Q8WU90</t>
  </si>
  <si>
    <t>Q8WUA2</t>
  </si>
  <si>
    <t>Q8WUD1</t>
  </si>
  <si>
    <t>Q8WUF5</t>
  </si>
  <si>
    <t>Q8WUH6</t>
  </si>
  <si>
    <t>Q8WUJ0</t>
  </si>
  <si>
    <t>Q8WUM4</t>
  </si>
  <si>
    <t>Q8WUN7</t>
  </si>
  <si>
    <t>Q8WUR7</t>
  </si>
  <si>
    <t>Q8WUW1</t>
  </si>
  <si>
    <t>Q8WUX9</t>
  </si>
  <si>
    <t>Q8WV28</t>
  </si>
  <si>
    <t>Q8WV41</t>
  </si>
  <si>
    <t>Q8WV74</t>
  </si>
  <si>
    <t>Q8WVC0</t>
  </si>
  <si>
    <t>Q8WVJ2</t>
  </si>
  <si>
    <t>Q8WVM8</t>
  </si>
  <si>
    <t>Q8WVT3</t>
  </si>
  <si>
    <t>Q8WVY7</t>
  </si>
  <si>
    <t>Q8WVZ9</t>
  </si>
  <si>
    <t>Q8WW12</t>
  </si>
  <si>
    <t>Q8WW59</t>
  </si>
  <si>
    <t>Q8WWH5</t>
  </si>
  <si>
    <t>Q8WWM7</t>
  </si>
  <si>
    <t>Q8WWQ0</t>
  </si>
  <si>
    <t>Q8WWV3</t>
  </si>
  <si>
    <t>Q8WWX9</t>
  </si>
  <si>
    <t>Q8WWY3</t>
  </si>
  <si>
    <t>Q8WX92</t>
  </si>
  <si>
    <t>Q8WX93-4</t>
  </si>
  <si>
    <t>Q8WXA9-2</t>
  </si>
  <si>
    <t>Q8WXD5</t>
  </si>
  <si>
    <t>Q8WXE0</t>
  </si>
  <si>
    <t>Q8WXE1-2</t>
  </si>
  <si>
    <t>Q8WXF1</t>
  </si>
  <si>
    <t>Q8WXH0</t>
  </si>
  <si>
    <t>Q8WXI9</t>
  </si>
  <si>
    <t>Q8WXX5</t>
  </si>
  <si>
    <t>Q8WY91-2</t>
  </si>
  <si>
    <t>Q8WYK0</t>
  </si>
  <si>
    <t>Q8WYP5</t>
  </si>
  <si>
    <t>Q8WYQ3</t>
  </si>
  <si>
    <t>Q8WZ42-3</t>
  </si>
  <si>
    <t>Q8WZ73-3</t>
  </si>
  <si>
    <t>Q8WZ82</t>
  </si>
  <si>
    <t>Q8WZA0</t>
  </si>
  <si>
    <t>Q8WZA9</t>
  </si>
  <si>
    <t>Q92466</t>
  </si>
  <si>
    <t>Q92499</t>
  </si>
  <si>
    <t>Q92506</t>
  </si>
  <si>
    <t>Q92520</t>
  </si>
  <si>
    <t>Q92522</t>
  </si>
  <si>
    <t>Q92538</t>
  </si>
  <si>
    <t>Q92539</t>
  </si>
  <si>
    <t>Q92541</t>
  </si>
  <si>
    <t>Q92546</t>
  </si>
  <si>
    <t>Q92551</t>
  </si>
  <si>
    <t>Q92552</t>
  </si>
  <si>
    <t>Q92556</t>
  </si>
  <si>
    <t>Q92572</t>
  </si>
  <si>
    <t>Q92574-2</t>
  </si>
  <si>
    <t>Q92575</t>
  </si>
  <si>
    <t>Q92576-2</t>
  </si>
  <si>
    <t>Q92597</t>
  </si>
  <si>
    <t>Q92598-2</t>
  </si>
  <si>
    <t>Q92599-2</t>
  </si>
  <si>
    <t>Q92600</t>
  </si>
  <si>
    <t>Q92609</t>
  </si>
  <si>
    <t>Q92614-4</t>
  </si>
  <si>
    <t>Q92615</t>
  </si>
  <si>
    <t>Q92616</t>
  </si>
  <si>
    <t>Q92620</t>
  </si>
  <si>
    <t>Q92621</t>
  </si>
  <si>
    <t>Q92665</t>
  </si>
  <si>
    <t>Q92667</t>
  </si>
  <si>
    <t>Q92688-2</t>
  </si>
  <si>
    <t>Q92692</t>
  </si>
  <si>
    <t>Q92696</t>
  </si>
  <si>
    <t>Q92734-2</t>
  </si>
  <si>
    <t>Q92738</t>
  </si>
  <si>
    <t>Q92747</t>
  </si>
  <si>
    <t>Q92748</t>
  </si>
  <si>
    <t>Q92766</t>
  </si>
  <si>
    <t>Q92783-2</t>
  </si>
  <si>
    <t>Q92785</t>
  </si>
  <si>
    <t>Q92786</t>
  </si>
  <si>
    <t>Q92793-2</t>
  </si>
  <si>
    <t>Q92797</t>
  </si>
  <si>
    <t>Q92804-2</t>
  </si>
  <si>
    <t>Q92805</t>
  </si>
  <si>
    <t>Q92817</t>
  </si>
  <si>
    <t>Q92820</t>
  </si>
  <si>
    <t>Q92841</t>
  </si>
  <si>
    <t>Q92851</t>
  </si>
  <si>
    <t>Q92878</t>
  </si>
  <si>
    <t>Q92879-5</t>
  </si>
  <si>
    <t>Q92882</t>
  </si>
  <si>
    <t>Q92888-2</t>
  </si>
  <si>
    <t>Q92889</t>
  </si>
  <si>
    <t>Q92890</t>
  </si>
  <si>
    <t>Q92896</t>
  </si>
  <si>
    <t>Q92900-2</t>
  </si>
  <si>
    <t>Q92905</t>
  </si>
  <si>
    <t>Q92917</t>
  </si>
  <si>
    <t>Q92922</t>
  </si>
  <si>
    <t>Q92934</t>
  </si>
  <si>
    <t>Q92945</t>
  </si>
  <si>
    <t>Q92947</t>
  </si>
  <si>
    <t>Q92954-3</t>
  </si>
  <si>
    <t>Q92973-2</t>
  </si>
  <si>
    <t>Q92989-2</t>
  </si>
  <si>
    <t>Q92990</t>
  </si>
  <si>
    <t>Q92995</t>
  </si>
  <si>
    <t>Q93008</t>
  </si>
  <si>
    <t>Q93015</t>
  </si>
  <si>
    <t>Q93034</t>
  </si>
  <si>
    <t>Q93052</t>
  </si>
  <si>
    <t>Q93062-4</t>
  </si>
  <si>
    <t>Q93073-2</t>
  </si>
  <si>
    <t>Q93077</t>
  </si>
  <si>
    <t>Q93088</t>
  </si>
  <si>
    <t>Q93096</t>
  </si>
  <si>
    <t>Q93099</t>
  </si>
  <si>
    <t>Q93100-4</t>
  </si>
  <si>
    <t>Q969G6</t>
  </si>
  <si>
    <t>Q969H8</t>
  </si>
  <si>
    <t>Q969I3</t>
  </si>
  <si>
    <t>Q969K3</t>
  </si>
  <si>
    <t>Q969M3</t>
  </si>
  <si>
    <t>Q969Q0</t>
  </si>
  <si>
    <t>Q969S9-2</t>
  </si>
  <si>
    <t>Q969T7-2</t>
  </si>
  <si>
    <t>Q969Y2-3</t>
  </si>
  <si>
    <t>Q969Z0</t>
  </si>
  <si>
    <t>Q969Z3</t>
  </si>
  <si>
    <t>Q96A33</t>
  </si>
  <si>
    <t>Q96A49</t>
  </si>
  <si>
    <t>Q96A65</t>
  </si>
  <si>
    <t>Q96AB3</t>
  </si>
  <si>
    <t>Q96AC1</t>
  </si>
  <si>
    <t>Q96AE4-2</t>
  </si>
  <si>
    <t>Q96AE4</t>
  </si>
  <si>
    <t>Q96AG4</t>
  </si>
  <si>
    <t>Q96AJ9-1</t>
  </si>
  <si>
    <t>Q96AT1</t>
  </si>
  <si>
    <t>Q96AT9</t>
  </si>
  <si>
    <t>Q96B26</t>
  </si>
  <si>
    <t>Q96B36</t>
  </si>
  <si>
    <t>Q96B45</t>
  </si>
  <si>
    <t>Q96B54</t>
  </si>
  <si>
    <t>Q96B70</t>
  </si>
  <si>
    <t>Q96B97</t>
  </si>
  <si>
    <t>Q96BH1</t>
  </si>
  <si>
    <t>Q96BJ3</t>
  </si>
  <si>
    <t>Q96BN8</t>
  </si>
  <si>
    <t>Q96BP3</t>
  </si>
  <si>
    <t>Q96BR5</t>
  </si>
  <si>
    <t>Q96BW5-2</t>
  </si>
  <si>
    <t>Q96BY7</t>
  </si>
  <si>
    <t>Q96BZ8</t>
  </si>
  <si>
    <t>Q96C01</t>
  </si>
  <si>
    <t>Q96C11</t>
  </si>
  <si>
    <t>Q96C19</t>
  </si>
  <si>
    <t>Q96C23</t>
  </si>
  <si>
    <t>Q96C24</t>
  </si>
  <si>
    <t>Q96C86</t>
  </si>
  <si>
    <t>Q96C90</t>
  </si>
  <si>
    <t>Q96CB8</t>
  </si>
  <si>
    <t>Q96CD0</t>
  </si>
  <si>
    <t>Q96CF2</t>
  </si>
  <si>
    <t>Q96CG3</t>
  </si>
  <si>
    <t>Q96CN7</t>
  </si>
  <si>
    <t>Q96CP2</t>
  </si>
  <si>
    <t>Q96CS3</t>
  </si>
  <si>
    <t>Q96CT7</t>
  </si>
  <si>
    <t>Q96CU9-3</t>
  </si>
  <si>
    <t>Q96CV9</t>
  </si>
  <si>
    <t>Q96CW1-2</t>
  </si>
  <si>
    <t>Q96CW5-2</t>
  </si>
  <si>
    <t>Q96CW6</t>
  </si>
  <si>
    <t>Q96CX2</t>
  </si>
  <si>
    <t>Q96D46</t>
  </si>
  <si>
    <t>Q96D71-2</t>
  </si>
  <si>
    <t>Q96DC7</t>
  </si>
  <si>
    <t>Q96DC8</t>
  </si>
  <si>
    <t>Q96DE0</t>
  </si>
  <si>
    <t>Q96DG6</t>
  </si>
  <si>
    <t>Q96DI7</t>
  </si>
  <si>
    <t>Q96DP5</t>
  </si>
  <si>
    <t>Q96DR7</t>
  </si>
  <si>
    <t>Q96DT5</t>
  </si>
  <si>
    <t>Q96DV4</t>
  </si>
  <si>
    <t>Q96DX5</t>
  </si>
  <si>
    <t>Q96E09</t>
  </si>
  <si>
    <t>Q96E11-3</t>
  </si>
  <si>
    <t>Q96E39</t>
  </si>
  <si>
    <t>Q96EB1</t>
  </si>
  <si>
    <t>Q96EB6</t>
  </si>
  <si>
    <t>Q96ED9-2</t>
  </si>
  <si>
    <t>Q96EE3</t>
  </si>
  <si>
    <t>Q96EI5</t>
  </si>
  <si>
    <t>Q96EK5</t>
  </si>
  <si>
    <t>Q96EK6</t>
  </si>
  <si>
    <t>Q96EM0</t>
  </si>
  <si>
    <t>Q96EN8</t>
  </si>
  <si>
    <t>Q96EP0</t>
  </si>
  <si>
    <t>Q96EP5-2</t>
  </si>
  <si>
    <t>Q96EV2</t>
  </si>
  <si>
    <t>Q96EV8</t>
  </si>
  <si>
    <t>Q96EY1-2</t>
  </si>
  <si>
    <t>Q96EY7</t>
  </si>
  <si>
    <t>Q96EY8</t>
  </si>
  <si>
    <t>Q96EY9</t>
  </si>
  <si>
    <t>Q96F10</t>
  </si>
  <si>
    <t>Q96F24-2</t>
  </si>
  <si>
    <t>Q96F63</t>
  </si>
  <si>
    <t>Q96FH0</t>
  </si>
  <si>
    <t>Q96FJ2</t>
  </si>
  <si>
    <t>Q96FV2</t>
  </si>
  <si>
    <t>Q96FX7</t>
  </si>
  <si>
    <t>Q96G01-3</t>
  </si>
  <si>
    <t>Q96G03</t>
  </si>
  <si>
    <t>Q96G46</t>
  </si>
  <si>
    <t>Q96GA7</t>
  </si>
  <si>
    <t>Q96GD0</t>
  </si>
  <si>
    <t>Q96GE6-2</t>
  </si>
  <si>
    <t>Q96GF1</t>
  </si>
  <si>
    <t>Q96GG9</t>
  </si>
  <si>
    <t>Q96GK7</t>
  </si>
  <si>
    <t>Q96GS4</t>
  </si>
  <si>
    <t>Q96GW9</t>
  </si>
  <si>
    <t>Q96GX2</t>
  </si>
  <si>
    <t>Q96GX9</t>
  </si>
  <si>
    <t>Q96H20</t>
  </si>
  <si>
    <t>Q96HC4</t>
  </si>
  <si>
    <t>Q96HD9</t>
  </si>
  <si>
    <t>Q96HE7</t>
  </si>
  <si>
    <t>Q96HJ9-2</t>
  </si>
  <si>
    <t>Q96HJ9</t>
  </si>
  <si>
    <t>Q96HN2-4</t>
  </si>
  <si>
    <t>Q96HP4</t>
  </si>
  <si>
    <t>Q96HQ2-2</t>
  </si>
  <si>
    <t>Q96HR9</t>
  </si>
  <si>
    <t>Q96HS1</t>
  </si>
  <si>
    <t>Q96HY6</t>
  </si>
  <si>
    <t>Q96HY7</t>
  </si>
  <si>
    <t>Q96I15</t>
  </si>
  <si>
    <t>Q96I23</t>
  </si>
  <si>
    <t>Q96I24</t>
  </si>
  <si>
    <t>Q96I25</t>
  </si>
  <si>
    <t>Q96I34</t>
  </si>
  <si>
    <t>Q96I51</t>
  </si>
  <si>
    <t>Q96I59</t>
  </si>
  <si>
    <t>Q96I99</t>
  </si>
  <si>
    <t>Q96IF1</t>
  </si>
  <si>
    <t>Q96IJ6</t>
  </si>
  <si>
    <t>Q96IU4</t>
  </si>
  <si>
    <t>Q96IV0-2</t>
  </si>
  <si>
    <t>Q96IY1</t>
  </si>
  <si>
    <t>Q96IY4</t>
  </si>
  <si>
    <t>Q96IZ0</t>
  </si>
  <si>
    <t>Q96J02-2</t>
  </si>
  <si>
    <t>Q96JB2</t>
  </si>
  <si>
    <t>Q96JB5</t>
  </si>
  <si>
    <t>Q96JE7</t>
  </si>
  <si>
    <t>Q96JG6-3</t>
  </si>
  <si>
    <t>Q96JH7</t>
  </si>
  <si>
    <t>Q96JM3</t>
  </si>
  <si>
    <t>Q96JP2</t>
  </si>
  <si>
    <t>Q96JP5-2</t>
  </si>
  <si>
    <t>Q96JQ2</t>
  </si>
  <si>
    <t>Q96JY6</t>
  </si>
  <si>
    <t>Q96K17-2</t>
  </si>
  <si>
    <t>Q96KC8</t>
  </si>
  <si>
    <t>Q96KG9-3</t>
  </si>
  <si>
    <t>Q96KM6</t>
  </si>
  <si>
    <t>Q96KP1</t>
  </si>
  <si>
    <t>Q96KP4</t>
  </si>
  <si>
    <t>Q96KR1</t>
  </si>
  <si>
    <t>Q96L91-3</t>
  </si>
  <si>
    <t>Q96L92-3</t>
  </si>
  <si>
    <t>Q96LD8</t>
  </si>
  <si>
    <t>Q96LJ7</t>
  </si>
  <si>
    <t>Q96M27</t>
  </si>
  <si>
    <t>Q96ME1-4</t>
  </si>
  <si>
    <t>Q96MG8</t>
  </si>
  <si>
    <t>Q96MH2</t>
  </si>
  <si>
    <t>Q96MU7-2</t>
  </si>
  <si>
    <t>Q96MW1</t>
  </si>
  <si>
    <t>Q96MX6</t>
  </si>
  <si>
    <t>Q96N76</t>
  </si>
  <si>
    <t>Q96NA2</t>
  </si>
  <si>
    <t>Q96NB3</t>
  </si>
  <si>
    <t>Q96NC0</t>
  </si>
  <si>
    <t>Q96NL8</t>
  </si>
  <si>
    <t>Q96NU7</t>
  </si>
  <si>
    <t>Q96NZ9</t>
  </si>
  <si>
    <t>Q96P11</t>
  </si>
  <si>
    <t>Q96P16-3</t>
  </si>
  <si>
    <t>Q96P47</t>
  </si>
  <si>
    <t>Q96P48-7</t>
  </si>
  <si>
    <t>Q96P70</t>
  </si>
  <si>
    <t>Q96PD5</t>
  </si>
  <si>
    <t>Q96PE7</t>
  </si>
  <si>
    <t>Q96PK6</t>
  </si>
  <si>
    <t>Q96PM5-3</t>
  </si>
  <si>
    <t>Q96PP9</t>
  </si>
  <si>
    <t>Q96PU5-3</t>
  </si>
  <si>
    <t>Q96PU8-5</t>
  </si>
  <si>
    <t>Q96PU8-9</t>
  </si>
  <si>
    <t>Q96PV6</t>
  </si>
  <si>
    <t>Q96PZ0</t>
  </si>
  <si>
    <t>Q96Q05-3</t>
  </si>
  <si>
    <t>Q96Q06-2</t>
  </si>
  <si>
    <t>Q96Q11-2</t>
  </si>
  <si>
    <t>Q96Q42</t>
  </si>
  <si>
    <t>Q96Q83</t>
  </si>
  <si>
    <t>Q96QC0</t>
  </si>
  <si>
    <t>Q96QK1</t>
  </si>
  <si>
    <t>Q96QR8</t>
  </si>
  <si>
    <t>Q96QU8</t>
  </si>
  <si>
    <t>Q96QZ7-3</t>
  </si>
  <si>
    <t>Q96R06</t>
  </si>
  <si>
    <t>Q96RE7</t>
  </si>
  <si>
    <t>Q96RF0-2</t>
  </si>
  <si>
    <t>Q96RL1</t>
  </si>
  <si>
    <t>Q96RL7-4</t>
  </si>
  <si>
    <t>Q96RN5-3</t>
  </si>
  <si>
    <t>Q96RP9</t>
  </si>
  <si>
    <t>Q96RQ3</t>
  </si>
  <si>
    <t>Q96RS6-3</t>
  </si>
  <si>
    <t>Q96RT1-9</t>
  </si>
  <si>
    <t>Q96RU2-2</t>
  </si>
  <si>
    <t>Q96RU3-4</t>
  </si>
  <si>
    <t>Q96RW7-2</t>
  </si>
  <si>
    <t>Q96S19</t>
  </si>
  <si>
    <t>Q96S44</t>
  </si>
  <si>
    <t>Q96S55-2</t>
  </si>
  <si>
    <t>Q96S66-4</t>
  </si>
  <si>
    <t>Q96S99</t>
  </si>
  <si>
    <t>Q96SB3</t>
  </si>
  <si>
    <t>Q96SI9-2</t>
  </si>
  <si>
    <t>Q96ST2</t>
  </si>
  <si>
    <t>Q96ST3</t>
  </si>
  <si>
    <t>Q96SU4-7</t>
  </si>
  <si>
    <t>Q96SZ5</t>
  </si>
  <si>
    <t>Q96T37-2</t>
  </si>
  <si>
    <t>Q96T51</t>
  </si>
  <si>
    <t>Q96T58</t>
  </si>
  <si>
    <t>Q96T76</t>
  </si>
  <si>
    <t>Q96TA1-2</t>
  </si>
  <si>
    <t>Q96TA2-3</t>
  </si>
  <si>
    <t>Q99417</t>
  </si>
  <si>
    <t>Q99424</t>
  </si>
  <si>
    <t>Q99426</t>
  </si>
  <si>
    <t>Q99436</t>
  </si>
  <si>
    <t>Q99447-3</t>
  </si>
  <si>
    <t>Q99459</t>
  </si>
  <si>
    <t>Q99460</t>
  </si>
  <si>
    <t>Q99470</t>
  </si>
  <si>
    <t>Q99471</t>
  </si>
  <si>
    <t>Q99487</t>
  </si>
  <si>
    <t>Q99489</t>
  </si>
  <si>
    <t>Q99496</t>
  </si>
  <si>
    <t>Q99497</t>
  </si>
  <si>
    <t>Q99519</t>
  </si>
  <si>
    <t>Q99536</t>
  </si>
  <si>
    <t>Q99538</t>
  </si>
  <si>
    <t>Q99543</t>
  </si>
  <si>
    <t>Q99549</t>
  </si>
  <si>
    <t>Q99567</t>
  </si>
  <si>
    <t>Q99569-2</t>
  </si>
  <si>
    <t>Q99570</t>
  </si>
  <si>
    <t>Q99575</t>
  </si>
  <si>
    <t>Q99584</t>
  </si>
  <si>
    <t>Q99590-2</t>
  </si>
  <si>
    <t>Q99598</t>
  </si>
  <si>
    <t>Q99611</t>
  </si>
  <si>
    <t>Q99614</t>
  </si>
  <si>
    <t>Q99615</t>
  </si>
  <si>
    <t>Q99622</t>
  </si>
  <si>
    <t>Q99624</t>
  </si>
  <si>
    <t>Q99627-2</t>
  </si>
  <si>
    <t>Q99653</t>
  </si>
  <si>
    <t>Q99685</t>
  </si>
  <si>
    <t>Q99700-4</t>
  </si>
  <si>
    <t>Q99707</t>
  </si>
  <si>
    <t>Q99714</t>
  </si>
  <si>
    <t>Q99733</t>
  </si>
  <si>
    <t>Q99747</t>
  </si>
  <si>
    <t>Q99757</t>
  </si>
  <si>
    <t>Q99766</t>
  </si>
  <si>
    <t>Q99797</t>
  </si>
  <si>
    <t>Q99798</t>
  </si>
  <si>
    <t>Q99807-2</t>
  </si>
  <si>
    <t>Q99832</t>
  </si>
  <si>
    <t>Q99836</t>
  </si>
  <si>
    <t>Q99878</t>
  </si>
  <si>
    <t>Q99952</t>
  </si>
  <si>
    <t>Q99959-2</t>
  </si>
  <si>
    <t>Q99961</t>
  </si>
  <si>
    <t>Q99996-5</t>
  </si>
  <si>
    <t>Q9BPW8</t>
  </si>
  <si>
    <t>Q9BPX5</t>
  </si>
  <si>
    <t>Q9BQ24</t>
  </si>
  <si>
    <t>Q9BQ52</t>
  </si>
  <si>
    <t>Q9BQ61</t>
  </si>
  <si>
    <t>Q9BQ67</t>
  </si>
  <si>
    <t>Q9BQ69</t>
  </si>
  <si>
    <t>Q9BQ90</t>
  </si>
  <si>
    <t>Q9BQA1</t>
  </si>
  <si>
    <t>Q9BQC3</t>
  </si>
  <si>
    <t>Q9BQE3</t>
  </si>
  <si>
    <t>Q9BQE5</t>
  </si>
  <si>
    <t>Q9BQG0</t>
  </si>
  <si>
    <t>Q9BQG2</t>
  </si>
  <si>
    <t>Q9BQK8-2</t>
  </si>
  <si>
    <t>Q9BQP7</t>
  </si>
  <si>
    <t>Q9BQS8</t>
  </si>
  <si>
    <t>Q9BR61</t>
  </si>
  <si>
    <t>Q9BR76</t>
  </si>
  <si>
    <t>Q9BRA2</t>
  </si>
  <si>
    <t>Q9BRF8</t>
  </si>
  <si>
    <t>Q9BRG1</t>
  </si>
  <si>
    <t>Q9BRK5</t>
  </si>
  <si>
    <t>Q9BRP4</t>
  </si>
  <si>
    <t>Q9BRP8-2</t>
  </si>
  <si>
    <t>Q9BRQ8-2</t>
  </si>
  <si>
    <t>Q9BRT3</t>
  </si>
  <si>
    <t>Q9BRZ2</t>
  </si>
  <si>
    <t>Q9BS26</t>
  </si>
  <si>
    <t>Q9BSD7</t>
  </si>
  <si>
    <t>Q9BSE5</t>
  </si>
  <si>
    <t>Q9BSH4</t>
  </si>
  <si>
    <t>Q9BSH5</t>
  </si>
  <si>
    <t>Q9BSJ5-3</t>
  </si>
  <si>
    <t>Q9BSJ8</t>
  </si>
  <si>
    <t>Q9BSL1</t>
  </si>
  <si>
    <t>Q9BST9</t>
  </si>
  <si>
    <t>Q9BSU1</t>
  </si>
  <si>
    <t>Q9BSY4</t>
  </si>
  <si>
    <t>Q9BT09</t>
  </si>
  <si>
    <t>Q9BT30</t>
  </si>
  <si>
    <t>Q9BT73</t>
  </si>
  <si>
    <t>Q9BT78</t>
  </si>
  <si>
    <t>Q9BTA9-2</t>
  </si>
  <si>
    <t>Q9BTC0</t>
  </si>
  <si>
    <t>Q9BTE1-2</t>
  </si>
  <si>
    <t>Q9BTE3-2</t>
  </si>
  <si>
    <t>Q9BTE6</t>
  </si>
  <si>
    <t>Q9BTL3</t>
  </si>
  <si>
    <t>Q9BTT0</t>
  </si>
  <si>
    <t>Q9BTW9</t>
  </si>
  <si>
    <t>Q9BTX7</t>
  </si>
  <si>
    <t>Q9BTY2</t>
  </si>
  <si>
    <t>Q9BTY7</t>
  </si>
  <si>
    <t>Q9BTZ2</t>
  </si>
  <si>
    <t>Q9BU02</t>
  </si>
  <si>
    <t>Q9BU61</t>
  </si>
  <si>
    <t>Q9BU89</t>
  </si>
  <si>
    <t>Q9BUE6</t>
  </si>
  <si>
    <t>Q9BUH6</t>
  </si>
  <si>
    <t>Q9BUJ2-2</t>
  </si>
  <si>
    <t>Q9BUP0</t>
  </si>
  <si>
    <t>Q9BUQ8</t>
  </si>
  <si>
    <t>Q9BUT1</t>
  </si>
  <si>
    <t>Q9BUT9</t>
  </si>
  <si>
    <t>Q9BV19</t>
  </si>
  <si>
    <t>Q9BV20</t>
  </si>
  <si>
    <t>Q9BV44</t>
  </si>
  <si>
    <t>Q9BV57</t>
  </si>
  <si>
    <t>Q9BV79</t>
  </si>
  <si>
    <t>Q9BV86</t>
  </si>
  <si>
    <t>Q9BVG4</t>
  </si>
  <si>
    <t>Q9BVJ6-3</t>
  </si>
  <si>
    <t>Q9BVJ7</t>
  </si>
  <si>
    <t>Q9BVL4</t>
  </si>
  <si>
    <t>Q9BVM4</t>
  </si>
  <si>
    <t>Q9BVS5</t>
  </si>
  <si>
    <t>Q9BW27</t>
  </si>
  <si>
    <t>Q9BW61</t>
  </si>
  <si>
    <t>Q9BW71</t>
  </si>
  <si>
    <t>Q9BW83-2</t>
  </si>
  <si>
    <t>Q9BW85</t>
  </si>
  <si>
    <t>Q9BW91-2</t>
  </si>
  <si>
    <t>Q9BW92</t>
  </si>
  <si>
    <t>Q9BWD1</t>
  </si>
  <si>
    <t>Q9BWE0</t>
  </si>
  <si>
    <t>Q9BWH6-2</t>
  </si>
  <si>
    <t>Q9BWJ5</t>
  </si>
  <si>
    <t>Q9BWS9-3</t>
  </si>
  <si>
    <t>Q9BWU0</t>
  </si>
  <si>
    <t>Q9BX66-5</t>
  </si>
  <si>
    <t>Q9BX66-9</t>
  </si>
  <si>
    <t>Q9BX68</t>
  </si>
  <si>
    <t>Q9BX95</t>
  </si>
  <si>
    <t>Q9BXB4</t>
  </si>
  <si>
    <t>Q9BXI6</t>
  </si>
  <si>
    <t>Q9BXJ9</t>
  </si>
  <si>
    <t>Q9BXK5</t>
  </si>
  <si>
    <t>Q9BXP5-5</t>
  </si>
  <si>
    <t>Q9BXR0</t>
  </si>
  <si>
    <t>Q9BXS5</t>
  </si>
  <si>
    <t>Q9BXS6-7</t>
  </si>
  <si>
    <t>Q9BXV9</t>
  </si>
  <si>
    <t>Q9BXW6</t>
  </si>
  <si>
    <t>Q9BXW7-2</t>
  </si>
  <si>
    <t>Q9BY32</t>
  </si>
  <si>
    <t>Q9BY42</t>
  </si>
  <si>
    <t>Q9BY43</t>
  </si>
  <si>
    <t>Q9BY49</t>
  </si>
  <si>
    <t>Q9BY67-2</t>
  </si>
  <si>
    <t>Q9BY77</t>
  </si>
  <si>
    <t>Q9BY89</t>
  </si>
  <si>
    <t>Q9BYD6</t>
  </si>
  <si>
    <t>Q9BYM8</t>
  </si>
  <si>
    <t>Q9BYN0</t>
  </si>
  <si>
    <t>Q9BYN8</t>
  </si>
  <si>
    <t>Q9BYP7-3</t>
  </si>
  <si>
    <t>Q9BYT8</t>
  </si>
  <si>
    <t>Q9BYV1</t>
  </si>
  <si>
    <t>Q9BYV7-4</t>
  </si>
  <si>
    <t>Q9BYX2-4</t>
  </si>
  <si>
    <t>Q9BYX4</t>
  </si>
  <si>
    <t>Q9BZ23-3</t>
  </si>
  <si>
    <t>Q9BZE2</t>
  </si>
  <si>
    <t>Q9BZE9</t>
  </si>
  <si>
    <t>Q9BZF1-3</t>
  </si>
  <si>
    <t>Q9BZH6</t>
  </si>
  <si>
    <t>Q9BZI7-2</t>
  </si>
  <si>
    <t>Q9BZK7</t>
  </si>
  <si>
    <t>Q9BZL1</t>
  </si>
  <si>
    <t>Q9BZL4</t>
  </si>
  <si>
    <t>Q9BZZ5-2</t>
  </si>
  <si>
    <t>Q9C005</t>
  </si>
  <si>
    <t>Q9C035-6</t>
  </si>
  <si>
    <t>Q9C0B0</t>
  </si>
  <si>
    <t>Q9C0B1</t>
  </si>
  <si>
    <t>Q9C0B5-2</t>
  </si>
  <si>
    <t>Q9C0B7</t>
  </si>
  <si>
    <t>Q9C0C2</t>
  </si>
  <si>
    <t>Q9C0C9</t>
  </si>
  <si>
    <t>Q9C0H9-5</t>
  </si>
  <si>
    <t>Q9C0I1</t>
  </si>
  <si>
    <t>Q9C0J8</t>
  </si>
  <si>
    <t>Q9GZM5</t>
  </si>
  <si>
    <t>Q9GZM7-3</t>
  </si>
  <si>
    <t>Q9GZN8</t>
  </si>
  <si>
    <t>Q9GZP4</t>
  </si>
  <si>
    <t>Q9GZQ3</t>
  </si>
  <si>
    <t>Q9GZT3-2</t>
  </si>
  <si>
    <t>Q9GZT8-2</t>
  </si>
  <si>
    <t>Q9GZT9</t>
  </si>
  <si>
    <t>Q9GZU8</t>
  </si>
  <si>
    <t>Q9GZY8-2</t>
  </si>
  <si>
    <t>Q9GZZ9</t>
  </si>
  <si>
    <t>Q9H008</t>
  </si>
  <si>
    <t>Q9H074</t>
  </si>
  <si>
    <t>Q9H078-2</t>
  </si>
  <si>
    <t>Q9H098</t>
  </si>
  <si>
    <t>Q9H0A8</t>
  </si>
  <si>
    <t>Q9H0C8</t>
  </si>
  <si>
    <t>Q9H0D6</t>
  </si>
  <si>
    <t>Q9H0E2</t>
  </si>
  <si>
    <t>Q9H0E3</t>
  </si>
  <si>
    <t>Q9H0F6</t>
  </si>
  <si>
    <t>Q9H0G5</t>
  </si>
  <si>
    <t>Q9H0K1</t>
  </si>
  <si>
    <t>Q9H0L4</t>
  </si>
  <si>
    <t>Q9H0P0-1</t>
  </si>
  <si>
    <t>Q9H0R4</t>
  </si>
  <si>
    <t>Q9H0R6</t>
  </si>
  <si>
    <t>Q9H0U4</t>
  </si>
  <si>
    <t>Q9H0W9</t>
  </si>
  <si>
    <t>Q9H173</t>
  </si>
  <si>
    <t>Q9H1B7</t>
  </si>
  <si>
    <t>Q9H1E3</t>
  </si>
  <si>
    <t>Q9H1H9-3</t>
  </si>
  <si>
    <t>Q9H1J1</t>
  </si>
  <si>
    <t>Q9H1K0</t>
  </si>
  <si>
    <t>Q9H1K1</t>
  </si>
  <si>
    <t>Q9H1Y0</t>
  </si>
  <si>
    <t>Q9H1Z4</t>
  </si>
  <si>
    <t>Q9H223</t>
  </si>
  <si>
    <t>Q9H227</t>
  </si>
  <si>
    <t>Q9H267</t>
  </si>
  <si>
    <t>Q9H270</t>
  </si>
  <si>
    <t>Q9H2A2</t>
  </si>
  <si>
    <t>Q9H2D6-3</t>
  </si>
  <si>
    <t>Q9H2G2</t>
  </si>
  <si>
    <t>Q9H2H8</t>
  </si>
  <si>
    <t>Q9H2K8</t>
  </si>
  <si>
    <t>Q9H2M3</t>
  </si>
  <si>
    <t>Q9H2M9</t>
  </si>
  <si>
    <t>Q9H2P0</t>
  </si>
  <si>
    <t>Q9H2P9-3</t>
  </si>
  <si>
    <t>Q9H2U1-3</t>
  </si>
  <si>
    <t>Q9H2U2</t>
  </si>
  <si>
    <t>Q9H2W6</t>
  </si>
  <si>
    <t>Q9H2X3-10</t>
  </si>
  <si>
    <t>Q9H307</t>
  </si>
  <si>
    <t>Q9H329-2</t>
  </si>
  <si>
    <t>Q9H3G5</t>
  </si>
  <si>
    <t>Q9H3H3</t>
  </si>
  <si>
    <t>Q9H3K6</t>
  </si>
  <si>
    <t>Q9H3N1</t>
  </si>
  <si>
    <t>Q9H3P2</t>
  </si>
  <si>
    <t>Q9H3P7</t>
  </si>
  <si>
    <t>Q9H3Q1</t>
  </si>
  <si>
    <t>Q9H3S7</t>
  </si>
  <si>
    <t>Q9H3U1-2</t>
  </si>
  <si>
    <t>Q9H400-2</t>
  </si>
  <si>
    <t>Q9H444</t>
  </si>
  <si>
    <t>Q9H477</t>
  </si>
  <si>
    <t>Q9H479</t>
  </si>
  <si>
    <t>Q9H488</t>
  </si>
  <si>
    <t>Q9H4A4</t>
  </si>
  <si>
    <t>Q9H4A6</t>
  </si>
  <si>
    <t>Q9H4B0</t>
  </si>
  <si>
    <t>Q9H4I2</t>
  </si>
  <si>
    <t>Q9H4L7</t>
  </si>
  <si>
    <t>Q9H4M9</t>
  </si>
  <si>
    <t>Q9H4Z3</t>
  </si>
  <si>
    <t>Q9H5N1</t>
  </si>
  <si>
    <t>Q9H5Q4</t>
  </si>
  <si>
    <t>Q9H5V9-2</t>
  </si>
  <si>
    <t>Q9H668</t>
  </si>
  <si>
    <t>Q9H6E5</t>
  </si>
  <si>
    <t>Q9H6F5</t>
  </si>
  <si>
    <t>Q9H6Q4</t>
  </si>
  <si>
    <t>Q9H6R3</t>
  </si>
  <si>
    <t>Q9H6S0</t>
  </si>
  <si>
    <t>Q9H6S3</t>
  </si>
  <si>
    <t>Q9H6T0-2</t>
  </si>
  <si>
    <t>Q9H6T3-2</t>
  </si>
  <si>
    <t>Q9H6U6-2</t>
  </si>
  <si>
    <t>Q9H773</t>
  </si>
  <si>
    <t>Q9H777</t>
  </si>
  <si>
    <t>Q9H788</t>
  </si>
  <si>
    <t>Q9H7C9</t>
  </si>
  <si>
    <t>Q9H7D0</t>
  </si>
  <si>
    <t>Q9H7E2-3</t>
  </si>
  <si>
    <t>Q9H7N4</t>
  </si>
  <si>
    <t>Q9H7Z6</t>
  </si>
  <si>
    <t>Q9H7Z7</t>
  </si>
  <si>
    <t>Q9H814</t>
  </si>
  <si>
    <t>Q9H832</t>
  </si>
  <si>
    <t>Q9H845</t>
  </si>
  <si>
    <t>Q9H8G2-2</t>
  </si>
  <si>
    <t>Q9H8M7</t>
  </si>
  <si>
    <t>Q9H8S9</t>
  </si>
  <si>
    <t>Q9H8T0</t>
  </si>
  <si>
    <t>Q9H8U3</t>
  </si>
  <si>
    <t>Q9H8W4</t>
  </si>
  <si>
    <t>Q9H8Y8</t>
  </si>
  <si>
    <t>Q9H939</t>
  </si>
  <si>
    <t>Q9H974</t>
  </si>
  <si>
    <t>Q9H993</t>
  </si>
  <si>
    <t>Q9H999</t>
  </si>
  <si>
    <t>Q9H9A5-2</t>
  </si>
  <si>
    <t>Q9H9A6</t>
  </si>
  <si>
    <t>Q9H9B1-3</t>
  </si>
  <si>
    <t>Q9H9B4</t>
  </si>
  <si>
    <t>Q9H9C1-2</t>
  </si>
  <si>
    <t>Q9H9E3</t>
  </si>
  <si>
    <t>Q9H9G7</t>
  </si>
  <si>
    <t>Q9H9J2</t>
  </si>
  <si>
    <t>Q9H9T3-2</t>
  </si>
  <si>
    <t>Q9HA64</t>
  </si>
  <si>
    <t>Q9HA65</t>
  </si>
  <si>
    <t>Q9HA77</t>
  </si>
  <si>
    <t>Q9HAB8</t>
  </si>
  <si>
    <t>Q9HAC7-4</t>
  </si>
  <si>
    <t>Q9HAN9</t>
  </si>
  <si>
    <t>Q9HAT2-2</t>
  </si>
  <si>
    <t>Q9HAU0</t>
  </si>
  <si>
    <t>Q9HAU5</t>
  </si>
  <si>
    <t>Q9HAV4</t>
  </si>
  <si>
    <t>Q9HAV7</t>
  </si>
  <si>
    <t>Q9HB07</t>
  </si>
  <si>
    <t>Q9HB40</t>
  </si>
  <si>
    <t>Q9HB71</t>
  </si>
  <si>
    <t>Q9HB90</t>
  </si>
  <si>
    <t>Q9HBB8-2</t>
  </si>
  <si>
    <t>Q9HBF4-2</t>
  </si>
  <si>
    <t>Q9HBH1</t>
  </si>
  <si>
    <t>Q9HBI1</t>
  </si>
  <si>
    <t>Q9HBK9</t>
  </si>
  <si>
    <t>Q9HBL8</t>
  </si>
  <si>
    <t>Q9HC35</t>
  </si>
  <si>
    <t>Q9HC38-2</t>
  </si>
  <si>
    <t>Q9HC52</t>
  </si>
  <si>
    <t>Q9HC78-2</t>
  </si>
  <si>
    <t>Q9HCC0</t>
  </si>
  <si>
    <t>Q9HCC9-5</t>
  </si>
  <si>
    <t>Q9HCE1</t>
  </si>
  <si>
    <t>Q9HCE5</t>
  </si>
  <si>
    <t>Q9HCE6-3</t>
  </si>
  <si>
    <t>Q9HCM4-2</t>
  </si>
  <si>
    <t>Q9HCN4-3</t>
  </si>
  <si>
    <t>Q9HCN8</t>
  </si>
  <si>
    <t>Q9HCX3</t>
  </si>
  <si>
    <t>Q9HD15</t>
  </si>
  <si>
    <t>Q9HD26-2</t>
  </si>
  <si>
    <t>Q9HD34</t>
  </si>
  <si>
    <t>Q9HD40</t>
  </si>
  <si>
    <t>Q9HD42</t>
  </si>
  <si>
    <t>Q9HD47-4</t>
  </si>
  <si>
    <t>Q9HD89</t>
  </si>
  <si>
    <t>Q9NNW7-2</t>
  </si>
  <si>
    <t>Q9NP61</t>
  </si>
  <si>
    <t>Q9NP71-4</t>
  </si>
  <si>
    <t>Q9NP72</t>
  </si>
  <si>
    <t>Q9NP73-2</t>
  </si>
  <si>
    <t>Q9NP74</t>
  </si>
  <si>
    <t>Q9NP77</t>
  </si>
  <si>
    <t>Q9NP79</t>
  </si>
  <si>
    <t>Q9NP97</t>
  </si>
  <si>
    <t>Q9NPA8-2</t>
  </si>
  <si>
    <t>Q9NPB8</t>
  </si>
  <si>
    <t>Q9NPD3</t>
  </si>
  <si>
    <t>Q9NPE3</t>
  </si>
  <si>
    <t>Q9NPF4</t>
  </si>
  <si>
    <t>Q9NPG3-2</t>
  </si>
  <si>
    <t>Q9NPH0</t>
  </si>
  <si>
    <t>Q9NPJ3</t>
  </si>
  <si>
    <t>Q9NPQ8-4</t>
  </si>
  <si>
    <t>Q9NQ88</t>
  </si>
  <si>
    <t>Q9NQ94-2</t>
  </si>
  <si>
    <t>Q9NQG5</t>
  </si>
  <si>
    <t>Q9NQG6</t>
  </si>
  <si>
    <t>Q9NQH7-2</t>
  </si>
  <si>
    <t>Q9NQP4</t>
  </si>
  <si>
    <t>Q9NQR4</t>
  </si>
  <si>
    <t>Q9NQS1</t>
  </si>
  <si>
    <t>Q9NQT4</t>
  </si>
  <si>
    <t>Q9NQT8</t>
  </si>
  <si>
    <t>Q9NQW7-3</t>
  </si>
  <si>
    <t>Q9NQX3</t>
  </si>
  <si>
    <t>Q9NR09</t>
  </si>
  <si>
    <t>Q9NR19</t>
  </si>
  <si>
    <t>Q9NR28-2</t>
  </si>
  <si>
    <t>Q9NR30</t>
  </si>
  <si>
    <t>Q9NR31</t>
  </si>
  <si>
    <t>Q9NR45</t>
  </si>
  <si>
    <t>Q9NR50-3</t>
  </si>
  <si>
    <t>Q9NRF8</t>
  </si>
  <si>
    <t>Q9NRF9</t>
  </si>
  <si>
    <t>Q9NRN7</t>
  </si>
  <si>
    <t>Q9NRP4</t>
  </si>
  <si>
    <t>Q9NRR5</t>
  </si>
  <si>
    <t>Q9NRS6-2</t>
  </si>
  <si>
    <t>Q9NRV9</t>
  </si>
  <si>
    <t>Q9NRW7</t>
  </si>
  <si>
    <t>Q9NRX4</t>
  </si>
  <si>
    <t>Q9NRY4</t>
  </si>
  <si>
    <t>Q9NRY5</t>
  </si>
  <si>
    <t>Q9NS86</t>
  </si>
  <si>
    <t>Q9NS91</t>
  </si>
  <si>
    <t>Q9NSB8-2</t>
  </si>
  <si>
    <t>Q9NSD9</t>
  </si>
  <si>
    <t>Q9NSE4</t>
  </si>
  <si>
    <t>Q9NSK0</t>
  </si>
  <si>
    <t>Q9NSY0</t>
  </si>
  <si>
    <t>Q9NSY2</t>
  </si>
  <si>
    <t>Q9NT62</t>
  </si>
  <si>
    <t>Q9NTG7</t>
  </si>
  <si>
    <t>Q9NTI5-2</t>
  </si>
  <si>
    <t>Q9NTJ4-3</t>
  </si>
  <si>
    <t>Q9NTK5</t>
  </si>
  <si>
    <t>Q9NTM9</t>
  </si>
  <si>
    <t>Q9NTN9</t>
  </si>
  <si>
    <t>Q9NTX5-6</t>
  </si>
  <si>
    <t>Q9NTZ6</t>
  </si>
  <si>
    <t>Q9NU23</t>
  </si>
  <si>
    <t>Q9NUG6</t>
  </si>
  <si>
    <t>Q9NUI1-2</t>
  </si>
  <si>
    <t>Q9NUI1</t>
  </si>
  <si>
    <t>Q9NUJ1</t>
  </si>
  <si>
    <t>Q9NUL5-4</t>
  </si>
  <si>
    <t>Q9NUP7</t>
  </si>
  <si>
    <t>Q9NUP9</t>
  </si>
  <si>
    <t>Q9NUQ3</t>
  </si>
  <si>
    <t>Q9NUQ6</t>
  </si>
  <si>
    <t>Q9NUQ8-2</t>
  </si>
  <si>
    <t>Q9NUQ9</t>
  </si>
  <si>
    <t>Q9NUV9</t>
  </si>
  <si>
    <t>Q9NUY8-2</t>
  </si>
  <si>
    <t>Q9NV35</t>
  </si>
  <si>
    <t>Q9NV56</t>
  </si>
  <si>
    <t>Q9NV70-2</t>
  </si>
  <si>
    <t>Q9NVD7</t>
  </si>
  <si>
    <t>Q9NVE7</t>
  </si>
  <si>
    <t>Q9NVF9</t>
  </si>
  <si>
    <t>Q9NVG8</t>
  </si>
  <si>
    <t>Q9NVH0-2</t>
  </si>
  <si>
    <t>Q9NVH6</t>
  </si>
  <si>
    <t>Q9NVM6</t>
  </si>
  <si>
    <t>Q9NVR5</t>
  </si>
  <si>
    <t>Q9NVS9</t>
  </si>
  <si>
    <t>Q9NVT9</t>
  </si>
  <si>
    <t>Q9NVU7-2</t>
  </si>
  <si>
    <t>Q9NVX2</t>
  </si>
  <si>
    <t>Q9NVZ3</t>
  </si>
  <si>
    <t>Q9NW13</t>
  </si>
  <si>
    <t>Q9NW64</t>
  </si>
  <si>
    <t>Q9NW68-4</t>
  </si>
  <si>
    <t>Q9NW68-8</t>
  </si>
  <si>
    <t>Q9NW82</t>
  </si>
  <si>
    <t>Q9NWB6</t>
  </si>
  <si>
    <t>Q9NWH9</t>
  </si>
  <si>
    <t>Q9NWK9-2</t>
  </si>
  <si>
    <t>Q9NWU1</t>
  </si>
  <si>
    <t>Q9NWU2</t>
  </si>
  <si>
    <t>Q9NWV4</t>
  </si>
  <si>
    <t>Q9NWX6</t>
  </si>
  <si>
    <t>Q9NWY4</t>
  </si>
  <si>
    <t>Q9NWZ3</t>
  </si>
  <si>
    <t>Q9NWZ5-3</t>
  </si>
  <si>
    <t>Q9NX01</t>
  </si>
  <si>
    <t>Q9NX08</t>
  </si>
  <si>
    <t>Q9NX38</t>
  </si>
  <si>
    <t>Q9NX46</t>
  </si>
  <si>
    <t>Q9NX55</t>
  </si>
  <si>
    <t>Q9NXA8</t>
  </si>
  <si>
    <t>Q9NXD2</t>
  </si>
  <si>
    <t>Q9NXG2</t>
  </si>
  <si>
    <t>Q9NXG6-2</t>
  </si>
  <si>
    <t>Q9NXH9</t>
  </si>
  <si>
    <t>Q9NXR7-4</t>
  </si>
  <si>
    <t>Q9NXU5</t>
  </si>
  <si>
    <t>Q9NXV6</t>
  </si>
  <si>
    <t>Q9NXW2</t>
  </si>
  <si>
    <t>Q9NXW9</t>
  </si>
  <si>
    <t>Q9NY12-2</t>
  </si>
  <si>
    <t>Q9NY27</t>
  </si>
  <si>
    <t>Q9NY33</t>
  </si>
  <si>
    <t>Q9NYB0</t>
  </si>
  <si>
    <t>Q9NYF8-2</t>
  </si>
  <si>
    <t>Q9NYJ1</t>
  </si>
  <si>
    <t>Q9NYJ8</t>
  </si>
  <si>
    <t>Q9NYL2</t>
  </si>
  <si>
    <t>Q9NYL9</t>
  </si>
  <si>
    <t>Q9NYQ3</t>
  </si>
  <si>
    <t>Q9NYU2-2</t>
  </si>
  <si>
    <t>Q9NYV4-2</t>
  </si>
  <si>
    <t>Q9NYY8-2</t>
  </si>
  <si>
    <t>Q9NZ08</t>
  </si>
  <si>
    <t>Q9NZ09-2</t>
  </si>
  <si>
    <t>Q9NZ32</t>
  </si>
  <si>
    <t>Q9NZ45</t>
  </si>
  <si>
    <t>Q9NZ63</t>
  </si>
  <si>
    <t>Q9NZB2</t>
  </si>
  <si>
    <t>Q9NZB8-2</t>
  </si>
  <si>
    <t>Q9NZD2</t>
  </si>
  <si>
    <t>Q9NZD8-2</t>
  </si>
  <si>
    <t>Q9NZJ4-2</t>
  </si>
  <si>
    <t>Q9NZJ6</t>
  </si>
  <si>
    <t>Q9NZJ9</t>
  </si>
  <si>
    <t>Q9NZL4</t>
  </si>
  <si>
    <t>Q9NZL9</t>
  </si>
  <si>
    <t>Q9NZM3-2</t>
  </si>
  <si>
    <t>Q9NZN5-2</t>
  </si>
  <si>
    <t>Q9NZN8-4</t>
  </si>
  <si>
    <t>Q9NZN9-3</t>
  </si>
  <si>
    <t>Q9NZP8</t>
  </si>
  <si>
    <t>Q9NZT2-2</t>
  </si>
  <si>
    <t>Q9NZU5</t>
  </si>
  <si>
    <t>Q9NZZ3</t>
  </si>
  <si>
    <t>Q9P000</t>
  </si>
  <si>
    <t>Q9P013</t>
  </si>
  <si>
    <t>Q9P016</t>
  </si>
  <si>
    <t>Q9P035</t>
  </si>
  <si>
    <t>Q9P0J1</t>
  </si>
  <si>
    <t>Q9P0J7</t>
  </si>
  <si>
    <t>Q9P0K7-3</t>
  </si>
  <si>
    <t>Q9P0L0</t>
  </si>
  <si>
    <t>Q9P0M2</t>
  </si>
  <si>
    <t>Q9P0P8</t>
  </si>
  <si>
    <t>Q9P0R6</t>
  </si>
  <si>
    <t>Q9P0Z9</t>
  </si>
  <si>
    <t>Q9P1F3</t>
  </si>
  <si>
    <t>Q9P1U1</t>
  </si>
  <si>
    <t>Q9P1Y5</t>
  </si>
  <si>
    <t>Q9P1Z2-2</t>
  </si>
  <si>
    <t>Q9P206-2</t>
  </si>
  <si>
    <t>Q9P258</t>
  </si>
  <si>
    <t>Q9P260-2</t>
  </si>
  <si>
    <t>Q9P260</t>
  </si>
  <si>
    <t>Q9P265</t>
  </si>
  <si>
    <t>Q9P266</t>
  </si>
  <si>
    <t>Q9P270</t>
  </si>
  <si>
    <t>Q9P287</t>
  </si>
  <si>
    <t>Q9P299</t>
  </si>
  <si>
    <t>Q9P2D0-2</t>
  </si>
  <si>
    <t>Q9P2D3-3</t>
  </si>
  <si>
    <t>Q9P2E9-2</t>
  </si>
  <si>
    <t>Q9P2E9</t>
  </si>
  <si>
    <t>Q9P2I0</t>
  </si>
  <si>
    <t>Q9P2K8-2</t>
  </si>
  <si>
    <t>Q9P2M7</t>
  </si>
  <si>
    <t>Q9P2N5</t>
  </si>
  <si>
    <t>Q9P2R3</t>
  </si>
  <si>
    <t>Q9P2R6-2</t>
  </si>
  <si>
    <t>Q9P2X3</t>
  </si>
  <si>
    <t>Q9P2Y5</t>
  </si>
  <si>
    <t>Q9UBB4</t>
  </si>
  <si>
    <t>Q9UBB5</t>
  </si>
  <si>
    <t>Q9UBB6-2</t>
  </si>
  <si>
    <t>Q9UBC2-3</t>
  </si>
  <si>
    <t>Q9UBE0</t>
  </si>
  <si>
    <t>Q9UBF2</t>
  </si>
  <si>
    <t>Q9UBF6</t>
  </si>
  <si>
    <t>Q9UBF8-2</t>
  </si>
  <si>
    <t>Q9UBI1</t>
  </si>
  <si>
    <t>Q9UBI6</t>
  </si>
  <si>
    <t>Q9UBK8-2</t>
  </si>
  <si>
    <t>Q9UBN7</t>
  </si>
  <si>
    <t>Q9UBP0-3</t>
  </si>
  <si>
    <t>Q9UBP6</t>
  </si>
  <si>
    <t>Q9UBQ0</t>
  </si>
  <si>
    <t>Q9UBQ7</t>
  </si>
  <si>
    <t>Q9UBR1</t>
  </si>
  <si>
    <t>Q9UBR2</t>
  </si>
  <si>
    <t>Q9UBS4</t>
  </si>
  <si>
    <t>Q9UBS8</t>
  </si>
  <si>
    <t>Q9UBT2</t>
  </si>
  <si>
    <t>Q9UBU6</t>
  </si>
  <si>
    <t>Q9UBV8</t>
  </si>
  <si>
    <t>Q9UBW7-2</t>
  </si>
  <si>
    <t>Q9UBW8</t>
  </si>
  <si>
    <t>Q9UBX1</t>
  </si>
  <si>
    <t>Q9UDR5</t>
  </si>
  <si>
    <t>Q9UDX3</t>
  </si>
  <si>
    <t>Q9UDY2</t>
  </si>
  <si>
    <t>Q9UEU0</t>
  </si>
  <si>
    <t>Q9UEY8-2</t>
  </si>
  <si>
    <t>Q9UFC0</t>
  </si>
  <si>
    <t>Q9UFG5</t>
  </si>
  <si>
    <t>Q9UFN0</t>
  </si>
  <si>
    <t>Q9UFW8</t>
  </si>
  <si>
    <t>Q9UGC7</t>
  </si>
  <si>
    <t>Q9UGI8</t>
  </si>
  <si>
    <t>Q9UGJ0-2</t>
  </si>
  <si>
    <t>Q9UGK3</t>
  </si>
  <si>
    <t>Q9UGK8</t>
  </si>
  <si>
    <t>Q9UGM6</t>
  </si>
  <si>
    <t>Q9UGP4</t>
  </si>
  <si>
    <t>Q9UGP8</t>
  </si>
  <si>
    <t>Q9UH62</t>
  </si>
  <si>
    <t>Q9UH65</t>
  </si>
  <si>
    <t>Q9UHA4</t>
  </si>
  <si>
    <t>Q9UHB6-4</t>
  </si>
  <si>
    <t>Q9UHB6</t>
  </si>
  <si>
    <t>Q9UHB7-2</t>
  </si>
  <si>
    <t>Q9UHB9</t>
  </si>
  <si>
    <t>Q9UHD1</t>
  </si>
  <si>
    <t>Q9UHD2</t>
  </si>
  <si>
    <t>Q9UHD8</t>
  </si>
  <si>
    <t>Q9UHD9</t>
  </si>
  <si>
    <t>Q9UHJ6</t>
  </si>
  <si>
    <t>Q9UHL4</t>
  </si>
  <si>
    <t>Q9UHP3</t>
  </si>
  <si>
    <t>Q9UHR4</t>
  </si>
  <si>
    <t>Q9UHR5-2</t>
  </si>
  <si>
    <t>Q9UHV9</t>
  </si>
  <si>
    <t>Q9UHX1-4</t>
  </si>
  <si>
    <t>Q9UHY7</t>
  </si>
  <si>
    <t>Q9UI08</t>
  </si>
  <si>
    <t>Q9UI10-3</t>
  </si>
  <si>
    <t>Q9UI10</t>
  </si>
  <si>
    <t>Q9UI12-2</t>
  </si>
  <si>
    <t>Q9UI17</t>
  </si>
  <si>
    <t>Q9UI32</t>
  </si>
  <si>
    <t>Q9UIA9</t>
  </si>
  <si>
    <t>Q9UID3</t>
  </si>
  <si>
    <t>Q9UIG0-2</t>
  </si>
  <si>
    <t>Q9UII2</t>
  </si>
  <si>
    <t>Q9UIJ7</t>
  </si>
  <si>
    <t>Q9UIL1-3</t>
  </si>
  <si>
    <t>Q9UIM3</t>
  </si>
  <si>
    <t>Q9UIV1-2</t>
  </si>
  <si>
    <t>Q9UJ41-2</t>
  </si>
  <si>
    <t>Q9UJ68-5</t>
  </si>
  <si>
    <t>Q9UJ70</t>
  </si>
  <si>
    <t>Q9UJA5</t>
  </si>
  <si>
    <t>Q9UJC5</t>
  </si>
  <si>
    <t>Q9UJM3</t>
  </si>
  <si>
    <t>Q9UJM8</t>
  </si>
  <si>
    <t>Q9UJS0</t>
  </si>
  <si>
    <t>Q9UJU6-2</t>
  </si>
  <si>
    <t>Q9UJU6</t>
  </si>
  <si>
    <t>Q9UJW0</t>
  </si>
  <si>
    <t>Q9UJY4</t>
  </si>
  <si>
    <t>Q9UJY5-4</t>
  </si>
  <si>
    <t>Q9UK22</t>
  </si>
  <si>
    <t>Q9UK45</t>
  </si>
  <si>
    <t>Q9UK55</t>
  </si>
  <si>
    <t>Q9UK59</t>
  </si>
  <si>
    <t>Q9UK99</t>
  </si>
  <si>
    <t>Q9UKA4</t>
  </si>
  <si>
    <t>Q9UKB3</t>
  </si>
  <si>
    <t>Q9UKE5-8</t>
  </si>
  <si>
    <t>Q9UKF6</t>
  </si>
  <si>
    <t>Q9UKG1</t>
  </si>
  <si>
    <t>Q9UKG9</t>
  </si>
  <si>
    <t>Q9UKJ3</t>
  </si>
  <si>
    <t>Q9UKK9</t>
  </si>
  <si>
    <t>Q9UKL0</t>
  </si>
  <si>
    <t>Q9UKL6</t>
  </si>
  <si>
    <t>Q9UKN8</t>
  </si>
  <si>
    <t>Q9UKS6</t>
  </si>
  <si>
    <t>Q9UKT5</t>
  </si>
  <si>
    <t>Q9UKU7</t>
  </si>
  <si>
    <t>Q9UKV8</t>
  </si>
  <si>
    <t>Q9UKX7</t>
  </si>
  <si>
    <t>Q9UKY1</t>
  </si>
  <si>
    <t>Q9UKY7-2</t>
  </si>
  <si>
    <t>Q9UKZ1</t>
  </si>
  <si>
    <t>Q9UL12</t>
  </si>
  <si>
    <t>Q9UL25</t>
  </si>
  <si>
    <t>Q9UL33-2</t>
  </si>
  <si>
    <t>Q9UL42</t>
  </si>
  <si>
    <t>Q9UL46</t>
  </si>
  <si>
    <t>Q9ULA0</t>
  </si>
  <si>
    <t>Q9ULC4</t>
  </si>
  <si>
    <t>Q9ULC5</t>
  </si>
  <si>
    <t>Q9ULD0</t>
  </si>
  <si>
    <t>Q9ULD2-2</t>
  </si>
  <si>
    <t>Q9ULH7-4</t>
  </si>
  <si>
    <t>Q9ULJ6</t>
  </si>
  <si>
    <t>Q9ULP9-2</t>
  </si>
  <si>
    <t>Q9ULR5</t>
  </si>
  <si>
    <t>Q9ULT8</t>
  </si>
  <si>
    <t>Q9ULU4-4</t>
  </si>
  <si>
    <t>Q9ULV4</t>
  </si>
  <si>
    <t>Q9ULW0</t>
  </si>
  <si>
    <t>Q9ULZ3-2</t>
  </si>
  <si>
    <t>Q9UMN6</t>
  </si>
  <si>
    <t>Q9UMS0-3</t>
  </si>
  <si>
    <t>Q9UMS4</t>
  </si>
  <si>
    <t>Q9UMX0-2</t>
  </si>
  <si>
    <t>Q9UMX5</t>
  </si>
  <si>
    <t>Q9UMY4-2</t>
  </si>
  <si>
    <t>Q9UMZ2-6</t>
  </si>
  <si>
    <t>Q9UN36</t>
  </si>
  <si>
    <t>Q9UN86-2</t>
  </si>
  <si>
    <t>Q9UNE7</t>
  </si>
  <si>
    <t>Q9UNF0</t>
  </si>
  <si>
    <t>Q9UNF1</t>
  </si>
  <si>
    <t>Q9UNH6</t>
  </si>
  <si>
    <t>Q9UNH7</t>
  </si>
  <si>
    <t>Q9UNM6</t>
  </si>
  <si>
    <t>Q9UNN5</t>
  </si>
  <si>
    <t>Q9UNS2</t>
  </si>
  <si>
    <t>Q9UNW1</t>
  </si>
  <si>
    <t>Q9UNZ2</t>
  </si>
  <si>
    <t>Q9UP83</t>
  </si>
  <si>
    <t>Q9UPN6</t>
  </si>
  <si>
    <t>Q9UPN7</t>
  </si>
  <si>
    <t>Q9UPP1-4</t>
  </si>
  <si>
    <t>Q9UPQ3-2</t>
  </si>
  <si>
    <t>Q9UPQ9-1</t>
  </si>
  <si>
    <t>Q9UPR0</t>
  </si>
  <si>
    <t>Q9UPT5-2</t>
  </si>
  <si>
    <t>Q9UPT8</t>
  </si>
  <si>
    <t>Q9UPU5</t>
  </si>
  <si>
    <t>Q9UPU7</t>
  </si>
  <si>
    <t>Q9UPX8-3</t>
  </si>
  <si>
    <t>Q9UPY3</t>
  </si>
  <si>
    <t>Q9UPY8-2</t>
  </si>
  <si>
    <t>Q9UQ13-2</t>
  </si>
  <si>
    <t>Q9UQ35</t>
  </si>
  <si>
    <t>Q9UQ80</t>
  </si>
  <si>
    <t>Q9UQB8-5</t>
  </si>
  <si>
    <t>Q9UQE7</t>
  </si>
  <si>
    <t>Q9Y217</t>
  </si>
  <si>
    <t>Q9Y223-2</t>
  </si>
  <si>
    <t>Q9Y224</t>
  </si>
  <si>
    <t>Q9Y230</t>
  </si>
  <si>
    <t>Q9Y237</t>
  </si>
  <si>
    <t>Q9Y259</t>
  </si>
  <si>
    <t>Q9Y262</t>
  </si>
  <si>
    <t>Q9Y263</t>
  </si>
  <si>
    <t>Q9Y265</t>
  </si>
  <si>
    <t>Q9Y266</t>
  </si>
  <si>
    <t>Q9Y281</t>
  </si>
  <si>
    <t>Q9Y294</t>
  </si>
  <si>
    <t>Q9Y295</t>
  </si>
  <si>
    <t>Q9Y296</t>
  </si>
  <si>
    <t>Q9Y2A7</t>
  </si>
  <si>
    <t>Q9Y2B0</t>
  </si>
  <si>
    <t>Q9Y2D4</t>
  </si>
  <si>
    <t>Q9Y2D5-6</t>
  </si>
  <si>
    <t>Q9Y2E4</t>
  </si>
  <si>
    <t>Q9Y2I1-4</t>
  </si>
  <si>
    <t>Q9Y2J2-2</t>
  </si>
  <si>
    <t>Q9Y2K7-4</t>
  </si>
  <si>
    <t>Q9Y2L1</t>
  </si>
  <si>
    <t>Q9Y2P5</t>
  </si>
  <si>
    <t>Q9Y2Q3</t>
  </si>
  <si>
    <t>Q9Y2Q5</t>
  </si>
  <si>
    <t>Q9Y2R9</t>
  </si>
  <si>
    <t>Q9Y2S2</t>
  </si>
  <si>
    <t>Q9Y2S6</t>
  </si>
  <si>
    <t>Q9Y2S7</t>
  </si>
  <si>
    <t>Q9Y2T2</t>
  </si>
  <si>
    <t>Q9Y2T3-3</t>
  </si>
  <si>
    <t>Q9Y2U5</t>
  </si>
  <si>
    <t>Q9Y2U8</t>
  </si>
  <si>
    <t>Q9Y2V2</t>
  </si>
  <si>
    <t>Q9Y2V7</t>
  </si>
  <si>
    <t>Q9Y2W1</t>
  </si>
  <si>
    <t>Q9Y2X3</t>
  </si>
  <si>
    <t>Q9Y2X7</t>
  </si>
  <si>
    <t>Q9Y2Z0</t>
  </si>
  <si>
    <t>Q9Y2Z2-5</t>
  </si>
  <si>
    <t>Q9Y2Z4</t>
  </si>
  <si>
    <t>Q9Y2Z9-3</t>
  </si>
  <si>
    <t>Q9Y303</t>
  </si>
  <si>
    <t>Q9Y305</t>
  </si>
  <si>
    <t>Q9Y314</t>
  </si>
  <si>
    <t>Q9Y315</t>
  </si>
  <si>
    <t>Q9Y316</t>
  </si>
  <si>
    <t>Q9Y371</t>
  </si>
  <si>
    <t>Q9Y376</t>
  </si>
  <si>
    <t>Q9Y383</t>
  </si>
  <si>
    <t>Q9Y399</t>
  </si>
  <si>
    <t>Q9Y3A3-2</t>
  </si>
  <si>
    <t>Q9Y3A5</t>
  </si>
  <si>
    <t>Q9Y3B9</t>
  </si>
  <si>
    <t>Q9Y3C1</t>
  </si>
  <si>
    <t>Q9Y3C4-2</t>
  </si>
  <si>
    <t>Q9Y3C6</t>
  </si>
  <si>
    <t>Q9Y3C8</t>
  </si>
  <si>
    <t>Q9Y3D0</t>
  </si>
  <si>
    <t>Q9Y3D2</t>
  </si>
  <si>
    <t>Q9Y3D6</t>
  </si>
  <si>
    <t>Q9Y3D8-2</t>
  </si>
  <si>
    <t>Q9Y3D9</t>
  </si>
  <si>
    <t>Q9Y3E2</t>
  </si>
  <si>
    <t>Q9Y3F4</t>
  </si>
  <si>
    <t>Q9Y3I0</t>
  </si>
  <si>
    <t>Q9Y3I1</t>
  </si>
  <si>
    <t>Q9Y3L5</t>
  </si>
  <si>
    <t>Q9Y3P9</t>
  </si>
  <si>
    <t>Q9Y3R5-2</t>
  </si>
  <si>
    <t>Q9Y3S2</t>
  </si>
  <si>
    <t>Q9Y3X0</t>
  </si>
  <si>
    <t>Q9Y3Y2-4</t>
  </si>
  <si>
    <t>Q9Y3Z3</t>
  </si>
  <si>
    <t>Q9Y450-4</t>
  </si>
  <si>
    <t>Q9Y478</t>
  </si>
  <si>
    <t>Q9Y490</t>
  </si>
  <si>
    <t>Q9Y4B6-3</t>
  </si>
  <si>
    <t>Q9Y4C2-2</t>
  </si>
  <si>
    <t>Q9Y4E8-2</t>
  </si>
  <si>
    <t>Q9Y4F1</t>
  </si>
  <si>
    <t>Q9Y4G6</t>
  </si>
  <si>
    <t>Q9Y4H2</t>
  </si>
  <si>
    <t>Q9Y4I1-2</t>
  </si>
  <si>
    <t>Q9Y4K1</t>
  </si>
  <si>
    <t>Q9Y4K3</t>
  </si>
  <si>
    <t>Q9Y4K4</t>
  </si>
  <si>
    <t>Q9Y4P8-4</t>
  </si>
  <si>
    <t>Q9Y4U1</t>
  </si>
  <si>
    <t>Q9Y4W6</t>
  </si>
  <si>
    <t>Q9Y4X4</t>
  </si>
  <si>
    <t>Q9Y4X5</t>
  </si>
  <si>
    <t>Q9Y4Z0</t>
  </si>
  <si>
    <t>Q9Y508</t>
  </si>
  <si>
    <t>Q9Y520-4</t>
  </si>
  <si>
    <t>Q9Y547</t>
  </si>
  <si>
    <t>Q9Y570</t>
  </si>
  <si>
    <t>Q9Y597-2</t>
  </si>
  <si>
    <t>Q9Y5A7-2</t>
  </si>
  <si>
    <t>Q9Y5A9-2</t>
  </si>
  <si>
    <t>Q9Y5B0</t>
  </si>
  <si>
    <t>Q9Y5B9</t>
  </si>
  <si>
    <t>Q9Y5J7</t>
  </si>
  <si>
    <t>Q9Y5K5-2</t>
  </si>
  <si>
    <t>Q9Y5K6</t>
  </si>
  <si>
    <t>Q9Y5K8</t>
  </si>
  <si>
    <t>Q9Y5L0</t>
  </si>
  <si>
    <t>Q9Y5L4</t>
  </si>
  <si>
    <t>Q9Y5N5</t>
  </si>
  <si>
    <t>Q9Y5P4-2</t>
  </si>
  <si>
    <t>Q9Y5P6</t>
  </si>
  <si>
    <t>Q9Y5Q9</t>
  </si>
  <si>
    <t>Q9Y5R8</t>
  </si>
  <si>
    <t>Q9Y5S2</t>
  </si>
  <si>
    <t>Q9Y5S9</t>
  </si>
  <si>
    <t>Q9Y5U2-2</t>
  </si>
  <si>
    <t>Q9Y5V0</t>
  </si>
  <si>
    <t>Q9Y5X1</t>
  </si>
  <si>
    <t>Q9Y5X2</t>
  </si>
  <si>
    <t>Q9Y5X3</t>
  </si>
  <si>
    <t>Q9Y5Y2</t>
  </si>
  <si>
    <t>Q9Y5Z4</t>
  </si>
  <si>
    <t>Q9Y600-2</t>
  </si>
  <si>
    <t>Q9Y608-4</t>
  </si>
  <si>
    <t>Q9Y617</t>
  </si>
  <si>
    <t>Q9Y646</t>
  </si>
  <si>
    <t>Q9Y678</t>
  </si>
  <si>
    <t>Q9Y680-3</t>
  </si>
  <si>
    <t>Q9Y696</t>
  </si>
  <si>
    <t>Q9Y697-2</t>
  </si>
  <si>
    <t>Q9Y6A4</t>
  </si>
  <si>
    <t>Q9Y6D5</t>
  </si>
  <si>
    <t>Q9Y6D6</t>
  </si>
  <si>
    <t>Q9Y6D9</t>
  </si>
  <si>
    <t>Q9Y6G5</t>
  </si>
  <si>
    <t>Q9Y6G9</t>
  </si>
  <si>
    <t>Q9Y6H1</t>
  </si>
  <si>
    <t>Q9Y6I3-3</t>
  </si>
  <si>
    <t>Q9Y6I9</t>
  </si>
  <si>
    <t>Q9Y6K5</t>
  </si>
  <si>
    <t>Q9Y6K9</t>
  </si>
  <si>
    <t>Q9Y6M5</t>
  </si>
  <si>
    <t>Q9Y6N5</t>
  </si>
  <si>
    <t>Q9Y6P5</t>
  </si>
  <si>
    <t>Q9Y6V0-2</t>
  </si>
  <si>
    <t>Q9Y6W3</t>
  </si>
  <si>
    <t>Q9Y6W5</t>
  </si>
  <si>
    <t>Q9Y6X5</t>
  </si>
  <si>
    <t>Q9Y6X8</t>
  </si>
  <si>
    <t>Q9Y6X9-2</t>
  </si>
  <si>
    <t>A1A5A8</t>
  </si>
  <si>
    <t>A1BQX2</t>
  </si>
  <si>
    <t>A2ACR1</t>
  </si>
  <si>
    <t>A6H8Z3</t>
  </si>
  <si>
    <t>A6ND22</t>
  </si>
  <si>
    <t>A6NDT1</t>
  </si>
  <si>
    <t>A6NG64</t>
  </si>
  <si>
    <t>A6NG79</t>
  </si>
  <si>
    <t>A6NGP5</t>
  </si>
  <si>
    <t>A6NJX6</t>
  </si>
  <si>
    <t>A6NKZ2</t>
  </si>
  <si>
    <t>A6NML8</t>
  </si>
  <si>
    <t>A6NN40</t>
  </si>
  <si>
    <t>A6ZJ12</t>
  </si>
  <si>
    <t>A8CTX8</t>
  </si>
  <si>
    <t>A8MQB8</t>
  </si>
  <si>
    <t>A8MTY9</t>
  </si>
  <si>
    <t>A8MU28</t>
  </si>
  <si>
    <t>A8MU44</t>
  </si>
  <si>
    <t>A8MUB1</t>
  </si>
  <si>
    <t>A8MVQ8</t>
  </si>
  <si>
    <t>A8MWK3</t>
  </si>
  <si>
    <t>A8MWR6</t>
  </si>
  <si>
    <t>A8MXP9</t>
  </si>
  <si>
    <t>A8MYC1</t>
  </si>
  <si>
    <t>A8MYV2</t>
  </si>
  <si>
    <t>A9Z1X7</t>
  </si>
  <si>
    <t>B0FLL2</t>
  </si>
  <si>
    <t>B0UX83</t>
  </si>
  <si>
    <t>B1AJY7</t>
  </si>
  <si>
    <t>B1AK87</t>
  </si>
  <si>
    <t>B1AKL4</t>
  </si>
  <si>
    <t>B1AKN7</t>
  </si>
  <si>
    <t>B1AKV3</t>
  </si>
  <si>
    <t>B1AKZ5</t>
  </si>
  <si>
    <t>B1AL33</t>
  </si>
  <si>
    <t>B1AL69</t>
  </si>
  <si>
    <t>B1ALB7</t>
  </si>
  <si>
    <t>B1ALY0</t>
  </si>
  <si>
    <t>B1ANH0</t>
  </si>
  <si>
    <t>B1AT46</t>
  </si>
  <si>
    <t>B2WTI3</t>
  </si>
  <si>
    <t>B3KRS5</t>
  </si>
  <si>
    <t>B3KSI9</t>
  </si>
  <si>
    <t>B3KVH8</t>
  </si>
  <si>
    <t>B3KY83</t>
  </si>
  <si>
    <t>B4DDD1</t>
  </si>
  <si>
    <t>B4DDF4</t>
  </si>
  <si>
    <t>B4DDZ0</t>
  </si>
  <si>
    <t>B4DE16</t>
  </si>
  <si>
    <t>B4DEM7</t>
  </si>
  <si>
    <t>B4DEW9</t>
  </si>
  <si>
    <t>B4DFA2</t>
  </si>
  <si>
    <t>B4DFG6</t>
  </si>
  <si>
    <t>B4DFQ4</t>
  </si>
  <si>
    <t>B4DGU4</t>
  </si>
  <si>
    <t>B4DGX2</t>
  </si>
  <si>
    <t>B4DH53</t>
  </si>
  <si>
    <t>B4DHJ7</t>
  </si>
  <si>
    <t>B4DHT5</t>
  </si>
  <si>
    <t>B4DJA5</t>
  </si>
  <si>
    <t>B4DJE5</t>
  </si>
  <si>
    <t>B4DJP7</t>
  </si>
  <si>
    <t>B4DJV2</t>
  </si>
  <si>
    <t>B4DK95</t>
  </si>
  <si>
    <t>B4DKG8</t>
  </si>
  <si>
    <t>B4DKJ3</t>
  </si>
  <si>
    <t>B4DKL4</t>
  </si>
  <si>
    <t>B4DL14</t>
  </si>
  <si>
    <t>B4DL54</t>
  </si>
  <si>
    <t>B4DLN1</t>
  </si>
  <si>
    <t>B4DLW8</t>
  </si>
  <si>
    <t>B4DLZ9</t>
  </si>
  <si>
    <t>B4DMX0</t>
  </si>
  <si>
    <t>B4DNC9</t>
  </si>
  <si>
    <t>B4DP21</t>
  </si>
  <si>
    <t>B4DPR4</t>
  </si>
  <si>
    <t>B4DPY8</t>
  </si>
  <si>
    <t>B4DQ14</t>
  </si>
  <si>
    <t>B4DQ94</t>
  </si>
  <si>
    <t>B4DQA8</t>
  </si>
  <si>
    <t>B4DQJ8</t>
  </si>
  <si>
    <t>B4DR80</t>
  </si>
  <si>
    <t>B4DRL9</t>
  </si>
  <si>
    <t>B4DT77</t>
  </si>
  <si>
    <t>B4DTG6</t>
  </si>
  <si>
    <t>B4DTU4</t>
  </si>
  <si>
    <t>B4DUS9</t>
  </si>
  <si>
    <t>B4DVY1</t>
  </si>
  <si>
    <t>B4DWI1</t>
  </si>
  <si>
    <t>B4DXK4</t>
  </si>
  <si>
    <t>B4DXX7</t>
  </si>
  <si>
    <t>B4DXZ6</t>
  </si>
  <si>
    <t>B4DYB4</t>
  </si>
  <si>
    <t>B4DZ67</t>
  </si>
  <si>
    <t>B4DZW6</t>
  </si>
  <si>
    <t>B4E072</t>
  </si>
  <si>
    <t>B4E107</t>
  </si>
  <si>
    <t>B4E1N1</t>
  </si>
  <si>
    <t>B4E1Z4</t>
  </si>
  <si>
    <t>B4E241</t>
  </si>
  <si>
    <t>B4E2V5</t>
  </si>
  <si>
    <t>B4E351</t>
  </si>
  <si>
    <t>B4E3Q4</t>
  </si>
  <si>
    <t>B5MC59</t>
  </si>
  <si>
    <t>B5MCF9</t>
  </si>
  <si>
    <t>B5MCQ5</t>
  </si>
  <si>
    <t>B5MCT7</t>
  </si>
  <si>
    <t>B5MCU0</t>
  </si>
  <si>
    <t>B5MEB3</t>
  </si>
  <si>
    <t>B7WP27</t>
  </si>
  <si>
    <t>B7Z1T4</t>
  </si>
  <si>
    <t>B7Z1W9</t>
  </si>
  <si>
    <t>B7Z242</t>
  </si>
  <si>
    <t>B7Z291</t>
  </si>
  <si>
    <t>B7Z2Y2</t>
  </si>
  <si>
    <t>B7Z341</t>
  </si>
  <si>
    <t>B7Z3B9</t>
  </si>
  <si>
    <t>B7Z3I9</t>
  </si>
  <si>
    <t>B7Z4K6</t>
  </si>
  <si>
    <t>B7Z4M2</t>
  </si>
  <si>
    <t>B7Z4R0</t>
  </si>
  <si>
    <t>B7Z583</t>
  </si>
  <si>
    <t>B7Z5N6</t>
  </si>
  <si>
    <t>B7Z637</t>
  </si>
  <si>
    <t>B7Z6B8</t>
  </si>
  <si>
    <t>B7Z729</t>
  </si>
  <si>
    <t>B7Z7F3</t>
  </si>
  <si>
    <t>B7Z7F9</t>
  </si>
  <si>
    <t>B7Z7X8</t>
  </si>
  <si>
    <t>B7Z815</t>
  </si>
  <si>
    <t>B7Z848</t>
  </si>
  <si>
    <t>B7Z8K9</t>
  </si>
  <si>
    <t>B7Z8V7</t>
  </si>
  <si>
    <t>B7Z9S8</t>
  </si>
  <si>
    <t>B7ZA47</t>
  </si>
  <si>
    <t>B7ZAX5</t>
  </si>
  <si>
    <t>B7ZBQ3</t>
  </si>
  <si>
    <t>B7ZC39</t>
  </si>
  <si>
    <t>B7ZKK9</t>
  </si>
  <si>
    <t>B7ZLZ2</t>
  </si>
  <si>
    <t>B7ZM37</t>
  </si>
  <si>
    <t>B7ZM82</t>
  </si>
  <si>
    <t>B8ZZC8</t>
  </si>
  <si>
    <t>B8ZZF3</t>
  </si>
  <si>
    <t>B8ZZF5</t>
  </si>
  <si>
    <t>B8ZZG1</t>
  </si>
  <si>
    <t>B8ZZK4</t>
  </si>
  <si>
    <t>B8ZZQ6</t>
  </si>
  <si>
    <t>B8ZZS4</t>
  </si>
  <si>
    <t>B8ZZT4</t>
  </si>
  <si>
    <t>B8ZZU8</t>
  </si>
  <si>
    <t>B8ZZX2</t>
  </si>
  <si>
    <t>B9A057</t>
  </si>
  <si>
    <t>B9ZVN9</t>
  </si>
  <si>
    <t>C0H5X6</t>
  </si>
  <si>
    <t>C9IZA5</t>
  </si>
  <si>
    <t>C9J0A7</t>
  </si>
  <si>
    <t>C9J0K6</t>
  </si>
  <si>
    <t>C9J123</t>
  </si>
  <si>
    <t>C9J1C6</t>
  </si>
  <si>
    <t>C9J212</t>
  </si>
  <si>
    <t>C9J2P9</t>
  </si>
  <si>
    <t>C9J2V2</t>
  </si>
  <si>
    <t>C9J406</t>
  </si>
  <si>
    <t>C9J4M6</t>
  </si>
  <si>
    <t>C9J4W5</t>
  </si>
  <si>
    <t>C9J5C3</t>
  </si>
  <si>
    <t>C9J6H2</t>
  </si>
  <si>
    <t>C9J712</t>
  </si>
  <si>
    <t>C9J815</t>
  </si>
  <si>
    <t>C9J8B8</t>
  </si>
  <si>
    <t>C9J9K3</t>
  </si>
  <si>
    <t>C9JAV3</t>
  </si>
  <si>
    <t>C9JAX1</t>
  </si>
  <si>
    <t>C9JB56</t>
  </si>
  <si>
    <t>C9JBI3</t>
  </si>
  <si>
    <t>C9JBJ6</t>
  </si>
  <si>
    <t>C9JE98</t>
  </si>
  <si>
    <t>C9JEL3</t>
  </si>
  <si>
    <t>C9JFE4</t>
  </si>
  <si>
    <t>C9JFR9</t>
  </si>
  <si>
    <t>C9JG87</t>
  </si>
  <si>
    <t>C9JG97</t>
  </si>
  <si>
    <t>C9JGB2</t>
  </si>
  <si>
    <t>C9JIK8</t>
  </si>
  <si>
    <t>C9JLV4</t>
  </si>
  <si>
    <t>C9JMG3</t>
  </si>
  <si>
    <t>C9JNE2</t>
  </si>
  <si>
    <t>C9JQ41</t>
  </si>
  <si>
    <t>C9JQB1</t>
  </si>
  <si>
    <t>C9JQD1</t>
  </si>
  <si>
    <t>C9JQD4</t>
  </si>
  <si>
    <t>C9JQV3</t>
  </si>
  <si>
    <t>C9JSG1</t>
  </si>
  <si>
    <t>C9JTA6</t>
  </si>
  <si>
    <t>C9JTW6</t>
  </si>
  <si>
    <t>C9JUH3</t>
  </si>
  <si>
    <t>C9JVN9</t>
  </si>
  <si>
    <t>C9JVR1</t>
  </si>
  <si>
    <t>C9JW69</t>
  </si>
  <si>
    <t>C9JXK0</t>
  </si>
  <si>
    <t>C9JXK9</t>
  </si>
  <si>
    <t>C9JYK5</t>
  </si>
  <si>
    <t>C9JYM0</t>
  </si>
  <si>
    <t>C9JZP6</t>
  </si>
  <si>
    <t>C9JZY6</t>
  </si>
  <si>
    <t>D3DR31</t>
  </si>
  <si>
    <t>D3YHP0</t>
  </si>
  <si>
    <t>D3YTE0</t>
  </si>
  <si>
    <t>D6R954</t>
  </si>
  <si>
    <t>D6R966</t>
  </si>
  <si>
    <t>D6R9D6</t>
  </si>
  <si>
    <t>D6R9G1</t>
  </si>
  <si>
    <t>D6R9P3</t>
  </si>
  <si>
    <t>D6RAL3</t>
  </si>
  <si>
    <t>D6RB01</t>
  </si>
  <si>
    <t>D6RB81</t>
  </si>
  <si>
    <t>D6RBN5</t>
  </si>
  <si>
    <t>D6RBV0</t>
  </si>
  <si>
    <t>D6RBV2</t>
  </si>
  <si>
    <t>D6RC71</t>
  </si>
  <si>
    <t>D6RCD0</t>
  </si>
  <si>
    <t>D6RD17</t>
  </si>
  <si>
    <t>D6REA0</t>
  </si>
  <si>
    <t>D6REX5</t>
  </si>
  <si>
    <t>D6RF92</t>
  </si>
  <si>
    <t>D6RGI3</t>
  </si>
  <si>
    <t>D6RGK9</t>
  </si>
  <si>
    <t>D6RHI7</t>
  </si>
  <si>
    <t>D6RHI9</t>
  </si>
  <si>
    <t>E2QRD5</t>
  </si>
  <si>
    <t>E5RFZ0</t>
  </si>
  <si>
    <t>E5RGQ3</t>
  </si>
  <si>
    <t>E5RGX5</t>
  </si>
  <si>
    <t>E5RHG8</t>
  </si>
  <si>
    <t>E5RHY8</t>
  </si>
  <si>
    <t>E5RI99</t>
  </si>
  <si>
    <t>E5RJ08</t>
  </si>
  <si>
    <t>E5RJ68</t>
  </si>
  <si>
    <t>E5RJB8</t>
  </si>
  <si>
    <t>E5RJD2</t>
  </si>
  <si>
    <t>E5RJR5</t>
  </si>
  <si>
    <t>E7EM64</t>
  </si>
  <si>
    <t>E7EM82</t>
  </si>
  <si>
    <t>E7EMM4</t>
  </si>
  <si>
    <t>E7EMV7</t>
  </si>
  <si>
    <t>E7EMZ9</t>
  </si>
  <si>
    <t>E7EN68</t>
  </si>
  <si>
    <t>E7END2</t>
  </si>
  <si>
    <t>E7ENN3</t>
  </si>
  <si>
    <t>E7EPD0</t>
  </si>
  <si>
    <t>E7EPL4</t>
  </si>
  <si>
    <t>E7EQ69</t>
  </si>
  <si>
    <t>E7EQA9</t>
  </si>
  <si>
    <t>E7EQB9</t>
  </si>
  <si>
    <t>E7EQT4</t>
  </si>
  <si>
    <t>E7EQV9</t>
  </si>
  <si>
    <t>E7ERH1</t>
  </si>
  <si>
    <t>E7ES08</t>
  </si>
  <si>
    <t>E7ESS4</t>
  </si>
  <si>
    <t>E7ESU4</t>
  </si>
  <si>
    <t>E7ET15</t>
  </si>
  <si>
    <t>E7ETA6</t>
  </si>
  <si>
    <t>E7ETD6</t>
  </si>
  <si>
    <t>E7ETU5</t>
  </si>
  <si>
    <t>E7ETZ4</t>
  </si>
  <si>
    <t>E7EU96</t>
  </si>
  <si>
    <t>E7EUL7</t>
  </si>
  <si>
    <t>E7EUY0</t>
  </si>
  <si>
    <t>E7EV62</t>
  </si>
  <si>
    <t>E7EVD1</t>
  </si>
  <si>
    <t>E7EVG2</t>
  </si>
  <si>
    <t>E7EVJ5</t>
  </si>
  <si>
    <t>E7EVX9</t>
  </si>
  <si>
    <t>E7EW69</t>
  </si>
  <si>
    <t>E7EW80</t>
  </si>
  <si>
    <t>E7EW84</t>
  </si>
  <si>
    <t>E7EWG4</t>
  </si>
  <si>
    <t>E7EX83</t>
  </si>
  <si>
    <t>E9PAR5</t>
  </si>
  <si>
    <t>E9PB09</t>
  </si>
  <si>
    <t>E9PB14</t>
  </si>
  <si>
    <t>E9PB51</t>
  </si>
  <si>
    <t>E9PBK6</t>
  </si>
  <si>
    <t>E9PBL8</t>
  </si>
  <si>
    <t>E9PC74</t>
  </si>
  <si>
    <t>E9PCG9</t>
  </si>
  <si>
    <t>E9PCJ7</t>
  </si>
  <si>
    <t>E9PCS8</t>
  </si>
  <si>
    <t>E9PCY7</t>
  </si>
  <si>
    <t>E9PDC3</t>
  </si>
  <si>
    <t>E9PE72</t>
  </si>
  <si>
    <t>E9PE75</t>
  </si>
  <si>
    <t>E9PEG3</t>
  </si>
  <si>
    <t>E9PEZ3</t>
  </si>
  <si>
    <t>E9PF10</t>
  </si>
  <si>
    <t>E9PF19</t>
  </si>
  <si>
    <t>E9PFC1</t>
  </si>
  <si>
    <t>E9PFD7</t>
  </si>
  <si>
    <t>E9PFK5</t>
  </si>
  <si>
    <t>E9PFR3</t>
  </si>
  <si>
    <t>E9PG46</t>
  </si>
  <si>
    <t>E9PGF5</t>
  </si>
  <si>
    <t>E9PGF9</t>
  </si>
  <si>
    <t>E9PGM7</t>
  </si>
  <si>
    <t>E9PGT1</t>
  </si>
  <si>
    <t>E9PH29</t>
  </si>
  <si>
    <t>E9PHH9</t>
  </si>
  <si>
    <t>E9PHK0</t>
  </si>
  <si>
    <t>E9PHM2</t>
  </si>
  <si>
    <t>E9PHY8</t>
  </si>
  <si>
    <t>E9PIB9</t>
  </si>
  <si>
    <t>E9PIC2</t>
  </si>
  <si>
    <t>E9PIR7</t>
  </si>
  <si>
    <t>E9PIV9</t>
  </si>
  <si>
    <t>E9PJ24</t>
  </si>
  <si>
    <t>E9PJ81</t>
  </si>
  <si>
    <t>E9PJB2</t>
  </si>
  <si>
    <t>E9PJD7</t>
  </si>
  <si>
    <t>E9PJH1</t>
  </si>
  <si>
    <t>E9PK01</t>
  </si>
  <si>
    <t>E9PK67</t>
  </si>
  <si>
    <t>E9PKB0</t>
  </si>
  <si>
    <t>E9PKC0</t>
  </si>
  <si>
    <t>E9PKF3</t>
  </si>
  <si>
    <t>E9PKG1</t>
  </si>
  <si>
    <t>E9PKV8</t>
  </si>
  <si>
    <t>E9PKY5</t>
  </si>
  <si>
    <t>E9PL22</t>
  </si>
  <si>
    <t>E9PL24</t>
  </si>
  <si>
    <t>E9PL57</t>
  </si>
  <si>
    <t>E9PLD2</t>
  </si>
  <si>
    <t>E9PLD3</t>
  </si>
  <si>
    <t>E9PLK3</t>
  </si>
  <si>
    <t>E9PM46</t>
  </si>
  <si>
    <t>E9PM92</t>
  </si>
  <si>
    <t>E9PMI6</t>
  </si>
  <si>
    <t>E9PMS6</t>
  </si>
  <si>
    <t>E9PNC7</t>
  </si>
  <si>
    <t>E9PNK6</t>
  </si>
  <si>
    <t>E9PNN3</t>
  </si>
  <si>
    <t>E9PNU4</t>
  </si>
  <si>
    <t>E9PP36</t>
  </si>
  <si>
    <t>E9PP68</t>
  </si>
  <si>
    <t>E9PPR2</t>
  </si>
  <si>
    <t>E9PQ38</t>
  </si>
  <si>
    <t>E9PQ47</t>
  </si>
  <si>
    <t>E9PQ74</t>
  </si>
  <si>
    <t>E9PQD0</t>
  </si>
  <si>
    <t>E9PQR7</t>
  </si>
  <si>
    <t>E9PQW4</t>
  </si>
  <si>
    <t>E9PQY3</t>
  </si>
  <si>
    <t>E9PR76</t>
  </si>
  <si>
    <t>E9PRD9</t>
  </si>
  <si>
    <t>E9PRE7</t>
  </si>
  <si>
    <t>E9PRF4</t>
  </si>
  <si>
    <t>E9PRI4</t>
  </si>
  <si>
    <t>E9PRR7</t>
  </si>
  <si>
    <t>F2Z2E1</t>
  </si>
  <si>
    <t>F2Z2I2</t>
  </si>
  <si>
    <t>F2Z2T2</t>
  </si>
  <si>
    <t>F2Z2V0</t>
  </si>
  <si>
    <t>F2Z2X4</t>
  </si>
  <si>
    <t>F2Z3K9</t>
  </si>
  <si>
    <t>F2Z3M0</t>
  </si>
  <si>
    <t>F5GWI4</t>
  </si>
  <si>
    <t>F5GWI9</t>
  </si>
  <si>
    <t>F5GWP8</t>
  </si>
  <si>
    <t>F5GWT4</t>
  </si>
  <si>
    <t>F5GWU7</t>
  </si>
  <si>
    <t>F5GWX5</t>
  </si>
  <si>
    <t>F5GX77</t>
  </si>
  <si>
    <t>F5GXC8</t>
  </si>
  <si>
    <t>F5GXJ9</t>
  </si>
  <si>
    <t>F5GXU7</t>
  </si>
  <si>
    <t>F5GY03</t>
  </si>
  <si>
    <t>F5GY80</t>
  </si>
  <si>
    <t>F5GYA2</t>
  </si>
  <si>
    <t>F5GYC4</t>
  </si>
  <si>
    <t>F5GYJ5</t>
  </si>
  <si>
    <t>F5GYK2</t>
  </si>
  <si>
    <t>F5GYN4</t>
  </si>
  <si>
    <t>F5GZ54</t>
  </si>
  <si>
    <t>F5GZY0</t>
  </si>
  <si>
    <t>F5GZZ9</t>
  </si>
  <si>
    <t>F5H012</t>
  </si>
  <si>
    <t>F5H0C8</t>
  </si>
  <si>
    <t>F5H0E9</t>
  </si>
  <si>
    <t>F5H0L8</t>
  </si>
  <si>
    <t>F5H157</t>
  </si>
  <si>
    <t>F5H1L4</t>
  </si>
  <si>
    <t>F5H1S8</t>
  </si>
  <si>
    <t>F5H1X8</t>
  </si>
  <si>
    <t>F5H1Z6</t>
  </si>
  <si>
    <t>F5H2B9</t>
  </si>
  <si>
    <t>F5H2Q7</t>
  </si>
  <si>
    <t>F5H2U2</t>
  </si>
  <si>
    <t>F5H2X0</t>
  </si>
  <si>
    <t>F5H335</t>
  </si>
  <si>
    <t>F5H365</t>
  </si>
  <si>
    <t>F5H442</t>
  </si>
  <si>
    <t>F5H4F1</t>
  </si>
  <si>
    <t>F5H4G7</t>
  </si>
  <si>
    <t>F5H4J2</t>
  </si>
  <si>
    <t>F5H4R2</t>
  </si>
  <si>
    <t>F5H4S0</t>
  </si>
  <si>
    <t>F5H5C2</t>
  </si>
  <si>
    <t>F5H604</t>
  </si>
  <si>
    <t>F5H658</t>
  </si>
  <si>
    <t>F5H698</t>
  </si>
  <si>
    <t>F5H6G7</t>
  </si>
  <si>
    <t>F5H721</t>
  </si>
  <si>
    <t>F5H780</t>
  </si>
  <si>
    <t>F5H7F6</t>
  </si>
  <si>
    <t>F5H7X2</t>
  </si>
  <si>
    <t>F5H801</t>
  </si>
  <si>
    <t>F5H897</t>
  </si>
  <si>
    <t>F5H8B0</t>
  </si>
  <si>
    <t>F5H8D7</t>
  </si>
  <si>
    <t>F5H8F7</t>
  </si>
  <si>
    <t>F5H8H2</t>
  </si>
  <si>
    <t>F5H8H4</t>
  </si>
  <si>
    <t>F5H8L0</t>
  </si>
  <si>
    <t>F6RY50</t>
  </si>
  <si>
    <t>F6T1Q0</t>
  </si>
  <si>
    <t>F6TQG2</t>
  </si>
  <si>
    <t>F6U1T9</t>
  </si>
  <si>
    <t>F6XY72</t>
  </si>
  <si>
    <t>F8VPD4</t>
  </si>
  <si>
    <t>F8VQR7</t>
  </si>
  <si>
    <t>F8VQX6</t>
  </si>
  <si>
    <t>F8VRD9</t>
  </si>
  <si>
    <t>F8VSL3</t>
  </si>
  <si>
    <t>F8VU65</t>
  </si>
  <si>
    <t>F8VUA6</t>
  </si>
  <si>
    <t>F8VVA0</t>
  </si>
  <si>
    <t>F8VVM2</t>
  </si>
  <si>
    <t>F8VVX6</t>
  </si>
  <si>
    <t>F8VWA6</t>
  </si>
  <si>
    <t>F8VWL3</t>
  </si>
  <si>
    <t>F8VXY3</t>
  </si>
  <si>
    <t>F8VZJ2</t>
  </si>
  <si>
    <t>F8W038</t>
  </si>
  <si>
    <t>F8W0J4</t>
  </si>
  <si>
    <t>F8W118</t>
  </si>
  <si>
    <t>F8W1A4</t>
  </si>
  <si>
    <t>F8W1Q3</t>
  </si>
  <si>
    <t>F8W1R7</t>
  </si>
  <si>
    <t>F8W6D9</t>
  </si>
  <si>
    <t>F8W6W2</t>
  </si>
  <si>
    <t>F8W720</t>
  </si>
  <si>
    <t>F8W785</t>
  </si>
  <si>
    <t>F8W7F7</t>
  </si>
  <si>
    <t>F8W7U3</t>
  </si>
  <si>
    <t>F8W8I6</t>
  </si>
  <si>
    <t>F8W8M3</t>
  </si>
  <si>
    <t>F8W8M4</t>
  </si>
  <si>
    <t>F8W914</t>
  </si>
  <si>
    <t>F8W9I4</t>
  </si>
  <si>
    <t>F8W9X7</t>
  </si>
  <si>
    <t>F8WAK8</t>
  </si>
  <si>
    <t>F8WBL2</t>
  </si>
  <si>
    <t>F8WCC1</t>
  </si>
  <si>
    <t>F8WCM7</t>
  </si>
  <si>
    <t>F8WDV0</t>
  </si>
  <si>
    <t>F8WEE4</t>
  </si>
  <si>
    <t>F8WF49</t>
  </si>
  <si>
    <t>F8WJN3</t>
  </si>
  <si>
    <t>G3V0E8</t>
  </si>
  <si>
    <t>G3V169</t>
  </si>
  <si>
    <t>G3V1P3</t>
  </si>
  <si>
    <t>G3V1Y8</t>
  </si>
  <si>
    <t>G3V238</t>
  </si>
  <si>
    <t>G3V2T6</t>
  </si>
  <si>
    <t>G3V2U7</t>
  </si>
  <si>
    <t>G3V357</t>
  </si>
  <si>
    <t>G3V3D2</t>
  </si>
  <si>
    <t>G3V3G9</t>
  </si>
  <si>
    <t>G3V3R7</t>
  </si>
  <si>
    <t>G3V4C1</t>
  </si>
  <si>
    <t>G3V4J7</t>
  </si>
  <si>
    <t>G3V4S8</t>
  </si>
  <si>
    <t>G3V4W0</t>
  </si>
  <si>
    <t>G3V500</t>
  </si>
  <si>
    <t>G3V529</t>
  </si>
  <si>
    <t>G3V599</t>
  </si>
  <si>
    <t>G3V5E1</t>
  </si>
  <si>
    <t>G3V5T0</t>
  </si>
  <si>
    <t>G3V5V3</t>
  </si>
  <si>
    <t>G3XA91</t>
  </si>
  <si>
    <t>G3XAA0</t>
  </si>
  <si>
    <t>G3XAJ6</t>
  </si>
  <si>
    <t>G3XAK4</t>
  </si>
  <si>
    <t>G3XAL9</t>
  </si>
  <si>
    <t>G3XAM2</t>
  </si>
  <si>
    <t>G3XAN8</t>
  </si>
  <si>
    <t>G5E9C8</t>
  </si>
  <si>
    <t>G5E9N1</t>
  </si>
  <si>
    <t>G5E9U6</t>
  </si>
  <si>
    <t>G5E9W7</t>
  </si>
  <si>
    <t>G5E9X3</t>
  </si>
  <si>
    <t>G5EA02</t>
  </si>
  <si>
    <t>G5EA52</t>
  </si>
  <si>
    <t>G8JL86</t>
  </si>
  <si>
    <t>G8JLB3</t>
  </si>
  <si>
    <t>G8JLC6</t>
  </si>
  <si>
    <t>G8JLE5</t>
  </si>
  <si>
    <t>G8JLI5</t>
  </si>
  <si>
    <t>H0Y300</t>
  </si>
  <si>
    <t>H0Y304</t>
  </si>
  <si>
    <t>H0Y320</t>
  </si>
  <si>
    <t>H0Y3A0</t>
  </si>
  <si>
    <t>H0Y3P2</t>
  </si>
  <si>
    <t>H0Y3V3</t>
  </si>
  <si>
    <t>H0Y465</t>
  </si>
  <si>
    <t>H0Y4R1</t>
  </si>
  <si>
    <t>H0Y5G7</t>
  </si>
  <si>
    <t>H0Y612</t>
  </si>
  <si>
    <t>H0Y614</t>
  </si>
  <si>
    <t>H0Y6A0</t>
  </si>
  <si>
    <t>H0Y6C3</t>
  </si>
  <si>
    <t>H0Y6I0</t>
  </si>
  <si>
    <t>H0Y7P1</t>
  </si>
  <si>
    <t>H0Y7U4</t>
  </si>
  <si>
    <t>H0Y8L5</t>
  </si>
  <si>
    <t>H0Y9C8</t>
  </si>
  <si>
    <t>H0Y9D7</t>
  </si>
  <si>
    <t>H0YA52</t>
  </si>
  <si>
    <t>H0YA68</t>
  </si>
  <si>
    <t>H0YAJ5</t>
  </si>
  <si>
    <t>H0YAL7</t>
  </si>
  <si>
    <t>H0YAT2</t>
  </si>
  <si>
    <t>H0YBE8</t>
  </si>
  <si>
    <t>H0YBY0</t>
  </si>
  <si>
    <t>H0YBZ4</t>
  </si>
  <si>
    <t>H0YBZ9</t>
  </si>
  <si>
    <t>H0YCU9</t>
  </si>
  <si>
    <t>H0YDQ3</t>
  </si>
  <si>
    <t>H0YDU8</t>
  </si>
  <si>
    <t>H0YE28</t>
  </si>
  <si>
    <t>H0YEB6</t>
  </si>
  <si>
    <t>H0YEG5</t>
  </si>
  <si>
    <t>H0YEH2</t>
  </si>
  <si>
    <t>H0YEN5</t>
  </si>
  <si>
    <t>H0YEP5</t>
  </si>
  <si>
    <t>H0YER1</t>
  </si>
  <si>
    <t>H0YFI1</t>
  </si>
  <si>
    <t>H0YG38</t>
  </si>
  <si>
    <t>H0YGR4</t>
  </si>
  <si>
    <t>H0YGX7</t>
  </si>
  <si>
    <t>H0YH69</t>
  </si>
  <si>
    <t>H0YI02</t>
  </si>
  <si>
    <t>H0YJV3</t>
  </si>
  <si>
    <t>H0YKF0</t>
  </si>
  <si>
    <t>H0YLA4</t>
  </si>
  <si>
    <t>H0YLB5</t>
  </si>
  <si>
    <t>H0YLN8</t>
  </si>
  <si>
    <t>H0YM11</t>
  </si>
  <si>
    <t>H0YM23</t>
  </si>
  <si>
    <t>H0YM74</t>
  </si>
  <si>
    <t>H0YMB0</t>
  </si>
  <si>
    <t>H0YMB1</t>
  </si>
  <si>
    <t>H0YMB3</t>
  </si>
  <si>
    <t>H0YMM7</t>
  </si>
  <si>
    <t>H0YN78</t>
  </si>
  <si>
    <t>H0YN81</t>
  </si>
  <si>
    <t>H0YNE9</t>
  </si>
  <si>
    <t>H0YNU5</t>
  </si>
  <si>
    <t>H3BLU7</t>
  </si>
  <si>
    <t>H3BM67</t>
  </si>
  <si>
    <t>H3BMM5</t>
  </si>
  <si>
    <t>H3BND3</t>
  </si>
  <si>
    <t>H3BNU9</t>
  </si>
  <si>
    <t>H3BPB8</t>
  </si>
  <si>
    <t>H3BPE1</t>
  </si>
  <si>
    <t>H3BPZ6</t>
  </si>
  <si>
    <t>H3BQ52</t>
  </si>
  <si>
    <t>H3BQ58</t>
  </si>
  <si>
    <t>H3BQP5</t>
  </si>
  <si>
    <t>H3BQV3</t>
  </si>
  <si>
    <t>H3BQZ7</t>
  </si>
  <si>
    <t>H3BR03</t>
  </si>
  <si>
    <t>H3BR95</t>
  </si>
  <si>
    <t>H3BRF9</t>
  </si>
  <si>
    <t>H3BRG4</t>
  </si>
  <si>
    <t>H3BRL3</t>
  </si>
  <si>
    <t>H3BRQ0</t>
  </si>
  <si>
    <t>H3BRQ8</t>
  </si>
  <si>
    <t>H3BRT1</t>
  </si>
  <si>
    <t>H3BRV0</t>
  </si>
  <si>
    <t>H3BTA2</t>
  </si>
  <si>
    <t>H3BTB7</t>
  </si>
  <si>
    <t>H3BTL2</t>
  </si>
  <si>
    <t>H3BU49</t>
  </si>
  <si>
    <t>H3BUU5</t>
  </si>
  <si>
    <t>H3BV16</t>
  </si>
  <si>
    <t>H7BXH2</t>
  </si>
  <si>
    <t>H7BXV2</t>
  </si>
  <si>
    <t>H7BXV5</t>
  </si>
  <si>
    <t>H7BYD0</t>
  </si>
  <si>
    <t>H7BYY1</t>
  </si>
  <si>
    <t>H7BZ00</t>
  </si>
  <si>
    <t>H7BZJ3</t>
  </si>
  <si>
    <t>H7BZL0</t>
  </si>
  <si>
    <t>H7C0E5</t>
  </si>
  <si>
    <t>H7C0G7</t>
  </si>
  <si>
    <t>H7C0I1</t>
  </si>
  <si>
    <t>H7C0V9</t>
  </si>
  <si>
    <t>H7C0Y4</t>
  </si>
  <si>
    <t>H7C1I7</t>
  </si>
  <si>
    <t>H7C1J4</t>
  </si>
  <si>
    <t>H7C1U3</t>
  </si>
  <si>
    <t>H7C1V3</t>
  </si>
  <si>
    <t>H7C2B1</t>
  </si>
  <si>
    <t>H7C2G2</t>
  </si>
  <si>
    <t>H7C2Z6</t>
  </si>
  <si>
    <t>H7C331</t>
  </si>
  <si>
    <t>H7C3D5</t>
  </si>
  <si>
    <t>H7C3G7</t>
  </si>
  <si>
    <t>H7C3P4</t>
  </si>
  <si>
    <t>H7C3T2</t>
  </si>
  <si>
    <t>H7C462</t>
  </si>
  <si>
    <t>H7C4T5</t>
  </si>
  <si>
    <t>H7C4Y3</t>
  </si>
  <si>
    <t>H7C5G1</t>
  </si>
  <si>
    <t>I3L097</t>
  </si>
  <si>
    <t>I3L0A5</t>
  </si>
  <si>
    <t>I3L0H8</t>
  </si>
  <si>
    <t>I3L0K7</t>
  </si>
  <si>
    <t>I3L1H5</t>
  </si>
  <si>
    <t>I3L1K7</t>
  </si>
  <si>
    <t>I3L2B0</t>
  </si>
  <si>
    <t>I3L2J0</t>
  </si>
  <si>
    <t>I3L2L5</t>
  </si>
  <si>
    <t>I3L397</t>
  </si>
  <si>
    <t>I3L3G9</t>
  </si>
  <si>
    <t>I3L3P7</t>
  </si>
  <si>
    <t>I3L4B1</t>
  </si>
  <si>
    <t>I3L4C3</t>
  </si>
  <si>
    <t>I3L4X3</t>
  </si>
  <si>
    <t>I3L4X7</t>
  </si>
  <si>
    <t>I3L521</t>
  </si>
  <si>
    <t>J3KMY5</t>
  </si>
  <si>
    <t>J3KN29</t>
  </si>
  <si>
    <t>J3KN66</t>
  </si>
  <si>
    <t>J3KN75</t>
  </si>
  <si>
    <t>J3KN93</t>
  </si>
  <si>
    <t>J3KNC0</t>
  </si>
  <si>
    <t>J3KND1</t>
  </si>
  <si>
    <t>J3KNE2</t>
  </si>
  <si>
    <t>J3KNF4</t>
  </si>
  <si>
    <t>J3KNL6</t>
  </si>
  <si>
    <t>J3KNN7</t>
  </si>
  <si>
    <t>J3KP15</t>
  </si>
  <si>
    <t>J3KP19</t>
  </si>
  <si>
    <t>J3KP30</t>
  </si>
  <si>
    <t>J3KP36</t>
  </si>
  <si>
    <t>J3KPS2</t>
  </si>
  <si>
    <t>J3KPV7</t>
  </si>
  <si>
    <t>J3KQ34</t>
  </si>
  <si>
    <t>J3KQ72</t>
  </si>
  <si>
    <t>J3KQG4</t>
  </si>
  <si>
    <t>J3KQS6</t>
  </si>
  <si>
    <t>J3KRP0</t>
  </si>
  <si>
    <t>J3KRR7</t>
  </si>
  <si>
    <t>J3KS05</t>
  </si>
  <si>
    <t>J3KS94</t>
  </si>
  <si>
    <t>J3KSS7</t>
  </si>
  <si>
    <t>J3KSZ8</t>
  </si>
  <si>
    <t>J3KT51</t>
  </si>
  <si>
    <t>J3KTJ8</t>
  </si>
  <si>
    <t>J3KTN0</t>
  </si>
  <si>
    <t>J3QKS7</t>
  </si>
  <si>
    <t>J3QL56</t>
  </si>
  <si>
    <t>J3QLE5</t>
  </si>
  <si>
    <t>J3QLP3</t>
  </si>
  <si>
    <t>J3QLP6</t>
  </si>
  <si>
    <t>J3QLU0</t>
  </si>
  <si>
    <t>J3QQJ5</t>
  </si>
  <si>
    <t>J3QQT2</t>
  </si>
  <si>
    <t>J3QQU4</t>
  </si>
  <si>
    <t>J3QQX3</t>
  </si>
  <si>
    <t>J3QR09</t>
  </si>
  <si>
    <t>J3QRD1</t>
  </si>
  <si>
    <t>J3QRK2</t>
  </si>
  <si>
    <t>J3QSE5</t>
  </si>
  <si>
    <t>J3QSV6</t>
  </si>
  <si>
    <t>J3QSY4</t>
  </si>
  <si>
    <t>J3QSY7</t>
  </si>
  <si>
    <t>J9JIC5</t>
  </si>
  <si>
    <t>J9JIE0</t>
  </si>
  <si>
    <t>J9JIE9</t>
  </si>
  <si>
    <t>K4DI92</t>
  </si>
  <si>
    <t>K7EIE8</t>
  </si>
  <si>
    <t>K7EIG1</t>
  </si>
  <si>
    <t>K7EIU8</t>
  </si>
  <si>
    <t>K7EIV9</t>
  </si>
  <si>
    <t>K7EJ05</t>
  </si>
  <si>
    <t>K7EJB9</t>
  </si>
  <si>
    <t>K7EJG0</t>
  </si>
  <si>
    <t>K7EJH8</t>
  </si>
  <si>
    <t>K7EK06</t>
  </si>
  <si>
    <t>K7EK07</t>
  </si>
  <si>
    <t>K7EK11</t>
  </si>
  <si>
    <t>K7EKE6</t>
  </si>
  <si>
    <t>K7EL68</t>
  </si>
  <si>
    <t>K7ELL7</t>
  </si>
  <si>
    <t>K7EM02</t>
  </si>
  <si>
    <t>K7EM09</t>
  </si>
  <si>
    <t>K7EM11</t>
  </si>
  <si>
    <t>K7EME0</t>
  </si>
  <si>
    <t>K7EMS3</t>
  </si>
  <si>
    <t>K7EN05</t>
  </si>
  <si>
    <t>K7ENL9</t>
  </si>
  <si>
    <t>K7ENR6</t>
  </si>
  <si>
    <t>K7ENT8</t>
  </si>
  <si>
    <t>K7ENY9</t>
  </si>
  <si>
    <t>K7EP80</t>
  </si>
  <si>
    <t>K7EQD9</t>
  </si>
  <si>
    <t>K7ER46</t>
  </si>
  <si>
    <t>K7ERI9</t>
  </si>
  <si>
    <t>K7ES31</t>
  </si>
  <si>
    <t>K7ESE3</t>
  </si>
  <si>
    <t>M0QWZ7</t>
  </si>
  <si>
    <t>M0QX35</t>
  </si>
  <si>
    <t>M0QXL5</t>
  </si>
  <si>
    <t>M0QYH2</t>
  </si>
  <si>
    <t>M0QZC7</t>
  </si>
  <si>
    <t>M0QZE0</t>
  </si>
  <si>
    <t>M0R0B4</t>
  </si>
  <si>
    <t>M0R0F0</t>
  </si>
  <si>
    <t>M0R210</t>
  </si>
  <si>
    <t>M0R2L9</t>
  </si>
  <si>
    <t>M0R3D4</t>
  </si>
  <si>
    <t>M0R3H3</t>
  </si>
  <si>
    <t>O95205</t>
  </si>
  <si>
    <t>Q17RU2</t>
  </si>
  <si>
    <t>Q2TAM5</t>
  </si>
  <si>
    <t>Q32N00</t>
  </si>
  <si>
    <t>Q567Q0</t>
  </si>
  <si>
    <t>Q5H8W9</t>
  </si>
  <si>
    <t>Q5H937</t>
  </si>
  <si>
    <t>Q5HY54</t>
  </si>
  <si>
    <t>Q5JB52</t>
  </si>
  <si>
    <t>Q5JP53</t>
  </si>
  <si>
    <t>Q5JR08</t>
  </si>
  <si>
    <t>Q5JSK9</t>
  </si>
  <si>
    <t>Q5JTV1</t>
  </si>
  <si>
    <t>Q5JW30</t>
  </si>
  <si>
    <t>Q5JW53</t>
  </si>
  <si>
    <t>Q5JXX2</t>
  </si>
  <si>
    <t>Q5QNY5</t>
  </si>
  <si>
    <t>Q5QPL9</t>
  </si>
  <si>
    <t>Q5QPM7</t>
  </si>
  <si>
    <t>Q5SSZ3</t>
  </si>
  <si>
    <t>Q5SZC6</t>
  </si>
  <si>
    <t>Q5T123</t>
  </si>
  <si>
    <t>Q5T179</t>
  </si>
  <si>
    <t>Q5T4K5</t>
  </si>
  <si>
    <t>Q5T6K7</t>
  </si>
  <si>
    <t>Q5T7A4</t>
  </si>
  <si>
    <t>Q5T985</t>
  </si>
  <si>
    <t>Q5TA04</t>
  </si>
  <si>
    <t>Q5TA58</t>
  </si>
  <si>
    <t>Q5TAQ0</t>
  </si>
  <si>
    <t>Q5TAW7</t>
  </si>
  <si>
    <t>Q5TBP5</t>
  </si>
  <si>
    <t>Q5TBP9</t>
  </si>
  <si>
    <t>Q5TCT4</t>
  </si>
  <si>
    <t>Q5TCW7</t>
  </si>
  <si>
    <t>Q5TIJ2</t>
  </si>
  <si>
    <t>Q5VTI5</t>
  </si>
  <si>
    <t>Q5VTU3</t>
  </si>
  <si>
    <t>Q5VU58</t>
  </si>
  <si>
    <t>Q5VW52</t>
  </si>
  <si>
    <t>Q5VZM0</t>
  </si>
  <si>
    <t>Q5W125</t>
  </si>
  <si>
    <t>Q64EX5</t>
  </si>
  <si>
    <t>Q6ICJ4</t>
  </si>
  <si>
    <t>Q6NZ53</t>
  </si>
  <si>
    <t>Q6P275</t>
  </si>
  <si>
    <t>Q6PIR0</t>
  </si>
  <si>
    <t>Q71TU5</t>
  </si>
  <si>
    <t>Q7Z721</t>
  </si>
  <si>
    <t>Q86UY0</t>
  </si>
  <si>
    <t>Q86V84</t>
  </si>
  <si>
    <t>Q86VQ2</t>
  </si>
  <si>
    <t>Q8IYN9</t>
  </si>
  <si>
    <t>Q8N749</t>
  </si>
  <si>
    <t>Q8NBY1</t>
  </si>
  <si>
    <t>Q8NEC6</t>
  </si>
  <si>
    <t>Q8WVC2</t>
  </si>
  <si>
    <t>Q8WYQ7</t>
  </si>
  <si>
    <t>Q96G53</t>
  </si>
  <si>
    <t>Q9H6Y6</t>
  </si>
  <si>
    <t>Q9H9M6</t>
  </si>
  <si>
    <t>Q9UII8</t>
  </si>
  <si>
    <t>R4GMN1</t>
  </si>
  <si>
    <t>R4GMR5</t>
  </si>
  <si>
    <t>R4GMU8</t>
  </si>
  <si>
    <t>R4GMX3</t>
  </si>
  <si>
    <t>R4GN55</t>
  </si>
  <si>
    <t>R4GN72</t>
  </si>
  <si>
    <t>R4GN98</t>
  </si>
  <si>
    <t>R4GNB2</t>
  </si>
  <si>
    <t>R4GNH3</t>
  </si>
  <si>
    <t>R4GNH9</t>
  </si>
  <si>
    <t>UBA6</t>
  </si>
  <si>
    <t>UHRF1BP1L</t>
  </si>
  <si>
    <t>KIAA1598</t>
  </si>
  <si>
    <t>ILVBL</t>
  </si>
  <si>
    <t>C1orf226</t>
  </si>
  <si>
    <t>C17orf89</t>
  </si>
  <si>
    <t>SH3PXD2B</t>
  </si>
  <si>
    <t>MACROD2</t>
  </si>
  <si>
    <t>TYW5</t>
  </si>
  <si>
    <t>FUOM</t>
  </si>
  <si>
    <t>VWA8</t>
  </si>
  <si>
    <t>SBNO1</t>
  </si>
  <si>
    <t>ISPD</t>
  </si>
  <si>
    <t>WDR91</t>
  </si>
  <si>
    <t>TRAPPC13</t>
  </si>
  <si>
    <t>CNOT1</t>
  </si>
  <si>
    <t>ARHGEF35</t>
  </si>
  <si>
    <t>FAM83G</t>
  </si>
  <si>
    <t>ASPDH</t>
  </si>
  <si>
    <t>PALM3</t>
  </si>
  <si>
    <t>PGP</t>
  </si>
  <si>
    <t>C5orf51</t>
  </si>
  <si>
    <t>RCCD1</t>
  </si>
  <si>
    <t>SOWAHB</t>
  </si>
  <si>
    <t>SDHAF1</t>
  </si>
  <si>
    <t>FBLL1</t>
  </si>
  <si>
    <t>UNC119B</t>
  </si>
  <si>
    <t>GLOD5</t>
  </si>
  <si>
    <t>LIPT2</t>
  </si>
  <si>
    <t>CCDC85C</t>
  </si>
  <si>
    <t>PCP4L1</t>
  </si>
  <si>
    <t>TTC36</t>
  </si>
  <si>
    <t>LYRM9</t>
  </si>
  <si>
    <t>NUDT19</t>
  </si>
  <si>
    <t>FHAD1</t>
  </si>
  <si>
    <t>ESPN</t>
  </si>
  <si>
    <t>PPP1R3G</t>
  </si>
  <si>
    <t>IGLL5</t>
  </si>
  <si>
    <t>WASH3P</t>
  </si>
  <si>
    <t>INS-IGF2</t>
  </si>
  <si>
    <t>AGPS</t>
  </si>
  <si>
    <t>UBXN8</t>
  </si>
  <si>
    <t>KIF2A</t>
  </si>
  <si>
    <t>TK2</t>
  </si>
  <si>
    <t>DDX39A</t>
  </si>
  <si>
    <t>PDLIM1</t>
  </si>
  <si>
    <t>ACOT7</t>
  </si>
  <si>
    <t>SNAP23</t>
  </si>
  <si>
    <t>AIP</t>
  </si>
  <si>
    <t>GTPBP1</t>
  </si>
  <si>
    <t>LGALS8</t>
  </si>
  <si>
    <t>PSMD11</t>
  </si>
  <si>
    <t>PSMD12</t>
  </si>
  <si>
    <t>ATOX1</t>
  </si>
  <si>
    <t>CBX4</t>
  </si>
  <si>
    <t>PGRMC1</t>
  </si>
  <si>
    <t>SUPT5H</t>
  </si>
  <si>
    <t>DFFA</t>
  </si>
  <si>
    <t>HIP1</t>
  </si>
  <si>
    <t>CLIC1</t>
  </si>
  <si>
    <t>DCTN6</t>
  </si>
  <si>
    <t>WASL</t>
  </si>
  <si>
    <t>IPO5</t>
  </si>
  <si>
    <t>DNM1L</t>
  </si>
  <si>
    <t>PIK3R2</t>
  </si>
  <si>
    <t>MANBA</t>
  </si>
  <si>
    <t>AGRN</t>
  </si>
  <si>
    <t>EXOC5</t>
  </si>
  <si>
    <t>HMGN4</t>
  </si>
  <si>
    <t>PSMD14</t>
  </si>
  <si>
    <t>BIN1</t>
  </si>
  <si>
    <t>KPNA3</t>
  </si>
  <si>
    <t>STK25</t>
  </si>
  <si>
    <t>LAD1</t>
  </si>
  <si>
    <t>KRIT1</t>
  </si>
  <si>
    <t>VWA5A</t>
  </si>
  <si>
    <t>MPHOSPH10</t>
  </si>
  <si>
    <t>NOP56</t>
  </si>
  <si>
    <t>DDX3X</t>
  </si>
  <si>
    <t>PIR</t>
  </si>
  <si>
    <t>KPNA4</t>
  </si>
  <si>
    <t>TRIM38</t>
  </si>
  <si>
    <t>NFIB</t>
  </si>
  <si>
    <t>PPP6C</t>
  </si>
  <si>
    <t>CES2</t>
  </si>
  <si>
    <t>MAN2B1</t>
  </si>
  <si>
    <t>FBP2</t>
  </si>
  <si>
    <t>ACACB</t>
  </si>
  <si>
    <t>PDXK</t>
  </si>
  <si>
    <t>ARID1A</t>
  </si>
  <si>
    <t>CDK2AP1</t>
  </si>
  <si>
    <t>TRAFD1</t>
  </si>
  <si>
    <t>NDUFAB1</t>
  </si>
  <si>
    <t>COPE</t>
  </si>
  <si>
    <t>AP3D1</t>
  </si>
  <si>
    <t>MLL2</t>
  </si>
  <si>
    <t>IMPA2</t>
  </si>
  <si>
    <t>MAP2K7</t>
  </si>
  <si>
    <t>ACOT8</t>
  </si>
  <si>
    <t>PDCD5</t>
  </si>
  <si>
    <t>PRMT5</t>
  </si>
  <si>
    <t>SLC9A3R1</t>
  </si>
  <si>
    <t>HSD17B6</t>
  </si>
  <si>
    <t>FPGT</t>
  </si>
  <si>
    <t>TPP1</t>
  </si>
  <si>
    <t>TCERG1</t>
  </si>
  <si>
    <t>TNPO2</t>
  </si>
  <si>
    <t>PSMA7</t>
  </si>
  <si>
    <t>SCAMP3</t>
  </si>
  <si>
    <t>PHYH</t>
  </si>
  <si>
    <t>OPLAH</t>
  </si>
  <si>
    <t>IFIT3</t>
  </si>
  <si>
    <t>IRF6</t>
  </si>
  <si>
    <t>HAT1</t>
  </si>
  <si>
    <t>UBE2L6</t>
  </si>
  <si>
    <t>CASK</t>
  </si>
  <si>
    <t>UQCRQ</t>
  </si>
  <si>
    <t>HGS</t>
  </si>
  <si>
    <t>PPP1R12A</t>
  </si>
  <si>
    <t>SLC27A2</t>
  </si>
  <si>
    <t>GAK</t>
  </si>
  <si>
    <t>HNRPDL</t>
  </si>
  <si>
    <t>XPO1</t>
  </si>
  <si>
    <t>BTAF1</t>
  </si>
  <si>
    <t>ZNF609</t>
  </si>
  <si>
    <t>SPTBN2</t>
  </si>
  <si>
    <t>MAST4</t>
  </si>
  <si>
    <t>PLXNB2</t>
  </si>
  <si>
    <t>KHNYN</t>
  </si>
  <si>
    <t>SETD1A</t>
  </si>
  <si>
    <t>SYNJ2</t>
  </si>
  <si>
    <t>PFAS</t>
  </si>
  <si>
    <t>ANKRD28</t>
  </si>
  <si>
    <t>ARHGEF11</t>
  </si>
  <si>
    <t>LSM1</t>
  </si>
  <si>
    <t>ARPC1B</t>
  </si>
  <si>
    <t>ARPC2</t>
  </si>
  <si>
    <t>ARPC3</t>
  </si>
  <si>
    <t>ZBTB7B</t>
  </si>
  <si>
    <t>TRIM24</t>
  </si>
  <si>
    <t>PGRMC2</t>
  </si>
  <si>
    <t>PFDN6</t>
  </si>
  <si>
    <t>GSTA4</t>
  </si>
  <si>
    <t>LAMA5</t>
  </si>
  <si>
    <t>CASC3</t>
  </si>
  <si>
    <t>CLIC2</t>
  </si>
  <si>
    <t>ACOX3</t>
  </si>
  <si>
    <t>OGT</t>
  </si>
  <si>
    <t>PMM2</t>
  </si>
  <si>
    <t>PPM1G</t>
  </si>
  <si>
    <t>INPPL1</t>
  </si>
  <si>
    <t>EIF3H</t>
  </si>
  <si>
    <t>HDAC3</t>
  </si>
  <si>
    <t>BCAT2</t>
  </si>
  <si>
    <t>IPO8</t>
  </si>
  <si>
    <t>STX7</t>
  </si>
  <si>
    <t>CCL16</t>
  </si>
  <si>
    <t>GYG2</t>
  </si>
  <si>
    <t>YKT6</t>
  </si>
  <si>
    <t>ARPC5</t>
  </si>
  <si>
    <t>POLR2D</t>
  </si>
  <si>
    <t>RNF113A</t>
  </si>
  <si>
    <t>DHX15</t>
  </si>
  <si>
    <t>RNMT</t>
  </si>
  <si>
    <t>PJA2</t>
  </si>
  <si>
    <t>PRPF4</t>
  </si>
  <si>
    <t>PHGDH</t>
  </si>
  <si>
    <t>SEPT4</t>
  </si>
  <si>
    <t>DYNC1LI2</t>
  </si>
  <si>
    <t>PSMD3</t>
  </si>
  <si>
    <t>PAPSS1</t>
  </si>
  <si>
    <t>ZW10</t>
  </si>
  <si>
    <t>SART1</t>
  </si>
  <si>
    <t>CTIF</t>
  </si>
  <si>
    <t>MTSS1</t>
  </si>
  <si>
    <t>PPIP5K2</t>
  </si>
  <si>
    <t>MAP3K7</t>
  </si>
  <si>
    <t>LYRM1</t>
  </si>
  <si>
    <t>HNRNPR</t>
  </si>
  <si>
    <t>TXNL1</t>
  </si>
  <si>
    <t>TPD52L2</t>
  </si>
  <si>
    <t>ERI3</t>
  </si>
  <si>
    <t>EIF4G3</t>
  </si>
  <si>
    <t>HTRA2</t>
  </si>
  <si>
    <t>EPB41L2</t>
  </si>
  <si>
    <t>TGOLN2</t>
  </si>
  <si>
    <t>RGS14</t>
  </si>
  <si>
    <t>DENR</t>
  </si>
  <si>
    <t>XPOT</t>
  </si>
  <si>
    <t>DNPH1</t>
  </si>
  <si>
    <t>TIMM44</t>
  </si>
  <si>
    <t>TRAPPC3</t>
  </si>
  <si>
    <t>CHMP2A</t>
  </si>
  <si>
    <t>PLRG1</t>
  </si>
  <si>
    <t>PRC1</t>
  </si>
  <si>
    <t>ZNF207</t>
  </si>
  <si>
    <t>NDUFA2</t>
  </si>
  <si>
    <t>ASNA1</t>
  </si>
  <si>
    <t>BUB3</t>
  </si>
  <si>
    <t>SULT1B1</t>
  </si>
  <si>
    <t>ACTN4</t>
  </si>
  <si>
    <t>TRIAP1</t>
  </si>
  <si>
    <t>GATC</t>
  </si>
  <si>
    <t>HTATSF1</t>
  </si>
  <si>
    <t>PRKAB2</t>
  </si>
  <si>
    <t>AP1G1</t>
  </si>
  <si>
    <t>STX6</t>
  </si>
  <si>
    <t>SGTA</t>
  </si>
  <si>
    <t>LIAS</t>
  </si>
  <si>
    <t>ENSA</t>
  </si>
  <si>
    <t>NARS</t>
  </si>
  <si>
    <t>MYO1B</t>
  </si>
  <si>
    <t>SSNA1</t>
  </si>
  <si>
    <t>NUDT21</t>
  </si>
  <si>
    <t>LANCL1</t>
  </si>
  <si>
    <t>STRN</t>
  </si>
  <si>
    <t>RRP9</t>
  </si>
  <si>
    <t>SCO2</t>
  </si>
  <si>
    <t>HYAL3</t>
  </si>
  <si>
    <t>IDH3B</t>
  </si>
  <si>
    <t>NRD1</t>
  </si>
  <si>
    <t>CALU</t>
  </si>
  <si>
    <t>AHCYL1</t>
  </si>
  <si>
    <t>KIF1C</t>
  </si>
  <si>
    <t>PDE6D</t>
  </si>
  <si>
    <t>RAD21</t>
  </si>
  <si>
    <t>AKR1B10</t>
  </si>
  <si>
    <t>TIMM8A</t>
  </si>
  <si>
    <t>DHX16</t>
  </si>
  <si>
    <t>GMFG</t>
  </si>
  <si>
    <t>PLIN1</t>
  </si>
  <si>
    <t>PRPSAP2</t>
  </si>
  <si>
    <t>PARK2</t>
  </si>
  <si>
    <t>SMARCA5</t>
  </si>
  <si>
    <t>SPAG9</t>
  </si>
  <si>
    <t>KIF1B</t>
  </si>
  <si>
    <t>KDM1A</t>
  </si>
  <si>
    <t>TBC1D4</t>
  </si>
  <si>
    <t>ECE2</t>
  </si>
  <si>
    <t>PPL</t>
  </si>
  <si>
    <t>DFNA5</t>
  </si>
  <si>
    <t>EVI5</t>
  </si>
  <si>
    <t>SNX3</t>
  </si>
  <si>
    <t>SORBS3</t>
  </si>
  <si>
    <t>SYNCRIP</t>
  </si>
  <si>
    <t>RANBP6</t>
  </si>
  <si>
    <t>GMDS</t>
  </si>
  <si>
    <t>NMT2</t>
  </si>
  <si>
    <t>PLOD3</t>
  </si>
  <si>
    <t>SEP15</t>
  </si>
  <si>
    <t>EXOC3</t>
  </si>
  <si>
    <t>PLIN3</t>
  </si>
  <si>
    <t>UGDH</t>
  </si>
  <si>
    <t>CTNND1</t>
  </si>
  <si>
    <t>SNX2</t>
  </si>
  <si>
    <t>USO1</t>
  </si>
  <si>
    <t>CCDC22</t>
  </si>
  <si>
    <t>PQBP1</t>
  </si>
  <si>
    <t>DKC1</t>
  </si>
  <si>
    <t>EIF5B</t>
  </si>
  <si>
    <t>EDF1</t>
  </si>
  <si>
    <t>DNAJA2</t>
  </si>
  <si>
    <t>BRD4</t>
  </si>
  <si>
    <t>CUTA</t>
  </si>
  <si>
    <t>TBL1X</t>
  </si>
  <si>
    <t>PFDN1</t>
  </si>
  <si>
    <t>PPP1R11</t>
  </si>
  <si>
    <t>NBN</t>
  </si>
  <si>
    <t>NOS1AP</t>
  </si>
  <si>
    <t>CBFA2T3</t>
  </si>
  <si>
    <t>WDR1</t>
  </si>
  <si>
    <t>N4BP1</t>
  </si>
  <si>
    <t>ROCK2</t>
  </si>
  <si>
    <t>COBL</t>
  </si>
  <si>
    <t>CPNE3</t>
  </si>
  <si>
    <t>HIP1R</t>
  </si>
  <si>
    <t>RNF40</t>
  </si>
  <si>
    <t>ZC3H11A</t>
  </si>
  <si>
    <t>RAB11FIP3</t>
  </si>
  <si>
    <t>TSC22D2</t>
  </si>
  <si>
    <t>DNAJC13</t>
  </si>
  <si>
    <t>PPP6R2</t>
  </si>
  <si>
    <t>CNOT3</t>
  </si>
  <si>
    <t>SS18L1</t>
  </si>
  <si>
    <t>XYLB</t>
  </si>
  <si>
    <t>COQ9</t>
  </si>
  <si>
    <t>GGCT</t>
  </si>
  <si>
    <t>GBAS</t>
  </si>
  <si>
    <t>PDCD6</t>
  </si>
  <si>
    <t>TBCA</t>
  </si>
  <si>
    <t>ATP6V1G1</t>
  </si>
  <si>
    <t>VPS4B</t>
  </si>
  <si>
    <t>ENTPD5</t>
  </si>
  <si>
    <t>H2AFY</t>
  </si>
  <si>
    <t>SH3BGRL</t>
  </si>
  <si>
    <t>FLNB</t>
  </si>
  <si>
    <t>NCOR1</t>
  </si>
  <si>
    <t>NDUFS6</t>
  </si>
  <si>
    <t>SEC22B</t>
  </si>
  <si>
    <t>TACC1</t>
  </si>
  <si>
    <t>GIGYF1</t>
  </si>
  <si>
    <t>VPS26A</t>
  </si>
  <si>
    <t>PMPCB</t>
  </si>
  <si>
    <t>KATNA1</t>
  </si>
  <si>
    <t>RDH16</t>
  </si>
  <si>
    <t>PSIP1</t>
  </si>
  <si>
    <t>CLN5</t>
  </si>
  <si>
    <t>HSBP1</t>
  </si>
  <si>
    <t>ECI2</t>
  </si>
  <si>
    <t>KHDRBS3</t>
  </si>
  <si>
    <t>BANF1</t>
  </si>
  <si>
    <t>SF3B1</t>
  </si>
  <si>
    <t>CSDE1</t>
  </si>
  <si>
    <t>GCAT</t>
  </si>
  <si>
    <t>NPM3</t>
  </si>
  <si>
    <t>LYPLA1</t>
  </si>
  <si>
    <t>CREG1</t>
  </si>
  <si>
    <t>SNRNP200</t>
  </si>
  <si>
    <t>TRMU</t>
  </si>
  <si>
    <t>TIPRL</t>
  </si>
  <si>
    <t>PPM1B</t>
  </si>
  <si>
    <t>RP2</t>
  </si>
  <si>
    <t>TCEA3</t>
  </si>
  <si>
    <t>RPP40</t>
  </si>
  <si>
    <t>EIF3G</t>
  </si>
  <si>
    <t>EIF3J</t>
  </si>
  <si>
    <t>CBR3</t>
  </si>
  <si>
    <t>AP1G2</t>
  </si>
  <si>
    <t>TRAPPC6A</t>
  </si>
  <si>
    <t>IDH1</t>
  </si>
  <si>
    <t>ATRN</t>
  </si>
  <si>
    <t>RBBP9</t>
  </si>
  <si>
    <t>STAM2</t>
  </si>
  <si>
    <t>ALDH1L1</t>
  </si>
  <si>
    <t>TUSC2</t>
  </si>
  <si>
    <t>ARL6IP5</t>
  </si>
  <si>
    <t>BCAS2</t>
  </si>
  <si>
    <t>DCTN3</t>
  </si>
  <si>
    <t>BBOX1</t>
  </si>
  <si>
    <t>DNAJC8</t>
  </si>
  <si>
    <t>SMNDC1</t>
  </si>
  <si>
    <t>MPDZ</t>
  </si>
  <si>
    <t>CPD</t>
  </si>
  <si>
    <t>GLRX3</t>
  </si>
  <si>
    <t>WFS1</t>
  </si>
  <si>
    <t>CLPX</t>
  </si>
  <si>
    <t>NEBL</t>
  </si>
  <si>
    <t>SEC14L2</t>
  </si>
  <si>
    <t>CIAO1</t>
  </si>
  <si>
    <t>SRP72</t>
  </si>
  <si>
    <t>DDAH1</t>
  </si>
  <si>
    <t>URI1</t>
  </si>
  <si>
    <t>MTA2</t>
  </si>
  <si>
    <t>ALDH1A2</t>
  </si>
  <si>
    <t>TPPP</t>
  </si>
  <si>
    <t>ATG12</t>
  </si>
  <si>
    <t>KBTBD11</t>
  </si>
  <si>
    <t>LTN1</t>
  </si>
  <si>
    <t>TOMM70A</t>
  </si>
  <si>
    <t>IPO13</t>
  </si>
  <si>
    <t>MICAL2</t>
  </si>
  <si>
    <t>SEC24D</t>
  </si>
  <si>
    <t>UFL1</t>
  </si>
  <si>
    <t>SORBS2</t>
  </si>
  <si>
    <t>PHF14</t>
  </si>
  <si>
    <t>FARP2</t>
  </si>
  <si>
    <t>UBXN7</t>
  </si>
  <si>
    <t>PROSC</t>
  </si>
  <si>
    <t>PCF11</t>
  </si>
  <si>
    <t>GLS</t>
  </si>
  <si>
    <t>ABLIM3</t>
  </si>
  <si>
    <t>USP19</t>
  </si>
  <si>
    <t>AP2A2</t>
  </si>
  <si>
    <t>SEC31A</t>
  </si>
  <si>
    <t>HEXIM1</t>
  </si>
  <si>
    <t>AGFG2</t>
  </si>
  <si>
    <t>SCAF4</t>
  </si>
  <si>
    <t>SNUPN</t>
  </si>
  <si>
    <t>AKR7A3</t>
  </si>
  <si>
    <t>UBE4B</t>
  </si>
  <si>
    <t>IKBKAP</t>
  </si>
  <si>
    <t>LETM1</t>
  </si>
  <si>
    <t>STBD1</t>
  </si>
  <si>
    <t>ZRANB2</t>
  </si>
  <si>
    <t>SNX4</t>
  </si>
  <si>
    <t>LUC7L3</t>
  </si>
  <si>
    <t>MBD4</t>
  </si>
  <si>
    <t>SBF1</t>
  </si>
  <si>
    <t>KAT7</t>
  </si>
  <si>
    <t>EPM2A</t>
  </si>
  <si>
    <t>VAPB</t>
  </si>
  <si>
    <t>SNAPIN</t>
  </si>
  <si>
    <t>FKBP9</t>
  </si>
  <si>
    <t>PGLS</t>
  </si>
  <si>
    <t>PAPSS2</t>
  </si>
  <si>
    <t>ATG7</t>
  </si>
  <si>
    <t>FARS2</t>
  </si>
  <si>
    <t>ZBTB7A</t>
  </si>
  <si>
    <t>LYPLA2</t>
  </si>
  <si>
    <t>IPO7</t>
  </si>
  <si>
    <t>ARIH2</t>
  </si>
  <si>
    <t>PGM3</t>
  </si>
  <si>
    <t>MOCS3</t>
  </si>
  <si>
    <t>UTS2</t>
  </si>
  <si>
    <t>CD2BP2</t>
  </si>
  <si>
    <t>ZFYVE9</t>
  </si>
  <si>
    <t>SVIL</t>
  </si>
  <si>
    <t>BAG4</t>
  </si>
  <si>
    <t>AHSA1</t>
  </si>
  <si>
    <t>PARN</t>
  </si>
  <si>
    <t>PSMG1</t>
  </si>
  <si>
    <t>H6PD</t>
  </si>
  <si>
    <t>SEC24A</t>
  </si>
  <si>
    <t>SEC24B</t>
  </si>
  <si>
    <t>VNN1</t>
  </si>
  <si>
    <t>NADK</t>
  </si>
  <si>
    <t>TDP2</t>
  </si>
  <si>
    <t>ETHE1</t>
  </si>
  <si>
    <t>CNOT4</t>
  </si>
  <si>
    <t>STAMBP</t>
  </si>
  <si>
    <t>ASMTL</t>
  </si>
  <si>
    <t>FGFR1OP</t>
  </si>
  <si>
    <t>SNAP29</t>
  </si>
  <si>
    <t>OXSR1</t>
  </si>
  <si>
    <t>HSPA4L</t>
  </si>
  <si>
    <t>NAA38</t>
  </si>
  <si>
    <t>AP2A1</t>
  </si>
  <si>
    <t>DDX58</t>
  </si>
  <si>
    <t>TTC4</t>
  </si>
  <si>
    <t>SDPR</t>
  </si>
  <si>
    <t>BAG2</t>
  </si>
  <si>
    <t>BAG3</t>
  </si>
  <si>
    <t>MLYCD</t>
  </si>
  <si>
    <t>CRYZL1</t>
  </si>
  <si>
    <t>AIFM1</t>
  </si>
  <si>
    <t>EML2</t>
  </si>
  <si>
    <t>NUDT14</t>
  </si>
  <si>
    <t>DDAH2</t>
  </si>
  <si>
    <t>TXNDC12</t>
  </si>
  <si>
    <t>FTCD</t>
  </si>
  <si>
    <t>TOP3B</t>
  </si>
  <si>
    <t>NUDT3</t>
  </si>
  <si>
    <t>BCL10</t>
  </si>
  <si>
    <t>ZBED1</t>
  </si>
  <si>
    <t>MOCS2</t>
  </si>
  <si>
    <t>PAK4</t>
  </si>
  <si>
    <t>ACTL6A</t>
  </si>
  <si>
    <t>ADH1B</t>
  </si>
  <si>
    <t>ADH1C</t>
  </si>
  <si>
    <t>LDHA</t>
  </si>
  <si>
    <t>ALDH1A1</t>
  </si>
  <si>
    <t>DHFR</t>
  </si>
  <si>
    <t>CYB5R3</t>
  </si>
  <si>
    <t>GSR</t>
  </si>
  <si>
    <t>MT-CO2</t>
  </si>
  <si>
    <t>PAH</t>
  </si>
  <si>
    <t>CP</t>
  </si>
  <si>
    <t>OTC</t>
  </si>
  <si>
    <t>PNP</t>
  </si>
  <si>
    <t>HPRT1</t>
  </si>
  <si>
    <t>GOT2</t>
  </si>
  <si>
    <t>PGK1</t>
  </si>
  <si>
    <t>AK1</t>
  </si>
  <si>
    <t>F2</t>
  </si>
  <si>
    <t>C1R</t>
  </si>
  <si>
    <t>HP</t>
  </si>
  <si>
    <t>HPR</t>
  </si>
  <si>
    <t>F9</t>
  </si>
  <si>
    <t>F10</t>
  </si>
  <si>
    <t>PLG</t>
  </si>
  <si>
    <t>F12</t>
  </si>
  <si>
    <t>ASS1</t>
  </si>
  <si>
    <t>SERPINA1</t>
  </si>
  <si>
    <t>SERPINA3</t>
  </si>
  <si>
    <t>AGT</t>
  </si>
  <si>
    <t>A2M</t>
  </si>
  <si>
    <t>C3</t>
  </si>
  <si>
    <t>CST3</t>
  </si>
  <si>
    <t>CSTA</t>
  </si>
  <si>
    <t>KNG1</t>
  </si>
  <si>
    <t>NRAS</t>
  </si>
  <si>
    <t>KRAS</t>
  </si>
  <si>
    <t>IGKC</t>
  </si>
  <si>
    <t>IGHG1</t>
  </si>
  <si>
    <t>IGHG2</t>
  </si>
  <si>
    <t>IGHG3</t>
  </si>
  <si>
    <t>IGHM</t>
  </si>
  <si>
    <t>IGHA1</t>
  </si>
  <si>
    <t>IGHA2</t>
  </si>
  <si>
    <t>HBZ</t>
  </si>
  <si>
    <t>COL1A1</t>
  </si>
  <si>
    <t>COL2A1</t>
  </si>
  <si>
    <t>COL4A1</t>
  </si>
  <si>
    <t>KRT14</t>
  </si>
  <si>
    <t>KRT6A</t>
  </si>
  <si>
    <t>LMNA</t>
  </si>
  <si>
    <t>APOA1</t>
  </si>
  <si>
    <t>APOE</t>
  </si>
  <si>
    <t>APOA2</t>
  </si>
  <si>
    <t>APOC3</t>
  </si>
  <si>
    <t>FGA</t>
  </si>
  <si>
    <t>FGB</t>
  </si>
  <si>
    <t>FGG</t>
  </si>
  <si>
    <t>APCS</t>
  </si>
  <si>
    <t>C9</t>
  </si>
  <si>
    <t>APOH</t>
  </si>
  <si>
    <t>LRG1</t>
  </si>
  <si>
    <t>FN1</t>
  </si>
  <si>
    <t>AMBP</t>
  </si>
  <si>
    <t>ORM1</t>
  </si>
  <si>
    <t>AHSG</t>
  </si>
  <si>
    <t>TTR</t>
  </si>
  <si>
    <t>AFP</t>
  </si>
  <si>
    <t>GC</t>
  </si>
  <si>
    <t>HPX</t>
  </si>
  <si>
    <t>FTL</t>
  </si>
  <si>
    <t>FTH1</t>
  </si>
  <si>
    <t>MT2A</t>
  </si>
  <si>
    <t>ANG</t>
  </si>
  <si>
    <t>KLKB1</t>
  </si>
  <si>
    <t>C4BPA</t>
  </si>
  <si>
    <t>VTN</t>
  </si>
  <si>
    <t>FUCA1</t>
  </si>
  <si>
    <t>CSTB</t>
  </si>
  <si>
    <t>APOB</t>
  </si>
  <si>
    <t>NR3C1</t>
  </si>
  <si>
    <t>SOD2</t>
  </si>
  <si>
    <t>OAT</t>
  </si>
  <si>
    <t>HRG</t>
  </si>
  <si>
    <t>A1BG</t>
  </si>
  <si>
    <t>KRT6B</t>
  </si>
  <si>
    <t>KRT1</t>
  </si>
  <si>
    <t>VWF</t>
  </si>
  <si>
    <t>GAPDH</t>
  </si>
  <si>
    <t>ASL</t>
  </si>
  <si>
    <t>CAPNS1</t>
  </si>
  <si>
    <t>MT1A</t>
  </si>
  <si>
    <t>MT1E</t>
  </si>
  <si>
    <t>MT1F</t>
  </si>
  <si>
    <t>HSPB1</t>
  </si>
  <si>
    <t>RPN1</t>
  </si>
  <si>
    <t>GNAI2</t>
  </si>
  <si>
    <t>ATP1A1</t>
  </si>
  <si>
    <t>ALDOB</t>
  </si>
  <si>
    <t>ARG1</t>
  </si>
  <si>
    <t>APOD</t>
  </si>
  <si>
    <t>ALDH2</t>
  </si>
  <si>
    <t>S100A8</t>
  </si>
  <si>
    <t>HMGN1</t>
  </si>
  <si>
    <t>SLC25A5</t>
  </si>
  <si>
    <t>SERPINA5</t>
  </si>
  <si>
    <t>SERPING1</t>
  </si>
  <si>
    <t>ISG15</t>
  </si>
  <si>
    <t>MPO</t>
  </si>
  <si>
    <t>PCCA</t>
  </si>
  <si>
    <t>PCCB</t>
  </si>
  <si>
    <t>CYP1A2</t>
  </si>
  <si>
    <t>CYP2E1</t>
  </si>
  <si>
    <t>ALPL</t>
  </si>
  <si>
    <t>EIF2S1</t>
  </si>
  <si>
    <t>HMGN2</t>
  </si>
  <si>
    <t>RPLP2</t>
  </si>
  <si>
    <t>SSB</t>
  </si>
  <si>
    <t>SERPINA7</t>
  </si>
  <si>
    <t>SERPIND1</t>
  </si>
  <si>
    <t>ITGB1</t>
  </si>
  <si>
    <t>KRT18</t>
  </si>
  <si>
    <t>KRT8</t>
  </si>
  <si>
    <t>MYL1</t>
  </si>
  <si>
    <t>UROD</t>
  </si>
  <si>
    <t>UGT2B4</t>
  </si>
  <si>
    <t>GLA</t>
  </si>
  <si>
    <t>ATP5B</t>
  </si>
  <si>
    <t>C2</t>
  </si>
  <si>
    <t>S100A9</t>
  </si>
  <si>
    <t>APOA4</t>
  </si>
  <si>
    <t>EIF4E</t>
  </si>
  <si>
    <t>ENO1</t>
  </si>
  <si>
    <t>PYGL</t>
  </si>
  <si>
    <t>GPI</t>
  </si>
  <si>
    <t>NPM1</t>
  </si>
  <si>
    <t>TPM3</t>
  </si>
  <si>
    <t>HEXA</t>
  </si>
  <si>
    <t>EPHX1</t>
  </si>
  <si>
    <t>DBI</t>
  </si>
  <si>
    <t>FABP1</t>
  </si>
  <si>
    <t>LDHB</t>
  </si>
  <si>
    <t>GPX1</t>
  </si>
  <si>
    <t>PGK2</t>
  </si>
  <si>
    <t>P4HB</t>
  </si>
  <si>
    <t>H1F0</t>
  </si>
  <si>
    <t>ASGR1</t>
  </si>
  <si>
    <t>ASGR2</t>
  </si>
  <si>
    <t>ADH1A</t>
  </si>
  <si>
    <t>FES</t>
  </si>
  <si>
    <t>ANXA2</t>
  </si>
  <si>
    <t>C8A</t>
  </si>
  <si>
    <t>C8G</t>
  </si>
  <si>
    <t>CAPN1</t>
  </si>
  <si>
    <t>MT1B</t>
  </si>
  <si>
    <t>PSAP</t>
  </si>
  <si>
    <t>HEXB</t>
  </si>
  <si>
    <t>CTSL1</t>
  </si>
  <si>
    <t>PFN1</t>
  </si>
  <si>
    <t>BPGM</t>
  </si>
  <si>
    <t>APRT</t>
  </si>
  <si>
    <t>EPRS</t>
  </si>
  <si>
    <t>CTSB</t>
  </si>
  <si>
    <t>HSP90AA1</t>
  </si>
  <si>
    <t>GALT</t>
  </si>
  <si>
    <t>UQCRH</t>
  </si>
  <si>
    <t>YES1</t>
  </si>
  <si>
    <t>LYN</t>
  </si>
  <si>
    <t>FH</t>
  </si>
  <si>
    <t>THBS1</t>
  </si>
  <si>
    <t>HSPA1A</t>
  </si>
  <si>
    <t>COL1A2</t>
  </si>
  <si>
    <t>ANXA6</t>
  </si>
  <si>
    <t>SERPINA6</t>
  </si>
  <si>
    <t>GUSB</t>
  </si>
  <si>
    <t>HSP90AB1</t>
  </si>
  <si>
    <t>SRPR</t>
  </si>
  <si>
    <t>SOD3</t>
  </si>
  <si>
    <t>ADH4</t>
  </si>
  <si>
    <t>HMBS</t>
  </si>
  <si>
    <t>LPA</t>
  </si>
  <si>
    <t>PDHA1</t>
  </si>
  <si>
    <t>PLEK</t>
  </si>
  <si>
    <t>CD14</t>
  </si>
  <si>
    <t>COL4A2</t>
  </si>
  <si>
    <t>SNRPB2</t>
  </si>
  <si>
    <t>MET</t>
  </si>
  <si>
    <t>CFH</t>
  </si>
  <si>
    <t>SNRNP70</t>
  </si>
  <si>
    <t>NFIC</t>
  </si>
  <si>
    <t>VIM</t>
  </si>
  <si>
    <t>CYP3A4</t>
  </si>
  <si>
    <t>SERPINF2</t>
  </si>
  <si>
    <t>KRT19</t>
  </si>
  <si>
    <t>KRT7</t>
  </si>
  <si>
    <t>GNAI3</t>
  </si>
  <si>
    <t>KRT16</t>
  </si>
  <si>
    <t>SNRPA</t>
  </si>
  <si>
    <t>ACAA1</t>
  </si>
  <si>
    <t>SRP19</t>
  </si>
  <si>
    <t>GSTA2</t>
  </si>
  <si>
    <t>SNRPC</t>
  </si>
  <si>
    <t>VIL1</t>
  </si>
  <si>
    <t>LGALS1</t>
  </si>
  <si>
    <t>QDPR</t>
  </si>
  <si>
    <t>HMGB1</t>
  </si>
  <si>
    <t>FBP1</t>
  </si>
  <si>
    <t>TPM1</t>
  </si>
  <si>
    <t>CLTA</t>
  </si>
  <si>
    <t>CLTB</t>
  </si>
  <si>
    <t>ANXA4</t>
  </si>
  <si>
    <t>CNP</t>
  </si>
  <si>
    <t>HMOX1</t>
  </si>
  <si>
    <t>DLD</t>
  </si>
  <si>
    <t>HNRNPA1</t>
  </si>
  <si>
    <t>SNRPA1</t>
  </si>
  <si>
    <t>CTSH</t>
  </si>
  <si>
    <t>C1S</t>
  </si>
  <si>
    <t>PARP1</t>
  </si>
  <si>
    <t>IFIT2</t>
  </si>
  <si>
    <t>LTA4H</t>
  </si>
  <si>
    <t>ALDOC</t>
  </si>
  <si>
    <t>C4B</t>
  </si>
  <si>
    <t>CISD3</t>
  </si>
  <si>
    <t>ATXN1L</t>
  </si>
  <si>
    <t>ELFN1</t>
  </si>
  <si>
    <t>JMJD7</t>
  </si>
  <si>
    <t>MYZAP</t>
  </si>
  <si>
    <t>IGLC2</t>
  </si>
  <si>
    <t>RPS17L</t>
  </si>
  <si>
    <t>TRAPPC2P1</t>
  </si>
  <si>
    <t>SAA1</t>
  </si>
  <si>
    <t>FDX1</t>
  </si>
  <si>
    <t>RNASE2</t>
  </si>
  <si>
    <t>TROVE2</t>
  </si>
  <si>
    <t>GAA</t>
  </si>
  <si>
    <t>RRAS</t>
  </si>
  <si>
    <t>ARAF</t>
  </si>
  <si>
    <t>HIST1H1E</t>
  </si>
  <si>
    <t>DLAT</t>
  </si>
  <si>
    <t>PTPRF</t>
  </si>
  <si>
    <t>NR2F6</t>
  </si>
  <si>
    <t>COX5B</t>
  </si>
  <si>
    <t>CTSA</t>
  </si>
  <si>
    <t>CYP2C8</t>
  </si>
  <si>
    <t>CYP2D6</t>
  </si>
  <si>
    <t>C7</t>
  </si>
  <si>
    <t>PRKAR1A</t>
  </si>
  <si>
    <t>UROS</t>
  </si>
  <si>
    <t>ESD</t>
  </si>
  <si>
    <t>HSPD1</t>
  </si>
  <si>
    <t>CLU</t>
  </si>
  <si>
    <t>HSPA5</t>
  </si>
  <si>
    <t>LAMC1</t>
  </si>
  <si>
    <t>HSPA8</t>
  </si>
  <si>
    <t>EPB41</t>
  </si>
  <si>
    <t>UMPS</t>
  </si>
  <si>
    <t>PDHB</t>
  </si>
  <si>
    <t>DBT</t>
  </si>
  <si>
    <t>PYGB</t>
  </si>
  <si>
    <t>MBL2</t>
  </si>
  <si>
    <t>NAT2</t>
  </si>
  <si>
    <t>BCR</t>
  </si>
  <si>
    <t>LAMP1</t>
  </si>
  <si>
    <t>ACADM</t>
  </si>
  <si>
    <t>TOP1</t>
  </si>
  <si>
    <t>G6PD</t>
  </si>
  <si>
    <t>UBL4A</t>
  </si>
  <si>
    <t>PC</t>
  </si>
  <si>
    <t>CYP2A6</t>
  </si>
  <si>
    <t>DMD</t>
  </si>
  <si>
    <t>MTHFD1</t>
  </si>
  <si>
    <t>CYP2C9</t>
  </si>
  <si>
    <t>IGF2R</t>
  </si>
  <si>
    <t>ADH5</t>
  </si>
  <si>
    <t>CDK4</t>
  </si>
  <si>
    <t>PRPS2</t>
  </si>
  <si>
    <t>PABPC1</t>
  </si>
  <si>
    <t>PCNA</t>
  </si>
  <si>
    <t>COL6A1</t>
  </si>
  <si>
    <t>TPR</t>
  </si>
  <si>
    <t>BCKDHA</t>
  </si>
  <si>
    <t>RNASE3</t>
  </si>
  <si>
    <t>ACTN1</t>
  </si>
  <si>
    <t>SRC</t>
  </si>
  <si>
    <t>PEPD</t>
  </si>
  <si>
    <t>XRCC6</t>
  </si>
  <si>
    <t>XRCC5</t>
  </si>
  <si>
    <t>COX4I1</t>
  </si>
  <si>
    <t>ALAS1</t>
  </si>
  <si>
    <t>IFI30</t>
  </si>
  <si>
    <t>LAMP2</t>
  </si>
  <si>
    <t>RNH1</t>
  </si>
  <si>
    <t>CYBA</t>
  </si>
  <si>
    <t>EEF2</t>
  </si>
  <si>
    <t>MT1G</t>
  </si>
  <si>
    <t>KRT5</t>
  </si>
  <si>
    <t>PDIA4</t>
  </si>
  <si>
    <t>C6</t>
  </si>
  <si>
    <t>P4HA1</t>
  </si>
  <si>
    <t>TPT1</t>
  </si>
  <si>
    <t>LCP1</t>
  </si>
  <si>
    <t>PLS3</t>
  </si>
  <si>
    <t>APEH</t>
  </si>
  <si>
    <t>ETFA</t>
  </si>
  <si>
    <t>PRKAR2A</t>
  </si>
  <si>
    <t>ENO3</t>
  </si>
  <si>
    <t>GTF2F2</t>
  </si>
  <si>
    <t>MIF</t>
  </si>
  <si>
    <t>CD99</t>
  </si>
  <si>
    <t>HGF</t>
  </si>
  <si>
    <t>HCLS1</t>
  </si>
  <si>
    <t>FDPS</t>
  </si>
  <si>
    <t>NID1</t>
  </si>
  <si>
    <t>AKR1A1</t>
  </si>
  <si>
    <t>PKM</t>
  </si>
  <si>
    <t>ACYP2</t>
  </si>
  <si>
    <t>HSP90B1</t>
  </si>
  <si>
    <t>MYL6B</t>
  </si>
  <si>
    <t>IDE</t>
  </si>
  <si>
    <t>COX6B1</t>
  </si>
  <si>
    <t>HNRNPL</t>
  </si>
  <si>
    <t>DARS</t>
  </si>
  <si>
    <t>DAO</t>
  </si>
  <si>
    <t>JUP</t>
  </si>
  <si>
    <t>GLUL</t>
  </si>
  <si>
    <t>AKR1B1</t>
  </si>
  <si>
    <t>ANPEP</t>
  </si>
  <si>
    <t>GSPT1</t>
  </si>
  <si>
    <t>ARSA</t>
  </si>
  <si>
    <t>EZR</t>
  </si>
  <si>
    <t>ATF2</t>
  </si>
  <si>
    <t>UCHL3</t>
  </si>
  <si>
    <t>HPGD</t>
  </si>
  <si>
    <t>NME1</t>
  </si>
  <si>
    <t>PHKG2</t>
  </si>
  <si>
    <t>ARSB</t>
  </si>
  <si>
    <t>ST6GAL1</t>
  </si>
  <si>
    <t>DSP</t>
  </si>
  <si>
    <t>RPA2</t>
  </si>
  <si>
    <t>ACAN</t>
  </si>
  <si>
    <t>PFKFB1</t>
  </si>
  <si>
    <t>CBR1</t>
  </si>
  <si>
    <t>ACADS</t>
  </si>
  <si>
    <t>CREB1</t>
  </si>
  <si>
    <t>GLB1</t>
  </si>
  <si>
    <t>PPP3CB</t>
  </si>
  <si>
    <t>NCK1</t>
  </si>
  <si>
    <t>GCFC2</t>
  </si>
  <si>
    <t>HIST1H1B</t>
  </si>
  <si>
    <t>POR</t>
  </si>
  <si>
    <t>MGMT</t>
  </si>
  <si>
    <t>UGT2B7</t>
  </si>
  <si>
    <t>PLCG2</t>
  </si>
  <si>
    <t>FAH</t>
  </si>
  <si>
    <t>STMN1</t>
  </si>
  <si>
    <t>YBX3</t>
  </si>
  <si>
    <t>ZNF24</t>
  </si>
  <si>
    <t>ZKSCAN1</t>
  </si>
  <si>
    <t>NAGA</t>
  </si>
  <si>
    <t>HSPA6</t>
  </si>
  <si>
    <t>HMGA1</t>
  </si>
  <si>
    <t>GOT1</t>
  </si>
  <si>
    <t>UBTF</t>
  </si>
  <si>
    <t>AKR1C4</t>
  </si>
  <si>
    <t>ATF7</t>
  </si>
  <si>
    <t>PRKACA</t>
  </si>
  <si>
    <t>CAPN2</t>
  </si>
  <si>
    <t>CEBPB</t>
  </si>
  <si>
    <t>TAT</t>
  </si>
  <si>
    <t>CTPS1</t>
  </si>
  <si>
    <t>PFKL</t>
  </si>
  <si>
    <t>GM2A</t>
  </si>
  <si>
    <t>LGALS3</t>
  </si>
  <si>
    <t>TCP1</t>
  </si>
  <si>
    <t>PTPN1</t>
  </si>
  <si>
    <t>ALOX12</t>
  </si>
  <si>
    <t>IGFBP2</t>
  </si>
  <si>
    <t>ARF4</t>
  </si>
  <si>
    <t>VCL</t>
  </si>
  <si>
    <t>GPX2</t>
  </si>
  <si>
    <t>LBP</t>
  </si>
  <si>
    <t>NAT1</t>
  </si>
  <si>
    <t>IL1RN</t>
  </si>
  <si>
    <t>SON</t>
  </si>
  <si>
    <t>NELFE</t>
  </si>
  <si>
    <t>PGAM1</t>
  </si>
  <si>
    <t>SDC1</t>
  </si>
  <si>
    <t>ATP5J</t>
  </si>
  <si>
    <t>MYL12A</t>
  </si>
  <si>
    <t>PLCG1</t>
  </si>
  <si>
    <t>NCL</t>
  </si>
  <si>
    <t>HK1</t>
  </si>
  <si>
    <t>POLR2E</t>
  </si>
  <si>
    <t>NDUFV2</t>
  </si>
  <si>
    <t>EIF2AK2</t>
  </si>
  <si>
    <t>SRM</t>
  </si>
  <si>
    <t>ORM2</t>
  </si>
  <si>
    <t>CSNK2A2</t>
  </si>
  <si>
    <t>ITIH1</t>
  </si>
  <si>
    <t>NFKB1</t>
  </si>
  <si>
    <t>TYMP</t>
  </si>
  <si>
    <t>EIF2S2</t>
  </si>
  <si>
    <t>SDS</t>
  </si>
  <si>
    <t>BTF3</t>
  </si>
  <si>
    <t>RAB4A</t>
  </si>
  <si>
    <t>RAB6A</t>
  </si>
  <si>
    <t>MSH3</t>
  </si>
  <si>
    <t>MX1</t>
  </si>
  <si>
    <t>PSMB1</t>
  </si>
  <si>
    <t>COX5A</t>
  </si>
  <si>
    <t>LMNB1</t>
  </si>
  <si>
    <t>DDC</t>
  </si>
  <si>
    <t>PZP</t>
  </si>
  <si>
    <t>CAST</t>
  </si>
  <si>
    <t>CYP2B6</t>
  </si>
  <si>
    <t>HNF1A</t>
  </si>
  <si>
    <t>AGA</t>
  </si>
  <si>
    <t>RASA1</t>
  </si>
  <si>
    <t>PTMS</t>
  </si>
  <si>
    <t>CDK11B</t>
  </si>
  <si>
    <t>GSTM3</t>
  </si>
  <si>
    <t>ATP6V1B2</t>
  </si>
  <si>
    <t>ATP6V1C1</t>
  </si>
  <si>
    <t>CSRP1</t>
  </si>
  <si>
    <t>MAOA</t>
  </si>
  <si>
    <t>ACO1</t>
  </si>
  <si>
    <t>AGXT</t>
  </si>
  <si>
    <t>TNFAIP3</t>
  </si>
  <si>
    <t>NT5E</t>
  </si>
  <si>
    <t>GPD1</t>
  </si>
  <si>
    <t>SDHB</t>
  </si>
  <si>
    <t>BCKDHB</t>
  </si>
  <si>
    <t>COMT</t>
  </si>
  <si>
    <t>TGM2</t>
  </si>
  <si>
    <t>MUT</t>
  </si>
  <si>
    <t>OSBP</t>
  </si>
  <si>
    <t>PCMT1</t>
  </si>
  <si>
    <t>GART</t>
  </si>
  <si>
    <t>PAICS</t>
  </si>
  <si>
    <t>SCP2</t>
  </si>
  <si>
    <t>UGT1A4</t>
  </si>
  <si>
    <t>UBA1</t>
  </si>
  <si>
    <t>GPX3</t>
  </si>
  <si>
    <t>NME2</t>
  </si>
  <si>
    <t>FDXR</t>
  </si>
  <si>
    <t>HNRNPA2B1</t>
  </si>
  <si>
    <t>PRKACB</t>
  </si>
  <si>
    <t>FECH</t>
  </si>
  <si>
    <t>CES1</t>
  </si>
  <si>
    <t>FBLN1</t>
  </si>
  <si>
    <t>TCEA1</t>
  </si>
  <si>
    <t>SFPQ</t>
  </si>
  <si>
    <t>PPIB</t>
  </si>
  <si>
    <t>ME2</t>
  </si>
  <si>
    <t>GLDC</t>
  </si>
  <si>
    <t>WARS</t>
  </si>
  <si>
    <t>RPS3</t>
  </si>
  <si>
    <t>MYF6</t>
  </si>
  <si>
    <t>GCSH</t>
  </si>
  <si>
    <t>SP100</t>
  </si>
  <si>
    <t>MCC</t>
  </si>
  <si>
    <t>AHCY</t>
  </si>
  <si>
    <t>CFL1</t>
  </si>
  <si>
    <t>EIF4B</t>
  </si>
  <si>
    <t>F8A1</t>
  </si>
  <si>
    <t>CPT2</t>
  </si>
  <si>
    <t>DTYMK</t>
  </si>
  <si>
    <t>RRM1</t>
  </si>
  <si>
    <t>PRTN3</t>
  </si>
  <si>
    <t>GPT</t>
  </si>
  <si>
    <t>CCND1</t>
  </si>
  <si>
    <t>EEF1B2</t>
  </si>
  <si>
    <t>ACP1</t>
  </si>
  <si>
    <t>ACAT1</t>
  </si>
  <si>
    <t>POLR2A</t>
  </si>
  <si>
    <t>CDK2</t>
  </si>
  <si>
    <t>ADRBK1</t>
  </si>
  <si>
    <t>MCM3</t>
  </si>
  <si>
    <t>AZGP1</t>
  </si>
  <si>
    <t>RPS12</t>
  </si>
  <si>
    <t>BRD2</t>
  </si>
  <si>
    <t>DNAJB1</t>
  </si>
  <si>
    <t>DNAJB2</t>
  </si>
  <si>
    <t>ATP5A1</t>
  </si>
  <si>
    <t>CTSS</t>
  </si>
  <si>
    <t>PSMA1</t>
  </si>
  <si>
    <t>PSMA2</t>
  </si>
  <si>
    <t>PSMA3</t>
  </si>
  <si>
    <t>PSMA4</t>
  </si>
  <si>
    <t>S100P</t>
  </si>
  <si>
    <t>MSN</t>
  </si>
  <si>
    <t>DDX6</t>
  </si>
  <si>
    <t>DNMT1</t>
  </si>
  <si>
    <t>U2AF2</t>
  </si>
  <si>
    <t>RPL13</t>
  </si>
  <si>
    <t>IVD</t>
  </si>
  <si>
    <t>S100A4</t>
  </si>
  <si>
    <t>HMGB2</t>
  </si>
  <si>
    <t>PTBP1</t>
  </si>
  <si>
    <t>TARS</t>
  </si>
  <si>
    <t>VARS</t>
  </si>
  <si>
    <t>EEF1G</t>
  </si>
  <si>
    <t>ZFP36</t>
  </si>
  <si>
    <t>FKBP2</t>
  </si>
  <si>
    <t>MST1</t>
  </si>
  <si>
    <t>AK4</t>
  </si>
  <si>
    <t>PON1</t>
  </si>
  <si>
    <t>YWHAQ</t>
  </si>
  <si>
    <t>ARNT</t>
  </si>
  <si>
    <t>RPA1</t>
  </si>
  <si>
    <t>APEX1</t>
  </si>
  <si>
    <t>CALR</t>
  </si>
  <si>
    <t>MAP4</t>
  </si>
  <si>
    <t>CANX</t>
  </si>
  <si>
    <t>PIK3R1</t>
  </si>
  <si>
    <t>PSMB8</t>
  </si>
  <si>
    <t>PSMA5</t>
  </si>
  <si>
    <t>PSMB4</t>
  </si>
  <si>
    <t>PSMB6</t>
  </si>
  <si>
    <t>PSMB5</t>
  </si>
  <si>
    <t>ACADL</t>
  </si>
  <si>
    <t>NDUFS1</t>
  </si>
  <si>
    <t>ADH6</t>
  </si>
  <si>
    <t>POLD1</t>
  </si>
  <si>
    <t>MAPK1</t>
  </si>
  <si>
    <t>ERCC5</t>
  </si>
  <si>
    <t>GRN</t>
  </si>
  <si>
    <t>LAP3</t>
  </si>
  <si>
    <t>HSD11B1</t>
  </si>
  <si>
    <t>GTF2E1</t>
  </si>
  <si>
    <t>GTF2E2</t>
  </si>
  <si>
    <t>TPP2</t>
  </si>
  <si>
    <t>IMPA1</t>
  </si>
  <si>
    <t>PTPN6</t>
  </si>
  <si>
    <t>SHC1</t>
  </si>
  <si>
    <t>MPG</t>
  </si>
  <si>
    <t>ARID4A</t>
  </si>
  <si>
    <t>TKT</t>
  </si>
  <si>
    <t>PML</t>
  </si>
  <si>
    <t>EEF1D</t>
  </si>
  <si>
    <t>MARCKS</t>
  </si>
  <si>
    <t>ALDH4A1</t>
  </si>
  <si>
    <t>PBLD</t>
  </si>
  <si>
    <t>ERP29</t>
  </si>
  <si>
    <t>PRDX6</t>
  </si>
  <si>
    <t>C21orf33</t>
  </si>
  <si>
    <t>BLVRB</t>
  </si>
  <si>
    <t>PRDX5</t>
  </si>
  <si>
    <t>DDT</t>
  </si>
  <si>
    <t>GCHFR</t>
  </si>
  <si>
    <t>ATP5D</t>
  </si>
  <si>
    <t>RPL12</t>
  </si>
  <si>
    <t>ECHS1</t>
  </si>
  <si>
    <t>CMPK1</t>
  </si>
  <si>
    <t>PEBP1</t>
  </si>
  <si>
    <t>PPP2R1A</t>
  </si>
  <si>
    <t>PPP2R1B</t>
  </si>
  <si>
    <t>PPIF</t>
  </si>
  <si>
    <t>NMT1</t>
  </si>
  <si>
    <t>HMOX2</t>
  </si>
  <si>
    <t>ADSS</t>
  </si>
  <si>
    <t>LRPAP1</t>
  </si>
  <si>
    <t>ADSL</t>
  </si>
  <si>
    <t>PKLR</t>
  </si>
  <si>
    <t>CLIP1</t>
  </si>
  <si>
    <t>GSTT1</t>
  </si>
  <si>
    <t>SERPINB1</t>
  </si>
  <si>
    <t>GCH1</t>
  </si>
  <si>
    <t>ALDH1B1</t>
  </si>
  <si>
    <t>SDHA</t>
  </si>
  <si>
    <t>CORO1A</t>
  </si>
  <si>
    <t>GDI1</t>
  </si>
  <si>
    <t>MAT2A</t>
  </si>
  <si>
    <t>PRKAR1B</t>
  </si>
  <si>
    <t>CPS1</t>
  </si>
  <si>
    <t>RRM2</t>
  </si>
  <si>
    <t>FMO3</t>
  </si>
  <si>
    <t>DNAJA1</t>
  </si>
  <si>
    <t>AKT1</t>
  </si>
  <si>
    <t>AKT2</t>
  </si>
  <si>
    <t>UQCRC1</t>
  </si>
  <si>
    <t>HIBADH</t>
  </si>
  <si>
    <t>ATIC</t>
  </si>
  <si>
    <t>HNRNPH3</t>
  </si>
  <si>
    <t>CASP14</t>
  </si>
  <si>
    <t>YWHAB</t>
  </si>
  <si>
    <t>SFN</t>
  </si>
  <si>
    <t>STIP1</t>
  </si>
  <si>
    <t>S100A11</t>
  </si>
  <si>
    <t>PRDX2</t>
  </si>
  <si>
    <t>ARRB2</t>
  </si>
  <si>
    <t>GK</t>
  </si>
  <si>
    <t>CDA</t>
  </si>
  <si>
    <t>DCTD</t>
  </si>
  <si>
    <t>GBP1</t>
  </si>
  <si>
    <t>GBP2</t>
  </si>
  <si>
    <t>ELF1</t>
  </si>
  <si>
    <t>HPD</t>
  </si>
  <si>
    <t>CTH</t>
  </si>
  <si>
    <t>ACSL1</t>
  </si>
  <si>
    <t>KIF5B</t>
  </si>
  <si>
    <t>CSTF2</t>
  </si>
  <si>
    <t>LSP1</t>
  </si>
  <si>
    <t>CYP2C19</t>
  </si>
  <si>
    <t>DUT</t>
  </si>
  <si>
    <t>MAN1A1</t>
  </si>
  <si>
    <t>MCM4</t>
  </si>
  <si>
    <t>MCM5</t>
  </si>
  <si>
    <t>MCM7</t>
  </si>
  <si>
    <t>GALNS</t>
  </si>
  <si>
    <t>RNASE4</t>
  </si>
  <si>
    <t>SHMT1</t>
  </si>
  <si>
    <t>SHMT2</t>
  </si>
  <si>
    <t>EPHX2</t>
  </si>
  <si>
    <t>HSPA1L</t>
  </si>
  <si>
    <t>HSPA4</t>
  </si>
  <si>
    <t>PRSS3</t>
  </si>
  <si>
    <t>CA5A</t>
  </si>
  <si>
    <t>CTNNA1</t>
  </si>
  <si>
    <t>SERPINB6</t>
  </si>
  <si>
    <t>RDX</t>
  </si>
  <si>
    <t>RFC1</t>
  </si>
  <si>
    <t>RPL22</t>
  </si>
  <si>
    <t>GTF2F1</t>
  </si>
  <si>
    <t>SPR</t>
  </si>
  <si>
    <t>CBS</t>
  </si>
  <si>
    <t>SAA4</t>
  </si>
  <si>
    <t>FBN1</t>
  </si>
  <si>
    <t>PCK1</t>
  </si>
  <si>
    <t>IRS1</t>
  </si>
  <si>
    <t>AGL</t>
  </si>
  <si>
    <t>MYH9</t>
  </si>
  <si>
    <t>MYH10</t>
  </si>
  <si>
    <t>COPB2</t>
  </si>
  <si>
    <t>ADD1</t>
  </si>
  <si>
    <t>FUS</t>
  </si>
  <si>
    <t>NUP214</t>
  </si>
  <si>
    <t>DEK</t>
  </si>
  <si>
    <t>MYH11</t>
  </si>
  <si>
    <t>GLRX</t>
  </si>
  <si>
    <t>CHKA</t>
  </si>
  <si>
    <t>PPM1A</t>
  </si>
  <si>
    <t>IGFALS</t>
  </si>
  <si>
    <t>HMGCL</t>
  </si>
  <si>
    <t>PSMC2</t>
  </si>
  <si>
    <t>ARL2</t>
  </si>
  <si>
    <t>ARL3</t>
  </si>
  <si>
    <t>MAP2K2</t>
  </si>
  <si>
    <t>ATP6V1E1</t>
  </si>
  <si>
    <t>CPOX</t>
  </si>
  <si>
    <t>RPL4</t>
  </si>
  <si>
    <t>NUDT1</t>
  </si>
  <si>
    <t>PGM1</t>
  </si>
  <si>
    <t>GNL1</t>
  </si>
  <si>
    <t>SERPINF1</t>
  </si>
  <si>
    <t>DLST</t>
  </si>
  <si>
    <t>GMPR</t>
  </si>
  <si>
    <t>GPX4</t>
  </si>
  <si>
    <t>CFHR2</t>
  </si>
  <si>
    <t>HSD17B2</t>
  </si>
  <si>
    <t>SRP14</t>
  </si>
  <si>
    <t>NUP62</t>
  </si>
  <si>
    <t>HPCAL1</t>
  </si>
  <si>
    <t>TAGLN2</t>
  </si>
  <si>
    <t>TALDO1</t>
  </si>
  <si>
    <t>ETFB</t>
  </si>
  <si>
    <t>RBMX</t>
  </si>
  <si>
    <t>COIL</t>
  </si>
  <si>
    <t>ATP6V1A</t>
  </si>
  <si>
    <t>HSPA9</t>
  </si>
  <si>
    <t>EIF4A3</t>
  </si>
  <si>
    <t>ANP32A</t>
  </si>
  <si>
    <t>FEN1</t>
  </si>
  <si>
    <t>CAP2</t>
  </si>
  <si>
    <t>TXLNA</t>
  </si>
  <si>
    <t>CCT6A</t>
  </si>
  <si>
    <t>NNMT</t>
  </si>
  <si>
    <t>PSMB10</t>
  </si>
  <si>
    <t>ADH7</t>
  </si>
  <si>
    <t>STAT3</t>
  </si>
  <si>
    <t>USP8</t>
  </si>
  <si>
    <t>MDH1</t>
  </si>
  <si>
    <t>MDH2</t>
  </si>
  <si>
    <t>HADHA</t>
  </si>
  <si>
    <t>EIF2S3</t>
  </si>
  <si>
    <t>CETN2</t>
  </si>
  <si>
    <t>BUD31</t>
  </si>
  <si>
    <t>UBA7</t>
  </si>
  <si>
    <t>NAA10</t>
  </si>
  <si>
    <t>HNF4A</t>
  </si>
  <si>
    <t>PPP1R2</t>
  </si>
  <si>
    <t>CSK</t>
  </si>
  <si>
    <t>GARS</t>
  </si>
  <si>
    <t>IARS</t>
  </si>
  <si>
    <t>EIF1</t>
  </si>
  <si>
    <t>PRKCI</t>
  </si>
  <si>
    <t>ACTR1B</t>
  </si>
  <si>
    <t>ECI1</t>
  </si>
  <si>
    <t>TMPO</t>
  </si>
  <si>
    <t>STAT1</t>
  </si>
  <si>
    <t>STAT6</t>
  </si>
  <si>
    <t>SKIV2L2</t>
  </si>
  <si>
    <t>AKR1C3</t>
  </si>
  <si>
    <t>PIK3CA</t>
  </si>
  <si>
    <t>PIK3CB</t>
  </si>
  <si>
    <t>MTOR</t>
  </si>
  <si>
    <t>PI4KA</t>
  </si>
  <si>
    <t>HAL</t>
  </si>
  <si>
    <t>EPS15</t>
  </si>
  <si>
    <t>CASP3</t>
  </si>
  <si>
    <t>LRPPRC</t>
  </si>
  <si>
    <t>ACAA2</t>
  </si>
  <si>
    <t>WAS</t>
  </si>
  <si>
    <t>CDKN2C</t>
  </si>
  <si>
    <t>PRCP</t>
  </si>
  <si>
    <t>HTT</t>
  </si>
  <si>
    <t>MTHFR</t>
  </si>
  <si>
    <t>PAFAH1B1</t>
  </si>
  <si>
    <t>CRAT</t>
  </si>
  <si>
    <t>MSH2</t>
  </si>
  <si>
    <t>RANBP1</t>
  </si>
  <si>
    <t>NAMPT</t>
  </si>
  <si>
    <t>AFM</t>
  </si>
  <si>
    <t>PSMC4</t>
  </si>
  <si>
    <t>GATA4</t>
  </si>
  <si>
    <t>TSFM</t>
  </si>
  <si>
    <t>ASPA</t>
  </si>
  <si>
    <t>PPIC</t>
  </si>
  <si>
    <t>ACADSB</t>
  </si>
  <si>
    <t>CBX5</t>
  </si>
  <si>
    <t>USP5</t>
  </si>
  <si>
    <t>MAPK8</t>
  </si>
  <si>
    <t>MAPK9</t>
  </si>
  <si>
    <t>MAP2K4</t>
  </si>
  <si>
    <t>MKI67</t>
  </si>
  <si>
    <t>PHKA2</t>
  </si>
  <si>
    <t>RANGAP1</t>
  </si>
  <si>
    <t>RECQL</t>
  </si>
  <si>
    <t>NOP2</t>
  </si>
  <si>
    <t>ATRX</t>
  </si>
  <si>
    <t>CRK</t>
  </si>
  <si>
    <t>CRKL</t>
  </si>
  <si>
    <t>MTIF2</t>
  </si>
  <si>
    <t>CDKN1B</t>
  </si>
  <si>
    <t>MAP2K3</t>
  </si>
  <si>
    <t>BRCC3</t>
  </si>
  <si>
    <t>RPL5</t>
  </si>
  <si>
    <t>RPL28</t>
  </si>
  <si>
    <t>RPS9</t>
  </si>
  <si>
    <t>RPS10</t>
  </si>
  <si>
    <t>GNPDA1</t>
  </si>
  <si>
    <t>NEDD4</t>
  </si>
  <si>
    <t>YAP1</t>
  </si>
  <si>
    <t>UTRN</t>
  </si>
  <si>
    <t>IQGAP1</t>
  </si>
  <si>
    <t>HAAO</t>
  </si>
  <si>
    <t>GYG1</t>
  </si>
  <si>
    <t>RABIF</t>
  </si>
  <si>
    <t>CAPZA2</t>
  </si>
  <si>
    <t>EIF1AX</t>
  </si>
  <si>
    <t>QARS</t>
  </si>
  <si>
    <t>RPL29</t>
  </si>
  <si>
    <t>UQCRFS1</t>
  </si>
  <si>
    <t>XDH</t>
  </si>
  <si>
    <t>ATP5O</t>
  </si>
  <si>
    <t>LIMS1</t>
  </si>
  <si>
    <t>PREP</t>
  </si>
  <si>
    <t>ME1</t>
  </si>
  <si>
    <t>IREB2</t>
  </si>
  <si>
    <t>ARCN1</t>
  </si>
  <si>
    <t>LSS</t>
  </si>
  <si>
    <t>GCLC</t>
  </si>
  <si>
    <t>GCLM</t>
  </si>
  <si>
    <t>TRAPPC10</t>
  </si>
  <si>
    <t>PRRC2A</t>
  </si>
  <si>
    <t>GSS</t>
  </si>
  <si>
    <t>CCT5</t>
  </si>
  <si>
    <t>KRT6C</t>
  </si>
  <si>
    <t>AMT</t>
  </si>
  <si>
    <t>IDH2</t>
  </si>
  <si>
    <t>PITPNB</t>
  </si>
  <si>
    <t>MASP1</t>
  </si>
  <si>
    <t>TDO2</t>
  </si>
  <si>
    <t>POLD2</t>
  </si>
  <si>
    <t>MARCKSL1</t>
  </si>
  <si>
    <t>PXN</t>
  </si>
  <si>
    <t>NR2C2</t>
  </si>
  <si>
    <t>ALDH9A1</t>
  </si>
  <si>
    <t>RPIA</t>
  </si>
  <si>
    <t>LMAN1</t>
  </si>
  <si>
    <t>NASP</t>
  </si>
  <si>
    <t>FMO5</t>
  </si>
  <si>
    <t>FASN</t>
  </si>
  <si>
    <t>FNTA</t>
  </si>
  <si>
    <t>FNTB</t>
  </si>
  <si>
    <t>DHPS</t>
  </si>
  <si>
    <t>CCT3</t>
  </si>
  <si>
    <t>ARRB1</t>
  </si>
  <si>
    <t>TUFM</t>
  </si>
  <si>
    <t>ALDH7A1</t>
  </si>
  <si>
    <t>CDC34</t>
  </si>
  <si>
    <t>INPP1</t>
  </si>
  <si>
    <t>GLUD2</t>
  </si>
  <si>
    <t>SRP9</t>
  </si>
  <si>
    <t>UBE2A</t>
  </si>
  <si>
    <t>PCYT1A</t>
  </si>
  <si>
    <t>AARS</t>
  </si>
  <si>
    <t>CARS</t>
  </si>
  <si>
    <t>HARS2</t>
  </si>
  <si>
    <t>SARS</t>
  </si>
  <si>
    <t>TTPA</t>
  </si>
  <si>
    <t>CASP4</t>
  </si>
  <si>
    <t>CSNK1E</t>
  </si>
  <si>
    <t>PSMB3</t>
  </si>
  <si>
    <t>PSMB2</t>
  </si>
  <si>
    <t>MCM2</t>
  </si>
  <si>
    <t>ACADVL</t>
  </si>
  <si>
    <t>YLPM1</t>
  </si>
  <si>
    <t>ACOT2</t>
  </si>
  <si>
    <t>TMED10</t>
  </si>
  <si>
    <t>RBM25</t>
  </si>
  <si>
    <t>NUMB</t>
  </si>
  <si>
    <t>EIF2B2</t>
  </si>
  <si>
    <t>HINT1</t>
  </si>
  <si>
    <t>FHIT</t>
  </si>
  <si>
    <t>NUP153</t>
  </si>
  <si>
    <t>RANBP2</t>
  </si>
  <si>
    <t>NDUFV1</t>
  </si>
  <si>
    <t>GSK3A</t>
  </si>
  <si>
    <t>GSK3B</t>
  </si>
  <si>
    <t>SULT1E1</t>
  </si>
  <si>
    <t>NT5C2</t>
  </si>
  <si>
    <t>SEPHS1</t>
  </si>
  <si>
    <t>MTHFS</t>
  </si>
  <si>
    <t>MRE11A</t>
  </si>
  <si>
    <t>KHK</t>
  </si>
  <si>
    <t>HNMT</t>
  </si>
  <si>
    <t>GNG10</t>
  </si>
  <si>
    <t>IDH3A</t>
  </si>
  <si>
    <t>SULT1A3</t>
  </si>
  <si>
    <t>SULT1A1</t>
  </si>
  <si>
    <t>SULT1A2</t>
  </si>
  <si>
    <t>PPOX</t>
  </si>
  <si>
    <t>GDI2</t>
  </si>
  <si>
    <t>EMD</t>
  </si>
  <si>
    <t>GATM</t>
  </si>
  <si>
    <t>SERPINB8</t>
  </si>
  <si>
    <t>SERPINB9</t>
  </si>
  <si>
    <t>SERPINH1</t>
  </si>
  <si>
    <t>ST13</t>
  </si>
  <si>
    <t>PEX5</t>
  </si>
  <si>
    <t>VASP</t>
  </si>
  <si>
    <t>DNM2</t>
  </si>
  <si>
    <t>METAP2</t>
  </si>
  <si>
    <t>NUDT2</t>
  </si>
  <si>
    <t>HLCS</t>
  </si>
  <si>
    <t>KNTC1</t>
  </si>
  <si>
    <t>CDK9</t>
  </si>
  <si>
    <t>BCAM</t>
  </si>
  <si>
    <t>PPT1</t>
  </si>
  <si>
    <t>CCT4</t>
  </si>
  <si>
    <t>PAPOLA</t>
  </si>
  <si>
    <t>FXR2</t>
  </si>
  <si>
    <t>RAB5C</t>
  </si>
  <si>
    <t>RAB7A</t>
  </si>
  <si>
    <t>RAB13</t>
  </si>
  <si>
    <t>PLCD1</t>
  </si>
  <si>
    <t>DAP3</t>
  </si>
  <si>
    <t>DUSP3</t>
  </si>
  <si>
    <t>SMARCA2</t>
  </si>
  <si>
    <t>SMARCA4</t>
  </si>
  <si>
    <t>IDH3G</t>
  </si>
  <si>
    <t>GALK1</t>
  </si>
  <si>
    <t>BCAP31</t>
  </si>
  <si>
    <t>TPMT</t>
  </si>
  <si>
    <t>CYP2J2</t>
  </si>
  <si>
    <t>MECP2</t>
  </si>
  <si>
    <t>HCFC1</t>
  </si>
  <si>
    <t>ALDH5A1</t>
  </si>
  <si>
    <t>HSD17B4</t>
  </si>
  <si>
    <t>PSMD7</t>
  </si>
  <si>
    <t>SUOX</t>
  </si>
  <si>
    <t>SGSH</t>
  </si>
  <si>
    <t>STAT5B</t>
  </si>
  <si>
    <t>DYNLT3</t>
  </si>
  <si>
    <t>AKR1D1</t>
  </si>
  <si>
    <t>HDGF</t>
  </si>
  <si>
    <t>LUM</t>
  </si>
  <si>
    <t>MNAT1</t>
  </si>
  <si>
    <t>HNRNPA3</t>
  </si>
  <si>
    <t>HNRNPM</t>
  </si>
  <si>
    <t>KPNA2</t>
  </si>
  <si>
    <t>KPNA1</t>
  </si>
  <si>
    <t>RAP1GDS1</t>
  </si>
  <si>
    <t>ARHGDIA</t>
  </si>
  <si>
    <t>AGFG1</t>
  </si>
  <si>
    <t>HNRNPF</t>
  </si>
  <si>
    <t>STAT2</t>
  </si>
  <si>
    <t>MSH6</t>
  </si>
  <si>
    <t>VAV2</t>
  </si>
  <si>
    <t>RBM5</t>
  </si>
  <si>
    <t>HRSP12</t>
  </si>
  <si>
    <t>SMS</t>
  </si>
  <si>
    <t>HK3</t>
  </si>
  <si>
    <t>THOP1</t>
  </si>
  <si>
    <t>AKR1C2</t>
  </si>
  <si>
    <t>CAPZA1</t>
  </si>
  <si>
    <t>CRIP2</t>
  </si>
  <si>
    <t>NUP98</t>
  </si>
  <si>
    <t>BLVRA</t>
  </si>
  <si>
    <t>SLC25A1</t>
  </si>
  <si>
    <t>ARFIP2</t>
  </si>
  <si>
    <t>ARFIP1</t>
  </si>
  <si>
    <t>NUDT6</t>
  </si>
  <si>
    <t>NUBP1</t>
  </si>
  <si>
    <t>ACLY</t>
  </si>
  <si>
    <t>METAP1</t>
  </si>
  <si>
    <t>SUCLG1</t>
  </si>
  <si>
    <t>MVD</t>
  </si>
  <si>
    <t>PGGT1B</t>
  </si>
  <si>
    <t>RABGGTB</t>
  </si>
  <si>
    <t>COPB1</t>
  </si>
  <si>
    <t>COPA</t>
  </si>
  <si>
    <t>CTSC</t>
  </si>
  <si>
    <t>CLTCL1</t>
  </si>
  <si>
    <t>AP2S1</t>
  </si>
  <si>
    <t>RCAN1</t>
  </si>
  <si>
    <t>IST1</t>
  </si>
  <si>
    <t>SEC24C</t>
  </si>
  <si>
    <t>SUB1</t>
  </si>
  <si>
    <t>RARS</t>
  </si>
  <si>
    <t>ATXN1</t>
  </si>
  <si>
    <t>PMS2</t>
  </si>
  <si>
    <t>YARS</t>
  </si>
  <si>
    <t>USP14</t>
  </si>
  <si>
    <t>PRKAG1</t>
  </si>
  <si>
    <t>BCAT1</t>
  </si>
  <si>
    <t>RAD23B</t>
  </si>
  <si>
    <t>NAGLU</t>
  </si>
  <si>
    <t>GYS2</t>
  </si>
  <si>
    <t>UGT2B15</t>
  </si>
  <si>
    <t>HMGCS2</t>
  </si>
  <si>
    <t>ALDH18A1</t>
  </si>
  <si>
    <t>NAPA</t>
  </si>
  <si>
    <t>AIF1</t>
  </si>
  <si>
    <t>EIF5</t>
  </si>
  <si>
    <t>PSMD4</t>
  </si>
  <si>
    <t>DRG2</t>
  </si>
  <si>
    <t>PLTP</t>
  </si>
  <si>
    <t>CSE1L</t>
  </si>
  <si>
    <t>VCP</t>
  </si>
  <si>
    <t>MFAP1</t>
  </si>
  <si>
    <t>HADHB</t>
  </si>
  <si>
    <t>INHBC</t>
  </si>
  <si>
    <t>MANF</t>
  </si>
  <si>
    <t>MTTP</t>
  </si>
  <si>
    <t>MLLT4</t>
  </si>
  <si>
    <t>CASP7</t>
  </si>
  <si>
    <t>CASP6</t>
  </si>
  <si>
    <t>ADK</t>
  </si>
  <si>
    <t>ADAR</t>
  </si>
  <si>
    <t>LAMB2</t>
  </si>
  <si>
    <t>CDH13</t>
  </si>
  <si>
    <t>TPD52</t>
  </si>
  <si>
    <t>SEC13</t>
  </si>
  <si>
    <t>NHP2L1</t>
  </si>
  <si>
    <t>GFER</t>
  </si>
  <si>
    <t>HNRNPH2</t>
  </si>
  <si>
    <t>SUMO3</t>
  </si>
  <si>
    <t>EIF3B</t>
  </si>
  <si>
    <t>NDUFV3</t>
  </si>
  <si>
    <t>MARS</t>
  </si>
  <si>
    <t>CMC4</t>
  </si>
  <si>
    <t>ATP5I</t>
  </si>
  <si>
    <t>LGALS4</t>
  </si>
  <si>
    <t>HDAC4</t>
  </si>
  <si>
    <t>EIF6</t>
  </si>
  <si>
    <t>RWDD2B</t>
  </si>
  <si>
    <t>C21orf59</t>
  </si>
  <si>
    <t>WDR4</t>
  </si>
  <si>
    <t>SYNJ2BP</t>
  </si>
  <si>
    <t>CORO7</t>
  </si>
  <si>
    <t>GSDMD</t>
  </si>
  <si>
    <t>EEFSEC</t>
  </si>
  <si>
    <t>SESN2</t>
  </si>
  <si>
    <t>MTPN</t>
  </si>
  <si>
    <t>TPPP2</t>
  </si>
  <si>
    <t>DEFA3</t>
  </si>
  <si>
    <t>ARPC4</t>
  </si>
  <si>
    <t>TPI1</t>
  </si>
  <si>
    <t>EIF3E</t>
  </si>
  <si>
    <t>SEC61B</t>
  </si>
  <si>
    <t>UBE2G2</t>
  </si>
  <si>
    <t>RAC3</t>
  </si>
  <si>
    <t>EIF4A1</t>
  </si>
  <si>
    <t>PRPS1</t>
  </si>
  <si>
    <t>PSMA6</t>
  </si>
  <si>
    <t>S100A10</t>
  </si>
  <si>
    <t>CDC42</t>
  </si>
  <si>
    <t>DSTN</t>
  </si>
  <si>
    <t>GMFB</t>
  </si>
  <si>
    <t>RAB8A</t>
  </si>
  <si>
    <t>SRP54</t>
  </si>
  <si>
    <t>RAB2A</t>
  </si>
  <si>
    <t>RAB5B</t>
  </si>
  <si>
    <t>RAB10</t>
  </si>
  <si>
    <t>UBE2D3</t>
  </si>
  <si>
    <t>UBE2M</t>
  </si>
  <si>
    <t>UBE2K</t>
  </si>
  <si>
    <t>UBE2N</t>
  </si>
  <si>
    <t>RAB14</t>
  </si>
  <si>
    <t>ACTR3</t>
  </si>
  <si>
    <t>ACTR2</t>
  </si>
  <si>
    <t>ACTR1A</t>
  </si>
  <si>
    <t>COPS2</t>
  </si>
  <si>
    <t>ABCE1</t>
  </si>
  <si>
    <t>RAP1B</t>
  </si>
  <si>
    <t>RPS3A</t>
  </si>
  <si>
    <t>PSME3</t>
  </si>
  <si>
    <t>MAGOH</t>
  </si>
  <si>
    <t>PCBD1</t>
  </si>
  <si>
    <t>RHOA</t>
  </si>
  <si>
    <t>HSPE1</t>
  </si>
  <si>
    <t>VBP1</t>
  </si>
  <si>
    <t>COPZ1</t>
  </si>
  <si>
    <t>SUMO2</t>
  </si>
  <si>
    <t>DCAF7</t>
  </si>
  <si>
    <t>WDR5</t>
  </si>
  <si>
    <t>AP1S1</t>
  </si>
  <si>
    <t>NUTF2</t>
  </si>
  <si>
    <t>HNRNPK</t>
  </si>
  <si>
    <t>YWHAG</t>
  </si>
  <si>
    <t>RRAS2</t>
  </si>
  <si>
    <t>TIMM10</t>
  </si>
  <si>
    <t>PPP1CA</t>
  </si>
  <si>
    <t>PPP1CB</t>
  </si>
  <si>
    <t>CALM1</t>
  </si>
  <si>
    <t>PSMC1</t>
  </si>
  <si>
    <t>PSMC5</t>
  </si>
  <si>
    <t>RPS8</t>
  </si>
  <si>
    <t>YWHAE</t>
  </si>
  <si>
    <t>RPS14</t>
  </si>
  <si>
    <t>RPS18</t>
  </si>
  <si>
    <t>RPS13</t>
  </si>
  <si>
    <t>RPS11</t>
  </si>
  <si>
    <t>SNRPE</t>
  </si>
  <si>
    <t>SNRPF</t>
  </si>
  <si>
    <t>SNRPG</t>
  </si>
  <si>
    <t>LSM3</t>
  </si>
  <si>
    <t>LSM6</t>
  </si>
  <si>
    <t>SNRPD1</t>
  </si>
  <si>
    <t>SNRPD2</t>
  </si>
  <si>
    <t>TMSB4X</t>
  </si>
  <si>
    <t>ARF6</t>
  </si>
  <si>
    <t>PSMC6</t>
  </si>
  <si>
    <t>RPL7A</t>
  </si>
  <si>
    <t>POLR2G</t>
  </si>
  <si>
    <t>ETF1</t>
  </si>
  <si>
    <t>CNBP</t>
  </si>
  <si>
    <t>RPS4X</t>
  </si>
  <si>
    <t>PPP2CB</t>
  </si>
  <si>
    <t>RPL23A</t>
  </si>
  <si>
    <t>RPS6</t>
  </si>
  <si>
    <t>VSNL1</t>
  </si>
  <si>
    <t>HIST1H4A</t>
  </si>
  <si>
    <t>HIST1H2BC</t>
  </si>
  <si>
    <t>RAB1A</t>
  </si>
  <si>
    <t>RAN</t>
  </si>
  <si>
    <t>RPL23</t>
  </si>
  <si>
    <t>RAP1A</t>
  </si>
  <si>
    <t>UBE2D2</t>
  </si>
  <si>
    <t>RPS25</t>
  </si>
  <si>
    <t>RPS26</t>
  </si>
  <si>
    <t>RPS28</t>
  </si>
  <si>
    <t>GNB1</t>
  </si>
  <si>
    <t>RBX1</t>
  </si>
  <si>
    <t>RPL11</t>
  </si>
  <si>
    <t>FKBP1A</t>
  </si>
  <si>
    <t>GRB2</t>
  </si>
  <si>
    <t>TRA2B</t>
  </si>
  <si>
    <t>RAC1</t>
  </si>
  <si>
    <t>AP2B1</t>
  </si>
  <si>
    <t>GNAS</t>
  </si>
  <si>
    <t>GNAI1</t>
  </si>
  <si>
    <t>YWHAZ</t>
  </si>
  <si>
    <t>PPP2R2A</t>
  </si>
  <si>
    <t>DYNLL1</t>
  </si>
  <si>
    <t>GNB2L1</t>
  </si>
  <si>
    <t>ACTG1</t>
  </si>
  <si>
    <t>TMSB10</t>
  </si>
  <si>
    <t>PPP2CA</t>
  </si>
  <si>
    <t>YBX1</t>
  </si>
  <si>
    <t>CSNK2B</t>
  </si>
  <si>
    <t>TPM4</t>
  </si>
  <si>
    <t>UBE2L3</t>
  </si>
  <si>
    <t>ACTA1</t>
  </si>
  <si>
    <t>TUBA1B</t>
  </si>
  <si>
    <t>TUBB4B</t>
  </si>
  <si>
    <t>PAFAH1B2</t>
  </si>
  <si>
    <t>SH3BP2</t>
  </si>
  <si>
    <t>IGBP1</t>
  </si>
  <si>
    <t>CYP4F2</t>
  </si>
  <si>
    <t>RBM6</t>
  </si>
  <si>
    <t>RPP30</t>
  </si>
  <si>
    <t>GTF2I</t>
  </si>
  <si>
    <t>PIP4K2B</t>
  </si>
  <si>
    <t>SRPK2</t>
  </si>
  <si>
    <t>CCT2</t>
  </si>
  <si>
    <t>RAE1</t>
  </si>
  <si>
    <t>GSTO1</t>
  </si>
  <si>
    <t>ST5</t>
  </si>
  <si>
    <t>CRADD</t>
  </si>
  <si>
    <t>LCN2</t>
  </si>
  <si>
    <t>IFI35</t>
  </si>
  <si>
    <t>MT1H</t>
  </si>
  <si>
    <t>MT1X</t>
  </si>
  <si>
    <t>NUCB2</t>
  </si>
  <si>
    <t>ABAT</t>
  </si>
  <si>
    <t>BASP1</t>
  </si>
  <si>
    <t>DCD</t>
  </si>
  <si>
    <t>TMF1</t>
  </si>
  <si>
    <t>MRPS35</t>
  </si>
  <si>
    <t>MRPS5</t>
  </si>
  <si>
    <t>MRPS36</t>
  </si>
  <si>
    <t>MRPS15</t>
  </si>
  <si>
    <t>MRPS34</t>
  </si>
  <si>
    <t>MRPS6</t>
  </si>
  <si>
    <t>MRPS9</t>
  </si>
  <si>
    <t>SARNP</t>
  </si>
  <si>
    <t>RBP5</t>
  </si>
  <si>
    <t>LACTB</t>
  </si>
  <si>
    <t>COG7</t>
  </si>
  <si>
    <t>TXNL4A</t>
  </si>
  <si>
    <t>ARF1</t>
  </si>
  <si>
    <t>ARF5</t>
  </si>
  <si>
    <t>ERH</t>
  </si>
  <si>
    <t>RHOG</t>
  </si>
  <si>
    <t>FOXK1</t>
  </si>
  <si>
    <t>RPP14</t>
  </si>
  <si>
    <t>CCZ1</t>
  </si>
  <si>
    <t>DAB2</t>
  </si>
  <si>
    <t>HSPG2</t>
  </si>
  <si>
    <t>XIAP</t>
  </si>
  <si>
    <t>RBM10</t>
  </si>
  <si>
    <t>RBM3</t>
  </si>
  <si>
    <t>MPP1</t>
  </si>
  <si>
    <t>TFAM</t>
  </si>
  <si>
    <t>PITPNA</t>
  </si>
  <si>
    <t>MAT1A</t>
  </si>
  <si>
    <t>HDLBP</t>
  </si>
  <si>
    <t>GTF2B</t>
  </si>
  <si>
    <t>CDK6</t>
  </si>
  <si>
    <t>CDK5</t>
  </si>
  <si>
    <t>PURA</t>
  </si>
  <si>
    <t>CLTC</t>
  </si>
  <si>
    <t>FKBP3</t>
  </si>
  <si>
    <t>SORD</t>
  </si>
  <si>
    <t>HNRNPU</t>
  </si>
  <si>
    <t>PLIN5</t>
  </si>
  <si>
    <t>U2AF1</t>
  </si>
  <si>
    <t>SPTBN1</t>
  </si>
  <si>
    <t>TIAL1</t>
  </si>
  <si>
    <t>SET</t>
  </si>
  <si>
    <t>AMPD2</t>
  </si>
  <si>
    <t>CTBS</t>
  </si>
  <si>
    <t>FABP5</t>
  </si>
  <si>
    <t>CAP1</t>
  </si>
  <si>
    <t>HMGCS1</t>
  </si>
  <si>
    <t>DR1</t>
  </si>
  <si>
    <t>OTUD4</t>
  </si>
  <si>
    <t>PFKP</t>
  </si>
  <si>
    <t>EWSR1</t>
  </si>
  <si>
    <t>OCRL</t>
  </si>
  <si>
    <t>PLCB3</t>
  </si>
  <si>
    <t>NAAA</t>
  </si>
  <si>
    <t>SP2</t>
  </si>
  <si>
    <t>ALDH6A1</t>
  </si>
  <si>
    <t>CYP27A1</t>
  </si>
  <si>
    <t>PLGLB1</t>
  </si>
  <si>
    <t>APBA1</t>
  </si>
  <si>
    <t>DSG1</t>
  </si>
  <si>
    <t>SP3</t>
  </si>
  <si>
    <t>DSC2</t>
  </si>
  <si>
    <t>MAP2K1</t>
  </si>
  <si>
    <t>FKBP4</t>
  </si>
  <si>
    <t>NUCB1</t>
  </si>
  <si>
    <t>CYP4A11</t>
  </si>
  <si>
    <t>AKAP12</t>
  </si>
  <si>
    <t>CFHR3</t>
  </si>
  <si>
    <t>DST</t>
  </si>
  <si>
    <t>GSTM4</t>
  </si>
  <si>
    <t>ACY1</t>
  </si>
  <si>
    <t>LMNB2</t>
  </si>
  <si>
    <t>CFHR1</t>
  </si>
  <si>
    <t>GBE1</t>
  </si>
  <si>
    <t>EIF4G1</t>
  </si>
  <si>
    <t>KRT17</t>
  </si>
  <si>
    <t>NOTCH2</t>
  </si>
  <si>
    <t>TLE1</t>
  </si>
  <si>
    <t>TLE3</t>
  </si>
  <si>
    <t>HGFAC</t>
  </si>
  <si>
    <t>GLO1</t>
  </si>
  <si>
    <t>AKR1C1</t>
  </si>
  <si>
    <t>SSBP1</t>
  </si>
  <si>
    <t>YWHAH</t>
  </si>
  <si>
    <t>CSTF1</t>
  </si>
  <si>
    <t>UBE3A</t>
  </si>
  <si>
    <t>PTPN12</t>
  </si>
  <si>
    <t>PRKCZ</t>
  </si>
  <si>
    <t>SRSF11</t>
  </si>
  <si>
    <t>EEF1A2</t>
  </si>
  <si>
    <t>CALD1</t>
  </si>
  <si>
    <t>ITIH3</t>
  </si>
  <si>
    <t>PTPN11</t>
  </si>
  <si>
    <t>PPAT</t>
  </si>
  <si>
    <t>GFPT1</t>
  </si>
  <si>
    <t>EXOSC9</t>
  </si>
  <si>
    <t>AOX1</t>
  </si>
  <si>
    <t>PSME1</t>
  </si>
  <si>
    <t>SULT2A1</t>
  </si>
  <si>
    <t>GABPA</t>
  </si>
  <si>
    <t>C1QBP</t>
  </si>
  <si>
    <t>ENPEP</t>
  </si>
  <si>
    <t>TJP1</t>
  </si>
  <si>
    <t>TCHH</t>
  </si>
  <si>
    <t>KHDRBS1</t>
  </si>
  <si>
    <t>BAX</t>
  </si>
  <si>
    <t>MCL1</t>
  </si>
  <si>
    <t>TNK2</t>
  </si>
  <si>
    <t>LRP1</t>
  </si>
  <si>
    <t>SRSF1</t>
  </si>
  <si>
    <t>ARHGAP1</t>
  </si>
  <si>
    <t>SRSF4</t>
  </si>
  <si>
    <t>PCDH1</t>
  </si>
  <si>
    <t>PPP3CA</t>
  </si>
  <si>
    <t>DHX9</t>
  </si>
  <si>
    <t>CRYZ</t>
  </si>
  <si>
    <t>GOLGA3</t>
  </si>
  <si>
    <t>GOLGA2</t>
  </si>
  <si>
    <t>LGALS3BP</t>
  </si>
  <si>
    <t>EHHADH</t>
  </si>
  <si>
    <t>CYP4F3</t>
  </si>
  <si>
    <t>EPB49</t>
  </si>
  <si>
    <t>PPID</t>
  </si>
  <si>
    <t>FGL1</t>
  </si>
  <si>
    <t>SSRP1</t>
  </si>
  <si>
    <t>MZT1</t>
  </si>
  <si>
    <t>ACSM1</t>
  </si>
  <si>
    <t>ACSM2A</t>
  </si>
  <si>
    <t>VAC14</t>
  </si>
  <si>
    <t>NSUN2</t>
  </si>
  <si>
    <t>RBBP4</t>
  </si>
  <si>
    <t>NCBP1</t>
  </si>
  <si>
    <t>EP300</t>
  </si>
  <si>
    <t>AHNAK</t>
  </si>
  <si>
    <t>FCHO2</t>
  </si>
  <si>
    <t>SCRN3</t>
  </si>
  <si>
    <t>CGNL1</t>
  </si>
  <si>
    <t>AP1B1</t>
  </si>
  <si>
    <t>CPSF1</t>
  </si>
  <si>
    <t>PMPCA</t>
  </si>
  <si>
    <t>KIAA0196</t>
  </si>
  <si>
    <t>NUP160</t>
  </si>
  <si>
    <t>ARHGEF5</t>
  </si>
  <si>
    <t>GTF3C1</t>
  </si>
  <si>
    <t>TWF1</t>
  </si>
  <si>
    <t>HYAL1</t>
  </si>
  <si>
    <t>ASPH</t>
  </si>
  <si>
    <t>AKAP13</t>
  </si>
  <si>
    <t>GRSF1</t>
  </si>
  <si>
    <t>SFSWAP</t>
  </si>
  <si>
    <t>SF3A3</t>
  </si>
  <si>
    <t>DPYD</t>
  </si>
  <si>
    <t>TP53BP1</t>
  </si>
  <si>
    <t>TRIM26</t>
  </si>
  <si>
    <t>AIMP1</t>
  </si>
  <si>
    <t>ILF2</t>
  </si>
  <si>
    <t>ILF3</t>
  </si>
  <si>
    <t>EPS8</t>
  </si>
  <si>
    <t>TRAF2</t>
  </si>
  <si>
    <t>DLG1</t>
  </si>
  <si>
    <t>TAF10</t>
  </si>
  <si>
    <t>MYO1E</t>
  </si>
  <si>
    <t>PPP1R8</t>
  </si>
  <si>
    <t>PTP4A2</t>
  </si>
  <si>
    <t>NFX1</t>
  </si>
  <si>
    <t>CSTF3</t>
  </si>
  <si>
    <t>ECH1</t>
  </si>
  <si>
    <t>ARHGAP5</t>
  </si>
  <si>
    <t>STRN3</t>
  </si>
  <si>
    <t>STK4</t>
  </si>
  <si>
    <t>FLII</t>
  </si>
  <si>
    <t>COASY</t>
  </si>
  <si>
    <t>ACACA</t>
  </si>
  <si>
    <t>USP4</t>
  </si>
  <si>
    <t>IK</t>
  </si>
  <si>
    <t>MTAP</t>
  </si>
  <si>
    <t>PRKAA1</t>
  </si>
  <si>
    <t>PPFIA1</t>
  </si>
  <si>
    <t>TARDBP</t>
  </si>
  <si>
    <t>HNRNPA0</t>
  </si>
  <si>
    <t>PAK1</t>
  </si>
  <si>
    <t>AIMP2</t>
  </si>
  <si>
    <t>FADD</t>
  </si>
  <si>
    <t>PRDX4</t>
  </si>
  <si>
    <t>PAK2</t>
  </si>
  <si>
    <t>CBX3</t>
  </si>
  <si>
    <t>STK3</t>
  </si>
  <si>
    <t>PSMD2</t>
  </si>
  <si>
    <t>DDX10</t>
  </si>
  <si>
    <t>DNAJC3</t>
  </si>
  <si>
    <t>SELENBP1</t>
  </si>
  <si>
    <t>NME3</t>
  </si>
  <si>
    <t>SRSF5</t>
  </si>
  <si>
    <t>SRSF6</t>
  </si>
  <si>
    <t>MAD2L1</t>
  </si>
  <si>
    <t>TRIM28</t>
  </si>
  <si>
    <t>G3BP1</t>
  </si>
  <si>
    <t>NMI</t>
  </si>
  <si>
    <t>PABPC4</t>
  </si>
  <si>
    <t>ATM</t>
  </si>
  <si>
    <t>IFIT5</t>
  </si>
  <si>
    <t>MTA1</t>
  </si>
  <si>
    <t>EIF3I</t>
  </si>
  <si>
    <t>PPP2R5C</t>
  </si>
  <si>
    <t>CTBP1</t>
  </si>
  <si>
    <t>UBE2V1</t>
  </si>
  <si>
    <t>DYNC1I2</t>
  </si>
  <si>
    <t>ILK</t>
  </si>
  <si>
    <t>NNT</t>
  </si>
  <si>
    <t>SNTA1</t>
  </si>
  <si>
    <t>XRCC4</t>
  </si>
  <si>
    <t>PPIG</t>
  </si>
  <si>
    <t>TCOF1</t>
  </si>
  <si>
    <t>SF3B2</t>
  </si>
  <si>
    <t>PDAP1</t>
  </si>
  <si>
    <t>FKBP5</t>
  </si>
  <si>
    <t>MYO9B</t>
  </si>
  <si>
    <t>ROCK1</t>
  </si>
  <si>
    <t>BIRC2</t>
  </si>
  <si>
    <t>PICALM</t>
  </si>
  <si>
    <t>MTM1</t>
  </si>
  <si>
    <t>SQSTM1</t>
  </si>
  <si>
    <t>PPP1R1A</t>
  </si>
  <si>
    <t>PIN1</t>
  </si>
  <si>
    <t>EIF4EBP1</t>
  </si>
  <si>
    <t>EIF4EBP2</t>
  </si>
  <si>
    <t>RIPK1</t>
  </si>
  <si>
    <t>HDAC1</t>
  </si>
  <si>
    <t>CAMK2B</t>
  </si>
  <si>
    <t>CAMK2G</t>
  </si>
  <si>
    <t>CAMK2D</t>
  </si>
  <si>
    <t>DCTN2</t>
  </si>
  <si>
    <t>ITPK1</t>
  </si>
  <si>
    <t>SNW1</t>
  </si>
  <si>
    <t>IQGAP2</t>
  </si>
  <si>
    <t>STIM1</t>
  </si>
  <si>
    <t>SNX1</t>
  </si>
  <si>
    <t>PWP1</t>
  </si>
  <si>
    <t>CUL1</t>
  </si>
  <si>
    <t>CUL2</t>
  </si>
  <si>
    <t>CUL3</t>
  </si>
  <si>
    <t>CUL4A</t>
  </si>
  <si>
    <t>CUL4B</t>
  </si>
  <si>
    <t>TP53BP2</t>
  </si>
  <si>
    <t>DYRK1A</t>
  </si>
  <si>
    <t>TSTA3</t>
  </si>
  <si>
    <t>FHL1</t>
  </si>
  <si>
    <t>FHL3</t>
  </si>
  <si>
    <t>ALKBH1</t>
  </si>
  <si>
    <t>SHROOM2</t>
  </si>
  <si>
    <t>SPTAN1</t>
  </si>
  <si>
    <t>AUH</t>
  </si>
  <si>
    <t>DDX39B</t>
  </si>
  <si>
    <t>BLMH</t>
  </si>
  <si>
    <t>EXOSC2</t>
  </si>
  <si>
    <t>SNTB1</t>
  </si>
  <si>
    <t>TUBB2A</t>
  </si>
  <si>
    <t>IDI1</t>
  </si>
  <si>
    <t>CAPS</t>
  </si>
  <si>
    <t>CBFB</t>
  </si>
  <si>
    <t>CDK13</t>
  </si>
  <si>
    <t>IL16</t>
  </si>
  <si>
    <t>CKAP5</t>
  </si>
  <si>
    <t>CIRBP</t>
  </si>
  <si>
    <t>CAMK1</t>
  </si>
  <si>
    <t>COTL1</t>
  </si>
  <si>
    <t>BAAT</t>
  </si>
  <si>
    <t>COX17</t>
  </si>
  <si>
    <t>HNRNPD</t>
  </si>
  <si>
    <t>IL18</t>
  </si>
  <si>
    <t>DPYS</t>
  </si>
  <si>
    <t>DAG1</t>
  </si>
  <si>
    <t>DSG2</t>
  </si>
  <si>
    <t>BOP1</t>
  </si>
  <si>
    <t>UBE4A</t>
  </si>
  <si>
    <t>SEPT6</t>
  </si>
  <si>
    <t>SAFB2</t>
  </si>
  <si>
    <t>ARHGEF7</t>
  </si>
  <si>
    <t>UBAP2L</t>
  </si>
  <si>
    <t>SCRIB</t>
  </si>
  <si>
    <t>GIT2</t>
  </si>
  <si>
    <t>TTLL12</t>
  </si>
  <si>
    <t>POLA2</t>
  </si>
  <si>
    <t>DOCK1</t>
  </si>
  <si>
    <t>FHL2</t>
  </si>
  <si>
    <t>DCTN1</t>
  </si>
  <si>
    <t>DYNC1H1</t>
  </si>
  <si>
    <t>EIF2B1</t>
  </si>
  <si>
    <t>EIF4A2</t>
  </si>
  <si>
    <t>TCEB3</t>
  </si>
  <si>
    <t>MAP7</t>
  </si>
  <si>
    <t>CTTN</t>
  </si>
  <si>
    <t>ENDOG</t>
  </si>
  <si>
    <t>RCN2</t>
  </si>
  <si>
    <t>TRIM25</t>
  </si>
  <si>
    <t>PTK2B</t>
  </si>
  <si>
    <t>FKBP8</t>
  </si>
  <si>
    <t>FAM50A</t>
  </si>
  <si>
    <t>GAMT</t>
  </si>
  <si>
    <t>GALE</t>
  </si>
  <si>
    <t>GCKR</t>
  </si>
  <si>
    <t>CAPRIN1</t>
  </si>
  <si>
    <t>RBM39</t>
  </si>
  <si>
    <t>HABP2</t>
  </si>
  <si>
    <t>HLTF</t>
  </si>
  <si>
    <t>PDIA5</t>
  </si>
  <si>
    <t>PRPSAP1</t>
  </si>
  <si>
    <t>MCM6</t>
  </si>
  <si>
    <t>NBR1</t>
  </si>
  <si>
    <t>ITIH4</t>
  </si>
  <si>
    <t>PLS1</t>
  </si>
  <si>
    <t>IRF3</t>
  </si>
  <si>
    <t>LAGE3</t>
  </si>
  <si>
    <t>TRIP12</t>
  </si>
  <si>
    <t>MDC1</t>
  </si>
  <si>
    <t>CLINT1</t>
  </si>
  <si>
    <t>KANK1</t>
  </si>
  <si>
    <t>SMC1A</t>
  </si>
  <si>
    <t>RRP1B</t>
  </si>
  <si>
    <t>GSE1</t>
  </si>
  <si>
    <t>DIP2A</t>
  </si>
  <si>
    <t>PDCD11</t>
  </si>
  <si>
    <t>USP10</t>
  </si>
  <si>
    <t>MESDC2</t>
  </si>
  <si>
    <t>GANAB</t>
  </si>
  <si>
    <t>GNMT</t>
  </si>
  <si>
    <t>GOLGB1</t>
  </si>
  <si>
    <t>CASP8</t>
  </si>
  <si>
    <t>NAA30</t>
  </si>
  <si>
    <t>MEF2D</t>
  </si>
  <si>
    <t>LASP1</t>
  </si>
  <si>
    <t>CRYM</t>
  </si>
  <si>
    <t>PTGR1</t>
  </si>
  <si>
    <t>NFIX</t>
  </si>
  <si>
    <t>ZNF638</t>
  </si>
  <si>
    <t>KPNB1</t>
  </si>
  <si>
    <t>NOLC1</t>
  </si>
  <si>
    <t>NUMA1</t>
  </si>
  <si>
    <t>PSME4</t>
  </si>
  <si>
    <t>GAPVD1</t>
  </si>
  <si>
    <t>NAA25</t>
  </si>
  <si>
    <t>HEPACAM</t>
  </si>
  <si>
    <t>WTAP</t>
  </si>
  <si>
    <t>PSMD6</t>
  </si>
  <si>
    <t>FAM175B</t>
  </si>
  <si>
    <t>SEPT2</t>
  </si>
  <si>
    <t>SART3</t>
  </si>
  <si>
    <t>EXOSC7</t>
  </si>
  <si>
    <t>EFTUD2</t>
  </si>
  <si>
    <t>SNX17</t>
  </si>
  <si>
    <t>SLC39A14</t>
  </si>
  <si>
    <t>KARS</t>
  </si>
  <si>
    <t>LRRC14</t>
  </si>
  <si>
    <t>ARHGEF6</t>
  </si>
  <si>
    <t>EIF4H</t>
  </si>
  <si>
    <t>ACAP2</t>
  </si>
  <si>
    <t>BRD3</t>
  </si>
  <si>
    <t>POSTN</t>
  </si>
  <si>
    <t>ACOX1</t>
  </si>
  <si>
    <t>EEA1</t>
  </si>
  <si>
    <t>PAFAH1B3</t>
  </si>
  <si>
    <t>PDK1</t>
  </si>
  <si>
    <t>PDK2</t>
  </si>
  <si>
    <t>PDK3</t>
  </si>
  <si>
    <t>PGM5</t>
  </si>
  <si>
    <t>PMVK</t>
  </si>
  <si>
    <t>PLEC</t>
  </si>
  <si>
    <t>TCEAL1</t>
  </si>
  <si>
    <t>PPP2R5A</t>
  </si>
  <si>
    <t>PPA1</t>
  </si>
  <si>
    <t>STK38</t>
  </si>
  <si>
    <t>NONO</t>
  </si>
  <si>
    <t>PPP2R4</t>
  </si>
  <si>
    <t>PTPRK</t>
  </si>
  <si>
    <t>QPRT</t>
  </si>
  <si>
    <t>RABEP1</t>
  </si>
  <si>
    <t>RASA2</t>
  </si>
  <si>
    <t>RBBP5</t>
  </si>
  <si>
    <t>RCN1</t>
  </si>
  <si>
    <t>RALBP1</t>
  </si>
  <si>
    <t>LRRC41</t>
  </si>
  <si>
    <t>PCBP1</t>
  </si>
  <si>
    <t>RHEB</t>
  </si>
  <si>
    <t>UBE3C</t>
  </si>
  <si>
    <t>SF3B3</t>
  </si>
  <si>
    <t>RSU1</t>
  </si>
  <si>
    <t>CNN3</t>
  </si>
  <si>
    <t>SAFB</t>
  </si>
  <si>
    <t>SF3B4</t>
  </si>
  <si>
    <t>SF3A2</t>
  </si>
  <si>
    <t>PPP1R7</t>
  </si>
  <si>
    <t>SEC23B</t>
  </si>
  <si>
    <t>SF3A1</t>
  </si>
  <si>
    <t>SKIV2L</t>
  </si>
  <si>
    <t>RGN</t>
  </si>
  <si>
    <t>SURF1</t>
  </si>
  <si>
    <t>SURF2</t>
  </si>
  <si>
    <t>TERF2</t>
  </si>
  <si>
    <t>MAPRE2</t>
  </si>
  <si>
    <t>NCOA2</t>
  </si>
  <si>
    <t>SLC9A3R2</t>
  </si>
  <si>
    <t>TRADD</t>
  </si>
  <si>
    <t>TARBP2</t>
  </si>
  <si>
    <t>SF1</t>
  </si>
  <si>
    <t>TRIP10</t>
  </si>
  <si>
    <t>TRIP11</t>
  </si>
  <si>
    <t>TRIP4</t>
  </si>
  <si>
    <t>HMGN3</t>
  </si>
  <si>
    <t>JMJD1C</t>
  </si>
  <si>
    <t>TRIP6</t>
  </si>
  <si>
    <t>MAPRE1</t>
  </si>
  <si>
    <t>TSC22D1</t>
  </si>
  <si>
    <t>ELAVL1</t>
  </si>
  <si>
    <t>NSDHL</t>
  </si>
  <si>
    <t>MYLK</t>
  </si>
  <si>
    <t>TAB1</t>
  </si>
  <si>
    <t>TOMM34</t>
  </si>
  <si>
    <t>TBCE</t>
  </si>
  <si>
    <t>TBCC</t>
  </si>
  <si>
    <t>UBE2V2</t>
  </si>
  <si>
    <t>STXBP2</t>
  </si>
  <si>
    <t>ADIRF</t>
  </si>
  <si>
    <t>RAB11B</t>
  </si>
  <si>
    <t>ZYX</t>
  </si>
  <si>
    <t>ETFDH</t>
  </si>
  <si>
    <t>SEPT7</t>
  </si>
  <si>
    <t>ADRM1</t>
  </si>
  <si>
    <t>CCDC6</t>
  </si>
  <si>
    <t>UAP1</t>
  </si>
  <si>
    <t>IGFBP7</t>
  </si>
  <si>
    <t>PSMD5</t>
  </si>
  <si>
    <t>PKN2</t>
  </si>
  <si>
    <t>DDB1</t>
  </si>
  <si>
    <t>MAPK14</t>
  </si>
  <si>
    <t>CDC37</t>
  </si>
  <si>
    <t>DPYSL2</t>
  </si>
  <si>
    <t>RBBP7</t>
  </si>
  <si>
    <t>OCLN</t>
  </si>
  <si>
    <t>MEA1</t>
  </si>
  <si>
    <t>SRSF7</t>
  </si>
  <si>
    <t>MAPKAPK3</t>
  </si>
  <si>
    <t>PDK4</t>
  </si>
  <si>
    <t>FSCN1</t>
  </si>
  <si>
    <t>KYNU</t>
  </si>
  <si>
    <t>CLPP</t>
  </si>
  <si>
    <t>TST</t>
  </si>
  <si>
    <t>CCBL1</t>
  </si>
  <si>
    <t>HAGH</t>
  </si>
  <si>
    <t>PCK2</t>
  </si>
  <si>
    <t>PTPN21</t>
  </si>
  <si>
    <t>UPP1</t>
  </si>
  <si>
    <t>HADH</t>
  </si>
  <si>
    <t>UGP2</t>
  </si>
  <si>
    <t>DGUOK</t>
  </si>
  <si>
    <t>ATP6V1F</t>
  </si>
  <si>
    <t>CDO1</t>
  </si>
  <si>
    <t>TATDN3</t>
  </si>
  <si>
    <t>EXOC3L4</t>
  </si>
  <si>
    <t>FAM98C</t>
  </si>
  <si>
    <t>FAM110C</t>
  </si>
  <si>
    <t>INF2</t>
  </si>
  <si>
    <t>HLA-B</t>
  </si>
  <si>
    <t>PDS5A</t>
  </si>
  <si>
    <t>CLEC16A</t>
  </si>
  <si>
    <t>KIAA1033</t>
  </si>
  <si>
    <t>TSR1</t>
  </si>
  <si>
    <t>RALGAPA2</t>
  </si>
  <si>
    <t>TYSND1</t>
  </si>
  <si>
    <t>SMU1</t>
  </si>
  <si>
    <t>ATHL1</t>
  </si>
  <si>
    <t>LRRFIP1</t>
  </si>
  <si>
    <t>TRMT5</t>
  </si>
  <si>
    <t>EML3</t>
  </si>
  <si>
    <t>GFOD2</t>
  </si>
  <si>
    <t>DAK</t>
  </si>
  <si>
    <t>LSM12</t>
  </si>
  <si>
    <t>PUS10</t>
  </si>
  <si>
    <t>RABL6</t>
  </si>
  <si>
    <t>TUBB8</t>
  </si>
  <si>
    <t>LGALSL</t>
  </si>
  <si>
    <t>GLYR1</t>
  </si>
  <si>
    <t>CDNF</t>
  </si>
  <si>
    <t>C5orf22</t>
  </si>
  <si>
    <t>COX19</t>
  </si>
  <si>
    <t>VPS26B</t>
  </si>
  <si>
    <t>LARP7</t>
  </si>
  <si>
    <t>NADKD1</t>
  </si>
  <si>
    <t>KCTD21</t>
  </si>
  <si>
    <t>ACSF3</t>
  </si>
  <si>
    <t>PREPL</t>
  </si>
  <si>
    <t>TBC1D10B</t>
  </si>
  <si>
    <t>TPRN</t>
  </si>
  <si>
    <t>PLCH1</t>
  </si>
  <si>
    <t>ARID4B</t>
  </si>
  <si>
    <t>GRIPAP1</t>
  </si>
  <si>
    <t>ZNF658B</t>
  </si>
  <si>
    <t>PAN2</t>
  </si>
  <si>
    <t>FAM98B</t>
  </si>
  <si>
    <t>ARHGAP29</t>
  </si>
  <si>
    <t>PDCD4</t>
  </si>
  <si>
    <t>C17orf85</t>
  </si>
  <si>
    <t>TP53I3</t>
  </si>
  <si>
    <t>ACSM3</t>
  </si>
  <si>
    <t>USP39</t>
  </si>
  <si>
    <t>LACTB2</t>
  </si>
  <si>
    <t>TSSC1</t>
  </si>
  <si>
    <t>SMUG1</t>
  </si>
  <si>
    <t>SOWAHC</t>
  </si>
  <si>
    <t>BOLA3</t>
  </si>
  <si>
    <t>COBLL1</t>
  </si>
  <si>
    <t>HS1BP3</t>
  </si>
  <si>
    <t>HSP90AB2P</t>
  </si>
  <si>
    <t>DCAF6</t>
  </si>
  <si>
    <t>RPL39P5</t>
  </si>
  <si>
    <t>OXLD1</t>
  </si>
  <si>
    <t>ZNF326</t>
  </si>
  <si>
    <t>NOM1</t>
  </si>
  <si>
    <t>FLG2</t>
  </si>
  <si>
    <t>RILPL1</t>
  </si>
  <si>
    <t>PDZD11</t>
  </si>
  <si>
    <t>CMPK2</t>
  </si>
  <si>
    <t>DNAJC21</t>
  </si>
  <si>
    <t>HERC4</t>
  </si>
  <si>
    <t>SH3D19</t>
  </si>
  <si>
    <t>TTC32</t>
  </si>
  <si>
    <t>PITRM1</t>
  </si>
  <si>
    <t>NHLRC3</t>
  </si>
  <si>
    <t>PSMG4</t>
  </si>
  <si>
    <t>WDR44</t>
  </si>
  <si>
    <t>PRRC2B</t>
  </si>
  <si>
    <t>AMER1</t>
  </si>
  <si>
    <t>TJAP1</t>
  </si>
  <si>
    <t>COA6</t>
  </si>
  <si>
    <t>TOR1AIP1</t>
  </si>
  <si>
    <t>AARS2</t>
  </si>
  <si>
    <t>PCID2</t>
  </si>
  <si>
    <t>COLEC12</t>
  </si>
  <si>
    <t>SMEK2</t>
  </si>
  <si>
    <t>WIPI1</t>
  </si>
  <si>
    <t>EOGT</t>
  </si>
  <si>
    <t>TBCEL</t>
  </si>
  <si>
    <t>RABGAP1L</t>
  </si>
  <si>
    <t>TTC38</t>
  </si>
  <si>
    <t>C1orf173</t>
  </si>
  <si>
    <t>EXOSC6</t>
  </si>
  <si>
    <t>PHYHD1</t>
  </si>
  <si>
    <t>HP1BP3</t>
  </si>
  <si>
    <t>VARS2</t>
  </si>
  <si>
    <t>CEP170</t>
  </si>
  <si>
    <t>DNLZ</t>
  </si>
  <si>
    <t>NHSL1</t>
  </si>
  <si>
    <t>FNBP1L</t>
  </si>
  <si>
    <t>RARS2</t>
  </si>
  <si>
    <t>THEM4</t>
  </si>
  <si>
    <t>FKBP15</t>
  </si>
  <si>
    <t>ZC3H13</t>
  </si>
  <si>
    <t>C10orf76</t>
  </si>
  <si>
    <t>PDZK1</t>
  </si>
  <si>
    <t>IBA57</t>
  </si>
  <si>
    <t>HECTD3</t>
  </si>
  <si>
    <t>ZFYVE27</t>
  </si>
  <si>
    <t>UBR4</t>
  </si>
  <si>
    <t>KIAA1217</t>
  </si>
  <si>
    <t>ARHGAP21</t>
  </si>
  <si>
    <t>IDNK</t>
  </si>
  <si>
    <t>C9orf64</t>
  </si>
  <si>
    <t>KPRP</t>
  </si>
  <si>
    <t>GORAB</t>
  </si>
  <si>
    <t>ACBD5</t>
  </si>
  <si>
    <t>RBM26</t>
  </si>
  <si>
    <t>GLTPD1</t>
  </si>
  <si>
    <t>FRY</t>
  </si>
  <si>
    <t>ATPAF1</t>
  </si>
  <si>
    <t>MAGI3</t>
  </si>
  <si>
    <t>DDI2</t>
  </si>
  <si>
    <t>NDUFAF5</t>
  </si>
  <si>
    <t>NT5DC1</t>
  </si>
  <si>
    <t>SIRPB1</t>
  </si>
  <si>
    <t>PXDC1</t>
  </si>
  <si>
    <t>CROCC</t>
  </si>
  <si>
    <t>LYRM7</t>
  </si>
  <si>
    <t>RIF1</t>
  </si>
  <si>
    <t>VPS53</t>
  </si>
  <si>
    <t>STRIP1</t>
  </si>
  <si>
    <t>GKAP1</t>
  </si>
  <si>
    <t>CEP350</t>
  </si>
  <si>
    <t>RPRD2</t>
  </si>
  <si>
    <t>EEF1A1P5</t>
  </si>
  <si>
    <t>TTC39B</t>
  </si>
  <si>
    <t>RNF20</t>
  </si>
  <si>
    <t>ATP5EP2</t>
  </si>
  <si>
    <t>ZNF318</t>
  </si>
  <si>
    <t>C1orf53</t>
  </si>
  <si>
    <t>C6orf57</t>
  </si>
  <si>
    <t>ARHGEF16</t>
  </si>
  <si>
    <t>YOD1</t>
  </si>
  <si>
    <t>BROX</t>
  </si>
  <si>
    <t>FOCAD</t>
  </si>
  <si>
    <t>SNX30</t>
  </si>
  <si>
    <t>MLIP</t>
  </si>
  <si>
    <t>DAB2IP</t>
  </si>
  <si>
    <t>LYPLAL1</t>
  </si>
  <si>
    <t>ECM29</t>
  </si>
  <si>
    <t>ZCCHC6</t>
  </si>
  <si>
    <t>RNLS</t>
  </si>
  <si>
    <t>NAA35</t>
  </si>
  <si>
    <t>LRRC16A</t>
  </si>
  <si>
    <t>FAM160B1</t>
  </si>
  <si>
    <t>SPRYD7</t>
  </si>
  <si>
    <t>RNF123</t>
  </si>
  <si>
    <t>AFMID</t>
  </si>
  <si>
    <t>RNF213</t>
  </si>
  <si>
    <t>KANK2</t>
  </si>
  <si>
    <t>FAM91A1</t>
  </si>
  <si>
    <t>LARP1B</t>
  </si>
  <si>
    <t>TBC1D9B</t>
  </si>
  <si>
    <t>PPP2R2D</t>
  </si>
  <si>
    <t>ARL6IP4</t>
  </si>
  <si>
    <t>ATG16L1</t>
  </si>
  <si>
    <t>ACSM2B</t>
  </si>
  <si>
    <t>TNS3</t>
  </si>
  <si>
    <t>SPTY2D1</t>
  </si>
  <si>
    <t>LMBRD2</t>
  </si>
  <si>
    <t>INTS3</t>
  </si>
  <si>
    <t>ARHGAP17</t>
  </si>
  <si>
    <t>CWF19L1</t>
  </si>
  <si>
    <t>KIAA1429</t>
  </si>
  <si>
    <t>SPECC1L</t>
  </si>
  <si>
    <t>PDPK2</t>
  </si>
  <si>
    <t>WWC2</t>
  </si>
  <si>
    <t>ZNF787</t>
  </si>
  <si>
    <t>ATL3</t>
  </si>
  <si>
    <t>ADAL</t>
  </si>
  <si>
    <t>TTC19</t>
  </si>
  <si>
    <t>IQSEC1</t>
  </si>
  <si>
    <t>VASN</t>
  </si>
  <si>
    <t>CIAPIN1</t>
  </si>
  <si>
    <t>ZFAND6</t>
  </si>
  <si>
    <t>SMYD5</t>
  </si>
  <si>
    <t>PTRHD1</t>
  </si>
  <si>
    <t>OTUD7B</t>
  </si>
  <si>
    <t>RALGAPA1</t>
  </si>
  <si>
    <t>NADSYN1</t>
  </si>
  <si>
    <t>ELP2</t>
  </si>
  <si>
    <t>GLYAT</t>
  </si>
  <si>
    <t>TWF2</t>
  </si>
  <si>
    <t>GRAMD4</t>
  </si>
  <si>
    <t>KIAA0930</t>
  </si>
  <si>
    <t>SMEK1</t>
  </si>
  <si>
    <t>LYRM5</t>
  </si>
  <si>
    <t>RAB12</t>
  </si>
  <si>
    <t>PLEKHA7</t>
  </si>
  <si>
    <t>SDE2</t>
  </si>
  <si>
    <t>RCSD1</t>
  </si>
  <si>
    <t>ACAD10</t>
  </si>
  <si>
    <t>KRT80</t>
  </si>
  <si>
    <t>NIPBL</t>
  </si>
  <si>
    <t>ZNF280D</t>
  </si>
  <si>
    <t>OGFOD2</t>
  </si>
  <si>
    <t>RETSAT</t>
  </si>
  <si>
    <t>ACSM5</t>
  </si>
  <si>
    <t>RINT1</t>
  </si>
  <si>
    <t>TMEM214</t>
  </si>
  <si>
    <t>HIBCH</t>
  </si>
  <si>
    <t>KANK3</t>
  </si>
  <si>
    <t>PPP1R18</t>
  </si>
  <si>
    <t>ZCCHC8</t>
  </si>
  <si>
    <t>CDC73</t>
  </si>
  <si>
    <t>LLGL2</t>
  </si>
  <si>
    <t>CC2D1A</t>
  </si>
  <si>
    <t>TATDN1</t>
  </si>
  <si>
    <t>DUS1L</t>
  </si>
  <si>
    <t>C8orf82</t>
  </si>
  <si>
    <t>EDC4</t>
  </si>
  <si>
    <t>PRMT10</t>
  </si>
  <si>
    <t>PRPF8</t>
  </si>
  <si>
    <t>SCYL2</t>
  </si>
  <si>
    <t>TTC27</t>
  </si>
  <si>
    <t>PLBD1</t>
  </si>
  <si>
    <t>FDX1L</t>
  </si>
  <si>
    <t>NFRKB</t>
  </si>
  <si>
    <t>FAHD1</t>
  </si>
  <si>
    <t>C8orf47</t>
  </si>
  <si>
    <t>ALKBH5</t>
  </si>
  <si>
    <t>CTR9</t>
  </si>
  <si>
    <t>AAGAB</t>
  </si>
  <si>
    <t>TTC37</t>
  </si>
  <si>
    <t>DARS2</t>
  </si>
  <si>
    <t>FBXO38</t>
  </si>
  <si>
    <t>BRAT1</t>
  </si>
  <si>
    <t>ZC3H14</t>
  </si>
  <si>
    <t>ZNF773</t>
  </si>
  <si>
    <t>LARP1</t>
  </si>
  <si>
    <t>TMED8</t>
  </si>
  <si>
    <t>CRIP3</t>
  </si>
  <si>
    <t>PAOX</t>
  </si>
  <si>
    <t>BLOC1S3</t>
  </si>
  <si>
    <t>BLOC1S2</t>
  </si>
  <si>
    <t>SAMD1</t>
  </si>
  <si>
    <t>METAP1D</t>
  </si>
  <si>
    <t>AFTPH</t>
  </si>
  <si>
    <t>FIP1L1</t>
  </si>
  <si>
    <t>KDELC1</t>
  </si>
  <si>
    <t>LRSAM1</t>
  </si>
  <si>
    <t>DHRS11</t>
  </si>
  <si>
    <t>SBSN</t>
  </si>
  <si>
    <t>CES3</t>
  </si>
  <si>
    <t>CWC27</t>
  </si>
  <si>
    <t>METTL7B</t>
  </si>
  <si>
    <t>CRELD2</t>
  </si>
  <si>
    <t>WDR82</t>
  </si>
  <si>
    <t>APOOL</t>
  </si>
  <si>
    <t>ATF7IP</t>
  </si>
  <si>
    <t>PACS1</t>
  </si>
  <si>
    <t>MPRIP</t>
  </si>
  <si>
    <t>RAB11FIP1</t>
  </si>
  <si>
    <t>NAPRT1</t>
  </si>
  <si>
    <t>DNMBP</t>
  </si>
  <si>
    <t>GIGYF2</t>
  </si>
  <si>
    <t>HSDL2</t>
  </si>
  <si>
    <t>CCBL2</t>
  </si>
  <si>
    <t>PPP1R21</t>
  </si>
  <si>
    <t>SYNE3</t>
  </si>
  <si>
    <t>GDPGP1</t>
  </si>
  <si>
    <t>SRCAP</t>
  </si>
  <si>
    <t>FAM65A</t>
  </si>
  <si>
    <t>NBEAL1</t>
  </si>
  <si>
    <t>ARHGEF18</t>
  </si>
  <si>
    <t>UBR3</t>
  </si>
  <si>
    <t>PIK3AP1</t>
  </si>
  <si>
    <t>TOM1L2</t>
  </si>
  <si>
    <t>VPS13C</t>
  </si>
  <si>
    <t>ACAD11</t>
  </si>
  <si>
    <t>RAPH1</t>
  </si>
  <si>
    <t>USP43</t>
  </si>
  <si>
    <t>MOB2</t>
  </si>
  <si>
    <t>UBE2R2</t>
  </si>
  <si>
    <t>LARP4</t>
  </si>
  <si>
    <t>TUBA1A</t>
  </si>
  <si>
    <t>H2AFV</t>
  </si>
  <si>
    <t>MTSS1L</t>
  </si>
  <si>
    <t>NOL8</t>
  </si>
  <si>
    <t>SUPT6H</t>
  </si>
  <si>
    <t>SND1</t>
  </si>
  <si>
    <t>MARK2</t>
  </si>
  <si>
    <t>DDX46</t>
  </si>
  <si>
    <t>RUFY3</t>
  </si>
  <si>
    <t>TRMT10C</t>
  </si>
  <si>
    <t>BZW1</t>
  </si>
  <si>
    <t>ASRGL1</t>
  </si>
  <si>
    <t>MEPCE</t>
  </si>
  <si>
    <t>PARS2</t>
  </si>
  <si>
    <t>RSRC2</t>
  </si>
  <si>
    <t>CYFIP1</t>
  </si>
  <si>
    <t>NDUFAF7</t>
  </si>
  <si>
    <t>GET4</t>
  </si>
  <si>
    <t>ENOSF1</t>
  </si>
  <si>
    <t>EPM2AIP1</t>
  </si>
  <si>
    <t>TAOK1</t>
  </si>
  <si>
    <t>FASTKD5</t>
  </si>
  <si>
    <t>EEPD1</t>
  </si>
  <si>
    <t>KDM3B</t>
  </si>
  <si>
    <t>CHMP1B</t>
  </si>
  <si>
    <t>RRM2B</t>
  </si>
  <si>
    <t>MICAL3</t>
  </si>
  <si>
    <t>PHF5A</t>
  </si>
  <si>
    <t>ZC3HAV1</t>
  </si>
  <si>
    <t>EFTUD1</t>
  </si>
  <si>
    <t>TRAPPC11</t>
  </si>
  <si>
    <t>C10orf118</t>
  </si>
  <si>
    <t>C16orf62</t>
  </si>
  <si>
    <t>ZFYVE16</t>
  </si>
  <si>
    <t>MYH14</t>
  </si>
  <si>
    <t>NUFIP2</t>
  </si>
  <si>
    <t>SZRD1</t>
  </si>
  <si>
    <t>MAVS</t>
  </si>
  <si>
    <t>CLASP1</t>
  </si>
  <si>
    <t>DHX29</t>
  </si>
  <si>
    <t>COMMD6</t>
  </si>
  <si>
    <t>TRMT11</t>
  </si>
  <si>
    <t>HDDC2</t>
  </si>
  <si>
    <t>KDELC2</t>
  </si>
  <si>
    <t>LIMS2</t>
  </si>
  <si>
    <t>HEATR3</t>
  </si>
  <si>
    <t>KIF21A</t>
  </si>
  <si>
    <t>HDGFRP2</t>
  </si>
  <si>
    <t>DCXR</t>
  </si>
  <si>
    <t>WAPAL</t>
  </si>
  <si>
    <t>IRF2BP2</t>
  </si>
  <si>
    <t>HSD17B13</t>
  </si>
  <si>
    <t>CPEB2</t>
  </si>
  <si>
    <t>APBB1IP</t>
  </si>
  <si>
    <t>CCDC91</t>
  </si>
  <si>
    <t>RBBP6</t>
  </si>
  <si>
    <t>PTAR1</t>
  </si>
  <si>
    <t>RABEPK</t>
  </si>
  <si>
    <t>MTERFD2</t>
  </si>
  <si>
    <t>HUWE1</t>
  </si>
  <si>
    <t>KRT77</t>
  </si>
  <si>
    <t>UBE2Q1</t>
  </si>
  <si>
    <t>CMC1</t>
  </si>
  <si>
    <t>CENPV</t>
  </si>
  <si>
    <t>ZER1</t>
  </si>
  <si>
    <t>PHLDB2</t>
  </si>
  <si>
    <t>GLRX5</t>
  </si>
  <si>
    <t>TRAPPC6B</t>
  </si>
  <si>
    <t>PATL1</t>
  </si>
  <si>
    <t>DPP9</t>
  </si>
  <si>
    <t>PRUNE</t>
  </si>
  <si>
    <t>SETD3</t>
  </si>
  <si>
    <t>ACOT1</t>
  </si>
  <si>
    <t>SERPINA11</t>
  </si>
  <si>
    <t>ISCA2</t>
  </si>
  <si>
    <t>PABPN1</t>
  </si>
  <si>
    <t>METTL3</t>
  </si>
  <si>
    <t>LDB1</t>
  </si>
  <si>
    <t>YRDC</t>
  </si>
  <si>
    <t>PRPF39</t>
  </si>
  <si>
    <t>MTDH</t>
  </si>
  <si>
    <t>ZNF598</t>
  </si>
  <si>
    <t>KTN1</t>
  </si>
  <si>
    <t>SMG6</t>
  </si>
  <si>
    <t>BCL9L</t>
  </si>
  <si>
    <t>USP48</t>
  </si>
  <si>
    <t>STK32C</t>
  </si>
  <si>
    <t>FERMT3</t>
  </si>
  <si>
    <t>NT5DC3</t>
  </si>
  <si>
    <t>LUZP1</t>
  </si>
  <si>
    <t>ALYREF</t>
  </si>
  <si>
    <t>ZC3H18</t>
  </si>
  <si>
    <t>VPS36</t>
  </si>
  <si>
    <t>CAND1</t>
  </si>
  <si>
    <t>TXNRD3</t>
  </si>
  <si>
    <t>FAM134C</t>
  </si>
  <si>
    <t>HOOK3</t>
  </si>
  <si>
    <t>COMMD7</t>
  </si>
  <si>
    <t>METTL16</t>
  </si>
  <si>
    <t>PPFIBP1</t>
  </si>
  <si>
    <t>BPHL</t>
  </si>
  <si>
    <t>LONP2</t>
  </si>
  <si>
    <t>ZC3HC1</t>
  </si>
  <si>
    <t>GPBP1</t>
  </si>
  <si>
    <t>NR2C2AP</t>
  </si>
  <si>
    <t>CCDC25</t>
  </si>
  <si>
    <t>PROSER2</t>
  </si>
  <si>
    <t>LDHD</t>
  </si>
  <si>
    <t>RALGAPB</t>
  </si>
  <si>
    <t>RALGPS2</t>
  </si>
  <si>
    <t>CARM1</t>
  </si>
  <si>
    <t>NIT1</t>
  </si>
  <si>
    <t>COMMD2</t>
  </si>
  <si>
    <t>HOGA1</t>
  </si>
  <si>
    <t>DDX42</t>
  </si>
  <si>
    <t>VRK2</t>
  </si>
  <si>
    <t>STX12</t>
  </si>
  <si>
    <t>ECHDC2</t>
  </si>
  <si>
    <t>ERO1LB</t>
  </si>
  <si>
    <t>PDSS2</t>
  </si>
  <si>
    <t>THNSL2</t>
  </si>
  <si>
    <t>TDRP</t>
  </si>
  <si>
    <t>GATAD2A</t>
  </si>
  <si>
    <t>RAB43</t>
  </si>
  <si>
    <t>C2CD5</t>
  </si>
  <si>
    <t>IRF2BP1</t>
  </si>
  <si>
    <t>RHPN2</t>
  </si>
  <si>
    <t>ERC1</t>
  </si>
  <si>
    <t>MINA</t>
  </si>
  <si>
    <t>TRAPPC5</t>
  </si>
  <si>
    <t>AGXT2L2</t>
  </si>
  <si>
    <t>LURAP1L</t>
  </si>
  <si>
    <t>PLD3</t>
  </si>
  <si>
    <t>LACC1</t>
  </si>
  <si>
    <t>ANKMY2</t>
  </si>
  <si>
    <t>NUDCD3</t>
  </si>
  <si>
    <t>MMAA</t>
  </si>
  <si>
    <t>CCDC50</t>
  </si>
  <si>
    <t>MCAT</t>
  </si>
  <si>
    <t>GLYCTK</t>
  </si>
  <si>
    <t>CARKD</t>
  </si>
  <si>
    <t>WDFY1</t>
  </si>
  <si>
    <t>TEX2</t>
  </si>
  <si>
    <t>FAM114A1</t>
  </si>
  <si>
    <t>GCC2</t>
  </si>
  <si>
    <t>HSCB</t>
  </si>
  <si>
    <t>ZC3H7A</t>
  </si>
  <si>
    <t>LMTK2</t>
  </si>
  <si>
    <t>UBR1</t>
  </si>
  <si>
    <t>UBR2</t>
  </si>
  <si>
    <t>ARHGAP12</t>
  </si>
  <si>
    <t>ADHFE1</t>
  </si>
  <si>
    <t>CHERP</t>
  </si>
  <si>
    <t>ANKHD1</t>
  </si>
  <si>
    <t>SUGP1</t>
  </si>
  <si>
    <t>UEVLD</t>
  </si>
  <si>
    <t>CCAR1</t>
  </si>
  <si>
    <t>NELFCD</t>
  </si>
  <si>
    <t>SIRT2</t>
  </si>
  <si>
    <t>PHC2</t>
  </si>
  <si>
    <t>KIAA1704</t>
  </si>
  <si>
    <t>PARP9</t>
  </si>
  <si>
    <t>RPAP2</t>
  </si>
  <si>
    <t>MICALL2</t>
  </si>
  <si>
    <t>FTSJ3</t>
  </si>
  <si>
    <t>SMAP1</t>
  </si>
  <si>
    <t>DIS3L2</t>
  </si>
  <si>
    <t>SUPV3L1</t>
  </si>
  <si>
    <t>GSPT2</t>
  </si>
  <si>
    <t>EXOC8</t>
  </si>
  <si>
    <t>C1orf174</t>
  </si>
  <si>
    <t>THNSL1</t>
  </si>
  <si>
    <t>PM20D2</t>
  </si>
  <si>
    <t>FTSJD1</t>
  </si>
  <si>
    <t>ANKRD13A</t>
  </si>
  <si>
    <t>PHACTR4</t>
  </si>
  <si>
    <t>TRMT2A</t>
  </si>
  <si>
    <t>ALDH16A1</t>
  </si>
  <si>
    <t>DCP1B</t>
  </si>
  <si>
    <t>XRN1</t>
  </si>
  <si>
    <t>ABI1</t>
  </si>
  <si>
    <t>RDH10</t>
  </si>
  <si>
    <t>C8orf59</t>
  </si>
  <si>
    <t>FAM185A</t>
  </si>
  <si>
    <t>FUK</t>
  </si>
  <si>
    <t>CLYBL</t>
  </si>
  <si>
    <t>SPG20</t>
  </si>
  <si>
    <t>MIER1</t>
  </si>
  <si>
    <t>CNPY4</t>
  </si>
  <si>
    <t>ADSSL1</t>
  </si>
  <si>
    <t>KIAA1967</t>
  </si>
  <si>
    <t>VPS52</t>
  </si>
  <si>
    <t>NUP93</t>
  </si>
  <si>
    <t>FTSJD2</t>
  </si>
  <si>
    <t>LRRC47</t>
  </si>
  <si>
    <t>DOCK4</t>
  </si>
  <si>
    <t>INTS1</t>
  </si>
  <si>
    <t>ANKRD35</t>
  </si>
  <si>
    <t>PYROXD2</t>
  </si>
  <si>
    <t>AGGF1</t>
  </si>
  <si>
    <t>GPD1L</t>
  </si>
  <si>
    <t>KDM8</t>
  </si>
  <si>
    <t>ARHGAP18</t>
  </si>
  <si>
    <t>EHBP1L1</t>
  </si>
  <si>
    <t>MICALL1</t>
  </si>
  <si>
    <t>VPS8</t>
  </si>
  <si>
    <t>SYNPO</t>
  </si>
  <si>
    <t>FNBP4</t>
  </si>
  <si>
    <t>GUF1</t>
  </si>
  <si>
    <t>D2HGDH</t>
  </si>
  <si>
    <t>RYBP</t>
  </si>
  <si>
    <t>PNKD</t>
  </si>
  <si>
    <t>MINK1</t>
  </si>
  <si>
    <t>C9orf41</t>
  </si>
  <si>
    <t>HDDC3</t>
  </si>
  <si>
    <t>ZADH2</t>
  </si>
  <si>
    <t>CHCHD4</t>
  </si>
  <si>
    <t>CBR4</t>
  </si>
  <si>
    <t>OXR1</t>
  </si>
  <si>
    <t>TTC39C</t>
  </si>
  <si>
    <t>ZGPAT</t>
  </si>
  <si>
    <t>TMEM57</t>
  </si>
  <si>
    <t>C12orf45</t>
  </si>
  <si>
    <t>FAM63A</t>
  </si>
  <si>
    <t>CISD2</t>
  </si>
  <si>
    <t>RPP25L</t>
  </si>
  <si>
    <t>ATPAF2</t>
  </si>
  <si>
    <t>MRPL50</t>
  </si>
  <si>
    <t>ZC3H8</t>
  </si>
  <si>
    <t>NGEF</t>
  </si>
  <si>
    <t>AADAT</t>
  </si>
  <si>
    <t>FAM160A2</t>
  </si>
  <si>
    <t>CPSF7</t>
  </si>
  <si>
    <t>ARFGAP2</t>
  </si>
  <si>
    <t>C1orf52</t>
  </si>
  <si>
    <t>METTL13</t>
  </si>
  <si>
    <t>PTGR2</t>
  </si>
  <si>
    <t>C2orf69</t>
  </si>
  <si>
    <t>ENAH</t>
  </si>
  <si>
    <t>GBP7</t>
  </si>
  <si>
    <t>ACOT4</t>
  </si>
  <si>
    <t>LRRC57</t>
  </si>
  <si>
    <t>SCAI</t>
  </si>
  <si>
    <t>WDSUB1</t>
  </si>
  <si>
    <t>ZNF579</t>
  </si>
  <si>
    <t>ZNF511</t>
  </si>
  <si>
    <t>PDDC1</t>
  </si>
  <si>
    <t>NHLRC2</t>
  </si>
  <si>
    <t>GOLM1</t>
  </si>
  <si>
    <t>COLGALT1</t>
  </si>
  <si>
    <t>SUMF2</t>
  </si>
  <si>
    <t>SUMF1</t>
  </si>
  <si>
    <t>POGLUT1</t>
  </si>
  <si>
    <t>RDH13</t>
  </si>
  <si>
    <t>SCCPDH</t>
  </si>
  <si>
    <t>ACBD4</t>
  </si>
  <si>
    <t>SERBP1</t>
  </si>
  <si>
    <t>NECAP1</t>
  </si>
  <si>
    <t>FAM98A</t>
  </si>
  <si>
    <t>PLA2G15</t>
  </si>
  <si>
    <t>MTMR14</t>
  </si>
  <si>
    <t>NFATC2IP</t>
  </si>
  <si>
    <t>RNF169</t>
  </si>
  <si>
    <t>PDPR</t>
  </si>
  <si>
    <t>APOA1BP</t>
  </si>
  <si>
    <t>LRRC16B</t>
  </si>
  <si>
    <t>RNF214</t>
  </si>
  <si>
    <t>PPFIBP2</t>
  </si>
  <si>
    <t>CCNY</t>
  </si>
  <si>
    <t>NPEPL1</t>
  </si>
  <si>
    <t>EHBP1</t>
  </si>
  <si>
    <t>CHDH</t>
  </si>
  <si>
    <t>ABCF1</t>
  </si>
  <si>
    <t>PIK3C3</t>
  </si>
  <si>
    <t>PDZD8</t>
  </si>
  <si>
    <t>APPL2</t>
  </si>
  <si>
    <t>PPHLN1</t>
  </si>
  <si>
    <t>VPS37A</t>
  </si>
  <si>
    <t>FBXO22</t>
  </si>
  <si>
    <t>BOD1L1</t>
  </si>
  <si>
    <t>FLAD1</t>
  </si>
  <si>
    <t>NUP43</t>
  </si>
  <si>
    <t>NUP37</t>
  </si>
  <si>
    <t>REPS2</t>
  </si>
  <si>
    <t>ENGASE</t>
  </si>
  <si>
    <t>TOR1AIP2</t>
  </si>
  <si>
    <t>TSTD1</t>
  </si>
  <si>
    <t>ABHD11</t>
  </si>
  <si>
    <t>CMAS</t>
  </si>
  <si>
    <t>ZNRF2</t>
  </si>
  <si>
    <t>TRY6</t>
  </si>
  <si>
    <t>PLBD2</t>
  </si>
  <si>
    <t>TDRD7</t>
  </si>
  <si>
    <t>CDC26</t>
  </si>
  <si>
    <t>NCOA7</t>
  </si>
  <si>
    <t>MCFD2</t>
  </si>
  <si>
    <t>INADL</t>
  </si>
  <si>
    <t>PPTC7</t>
  </si>
  <si>
    <t>WDR48</t>
  </si>
  <si>
    <t>SMARCC2</t>
  </si>
  <si>
    <t>NPLOC4</t>
  </si>
  <si>
    <t>CXorf38</t>
  </si>
  <si>
    <t>SPATA20</t>
  </si>
  <si>
    <t>RIN3</t>
  </si>
  <si>
    <t>NUBPL</t>
  </si>
  <si>
    <t>DEPTOR</t>
  </si>
  <si>
    <t>PUM2</t>
  </si>
  <si>
    <t>GOLGA5</t>
  </si>
  <si>
    <t>UBA3</t>
  </si>
  <si>
    <t>ZSCAN18</t>
  </si>
  <si>
    <t>NANP</t>
  </si>
  <si>
    <t>FAM213B</t>
  </si>
  <si>
    <t>AGXT2L1</t>
  </si>
  <si>
    <t>PIP4K2C</t>
  </si>
  <si>
    <t>TBC1D15</t>
  </si>
  <si>
    <t>RDH11</t>
  </si>
  <si>
    <t>LRRC20</t>
  </si>
  <si>
    <t>C18orf32</t>
  </si>
  <si>
    <t>NT5C</t>
  </si>
  <si>
    <t>FAM45A</t>
  </si>
  <si>
    <t>PNPT1</t>
  </si>
  <si>
    <t>BICD2</t>
  </si>
  <si>
    <t>NEK9</t>
  </si>
  <si>
    <t>GPT2</t>
  </si>
  <si>
    <t>DTX3L</t>
  </si>
  <si>
    <t>DDX54</t>
  </si>
  <si>
    <t>BLOC1S5</t>
  </si>
  <si>
    <t>ACMSD</t>
  </si>
  <si>
    <t>NEK7</t>
  </si>
  <si>
    <t>PANK1</t>
  </si>
  <si>
    <t>SSH3</t>
  </si>
  <si>
    <t>NSUN6</t>
  </si>
  <si>
    <t>TBCK</t>
  </si>
  <si>
    <t>DTD1</t>
  </si>
  <si>
    <t>DCAF11</t>
  </si>
  <si>
    <t>DENND1A</t>
  </si>
  <si>
    <t>GEMIN5</t>
  </si>
  <si>
    <t>SNED1</t>
  </si>
  <si>
    <t>ARHGEF40</t>
  </si>
  <si>
    <t>GANC</t>
  </si>
  <si>
    <t>PARD3</t>
  </si>
  <si>
    <t>PARD3B</t>
  </si>
  <si>
    <t>IPO4</t>
  </si>
  <si>
    <t>PNISR</t>
  </si>
  <si>
    <t>PPP4R1</t>
  </si>
  <si>
    <t>GIPC2</t>
  </si>
  <si>
    <t>SHROOM3</t>
  </si>
  <si>
    <t>WIPF2</t>
  </si>
  <si>
    <t>SETD7</t>
  </si>
  <si>
    <t>SCARB1</t>
  </si>
  <si>
    <t>MZB1</t>
  </si>
  <si>
    <t>SMAP2</t>
  </si>
  <si>
    <t>ZC3H15</t>
  </si>
  <si>
    <t>PPIL4</t>
  </si>
  <si>
    <t>RAB2B</t>
  </si>
  <si>
    <t>PPP1R13L</t>
  </si>
  <si>
    <t>C12orf23</t>
  </si>
  <si>
    <t>STYX</t>
  </si>
  <si>
    <t>PDCD6IP</t>
  </si>
  <si>
    <t>UBTD2</t>
  </si>
  <si>
    <t>C15orf40</t>
  </si>
  <si>
    <t>BRK1</t>
  </si>
  <si>
    <t>CHMP7</t>
  </si>
  <si>
    <t>BLNK</t>
  </si>
  <si>
    <t>SNX33</t>
  </si>
  <si>
    <t>NUDT8</t>
  </si>
  <si>
    <t>LEO1</t>
  </si>
  <si>
    <t>NUDCD2</t>
  </si>
  <si>
    <t>SCFD1</t>
  </si>
  <si>
    <t>TRAPPC12</t>
  </si>
  <si>
    <t>UBLCP1</t>
  </si>
  <si>
    <t>KBTBD7</t>
  </si>
  <si>
    <t>PCNP</t>
  </si>
  <si>
    <t>SPRYD4</t>
  </si>
  <si>
    <t>TRUB1</t>
  </si>
  <si>
    <t>ATXN2L</t>
  </si>
  <si>
    <t>PHIP</t>
  </si>
  <si>
    <t>RTN4IP1</t>
  </si>
  <si>
    <t>SELM</t>
  </si>
  <si>
    <t>PRPF31</t>
  </si>
  <si>
    <t>NELFB</t>
  </si>
  <si>
    <t>PALLD</t>
  </si>
  <si>
    <t>SREK1</t>
  </si>
  <si>
    <t>GEMIN6</t>
  </si>
  <si>
    <t>CASKIN2</t>
  </si>
  <si>
    <t>ATRIP</t>
  </si>
  <si>
    <t>PSPC1</t>
  </si>
  <si>
    <t>SYNE2</t>
  </si>
  <si>
    <t>GATAD2B</t>
  </si>
  <si>
    <t>DNAJC9</t>
  </si>
  <si>
    <t>THAP4</t>
  </si>
  <si>
    <t>ACOT12</t>
  </si>
  <si>
    <t>AHCTF1</t>
  </si>
  <si>
    <t>CHCHD10</t>
  </si>
  <si>
    <t>TTN</t>
  </si>
  <si>
    <t>RFFL</t>
  </si>
  <si>
    <t>OVCA2</t>
  </si>
  <si>
    <t>LZIC</t>
  </si>
  <si>
    <t>IRGQ</t>
  </si>
  <si>
    <t>DDB2</t>
  </si>
  <si>
    <t>DDX1</t>
  </si>
  <si>
    <t>HSD17B8</t>
  </si>
  <si>
    <t>FAM3C</t>
  </si>
  <si>
    <t>H1FX</t>
  </si>
  <si>
    <t>GBF1</t>
  </si>
  <si>
    <t>LPIN2</t>
  </si>
  <si>
    <t>RTF1</t>
  </si>
  <si>
    <t>RGP1</t>
  </si>
  <si>
    <t>IP6K1</t>
  </si>
  <si>
    <t>MRPS27</t>
  </si>
  <si>
    <t>ELMO1</t>
  </si>
  <si>
    <t>AP3S1</t>
  </si>
  <si>
    <t>TSC1</t>
  </si>
  <si>
    <t>UBXN4</t>
  </si>
  <si>
    <t>PHF3</t>
  </si>
  <si>
    <t>NDRG1</t>
  </si>
  <si>
    <t>HSPH1</t>
  </si>
  <si>
    <t>SEPT8</t>
  </si>
  <si>
    <t>RQCD1</t>
  </si>
  <si>
    <t>TBC1D5</t>
  </si>
  <si>
    <t>MYO18A</t>
  </si>
  <si>
    <t>LARP4B</t>
  </si>
  <si>
    <t>GCN1L1</t>
  </si>
  <si>
    <t>DHX38</t>
  </si>
  <si>
    <t>NUP205</t>
  </si>
  <si>
    <t>MRPS31</t>
  </si>
  <si>
    <t>AKAP1</t>
  </si>
  <si>
    <t>ANP32B</t>
  </si>
  <si>
    <t>PVRL2</t>
  </si>
  <si>
    <t>RABGGTA</t>
  </si>
  <si>
    <t>TFG</t>
  </si>
  <si>
    <t>USP6NL</t>
  </si>
  <si>
    <t>ARPC1A</t>
  </si>
  <si>
    <t>THRSP</t>
  </si>
  <si>
    <t>RREB1</t>
  </si>
  <si>
    <t>STAM</t>
  </si>
  <si>
    <t>DPF2</t>
  </si>
  <si>
    <t>PROX1</t>
  </si>
  <si>
    <t>CREBBP</t>
  </si>
  <si>
    <t>SYMPK</t>
  </si>
  <si>
    <t>TAF15</t>
  </si>
  <si>
    <t>GOLGA1</t>
  </si>
  <si>
    <t>EVPL</t>
  </si>
  <si>
    <t>GGH</t>
  </si>
  <si>
    <t>DDX17</t>
  </si>
  <si>
    <t>CASP10</t>
  </si>
  <si>
    <t>RAD50</t>
  </si>
  <si>
    <t>CELF1</t>
  </si>
  <si>
    <t>OSTF1</t>
  </si>
  <si>
    <t>ARHGEF1</t>
  </si>
  <si>
    <t>ERCC4</t>
  </si>
  <si>
    <t>UFD1L</t>
  </si>
  <si>
    <t>GLG1</t>
  </si>
  <si>
    <t>UPF1</t>
  </si>
  <si>
    <t>COPS5</t>
  </si>
  <si>
    <t>GPKOW</t>
  </si>
  <si>
    <t>SMARCC1</t>
  </si>
  <si>
    <t>BAD</t>
  </si>
  <si>
    <t>KHSRP</t>
  </si>
  <si>
    <t>GCDH</t>
  </si>
  <si>
    <t>PRG4</t>
  </si>
  <si>
    <t>TNPO1</t>
  </si>
  <si>
    <t>CLP1</t>
  </si>
  <si>
    <t>GLMN</t>
  </si>
  <si>
    <t>USP13</t>
  </si>
  <si>
    <t>USP9X</t>
  </si>
  <si>
    <t>NAT6</t>
  </si>
  <si>
    <t>CUL5</t>
  </si>
  <si>
    <t>LPP</t>
  </si>
  <si>
    <t>RBPMS</t>
  </si>
  <si>
    <t>SECISBP2L</t>
  </si>
  <si>
    <t>HIST1H2AC</t>
  </si>
  <si>
    <t>BHMT</t>
  </si>
  <si>
    <t>PTP4A1</t>
  </si>
  <si>
    <t>HGD</t>
  </si>
  <si>
    <t>PHKB</t>
  </si>
  <si>
    <t>RFK</t>
  </si>
  <si>
    <t>C19orf10</t>
  </si>
  <si>
    <t>GLYATL1</t>
  </si>
  <si>
    <t>RNF34</t>
  </si>
  <si>
    <t>YIPF5</t>
  </si>
  <si>
    <t>RPL36AL</t>
  </si>
  <si>
    <t>GFM2</t>
  </si>
  <si>
    <t>NT5C3B</t>
  </si>
  <si>
    <t>GTPBP3</t>
  </si>
  <si>
    <t>TBRG4</t>
  </si>
  <si>
    <t>MARC2</t>
  </si>
  <si>
    <t>CCDC47</t>
  </si>
  <si>
    <t>SYAP1</t>
  </si>
  <si>
    <t>EXOC4</t>
  </si>
  <si>
    <t>ISOC2</t>
  </si>
  <si>
    <t>FERMT2</t>
  </si>
  <si>
    <t>FUBP1</t>
  </si>
  <si>
    <t>LRRC59</t>
  </si>
  <si>
    <t>VTI1A</t>
  </si>
  <si>
    <t>KIAA1143</t>
  </si>
  <si>
    <t>RPE</t>
  </si>
  <si>
    <t>EXOSC8</t>
  </si>
  <si>
    <t>AKT1S1</t>
  </si>
  <si>
    <t>C10orf32</t>
  </si>
  <si>
    <t>ZNF428</t>
  </si>
  <si>
    <t>LENG9</t>
  </si>
  <si>
    <t>SH3KBP1</t>
  </si>
  <si>
    <t>RNF25</t>
  </si>
  <si>
    <t>AIDA</t>
  </si>
  <si>
    <t>FAM105B</t>
  </si>
  <si>
    <t>PPWD1</t>
  </si>
  <si>
    <t>SELRC1</t>
  </si>
  <si>
    <t>PTER</t>
  </si>
  <si>
    <t>ATG2B</t>
  </si>
  <si>
    <t>LENG1</t>
  </si>
  <si>
    <t>FAM136A</t>
  </si>
  <si>
    <t>FGGY</t>
  </si>
  <si>
    <t>EFHD2</t>
  </si>
  <si>
    <t>GALM</t>
  </si>
  <si>
    <t>SYTL4</t>
  </si>
  <si>
    <t>DCPS</t>
  </si>
  <si>
    <t>PPP1R14B</t>
  </si>
  <si>
    <t>INTS12</t>
  </si>
  <si>
    <t>FBXL8</t>
  </si>
  <si>
    <t>CHMP4C</t>
  </si>
  <si>
    <t>TIFA</t>
  </si>
  <si>
    <t>ISOC1</t>
  </si>
  <si>
    <t>FLYWCH2</t>
  </si>
  <si>
    <t>FAF2</t>
  </si>
  <si>
    <t>CCDC124</t>
  </si>
  <si>
    <t>FOXRED1</t>
  </si>
  <si>
    <t>OPTN</t>
  </si>
  <si>
    <t>AP2M1</t>
  </si>
  <si>
    <t>TUBGCP3</t>
  </si>
  <si>
    <t>SLC7A6OS</t>
  </si>
  <si>
    <t>KCTD12</t>
  </si>
  <si>
    <t>NMD3</t>
  </si>
  <si>
    <t>REPS1</t>
  </si>
  <si>
    <t>TMCO6</t>
  </si>
  <si>
    <t>ECHDC3</t>
  </si>
  <si>
    <t>NUDT16</t>
  </si>
  <si>
    <t>CMBL</t>
  </si>
  <si>
    <t>SNRNP40</t>
  </si>
  <si>
    <t>MTFMT</t>
  </si>
  <si>
    <t>ARHGEF26</t>
  </si>
  <si>
    <t>DNAH11</t>
  </si>
  <si>
    <t>MRPL38</t>
  </si>
  <si>
    <t>ASB9</t>
  </si>
  <si>
    <t>FAM122A</t>
  </si>
  <si>
    <t>MRRF</t>
  </si>
  <si>
    <t>RBMXL1</t>
  </si>
  <si>
    <t>ELP4</t>
  </si>
  <si>
    <t>SIRT1</t>
  </si>
  <si>
    <t>HOOK2</t>
  </si>
  <si>
    <t>SEH1L</t>
  </si>
  <si>
    <t>TCEAL4</t>
  </si>
  <si>
    <t>KIAA1279</t>
  </si>
  <si>
    <t>GNPNAT1</t>
  </si>
  <si>
    <t>L3HYPDH</t>
  </si>
  <si>
    <t>MOCOS</t>
  </si>
  <si>
    <t>RNF31</t>
  </si>
  <si>
    <t>DAZAP1</t>
  </si>
  <si>
    <t>RBM33</t>
  </si>
  <si>
    <t>DTNBP1</t>
  </si>
  <si>
    <t>DNAJA3</t>
  </si>
  <si>
    <t>PTCD3</t>
  </si>
  <si>
    <t>MMAB</t>
  </si>
  <si>
    <t>ADAT3</t>
  </si>
  <si>
    <t>SAT2</t>
  </si>
  <si>
    <t>NRBF2</t>
  </si>
  <si>
    <t>CCDC97</t>
  </si>
  <si>
    <t>MEF2BNB</t>
  </si>
  <si>
    <t>DYNLL2</t>
  </si>
  <si>
    <t>SCRN2</t>
  </si>
  <si>
    <t>TRMT61A</t>
  </si>
  <si>
    <t>BICD1</t>
  </si>
  <si>
    <t>PGM2</t>
  </si>
  <si>
    <t>DUS3L</t>
  </si>
  <si>
    <t>SDSL</t>
  </si>
  <si>
    <t>PDXP</t>
  </si>
  <si>
    <t>CALML4</t>
  </si>
  <si>
    <t>RNF185</t>
  </si>
  <si>
    <t>DCUN1D1</t>
  </si>
  <si>
    <t>FAHD2A</t>
  </si>
  <si>
    <t>C17orf59</t>
  </si>
  <si>
    <t>MARS2</t>
  </si>
  <si>
    <t>ATXN7L3B</t>
  </si>
  <si>
    <t>APIP</t>
  </si>
  <si>
    <t>SNF8</t>
  </si>
  <si>
    <t>PDLIM5</t>
  </si>
  <si>
    <t>ACY3</t>
  </si>
  <si>
    <t>ERO1L</t>
  </si>
  <si>
    <t>C7orf55</t>
  </si>
  <si>
    <t>AHCYL2</t>
  </si>
  <si>
    <t>OXNAD1</t>
  </si>
  <si>
    <t>CDKN2AIPNL</t>
  </si>
  <si>
    <t>REEP6</t>
  </si>
  <si>
    <t>PGAM5</t>
  </si>
  <si>
    <t>DDRGK1</t>
  </si>
  <si>
    <t>DHTKD1</t>
  </si>
  <si>
    <t>SCLY</t>
  </si>
  <si>
    <t>PYURF</t>
  </si>
  <si>
    <t>FUBP3</t>
  </si>
  <si>
    <t>RBM17</t>
  </si>
  <si>
    <t>PPP1R16A</t>
  </si>
  <si>
    <t>WBSCR16</t>
  </si>
  <si>
    <t>NARS2</t>
  </si>
  <si>
    <t>SUCLG2</t>
  </si>
  <si>
    <t>AJUBA</t>
  </si>
  <si>
    <t>GMPPA</t>
  </si>
  <si>
    <t>ABHD14B</t>
  </si>
  <si>
    <t>NGLY1</t>
  </si>
  <si>
    <t>NSL1</t>
  </si>
  <si>
    <t>CPB2</t>
  </si>
  <si>
    <t>PAWR</t>
  </si>
  <si>
    <t>ITCH</t>
  </si>
  <si>
    <t>COG3</t>
  </si>
  <si>
    <t>CDK5RAP3</t>
  </si>
  <si>
    <t>SEC16B</t>
  </si>
  <si>
    <t>CCDC132</t>
  </si>
  <si>
    <t>VCPIP1</t>
  </si>
  <si>
    <t>CHAMP1</t>
  </si>
  <si>
    <t>MYO15B</t>
  </si>
  <si>
    <t>ZFP91</t>
  </si>
  <si>
    <t>CLMN</t>
  </si>
  <si>
    <t>PDLIM2</t>
  </si>
  <si>
    <t>BTF3L4</t>
  </si>
  <si>
    <t>DNAJC1</t>
  </si>
  <si>
    <t>SCYL1</t>
  </si>
  <si>
    <t>ZNF512B</t>
  </si>
  <si>
    <t>EXOC2</t>
  </si>
  <si>
    <t>CNDP2</t>
  </si>
  <si>
    <t>ZFR</t>
  </si>
  <si>
    <t>EP400</t>
  </si>
  <si>
    <t>SNX27</t>
  </si>
  <si>
    <t>SENP8</t>
  </si>
  <si>
    <t>DHRS1</t>
  </si>
  <si>
    <t>PRRC1</t>
  </si>
  <si>
    <t>FBXL18</t>
  </si>
  <si>
    <t>PCMTD1</t>
  </si>
  <si>
    <t>HEXIM2</t>
  </si>
  <si>
    <t>YTHDC1</t>
  </si>
  <si>
    <t>CCDC43</t>
  </si>
  <si>
    <t>WDR92</t>
  </si>
  <si>
    <t>UROC1</t>
  </si>
  <si>
    <t>RILP</t>
  </si>
  <si>
    <t>ZNF830</t>
  </si>
  <si>
    <t>ZMAT2</t>
  </si>
  <si>
    <t>C8orf37</t>
  </si>
  <si>
    <t>AMDHD1</t>
  </si>
  <si>
    <t>PRAP1</t>
  </si>
  <si>
    <t>NSUN5</t>
  </si>
  <si>
    <t>RPRD1A</t>
  </si>
  <si>
    <t>AGAP3</t>
  </si>
  <si>
    <t>ARAP1</t>
  </si>
  <si>
    <t>IPO9</t>
  </si>
  <si>
    <t>PGLYRP2</t>
  </si>
  <si>
    <t>MCEE</t>
  </si>
  <si>
    <t>RBM14</t>
  </si>
  <si>
    <t>RCHY1</t>
  </si>
  <si>
    <t>GBP4</t>
  </si>
  <si>
    <t>NEDD4L</t>
  </si>
  <si>
    <t>QKI</t>
  </si>
  <si>
    <t>LENG8</t>
  </si>
  <si>
    <t>PUS7</t>
  </si>
  <si>
    <t>TRAPPC9</t>
  </si>
  <si>
    <t>PLIN4</t>
  </si>
  <si>
    <t>TRNT1</t>
  </si>
  <si>
    <t>ALS2</t>
  </si>
  <si>
    <t>ALKBH3</t>
  </si>
  <si>
    <t>PPP1R10</t>
  </si>
  <si>
    <t>VPS35</t>
  </si>
  <si>
    <t>PURB</t>
  </si>
  <si>
    <t>XPO6</t>
  </si>
  <si>
    <t>MAGI1</t>
  </si>
  <si>
    <t>SPAG5</t>
  </si>
  <si>
    <t>NACC1</t>
  </si>
  <si>
    <t>SNX18</t>
  </si>
  <si>
    <t>UIMC1</t>
  </si>
  <si>
    <t>VPS13A</t>
  </si>
  <si>
    <t>MED15</t>
  </si>
  <si>
    <t>GFM1</t>
  </si>
  <si>
    <t>MCCC1</t>
  </si>
  <si>
    <t>NUDCD1</t>
  </si>
  <si>
    <t>ERBB2IP</t>
  </si>
  <si>
    <t>USP28</t>
  </si>
  <si>
    <t>FNBP1</t>
  </si>
  <si>
    <t>HMCN1</t>
  </si>
  <si>
    <t>C16orf13</t>
  </si>
  <si>
    <t>TP53RK</t>
  </si>
  <si>
    <t>WRNIP1</t>
  </si>
  <si>
    <t>CLCC1</t>
  </si>
  <si>
    <t>PLEKHF1</t>
  </si>
  <si>
    <t>PPP1R9B</t>
  </si>
  <si>
    <t>STRBP</t>
  </si>
  <si>
    <t>IWS1</t>
  </si>
  <si>
    <t>SIN3A</t>
  </si>
  <si>
    <t>OSBPL9</t>
  </si>
  <si>
    <t>ADO</t>
  </si>
  <si>
    <t>RBM15</t>
  </si>
  <si>
    <t>RUFY1</t>
  </si>
  <si>
    <t>SPEN</t>
  </si>
  <si>
    <t>MMS19</t>
  </si>
  <si>
    <t>FAM129B</t>
  </si>
  <si>
    <t>YME1L1</t>
  </si>
  <si>
    <t>MYCBP</t>
  </si>
  <si>
    <t>ACOX2</t>
  </si>
  <si>
    <t>TBCB</t>
  </si>
  <si>
    <t>PSMB7</t>
  </si>
  <si>
    <t>PCYT2</t>
  </si>
  <si>
    <t>CDC5L</t>
  </si>
  <si>
    <t>PSMD1</t>
  </si>
  <si>
    <t>SDF2</t>
  </si>
  <si>
    <t>PFDN5</t>
  </si>
  <si>
    <t>PAFAH2</t>
  </si>
  <si>
    <t>DDO</t>
  </si>
  <si>
    <t>RNF2</t>
  </si>
  <si>
    <t>PARK7</t>
  </si>
  <si>
    <t>NEU1</t>
  </si>
  <si>
    <t>VAT1</t>
  </si>
  <si>
    <t>LGMN</t>
  </si>
  <si>
    <t>DNAJC2</t>
  </si>
  <si>
    <t>MPHOSPH8</t>
  </si>
  <si>
    <t>NUP88</t>
  </si>
  <si>
    <t>PKP4</t>
  </si>
  <si>
    <t>PIK3R4</t>
  </si>
  <si>
    <t>POP1</t>
  </si>
  <si>
    <t>S100A13</t>
  </si>
  <si>
    <t>SCAF11</t>
  </si>
  <si>
    <t>TSNAX</t>
  </si>
  <si>
    <t>SEPHS2</t>
  </si>
  <si>
    <t>TTC1</t>
  </si>
  <si>
    <t>DNAJC7</t>
  </si>
  <si>
    <t>C12orf57</t>
  </si>
  <si>
    <t>SLC38A3</t>
  </si>
  <si>
    <t>COPS8</t>
  </si>
  <si>
    <t>CHP1</t>
  </si>
  <si>
    <t>MGLL</t>
  </si>
  <si>
    <t>ATXN2</t>
  </si>
  <si>
    <t>MTR</t>
  </si>
  <si>
    <t>HSD17B10</t>
  </si>
  <si>
    <t>NAP1L4</t>
  </si>
  <si>
    <t>NAPG</t>
  </si>
  <si>
    <t>TXN2</t>
  </si>
  <si>
    <t>ATP5S</t>
  </si>
  <si>
    <t>MIPEP</t>
  </si>
  <si>
    <t>ACO2</t>
  </si>
  <si>
    <t>COQ7</t>
  </si>
  <si>
    <t>CCT7</t>
  </si>
  <si>
    <t>MYD88</t>
  </si>
  <si>
    <t>HIST1H2AJ</t>
  </si>
  <si>
    <t>PTPN18</t>
  </si>
  <si>
    <t>PKP2</t>
  </si>
  <si>
    <t>SH3GL1</t>
  </si>
  <si>
    <t>AKAP9</t>
  </si>
  <si>
    <t>NIPSNAP1</t>
  </si>
  <si>
    <t>ARPC5L</t>
  </si>
  <si>
    <t>ZFYVE21</t>
  </si>
  <si>
    <t>ELAC2</t>
  </si>
  <si>
    <t>C19orf43</t>
  </si>
  <si>
    <t>GRWD1</t>
  </si>
  <si>
    <t>MACROD1</t>
  </si>
  <si>
    <t>KLHDC3</t>
  </si>
  <si>
    <t>WDR77</t>
  </si>
  <si>
    <t>DPH2</t>
  </si>
  <si>
    <t>TUBA1C</t>
  </si>
  <si>
    <t>APOL2</t>
  </si>
  <si>
    <t>MYBBP1A</t>
  </si>
  <si>
    <t>NUDT12</t>
  </si>
  <si>
    <t>LPIN3</t>
  </si>
  <si>
    <t>MGME1</t>
  </si>
  <si>
    <t>FYCO1</t>
  </si>
  <si>
    <t>ACBD6</t>
  </si>
  <si>
    <t>CORO1B</t>
  </si>
  <si>
    <t>TXNDC17</t>
  </si>
  <si>
    <t>CPPED1</t>
  </si>
  <si>
    <t>VPS25</t>
  </si>
  <si>
    <t>SDF4</t>
  </si>
  <si>
    <t>PAAF1</t>
  </si>
  <si>
    <t>WIBG</t>
  </si>
  <si>
    <t>AIFM2</t>
  </si>
  <si>
    <t>MIEN1</t>
  </si>
  <si>
    <t>TRIM56</t>
  </si>
  <si>
    <t>ERP44</t>
  </si>
  <si>
    <t>NTPCR</t>
  </si>
  <si>
    <t>AGMAT</t>
  </si>
  <si>
    <t>TACO1</t>
  </si>
  <si>
    <t>HDHD3</t>
  </si>
  <si>
    <t>C17orf80</t>
  </si>
  <si>
    <t>ESYT1</t>
  </si>
  <si>
    <t>UBAC1</t>
  </si>
  <si>
    <t>RTKN</t>
  </si>
  <si>
    <t>C16orf70</t>
  </si>
  <si>
    <t>CHCHD5</t>
  </si>
  <si>
    <t>CNPY3</t>
  </si>
  <si>
    <t>ALKBH7</t>
  </si>
  <si>
    <t>PSMG3</t>
  </si>
  <si>
    <t>COPS4</t>
  </si>
  <si>
    <t>WAC</t>
  </si>
  <si>
    <t>DIDO1</t>
  </si>
  <si>
    <t>DCTN5</t>
  </si>
  <si>
    <t>MCMBP</t>
  </si>
  <si>
    <t>AARSD1</t>
  </si>
  <si>
    <t>FAM103A1</t>
  </si>
  <si>
    <t>ANP32E</t>
  </si>
  <si>
    <t>TBCD</t>
  </si>
  <si>
    <t>TTPAL</t>
  </si>
  <si>
    <t>FUCA2</t>
  </si>
  <si>
    <t>FAM203A</t>
  </si>
  <si>
    <t>DHRS4</t>
  </si>
  <si>
    <t>THTPA</t>
  </si>
  <si>
    <t>NDUFAF3</t>
  </si>
  <si>
    <t>DOHH</t>
  </si>
  <si>
    <t>ISCA1</t>
  </si>
  <si>
    <t>C9orf142</t>
  </si>
  <si>
    <t>HNRNPUL1</t>
  </si>
  <si>
    <t>EFHD1</t>
  </si>
  <si>
    <t>DDX23</t>
  </si>
  <si>
    <t>BDH2</t>
  </si>
  <si>
    <t>FAM195A</t>
  </si>
  <si>
    <t>C1orf50</t>
  </si>
  <si>
    <t>MRI1</t>
  </si>
  <si>
    <t>THUMPD3</t>
  </si>
  <si>
    <t>ADI1</t>
  </si>
  <si>
    <t>MECR</t>
  </si>
  <si>
    <t>NTMT1</t>
  </si>
  <si>
    <t>PBDC1</t>
  </si>
  <si>
    <t>UTP14A</t>
  </si>
  <si>
    <t>DUSP23</t>
  </si>
  <si>
    <t>SELO</t>
  </si>
  <si>
    <t>GGACT</t>
  </si>
  <si>
    <t>TRMT61B</t>
  </si>
  <si>
    <t>NUP85</t>
  </si>
  <si>
    <t>DDA1</t>
  </si>
  <si>
    <t>HIRIP3</t>
  </si>
  <si>
    <t>IFT27</t>
  </si>
  <si>
    <t>CCDC94</t>
  </si>
  <si>
    <t>NUDT9</t>
  </si>
  <si>
    <t>TARS2</t>
  </si>
  <si>
    <t>ACAT2</t>
  </si>
  <si>
    <t>REPIN1</t>
  </si>
  <si>
    <t>RPAP1</t>
  </si>
  <si>
    <t>SF3B5</t>
  </si>
  <si>
    <t>CHID1</t>
  </si>
  <si>
    <t>SLC4A1AP</t>
  </si>
  <si>
    <t>SORBS1</t>
  </si>
  <si>
    <t>HINT2</t>
  </si>
  <si>
    <t>SGPP1</t>
  </si>
  <si>
    <t>OSBPL11</t>
  </si>
  <si>
    <t>TBC1D10A</t>
  </si>
  <si>
    <t>NAA15</t>
  </si>
  <si>
    <t>BCL2L13</t>
  </si>
  <si>
    <t>SRRT</t>
  </si>
  <si>
    <t>QTRT1</t>
  </si>
  <si>
    <t>AP1M1</t>
  </si>
  <si>
    <t>NUSAP1</t>
  </si>
  <si>
    <t>C14orf142</t>
  </si>
  <si>
    <t>OSBPL1A</t>
  </si>
  <si>
    <t>CECR5</t>
  </si>
  <si>
    <t>ITPA</t>
  </si>
  <si>
    <t>RTFDC1</t>
  </si>
  <si>
    <t>CHMP4A</t>
  </si>
  <si>
    <t>PECR</t>
  </si>
  <si>
    <t>CADM1</t>
  </si>
  <si>
    <t>POLDIP3</t>
  </si>
  <si>
    <t>KIAA1671</t>
  </si>
  <si>
    <t>MRPL1</t>
  </si>
  <si>
    <t>RBCK1</t>
  </si>
  <si>
    <t>SRXN1</t>
  </si>
  <si>
    <t>MRPS26</t>
  </si>
  <si>
    <t>WNK3</t>
  </si>
  <si>
    <t>NLN</t>
  </si>
  <si>
    <t>AGXT2</t>
  </si>
  <si>
    <t>BCO2</t>
  </si>
  <si>
    <t>TBC1D2</t>
  </si>
  <si>
    <t>IFIH1</t>
  </si>
  <si>
    <t>PANK2</t>
  </si>
  <si>
    <t>PUS3</t>
  </si>
  <si>
    <t>ASPSCR1</t>
  </si>
  <si>
    <t>OSBPL8</t>
  </si>
  <si>
    <t>WDR11</t>
  </si>
  <si>
    <t>UPF3B</t>
  </si>
  <si>
    <t>TBL1XR1</t>
  </si>
  <si>
    <t>UBL5</t>
  </si>
  <si>
    <t>PPP1R12C</t>
  </si>
  <si>
    <t>API5</t>
  </si>
  <si>
    <t>DPY30</t>
  </si>
  <si>
    <t>TRIM5</t>
  </si>
  <si>
    <t>UNK</t>
  </si>
  <si>
    <t>FTO</t>
  </si>
  <si>
    <t>ZDHHC5</t>
  </si>
  <si>
    <t>TANGO6</t>
  </si>
  <si>
    <t>TNKS1BP1</t>
  </si>
  <si>
    <t>UBE2O</t>
  </si>
  <si>
    <t>SRCIN1</t>
  </si>
  <si>
    <t>MTMR12</t>
  </si>
  <si>
    <t>WDR33</t>
  </si>
  <si>
    <t>YIPF3</t>
  </si>
  <si>
    <t>TINAGL1</t>
  </si>
  <si>
    <t>C20orf27</t>
  </si>
  <si>
    <t>PITHD1</t>
  </si>
  <si>
    <t>COMMD5</t>
  </si>
  <si>
    <t>SLIRP</t>
  </si>
  <si>
    <t>NIF3L1</t>
  </si>
  <si>
    <t>EGLN1</t>
  </si>
  <si>
    <t>FAM192A</t>
  </si>
  <si>
    <t>MFF</t>
  </si>
  <si>
    <t>UBA5</t>
  </si>
  <si>
    <t>LHPP</t>
  </si>
  <si>
    <t>PAIP1</t>
  </si>
  <si>
    <t>CLPB</t>
  </si>
  <si>
    <t>FAM107B</t>
  </si>
  <si>
    <t>COMMD4</t>
  </si>
  <si>
    <t>ILKAP</t>
  </si>
  <si>
    <t>XRN2</t>
  </si>
  <si>
    <t>TOLLIP</t>
  </si>
  <si>
    <t>SAP130</t>
  </si>
  <si>
    <t>SHARPIN</t>
  </si>
  <si>
    <t>NSRP1</t>
  </si>
  <si>
    <t>SIK2</t>
  </si>
  <si>
    <t>CSTF2T</t>
  </si>
  <si>
    <t>NT5C3A</t>
  </si>
  <si>
    <t>HDHD2</t>
  </si>
  <si>
    <t>QRSL1</t>
  </si>
  <si>
    <t>RAB1B</t>
  </si>
  <si>
    <t>C11orf54</t>
  </si>
  <si>
    <t>SIL1</t>
  </si>
  <si>
    <t>IRF2BPL</t>
  </si>
  <si>
    <t>NUCKS1</t>
  </si>
  <si>
    <t>KIF13A</t>
  </si>
  <si>
    <t>UPF3A</t>
  </si>
  <si>
    <t>ZFYVE20</t>
  </si>
  <si>
    <t>ISCU</t>
  </si>
  <si>
    <t>ATG5</t>
  </si>
  <si>
    <t>WDR13</t>
  </si>
  <si>
    <t>EHD4</t>
  </si>
  <si>
    <t>GBA3</t>
  </si>
  <si>
    <t>VPS33B</t>
  </si>
  <si>
    <t>VPS11</t>
  </si>
  <si>
    <t>ALDH8A1</t>
  </si>
  <si>
    <t>TRIOBP</t>
  </si>
  <si>
    <t>SLK</t>
  </si>
  <si>
    <t>PPIL3</t>
  </si>
  <si>
    <t>TAOK3</t>
  </si>
  <si>
    <t>BHMT2</t>
  </si>
  <si>
    <t>RAB3GAP2</t>
  </si>
  <si>
    <t>ADNP</t>
  </si>
  <si>
    <t>DPH5</t>
  </si>
  <si>
    <t>DHX36</t>
  </si>
  <si>
    <t>PPA2</t>
  </si>
  <si>
    <t>MRPL46</t>
  </si>
  <si>
    <t>CLEC4M</t>
  </si>
  <si>
    <t>PNN</t>
  </si>
  <si>
    <t>EPB41L4B</t>
  </si>
  <si>
    <t>CPVL</t>
  </si>
  <si>
    <t>C11orf68</t>
  </si>
  <si>
    <t>BOLA2</t>
  </si>
  <si>
    <t>TMX1</t>
  </si>
  <si>
    <t>NELFA</t>
  </si>
  <si>
    <t>ACBD3</t>
  </si>
  <si>
    <t>CDC42EP4</t>
  </si>
  <si>
    <t>PTPN23</t>
  </si>
  <si>
    <t>UNC45A</t>
  </si>
  <si>
    <t>LIME1</t>
  </si>
  <si>
    <t>CHMP4B</t>
  </si>
  <si>
    <t>RBKS</t>
  </si>
  <si>
    <t>FN3K</t>
  </si>
  <si>
    <t>POFUT1</t>
  </si>
  <si>
    <t>RNPEP</t>
  </si>
  <si>
    <t>GOLPH3</t>
  </si>
  <si>
    <t>OSGEPL1</t>
  </si>
  <si>
    <t>ZHX3</t>
  </si>
  <si>
    <t>SMARCAD1</t>
  </si>
  <si>
    <t>EHD1</t>
  </si>
  <si>
    <t>PCIF1</t>
  </si>
  <si>
    <t>RABEP2</t>
  </si>
  <si>
    <t>TFB2M</t>
  </si>
  <si>
    <t>CXorf56</t>
  </si>
  <si>
    <t>OBFC1</t>
  </si>
  <si>
    <t>TUT1</t>
  </si>
  <si>
    <t>CCDC86</t>
  </si>
  <si>
    <t>NARFL</t>
  </si>
  <si>
    <t>ACSS3</t>
  </si>
  <si>
    <t>YTHDC2</t>
  </si>
  <si>
    <t>EPS8L2</t>
  </si>
  <si>
    <t>ESRP2</t>
  </si>
  <si>
    <t>RPAP3</t>
  </si>
  <si>
    <t>BCAS3</t>
  </si>
  <si>
    <t>DCTPP1</t>
  </si>
  <si>
    <t>ELAC1</t>
  </si>
  <si>
    <t>SH2D4A</t>
  </si>
  <si>
    <t>AAMDC</t>
  </si>
  <si>
    <t>DOCK5</t>
  </si>
  <si>
    <t>TDRD3</t>
  </si>
  <si>
    <t>SCAF1</t>
  </si>
  <si>
    <t>KAT8</t>
  </si>
  <si>
    <t>PTGES2</t>
  </si>
  <si>
    <t>PHAX</t>
  </si>
  <si>
    <t>UBE2Z</t>
  </si>
  <si>
    <t>ACAD9</t>
  </si>
  <si>
    <t>CAAP1</t>
  </si>
  <si>
    <t>FAM188A</t>
  </si>
  <si>
    <t>MOB1A</t>
  </si>
  <si>
    <t>AKTIP</t>
  </si>
  <si>
    <t>ZFAND3</t>
  </si>
  <si>
    <t>PLEKHF2</t>
  </si>
  <si>
    <t>GORASP2</t>
  </si>
  <si>
    <t>PSTPIP2</t>
  </si>
  <si>
    <t>QTRTD1</t>
  </si>
  <si>
    <t>C6orf211</t>
  </si>
  <si>
    <t>PANK3</t>
  </si>
  <si>
    <t>CNOT10</t>
  </si>
  <si>
    <t>LRRC40</t>
  </si>
  <si>
    <t>EHMT1</t>
  </si>
  <si>
    <t>SFXN1</t>
  </si>
  <si>
    <t>VIPAS39</t>
  </si>
  <si>
    <t>COG4</t>
  </si>
  <si>
    <t>AGO3</t>
  </si>
  <si>
    <t>MRPL44</t>
  </si>
  <si>
    <t>ELP3</t>
  </si>
  <si>
    <t>FN3KRP</t>
  </si>
  <si>
    <t>TBC1D17</t>
  </si>
  <si>
    <t>CARS2</t>
  </si>
  <si>
    <t>PPCS</t>
  </si>
  <si>
    <t>C7orf10</t>
  </si>
  <si>
    <t>NMNAT1</t>
  </si>
  <si>
    <t>SIAE</t>
  </si>
  <si>
    <t>PLEKHA5</t>
  </si>
  <si>
    <t>UPF2</t>
  </si>
  <si>
    <t>XPO5</t>
  </si>
  <si>
    <t>GRPEL1</t>
  </si>
  <si>
    <t>C12orf10</t>
  </si>
  <si>
    <t>SCPEP1</t>
  </si>
  <si>
    <t>CACYBP</t>
  </si>
  <si>
    <t>RRAGC</t>
  </si>
  <si>
    <t>CDHR5</t>
  </si>
  <si>
    <t>ZFYVE1</t>
  </si>
  <si>
    <t>PDF</t>
  </si>
  <si>
    <t>PARVB</t>
  </si>
  <si>
    <t>AS3MT</t>
  </si>
  <si>
    <t>NMRAL1</t>
  </si>
  <si>
    <t>EML4</t>
  </si>
  <si>
    <t>GLOD4</t>
  </si>
  <si>
    <t>CBX8</t>
  </si>
  <si>
    <t>ZBTB20</t>
  </si>
  <si>
    <t>MCCC2</t>
  </si>
  <si>
    <t>ZFYVE28</t>
  </si>
  <si>
    <t>MOV10</t>
  </si>
  <si>
    <t>METTL14</t>
  </si>
  <si>
    <t>ARHGEF10L</t>
  </si>
  <si>
    <t>EPB41L5</t>
  </si>
  <si>
    <t>GPN1</t>
  </si>
  <si>
    <t>SDF2L1</t>
  </si>
  <si>
    <t>ZNF304</t>
  </si>
  <si>
    <t>SRA1</t>
  </si>
  <si>
    <t>GOPC</t>
  </si>
  <si>
    <t>LYRM4</t>
  </si>
  <si>
    <t>SEPSECS</t>
  </si>
  <si>
    <t>CHMP1A</t>
  </si>
  <si>
    <t>RANGRF</t>
  </si>
  <si>
    <t>RETN</t>
  </si>
  <si>
    <t>TXNRD2</t>
  </si>
  <si>
    <t>ARFGAP3</t>
  </si>
  <si>
    <t>MLXIPL</t>
  </si>
  <si>
    <t>RAB18</t>
  </si>
  <si>
    <t>ALG13</t>
  </si>
  <si>
    <t>PALMD</t>
  </si>
  <si>
    <t>SSU72</t>
  </si>
  <si>
    <t>VTA1</t>
  </si>
  <si>
    <t>DYNLRB1</t>
  </si>
  <si>
    <t>ENY2</t>
  </si>
  <si>
    <t>GPCPD1</t>
  </si>
  <si>
    <t>EXOSC4</t>
  </si>
  <si>
    <t>NOP10</t>
  </si>
  <si>
    <t>OSGEP</t>
  </si>
  <si>
    <t>UBN1</t>
  </si>
  <si>
    <t>ACP6</t>
  </si>
  <si>
    <t>ACOT13</t>
  </si>
  <si>
    <t>RIC8A</t>
  </si>
  <si>
    <t>TIGAR</t>
  </si>
  <si>
    <t>A1CF</t>
  </si>
  <si>
    <t>RPRD1B</t>
  </si>
  <si>
    <t>SMCR7L</t>
  </si>
  <si>
    <t>XPNPEP3</t>
  </si>
  <si>
    <t>PFDN4</t>
  </si>
  <si>
    <t>NIT2</t>
  </si>
  <si>
    <t>AVEN</t>
  </si>
  <si>
    <t>EXOSC5</t>
  </si>
  <si>
    <t>KIF13B</t>
  </si>
  <si>
    <t>XPNPEP1</t>
  </si>
  <si>
    <t>GPHN</t>
  </si>
  <si>
    <t>BIRC6</t>
  </si>
  <si>
    <t>ACSS2</t>
  </si>
  <si>
    <t>DIABLO</t>
  </si>
  <si>
    <t>DDX21</t>
  </si>
  <si>
    <t>SAR1A</t>
  </si>
  <si>
    <t>NANS</t>
  </si>
  <si>
    <t>EIF2B3</t>
  </si>
  <si>
    <t>CTPS2</t>
  </si>
  <si>
    <t>POLE3</t>
  </si>
  <si>
    <t>AASDHPPT</t>
  </si>
  <si>
    <t>ACN9</t>
  </si>
  <si>
    <t>UBQLN4</t>
  </si>
  <si>
    <t>SNX15</t>
  </si>
  <si>
    <t>HEBP1</t>
  </si>
  <si>
    <t>VPS45</t>
  </si>
  <si>
    <t>PHPT1</t>
  </si>
  <si>
    <t>ARHGAP35</t>
  </si>
  <si>
    <t>FAM114A2</t>
  </si>
  <si>
    <t>LANCL2</t>
  </si>
  <si>
    <t>RAD18</t>
  </si>
  <si>
    <t>HOMER2</t>
  </si>
  <si>
    <t>FARSB</t>
  </si>
  <si>
    <t>IARS2</t>
  </si>
  <si>
    <t>KLC4</t>
  </si>
  <si>
    <t>NRBP2</t>
  </si>
  <si>
    <t>STARD5</t>
  </si>
  <si>
    <t>ATG3</t>
  </si>
  <si>
    <t>SIRT3</t>
  </si>
  <si>
    <t>PDS5B</t>
  </si>
  <si>
    <t>MAN2C1</t>
  </si>
  <si>
    <t>OLA1</t>
  </si>
  <si>
    <t>CUTC</t>
  </si>
  <si>
    <t>SEMA4G</t>
  </si>
  <si>
    <t>ECHDC1</t>
  </si>
  <si>
    <t>RBM12</t>
  </si>
  <si>
    <t>LYRM2</t>
  </si>
  <si>
    <t>PDRG1</t>
  </si>
  <si>
    <t>DECR2</t>
  </si>
  <si>
    <t>ABHD10</t>
  </si>
  <si>
    <t>C19orf66</t>
  </si>
  <si>
    <t>TRMT13</t>
  </si>
  <si>
    <t>LIN7C</t>
  </si>
  <si>
    <t>TXLNG</t>
  </si>
  <si>
    <t>SPATS2L</t>
  </si>
  <si>
    <t>ABCF3</t>
  </si>
  <si>
    <t>FAM49B</t>
  </si>
  <si>
    <t>GIMAP4</t>
  </si>
  <si>
    <t>TBC1D23</t>
  </si>
  <si>
    <t>NUDT15</t>
  </si>
  <si>
    <t>MRGBP</t>
  </si>
  <si>
    <t>EXOC1</t>
  </si>
  <si>
    <t>PARVA</t>
  </si>
  <si>
    <t>PANK4</t>
  </si>
  <si>
    <t>ETNK2</t>
  </si>
  <si>
    <t>TBC1D13</t>
  </si>
  <si>
    <t>EXD2</t>
  </si>
  <si>
    <t>TMLHE</t>
  </si>
  <si>
    <t>DNAJC17</t>
  </si>
  <si>
    <t>DNAAF2</t>
  </si>
  <si>
    <t>PNPO</t>
  </si>
  <si>
    <t>ARMC1</t>
  </si>
  <si>
    <t>SDAD1</t>
  </si>
  <si>
    <t>NLE1</t>
  </si>
  <si>
    <t>NECAP2</t>
  </si>
  <si>
    <t>RBM28</t>
  </si>
  <si>
    <t>RBM22</t>
  </si>
  <si>
    <t>BSDC1</t>
  </si>
  <si>
    <t>WDR70</t>
  </si>
  <si>
    <t>ARGLU1</t>
  </si>
  <si>
    <t>SLTM</t>
  </si>
  <si>
    <t>ZNHIT6</t>
  </si>
  <si>
    <t>OXSM</t>
  </si>
  <si>
    <t>GID8</t>
  </si>
  <si>
    <t>C1orf123</t>
  </si>
  <si>
    <t>THG1L</t>
  </si>
  <si>
    <t>C4orf27</t>
  </si>
  <si>
    <t>IRAK4</t>
  </si>
  <si>
    <t>UCKL1</t>
  </si>
  <si>
    <t>TXNL4B</t>
  </si>
  <si>
    <t>COMMD8</t>
  </si>
  <si>
    <t>FAM206A</t>
  </si>
  <si>
    <t>ADPRHL2</t>
  </si>
  <si>
    <t>HYPK</t>
  </si>
  <si>
    <t>SIRT5</t>
  </si>
  <si>
    <t>MTMR10</t>
  </si>
  <si>
    <t>THUMPD1</t>
  </si>
  <si>
    <t>P4HTM</t>
  </si>
  <si>
    <t>TRMT1</t>
  </si>
  <si>
    <t>BRE</t>
  </si>
  <si>
    <t>ARL15</t>
  </si>
  <si>
    <t>CDKN2AIP</t>
  </si>
  <si>
    <t>DNAJB12</t>
  </si>
  <si>
    <t>ALKBH4</t>
  </si>
  <si>
    <t>GAR1</t>
  </si>
  <si>
    <t>PPP4R2</t>
  </si>
  <si>
    <t>DPP3</t>
  </si>
  <si>
    <t>TERF2IP</t>
  </si>
  <si>
    <t>BCLAF1</t>
  </si>
  <si>
    <t>COA4</t>
  </si>
  <si>
    <t>TAB2</t>
  </si>
  <si>
    <t>MLTK</t>
  </si>
  <si>
    <t>TMOD3</t>
  </si>
  <si>
    <t>HAO2</t>
  </si>
  <si>
    <t>UGGT1</t>
  </si>
  <si>
    <t>CDK12</t>
  </si>
  <si>
    <t>FASTKD2</t>
  </si>
  <si>
    <t>ERAP1</t>
  </si>
  <si>
    <t>UBAP1</t>
  </si>
  <si>
    <t>ACTR10</t>
  </si>
  <si>
    <t>CISD1</t>
  </si>
  <si>
    <t>C9orf78</t>
  </si>
  <si>
    <t>FAM120A</t>
  </si>
  <si>
    <t>MOCS1</t>
  </si>
  <si>
    <t>GLTP</t>
  </si>
  <si>
    <t>SPG21</t>
  </si>
  <si>
    <t>SACS</t>
  </si>
  <si>
    <t>COQ3</t>
  </si>
  <si>
    <t>NUDT4</t>
  </si>
  <si>
    <t>HSPBP1</t>
  </si>
  <si>
    <t>MAT2B</t>
  </si>
  <si>
    <t>ITSN2</t>
  </si>
  <si>
    <t>ARHGEF12</t>
  </si>
  <si>
    <t>CNOT2</t>
  </si>
  <si>
    <t>AIPL1</t>
  </si>
  <si>
    <t>C1RL</t>
  </si>
  <si>
    <t>OGFR</t>
  </si>
  <si>
    <t>LMCD1</t>
  </si>
  <si>
    <t>CHMP5</t>
  </si>
  <si>
    <t>COMMD9</t>
  </si>
  <si>
    <t>CWC15</t>
  </si>
  <si>
    <t>THYN1</t>
  </si>
  <si>
    <t>PTPLAD1</t>
  </si>
  <si>
    <t>PDP1</t>
  </si>
  <si>
    <t>KCMF1</t>
  </si>
  <si>
    <t>RAI14</t>
  </si>
  <si>
    <t>VAPA</t>
  </si>
  <si>
    <t>AKAP7</t>
  </si>
  <si>
    <t>C6orf203</t>
  </si>
  <si>
    <t>GSKIP</t>
  </si>
  <si>
    <t>PIPOX</t>
  </si>
  <si>
    <t>ABRACL</t>
  </si>
  <si>
    <t>ACTR3B</t>
  </si>
  <si>
    <t>CAMSAP3</t>
  </si>
  <si>
    <t>CALCOCO1</t>
  </si>
  <si>
    <t>KIAA1522</t>
  </si>
  <si>
    <t>RCC2</t>
  </si>
  <si>
    <t>KIAA1468</t>
  </si>
  <si>
    <t>DIP2B</t>
  </si>
  <si>
    <t>KIAA1462</t>
  </si>
  <si>
    <t>SLAIN2</t>
  </si>
  <si>
    <t>BCCIP</t>
  </si>
  <si>
    <t>COPZ2</t>
  </si>
  <si>
    <t>IBTK</t>
  </si>
  <si>
    <t>HEATR5B</t>
  </si>
  <si>
    <t>RRBP1</t>
  </si>
  <si>
    <t>CPSF2</t>
  </si>
  <si>
    <t>EIF2AK4</t>
  </si>
  <si>
    <t>CGN</t>
  </si>
  <si>
    <t>RBM27</t>
  </si>
  <si>
    <t>ANKFY1</t>
  </si>
  <si>
    <t>RERE</t>
  </si>
  <si>
    <t>IMPACT</t>
  </si>
  <si>
    <t>UVRAG</t>
  </si>
  <si>
    <t>ATXN10</t>
  </si>
  <si>
    <t>MBD2</t>
  </si>
  <si>
    <t>NCDN</t>
  </si>
  <si>
    <t>EPS15L1</t>
  </si>
  <si>
    <t>SAE1</t>
  </si>
  <si>
    <t>COPG2</t>
  </si>
  <si>
    <t>RNF7</t>
  </si>
  <si>
    <t>PI4KB</t>
  </si>
  <si>
    <t>COMMD3</t>
  </si>
  <si>
    <t>GNG12</t>
  </si>
  <si>
    <t>MTRR</t>
  </si>
  <si>
    <t>HDAC6</t>
  </si>
  <si>
    <t>SPAST</t>
  </si>
  <si>
    <t>METTL1</t>
  </si>
  <si>
    <t>VPS29</t>
  </si>
  <si>
    <t>GRHPR</t>
  </si>
  <si>
    <t>UPB1</t>
  </si>
  <si>
    <t>CTSZ</t>
  </si>
  <si>
    <t>DNAJB11</t>
  </si>
  <si>
    <t>RNF14</t>
  </si>
  <si>
    <t>UBA2</t>
  </si>
  <si>
    <t>FAM8A1</t>
  </si>
  <si>
    <t>PEF1</t>
  </si>
  <si>
    <t>ZMYM2</t>
  </si>
  <si>
    <t>COPS7A</t>
  </si>
  <si>
    <t>CTSF</t>
  </si>
  <si>
    <t>AASS</t>
  </si>
  <si>
    <t>SEC14L4</t>
  </si>
  <si>
    <t>TJP2</t>
  </si>
  <si>
    <t>VTI1B</t>
  </si>
  <si>
    <t>ADD3</t>
  </si>
  <si>
    <t>LRWD1</t>
  </si>
  <si>
    <t>C19orf25</t>
  </si>
  <si>
    <t>NIPSNAP3A</t>
  </si>
  <si>
    <t>CGGBP1</t>
  </si>
  <si>
    <t>MTRF1L</t>
  </si>
  <si>
    <t>TES</t>
  </si>
  <si>
    <t>PRKAG2</t>
  </si>
  <si>
    <t>STAP2</t>
  </si>
  <si>
    <t>SERGEF</t>
  </si>
  <si>
    <t>WARS2</t>
  </si>
  <si>
    <t>LIMD1</t>
  </si>
  <si>
    <t>SEC63</t>
  </si>
  <si>
    <t>ARMCX3</t>
  </si>
  <si>
    <t>SWAP70</t>
  </si>
  <si>
    <t>LAMTOR3</t>
  </si>
  <si>
    <t>LIMA1</t>
  </si>
  <si>
    <t>AFF4</t>
  </si>
  <si>
    <t>SRP68</t>
  </si>
  <si>
    <t>CHORDC1</t>
  </si>
  <si>
    <t>TBK1</t>
  </si>
  <si>
    <t>SEPT9</t>
  </si>
  <si>
    <t>UBQLN2</t>
  </si>
  <si>
    <t>SHPK</t>
  </si>
  <si>
    <t>DPP7</t>
  </si>
  <si>
    <t>USP25</t>
  </si>
  <si>
    <t>BAIAP2L1</t>
  </si>
  <si>
    <t>SAP30BP</t>
  </si>
  <si>
    <t>PFDN2</t>
  </si>
  <si>
    <t>PUF60</t>
  </si>
  <si>
    <t>ENOPH1</t>
  </si>
  <si>
    <t>EVL</t>
  </si>
  <si>
    <t>EIF2B4</t>
  </si>
  <si>
    <t>ATP6V1H</t>
  </si>
  <si>
    <t>DMGDH</t>
  </si>
  <si>
    <t>GLS2</t>
  </si>
  <si>
    <t>XPO7</t>
  </si>
  <si>
    <t>VPS51</t>
  </si>
  <si>
    <t>BAZ1B</t>
  </si>
  <si>
    <t>ATPIF1</t>
  </si>
  <si>
    <t>AK3</t>
  </si>
  <si>
    <t>SCOC</t>
  </si>
  <si>
    <t>FKBPL</t>
  </si>
  <si>
    <t>CNOT7</t>
  </si>
  <si>
    <t>RABGEF1</t>
  </si>
  <si>
    <t>MSRA</t>
  </si>
  <si>
    <t>NAGK</t>
  </si>
  <si>
    <t>TRMT6</t>
  </si>
  <si>
    <t>SH3BGRL2</t>
  </si>
  <si>
    <t>ERRFI1</t>
  </si>
  <si>
    <t>HAO1</t>
  </si>
  <si>
    <t>SLC25A13</t>
  </si>
  <si>
    <t>DBNL</t>
  </si>
  <si>
    <t>DCTN4</t>
  </si>
  <si>
    <t>GGA2</t>
  </si>
  <si>
    <t>GGA1</t>
  </si>
  <si>
    <t>FBXO2</t>
  </si>
  <si>
    <t>LSM7</t>
  </si>
  <si>
    <t>SERPINA10</t>
  </si>
  <si>
    <t>DBR1</t>
  </si>
  <si>
    <t>FBXO3</t>
  </si>
  <si>
    <t>AKAP11</t>
  </si>
  <si>
    <t>DNAJC12</t>
  </si>
  <si>
    <t>TNIK</t>
  </si>
  <si>
    <t>CPSF3</t>
  </si>
  <si>
    <t>APPL1</t>
  </si>
  <si>
    <t>CROT</t>
  </si>
  <si>
    <t>GPATCH8</t>
  </si>
  <si>
    <t>NUDT5</t>
  </si>
  <si>
    <t>RCOR1</t>
  </si>
  <si>
    <t>PCTP</t>
  </si>
  <si>
    <t>GTF3C4</t>
  </si>
  <si>
    <t>PACSIN3</t>
  </si>
  <si>
    <t>FBXO4</t>
  </si>
  <si>
    <t>ACAD8</t>
  </si>
  <si>
    <t>AGO2</t>
  </si>
  <si>
    <t>NUP50</t>
  </si>
  <si>
    <t>ZHX1</t>
  </si>
  <si>
    <t>CDV3</t>
  </si>
  <si>
    <t>CNOT11</t>
  </si>
  <si>
    <t>SARDH</t>
  </si>
  <si>
    <t>RAB21</t>
  </si>
  <si>
    <t>TRAPPC2L</t>
  </si>
  <si>
    <t>PNMA2</t>
  </si>
  <si>
    <t>PSME2</t>
  </si>
  <si>
    <t>DNPEP</t>
  </si>
  <si>
    <t>MCTS1</t>
  </si>
  <si>
    <t>ACSL5</t>
  </si>
  <si>
    <t>OGDHL</t>
  </si>
  <si>
    <t>MTUS1</t>
  </si>
  <si>
    <t>MKL2</t>
  </si>
  <si>
    <t>ZMIZ1</t>
  </si>
  <si>
    <t>TBC1D24</t>
  </si>
  <si>
    <t>PAIP2B</t>
  </si>
  <si>
    <t>HECTD1</t>
  </si>
  <si>
    <t>ZMYND8</t>
  </si>
  <si>
    <t>CORO1C</t>
  </si>
  <si>
    <t>TPX2</t>
  </si>
  <si>
    <t>PYCARD</t>
  </si>
  <si>
    <t>WBP7</t>
  </si>
  <si>
    <t>NFU1</t>
  </si>
  <si>
    <t>PRPF19</t>
  </si>
  <si>
    <t>UBQLN1</t>
  </si>
  <si>
    <t>NENF</t>
  </si>
  <si>
    <t>SNX12</t>
  </si>
  <si>
    <t>SYNRG</t>
  </si>
  <si>
    <t>NDRG2</t>
  </si>
  <si>
    <t>G3BP2</t>
  </si>
  <si>
    <t>STUB1</t>
  </si>
  <si>
    <t>PACSIN2</t>
  </si>
  <si>
    <t>MAGED2</t>
  </si>
  <si>
    <t>SNX7</t>
  </si>
  <si>
    <t>SNX6</t>
  </si>
  <si>
    <t>PSMD13</t>
  </si>
  <si>
    <t>FAF1</t>
  </si>
  <si>
    <t>COPS3</t>
  </si>
  <si>
    <t>MINPP1</t>
  </si>
  <si>
    <t>NSFL1C</t>
  </si>
  <si>
    <t>COG5</t>
  </si>
  <si>
    <t>SCAF8</t>
  </si>
  <si>
    <t>PPP6R1</t>
  </si>
  <si>
    <t>PHF8</t>
  </si>
  <si>
    <t>AGAP1</t>
  </si>
  <si>
    <t>TNRC6B</t>
  </si>
  <si>
    <t>PLCL2</t>
  </si>
  <si>
    <t>EXOC7</t>
  </si>
  <si>
    <t>ZC3H4</t>
  </si>
  <si>
    <t>USP24</t>
  </si>
  <si>
    <t>TBC1D2B</t>
  </si>
  <si>
    <t>SHANK2</t>
  </si>
  <si>
    <t>DICER1</t>
  </si>
  <si>
    <t>MAPRE3</t>
  </si>
  <si>
    <t>SHOC2</t>
  </si>
  <si>
    <t>SRRM2</t>
  </si>
  <si>
    <t>PA2G4</t>
  </si>
  <si>
    <t>BAIAP2</t>
  </si>
  <si>
    <t>SMC3</t>
  </si>
  <si>
    <t>MTMR6</t>
  </si>
  <si>
    <t>GNE</t>
  </si>
  <si>
    <t>C14orf166</t>
  </si>
  <si>
    <t>RUVBL2</t>
  </si>
  <si>
    <t>PIN4</t>
  </si>
  <si>
    <t>CHKB</t>
  </si>
  <si>
    <t>EIF3L</t>
  </si>
  <si>
    <t>PLAA</t>
  </si>
  <si>
    <t>RUVBL1</t>
  </si>
  <si>
    <t>NUDC</t>
  </si>
  <si>
    <t>CFL2</t>
  </si>
  <si>
    <t>ASF1A</t>
  </si>
  <si>
    <t>DRG1</t>
  </si>
  <si>
    <t>TRAPPC4</t>
  </si>
  <si>
    <t>NCKAP1</t>
  </si>
  <si>
    <t>CNPY2</t>
  </si>
  <si>
    <t>EXOC6B</t>
  </si>
  <si>
    <t>AKAP2</t>
  </si>
  <si>
    <t>DIP2C</t>
  </si>
  <si>
    <t>NISCH</t>
  </si>
  <si>
    <t>EPB41L3</t>
  </si>
  <si>
    <t>KDM2A</t>
  </si>
  <si>
    <t>DIS3</t>
  </si>
  <si>
    <t>SLC27A5</t>
  </si>
  <si>
    <t>GSTK1</t>
  </si>
  <si>
    <t>LAMTOR2</t>
  </si>
  <si>
    <t>MRPS7</t>
  </si>
  <si>
    <t>CRYL1</t>
  </si>
  <si>
    <t>TMA7</t>
  </si>
  <si>
    <t>POLDIP2</t>
  </si>
  <si>
    <t>AP3M1</t>
  </si>
  <si>
    <t>GDA</t>
  </si>
  <si>
    <t>MAP3K2</t>
  </si>
  <si>
    <t>LEMD3</t>
  </si>
  <si>
    <t>CARHSP1</t>
  </si>
  <si>
    <t>COG6</t>
  </si>
  <si>
    <t>THRAP3</t>
  </si>
  <si>
    <t>NOP58</t>
  </si>
  <si>
    <t>GIT1</t>
  </si>
  <si>
    <t>SUGT1</t>
  </si>
  <si>
    <t>MTO1</t>
  </si>
  <si>
    <t>YARS2</t>
  </si>
  <si>
    <t>COQ6</t>
  </si>
  <si>
    <t>AMDHD2</t>
  </si>
  <si>
    <t>ACOT9</t>
  </si>
  <si>
    <t>NOSIP</t>
  </si>
  <si>
    <t>DERA</t>
  </si>
  <si>
    <t>MEMO1</t>
  </si>
  <si>
    <t>SH3GLB1</t>
  </si>
  <si>
    <t>CAB39</t>
  </si>
  <si>
    <t>LUC7L2</t>
  </si>
  <si>
    <t>MRPS2</t>
  </si>
  <si>
    <t>MOB4</t>
  </si>
  <si>
    <t>SBDS</t>
  </si>
  <si>
    <t>RRP15</t>
  </si>
  <si>
    <t>NOP16</t>
  </si>
  <si>
    <t>TPRKB</t>
  </si>
  <si>
    <t>PPIL1</t>
  </si>
  <si>
    <t>UFC1</t>
  </si>
  <si>
    <t>FAM96B</t>
  </si>
  <si>
    <t>MSRB2</t>
  </si>
  <si>
    <t>FIS1</t>
  </si>
  <si>
    <t>TAF9</t>
  </si>
  <si>
    <t>MRPS23</t>
  </si>
  <si>
    <t>BOLA1</t>
  </si>
  <si>
    <t>STRAP</t>
  </si>
  <si>
    <t>C22orf28</t>
  </si>
  <si>
    <t>FBXO7</t>
  </si>
  <si>
    <t>RAP2C</t>
  </si>
  <si>
    <t>RABGAP1</t>
  </si>
  <si>
    <t>DOPEY2</t>
  </si>
  <si>
    <t>ZNF330</t>
  </si>
  <si>
    <t>CCDC9</t>
  </si>
  <si>
    <t>CHTOP</t>
  </si>
  <si>
    <t>SAMHD1</t>
  </si>
  <si>
    <t>HBS1L</t>
  </si>
  <si>
    <t>PRKAB1</t>
  </si>
  <si>
    <t>TLN1</t>
  </si>
  <si>
    <t>VPRBP</t>
  </si>
  <si>
    <t>FAM115A</t>
  </si>
  <si>
    <t>USP15</t>
  </si>
  <si>
    <t>FARP1</t>
  </si>
  <si>
    <t>TLN2</t>
  </si>
  <si>
    <t>IRS2</t>
  </si>
  <si>
    <t>MYO5A</t>
  </si>
  <si>
    <t>AIM1</t>
  </si>
  <si>
    <t>TRAF6</t>
  </si>
  <si>
    <t>MAP4K5</t>
  </si>
  <si>
    <t>WIPI2</t>
  </si>
  <si>
    <t>MMACHC</t>
  </si>
  <si>
    <t>AFG3L2</t>
  </si>
  <si>
    <t>KLF12</t>
  </si>
  <si>
    <t>ARIH1</t>
  </si>
  <si>
    <t>LSM4</t>
  </si>
  <si>
    <t>RNF114</t>
  </si>
  <si>
    <t>PRRC2C</t>
  </si>
  <si>
    <t>HSPB11</t>
  </si>
  <si>
    <t>PPME1</t>
  </si>
  <si>
    <t>KCTD3</t>
  </si>
  <si>
    <t>NUB1</t>
  </si>
  <si>
    <t>YTHDF2</t>
  </si>
  <si>
    <t>CTDP1</t>
  </si>
  <si>
    <t>SUPT16H</t>
  </si>
  <si>
    <t>TIMM9</t>
  </si>
  <si>
    <t>UCHL5</t>
  </si>
  <si>
    <t>CD2AP</t>
  </si>
  <si>
    <t>ATP6V1D</t>
  </si>
  <si>
    <t>TNPO3</t>
  </si>
  <si>
    <t>TIMM13</t>
  </si>
  <si>
    <t>N6AMT1</t>
  </si>
  <si>
    <t>COL4A3BP</t>
  </si>
  <si>
    <t>GMPPB</t>
  </si>
  <si>
    <t>GTF3C3</t>
  </si>
  <si>
    <t>TRAPPC1</t>
  </si>
  <si>
    <t>CDC42BPB</t>
  </si>
  <si>
    <t>RBM8A</t>
  </si>
  <si>
    <t>TSSC4</t>
  </si>
  <si>
    <t>ZNF706</t>
  </si>
  <si>
    <t>SNX9</t>
  </si>
  <si>
    <t>SNX8</t>
  </si>
  <si>
    <t>SNX5</t>
  </si>
  <si>
    <t>NUBP2</t>
  </si>
  <si>
    <t>HEBP2</t>
  </si>
  <si>
    <t>CSAD</t>
  </si>
  <si>
    <t>LRRFIP2</t>
  </si>
  <si>
    <t>PSAT1</t>
  </si>
  <si>
    <t>CPQ</t>
  </si>
  <si>
    <t>COPG1</t>
  </si>
  <si>
    <t>FKBP7</t>
  </si>
  <si>
    <t>CLIC4</t>
  </si>
  <si>
    <t>NFS1</t>
  </si>
  <si>
    <t>C16orf80</t>
  </si>
  <si>
    <t>ARFGEF2</t>
  </si>
  <si>
    <t>ARFGEF1</t>
  </si>
  <si>
    <t>MAD1L1</t>
  </si>
  <si>
    <t>COMMD10</t>
  </si>
  <si>
    <t>DYNC1LI1</t>
  </si>
  <si>
    <t>CHCHD2</t>
  </si>
  <si>
    <t>EPN1</t>
  </si>
  <si>
    <t>TEX264</t>
  </si>
  <si>
    <t>OAS3</t>
  </si>
  <si>
    <t>IKBKG</t>
  </si>
  <si>
    <t>SLC30A1</t>
  </si>
  <si>
    <t>SQRDL</t>
  </si>
  <si>
    <t>SESN1</t>
  </si>
  <si>
    <t>PCLO</t>
  </si>
  <si>
    <t>CAPN7</t>
  </si>
  <si>
    <t>WASF2</t>
  </si>
  <si>
    <t>ENPP4</t>
  </si>
  <si>
    <t>ZHX2</t>
  </si>
  <si>
    <t>MORC2</t>
  </si>
  <si>
    <t>KIAA0999</t>
  </si>
  <si>
    <t>MARVELD2</t>
  </si>
  <si>
    <t>PSMB9</t>
  </si>
  <si>
    <t>RAB3GAP1</t>
  </si>
  <si>
    <t>MRPS16</t>
  </si>
  <si>
    <t>C10orf11</t>
  </si>
  <si>
    <t>PRCC</t>
  </si>
  <si>
    <t>HN1L</t>
  </si>
  <si>
    <t>CHCHD1</t>
  </si>
  <si>
    <t>RENBP</t>
  </si>
  <si>
    <t>DIAPH2</t>
  </si>
  <si>
    <t>SHROOM1</t>
  </si>
  <si>
    <t>TRIM39R</t>
  </si>
  <si>
    <t>ITSN1</t>
  </si>
  <si>
    <t>FMR1</t>
  </si>
  <si>
    <t>DSCR3</t>
  </si>
  <si>
    <t>NAE1</t>
  </si>
  <si>
    <t>HOOK1</t>
  </si>
  <si>
    <t>TUBA4A</t>
  </si>
  <si>
    <t>GGPS1</t>
  </si>
  <si>
    <t>CDH2</t>
  </si>
  <si>
    <t>TSC22D4</t>
  </si>
  <si>
    <t>MATR3</t>
  </si>
  <si>
    <t>POP4</t>
  </si>
  <si>
    <t>LUC7L</t>
  </si>
  <si>
    <t>SRRM1</t>
  </si>
  <si>
    <t>PFKFB2</t>
  </si>
  <si>
    <t>BAG6</t>
  </si>
  <si>
    <t>PSMD10</t>
  </si>
  <si>
    <t>CAPZB</t>
  </si>
  <si>
    <t>EIF4ENIF1</t>
  </si>
  <si>
    <t>NFIA</t>
  </si>
  <si>
    <t>UQCC</t>
  </si>
  <si>
    <t>PEA15</t>
  </si>
  <si>
    <t>UHRF2</t>
  </si>
  <si>
    <t>CDC37L1</t>
  </si>
  <si>
    <t>NCF2</t>
  </si>
  <si>
    <t>PALM2-AKAP2</t>
  </si>
  <si>
    <t>GUK1</t>
  </si>
  <si>
    <t>GMEB1</t>
  </si>
  <si>
    <t>JMJD6</t>
  </si>
  <si>
    <t>HDAC2</t>
  </si>
  <si>
    <t>LZTFL1</t>
  </si>
  <si>
    <t>PHF23</t>
  </si>
  <si>
    <t>RXRA</t>
  </si>
  <si>
    <t>RPUSD2</t>
  </si>
  <si>
    <t>CNN2</t>
  </si>
  <si>
    <t>MON1B</t>
  </si>
  <si>
    <t>CTNNBL1</t>
  </si>
  <si>
    <t>CCT8</t>
  </si>
  <si>
    <t>EIF3F</t>
  </si>
  <si>
    <t>NSF</t>
  </si>
  <si>
    <t>MRPS18B</t>
  </si>
  <si>
    <t>COMMD1</t>
  </si>
  <si>
    <t>CTNNB1</t>
  </si>
  <si>
    <t>PIP4K2A</t>
  </si>
  <si>
    <t>MAP1S</t>
  </si>
  <si>
    <t>BNIP3</t>
  </si>
  <si>
    <t>ACSF2</t>
  </si>
  <si>
    <t>RAB5A</t>
  </si>
  <si>
    <t>FDFT1</t>
  </si>
  <si>
    <t>SNRPD3</t>
  </si>
  <si>
    <t>CS</t>
  </si>
  <si>
    <t>ZYG11B</t>
  </si>
  <si>
    <t>EXOSC10</t>
  </si>
  <si>
    <t>COMP</t>
  </si>
  <si>
    <t>LSR</t>
  </si>
  <si>
    <t>ATP5C1</t>
  </si>
  <si>
    <t>CHURC1-FNTB</t>
  </si>
  <si>
    <t>SLC25A10</t>
  </si>
  <si>
    <t>DDX5</t>
  </si>
  <si>
    <t>RNF220</t>
  </si>
  <si>
    <t>KDSR</t>
  </si>
  <si>
    <t>PTGES3</t>
  </si>
  <si>
    <t>MKRN2</t>
  </si>
  <si>
    <t>TOX4</t>
  </si>
  <si>
    <t>EIF2A</t>
  </si>
  <si>
    <t>SH3BP5L</t>
  </si>
  <si>
    <t>GOSR1</t>
  </si>
  <si>
    <t>PGD</t>
  </si>
  <si>
    <t>STK24</t>
  </si>
  <si>
    <t>CHM</t>
  </si>
  <si>
    <t>ANXA7</t>
  </si>
  <si>
    <t>LSM14A</t>
  </si>
  <si>
    <t>LIG1</t>
  </si>
  <si>
    <t>BPNT1</t>
  </si>
  <si>
    <t>EIF3D</t>
  </si>
  <si>
    <t>HACL1</t>
  </si>
  <si>
    <t>KRT72</t>
  </si>
  <si>
    <t>DDX3Y</t>
  </si>
  <si>
    <t>FXR1</t>
  </si>
  <si>
    <t>NUP35</t>
  </si>
  <si>
    <t>NUP107</t>
  </si>
  <si>
    <t>RMDN1</t>
  </si>
  <si>
    <t>ATE1</t>
  </si>
  <si>
    <t>ARMC6</t>
  </si>
  <si>
    <t>CFB</t>
  </si>
  <si>
    <t>SFRS3</t>
  </si>
  <si>
    <t>STOM</t>
  </si>
  <si>
    <t>IGFBP4</t>
  </si>
  <si>
    <t>CECR1</t>
  </si>
  <si>
    <t>RPA3</t>
  </si>
  <si>
    <t>PES1</t>
  </si>
  <si>
    <t>PDIA6</t>
  </si>
  <si>
    <t>PPM1F</t>
  </si>
  <si>
    <t>R3HDM2</t>
  </si>
  <si>
    <t>CABIN1</t>
  </si>
  <si>
    <t>CWC22</t>
  </si>
  <si>
    <t>CYTH1</t>
  </si>
  <si>
    <t>CHN2</t>
  </si>
  <si>
    <t>MAOB</t>
  </si>
  <si>
    <t>MTMR9</t>
  </si>
  <si>
    <t>COG2</t>
  </si>
  <si>
    <t>NDRG3</t>
  </si>
  <si>
    <t>GAB1</t>
  </si>
  <si>
    <t>ALAD</t>
  </si>
  <si>
    <t>DNASE2</t>
  </si>
  <si>
    <t>WBP4</t>
  </si>
  <si>
    <t>ERF</t>
  </si>
  <si>
    <t>TANGO2</t>
  </si>
  <si>
    <t>DDX59</t>
  </si>
  <si>
    <t>ARMC8</t>
  </si>
  <si>
    <t>DECR1</t>
  </si>
  <si>
    <t>SMPDL3A</t>
  </si>
  <si>
    <t>RANBP3</t>
  </si>
  <si>
    <t>GRB14</t>
  </si>
  <si>
    <t>ATL2</t>
  </si>
  <si>
    <t>USP7</t>
  </si>
  <si>
    <t>RFX5</t>
  </si>
  <si>
    <t>PTPN3</t>
  </si>
  <si>
    <t>NADK2</t>
  </si>
  <si>
    <t>ATP1B1</t>
  </si>
  <si>
    <t>C2orf43</t>
  </si>
  <si>
    <t>GALK2</t>
  </si>
  <si>
    <t>MED20</t>
  </si>
  <si>
    <t>SH3GLB2</t>
  </si>
  <si>
    <t>PPP2R5E</t>
  </si>
  <si>
    <t>EDEM3</t>
  </si>
  <si>
    <t>PDE3B</t>
  </si>
  <si>
    <t>WIZ</t>
  </si>
  <si>
    <t>METTL5</t>
  </si>
  <si>
    <t>EVA1A</t>
  </si>
  <si>
    <t>MPP6</t>
  </si>
  <si>
    <t>RPL31</t>
  </si>
  <si>
    <t>PTMA</t>
  </si>
  <si>
    <t>ANKZF1</t>
  </si>
  <si>
    <t>VAMP8</t>
  </si>
  <si>
    <t>TCEB2</t>
  </si>
  <si>
    <t>COQ10B</t>
  </si>
  <si>
    <t>COA5</t>
  </si>
  <si>
    <t>POLR1A</t>
  </si>
  <si>
    <t>PEX7</t>
  </si>
  <si>
    <t>CHMP2B</t>
  </si>
  <si>
    <t>SRI</t>
  </si>
  <si>
    <t>MAGIX</t>
  </si>
  <si>
    <t>RNF181</t>
  </si>
  <si>
    <t>UBE2F</t>
  </si>
  <si>
    <t>CBLL1</t>
  </si>
  <si>
    <t>IMMT</t>
  </si>
  <si>
    <t>POLR2B</t>
  </si>
  <si>
    <t>EIF5A2</t>
  </si>
  <si>
    <t>PDCD10</t>
  </si>
  <si>
    <t>IGFBP1</t>
  </si>
  <si>
    <t>PFN2</t>
  </si>
  <si>
    <t>APOBR</t>
  </si>
  <si>
    <t>HDAC10</t>
  </si>
  <si>
    <t>RPSA</t>
  </si>
  <si>
    <t>MBLAC1</t>
  </si>
  <si>
    <t>FXN</t>
  </si>
  <si>
    <t>ARHGAP25</t>
  </si>
  <si>
    <t>PSPH</t>
  </si>
  <si>
    <t>POLR2H</t>
  </si>
  <si>
    <t>NCOR2</t>
  </si>
  <si>
    <t>EIF4E2</t>
  </si>
  <si>
    <t>GPS1</t>
  </si>
  <si>
    <t>CYP8B1</t>
  </si>
  <si>
    <t>MRPL39</t>
  </si>
  <si>
    <t>AAMP</t>
  </si>
  <si>
    <t>RMDN2</t>
  </si>
  <si>
    <t>ATG4B</t>
  </si>
  <si>
    <t>APAF1</t>
  </si>
  <si>
    <t>AP4M1</t>
  </si>
  <si>
    <t>OARD1</t>
  </si>
  <si>
    <t>CCDC58</t>
  </si>
  <si>
    <t>NME6</t>
  </si>
  <si>
    <t>GCK</t>
  </si>
  <si>
    <t>PPIH</t>
  </si>
  <si>
    <t>STK11IP</t>
  </si>
  <si>
    <t>DPP8</t>
  </si>
  <si>
    <t>SMARCB1</t>
  </si>
  <si>
    <t>GRB10</t>
  </si>
  <si>
    <t>CCM2</t>
  </si>
  <si>
    <t>L2HGDH</t>
  </si>
  <si>
    <t>TENC1</t>
  </si>
  <si>
    <t>RCC1</t>
  </si>
  <si>
    <t>LBR</t>
  </si>
  <si>
    <t>BAG1</t>
  </si>
  <si>
    <t>POP7</t>
  </si>
  <si>
    <t>DHRS2</t>
  </si>
  <si>
    <t>UBE2H</t>
  </si>
  <si>
    <t>IFIT1</t>
  </si>
  <si>
    <t>CXADR</t>
  </si>
  <si>
    <t>KRI1</t>
  </si>
  <si>
    <t>TRMT10A</t>
  </si>
  <si>
    <t>CXXC5</t>
  </si>
  <si>
    <t>RBM47</t>
  </si>
  <si>
    <t>CDK7</t>
  </si>
  <si>
    <t>HNRNPAB</t>
  </si>
  <si>
    <t>SH3RF1</t>
  </si>
  <si>
    <t>FAM169A</t>
  </si>
  <si>
    <t>AMACR</t>
  </si>
  <si>
    <t>OCIAD1</t>
  </si>
  <si>
    <t>LEMD2</t>
  </si>
  <si>
    <t>LMAN2</t>
  </si>
  <si>
    <t>STX18</t>
  </si>
  <si>
    <t>HSD17B11</t>
  </si>
  <si>
    <t>IGJ</t>
  </si>
  <si>
    <t>PET112</t>
  </si>
  <si>
    <t>SEPP1</t>
  </si>
  <si>
    <t>CXCL6</t>
  </si>
  <si>
    <t>SEPT11</t>
  </si>
  <si>
    <t>CNOT6L</t>
  </si>
  <si>
    <t>CCNH</t>
  </si>
  <si>
    <t>RNASET2</t>
  </si>
  <si>
    <t>C15orf38-AP3S2</t>
  </si>
  <si>
    <t>ASCC3</t>
  </si>
  <si>
    <t>RWDD1</t>
  </si>
  <si>
    <t>STMN2</t>
  </si>
  <si>
    <t>TCEB1</t>
  </si>
  <si>
    <t>C5orf45</t>
  </si>
  <si>
    <t>RPL30</t>
  </si>
  <si>
    <t>CHCHD7</t>
  </si>
  <si>
    <t>AP3B1</t>
  </si>
  <si>
    <t>SDC2</t>
  </si>
  <si>
    <t>SKP1</t>
  </si>
  <si>
    <t>COPS6</t>
  </si>
  <si>
    <t>PCSK6</t>
  </si>
  <si>
    <t>ASAH1</t>
  </si>
  <si>
    <t>TNIP1</t>
  </si>
  <si>
    <t>TACC2</t>
  </si>
  <si>
    <t>SETMAR</t>
  </si>
  <si>
    <t>SSFA2</t>
  </si>
  <si>
    <t>SYNE1</t>
  </si>
  <si>
    <t>TOM1</t>
  </si>
  <si>
    <t>PDXDC1</t>
  </si>
  <si>
    <t>NAA50</t>
  </si>
  <si>
    <t>TANK</t>
  </si>
  <si>
    <t>POLR1C</t>
  </si>
  <si>
    <t>ACIN1</t>
  </si>
  <si>
    <t>RPL15</t>
  </si>
  <si>
    <t>TNS1</t>
  </si>
  <si>
    <t>HMGB3</t>
  </si>
  <si>
    <t>ICAM1</t>
  </si>
  <si>
    <t>NAT10</t>
  </si>
  <si>
    <t>U2SURP</t>
  </si>
  <si>
    <t>PCM1</t>
  </si>
  <si>
    <t>BPTF</t>
  </si>
  <si>
    <t>RBMS1</t>
  </si>
  <si>
    <t>BZW2</t>
  </si>
  <si>
    <t>CSNK2A1</t>
  </si>
  <si>
    <t>PRKDC</t>
  </si>
  <si>
    <t>ARFGAP1</t>
  </si>
  <si>
    <t>PRPF3</t>
  </si>
  <si>
    <t>PBRM1</t>
  </si>
  <si>
    <t>CYFIP2</t>
  </si>
  <si>
    <t>PTPRM</t>
  </si>
  <si>
    <t>SEPT10</t>
  </si>
  <si>
    <t>PPIL2</t>
  </si>
  <si>
    <t>EXOC6</t>
  </si>
  <si>
    <t>UBAP2</t>
  </si>
  <si>
    <t>MAP4K4</t>
  </si>
  <si>
    <t>NCBP2</t>
  </si>
  <si>
    <t>HEATR5A</t>
  </si>
  <si>
    <t>PDHX</t>
  </si>
  <si>
    <t>RBM4</t>
  </si>
  <si>
    <t>WDR6</t>
  </si>
  <si>
    <t>COG1</t>
  </si>
  <si>
    <t>EIF2B5</t>
  </si>
  <si>
    <t>BDH1</t>
  </si>
  <si>
    <t>UBR7</t>
  </si>
  <si>
    <t>MTA3</t>
  </si>
  <si>
    <t>HNRNPH1</t>
  </si>
  <si>
    <t>ARVCF</t>
  </si>
  <si>
    <t>ENPP1</t>
  </si>
  <si>
    <t>PEX1</t>
  </si>
  <si>
    <t>AR</t>
  </si>
  <si>
    <t>DIAPH1</t>
  </si>
  <si>
    <t>NUP155</t>
  </si>
  <si>
    <t>TBL2</t>
  </si>
  <si>
    <t>CEP170B</t>
  </si>
  <si>
    <t>EGFR</t>
  </si>
  <si>
    <t>NOP14</t>
  </si>
  <si>
    <t>PPP2R5D</t>
  </si>
  <si>
    <t>AAK1</t>
  </si>
  <si>
    <t>MGEA5</t>
  </si>
  <si>
    <t>FAM13A</t>
  </si>
  <si>
    <t>TSN</t>
  </si>
  <si>
    <t>PRDX3</t>
  </si>
  <si>
    <t>POLR3C</t>
  </si>
  <si>
    <t>CLEC3B</t>
  </si>
  <si>
    <t>LARS2</t>
  </si>
  <si>
    <t>MROH1</t>
  </si>
  <si>
    <t>GLI1</t>
  </si>
  <si>
    <t>STX17</t>
  </si>
  <si>
    <t>TXNRD1</t>
  </si>
  <si>
    <t>CYB5R2</t>
  </si>
  <si>
    <t>PHRF1</t>
  </si>
  <si>
    <t>UBXN1</t>
  </si>
  <si>
    <t>C11orf73</t>
  </si>
  <si>
    <t>CYHR1</t>
  </si>
  <si>
    <t>MKNK1</t>
  </si>
  <si>
    <t>PARP10</t>
  </si>
  <si>
    <t>SORL1</t>
  </si>
  <si>
    <t>PRMT1</t>
  </si>
  <si>
    <t>TTC9C</t>
  </si>
  <si>
    <t>PPIE</t>
  </si>
  <si>
    <t>HYOU1</t>
  </si>
  <si>
    <t>PDE4DIP</t>
  </si>
  <si>
    <t>NEDD8-MDP1</t>
  </si>
  <si>
    <t>MTFR1L</t>
  </si>
  <si>
    <t>NPEPPS</t>
  </si>
  <si>
    <t>USP47</t>
  </si>
  <si>
    <t>C11orf58</t>
  </si>
  <si>
    <t>CLNS1A</t>
  </si>
  <si>
    <t>LMO7</t>
  </si>
  <si>
    <t>DRAP1</t>
  </si>
  <si>
    <t>TPD52L1</t>
  </si>
  <si>
    <t>PTS</t>
  </si>
  <si>
    <t>STX5</t>
  </si>
  <si>
    <t>RPL8</t>
  </si>
  <si>
    <t>ANO1</t>
  </si>
  <si>
    <t>ATG13</t>
  </si>
  <si>
    <t>KBTBD4</t>
  </si>
  <si>
    <t>ZFPL1</t>
  </si>
  <si>
    <t>GAS2</t>
  </si>
  <si>
    <t>EIF1AD</t>
  </si>
  <si>
    <t>VPS28</t>
  </si>
  <si>
    <t>MAPK3</t>
  </si>
  <si>
    <t>ACP2</t>
  </si>
  <si>
    <t>MAF1</t>
  </si>
  <si>
    <t>VNN2</t>
  </si>
  <si>
    <t>SETDB1</t>
  </si>
  <si>
    <t>RPS6KA1</t>
  </si>
  <si>
    <t>FRG1</t>
  </si>
  <si>
    <t>FAM120B</t>
  </si>
  <si>
    <t>PFKFB3</t>
  </si>
  <si>
    <t>XPA</t>
  </si>
  <si>
    <t>CPNE1</t>
  </si>
  <si>
    <t>XPO4</t>
  </si>
  <si>
    <t>ESYT2</t>
  </si>
  <si>
    <t>TSEN15</t>
  </si>
  <si>
    <t>ADA</t>
  </si>
  <si>
    <t>CCDC53</t>
  </si>
  <si>
    <t>WNK1</t>
  </si>
  <si>
    <t>SMAD5</t>
  </si>
  <si>
    <t>CHD4</t>
  </si>
  <si>
    <t>TRMT112</t>
  </si>
  <si>
    <t>SUCLA2</t>
  </si>
  <si>
    <t>ALCAM</t>
  </si>
  <si>
    <t>SH2B1</t>
  </si>
  <si>
    <t>SPARC</t>
  </si>
  <si>
    <t>C8B</t>
  </si>
  <si>
    <t>UNG</t>
  </si>
  <si>
    <t>RPS6KA3</t>
  </si>
  <si>
    <t>STRN4</t>
  </si>
  <si>
    <t>OTUB1</t>
  </si>
  <si>
    <t>APLP2</t>
  </si>
  <si>
    <t>CD163</t>
  </si>
  <si>
    <t>TRIM21</t>
  </si>
  <si>
    <t>ENO2</t>
  </si>
  <si>
    <t>ESRRA</t>
  </si>
  <si>
    <t>SEC23IP</t>
  </si>
  <si>
    <t>RAB35</t>
  </si>
  <si>
    <t>MLEC</t>
  </si>
  <si>
    <t>LRBA</t>
  </si>
  <si>
    <t>STARD10</t>
  </si>
  <si>
    <t>UACA</t>
  </si>
  <si>
    <t>KIAA1715</t>
  </si>
  <si>
    <t>PRPF4B</t>
  </si>
  <si>
    <t>TJP3</t>
  </si>
  <si>
    <t>EIF3A</t>
  </si>
  <si>
    <t>SEC23A</t>
  </si>
  <si>
    <t>TSG101</t>
  </si>
  <si>
    <t>RAD9A</t>
  </si>
  <si>
    <t>KPNA6</t>
  </si>
  <si>
    <t>PEX14</t>
  </si>
  <si>
    <t>CYP3A5</t>
  </si>
  <si>
    <t>NUP133</t>
  </si>
  <si>
    <t>CLASP2</t>
  </si>
  <si>
    <t>DHX8</t>
  </si>
  <si>
    <t>LARS</t>
  </si>
  <si>
    <t>NOL10</t>
  </si>
  <si>
    <t>WBP11</t>
  </si>
  <si>
    <t>MGST1</t>
  </si>
  <si>
    <t>GHR</t>
  </si>
  <si>
    <t>OGDH</t>
  </si>
  <si>
    <t>TRAP1</t>
  </si>
  <si>
    <t>F7</t>
  </si>
  <si>
    <t>XRCC1</t>
  </si>
  <si>
    <t>ASH2L</t>
  </si>
  <si>
    <t>MVK</t>
  </si>
  <si>
    <t>POGZ</t>
  </si>
  <si>
    <t>SIPA1</t>
  </si>
  <si>
    <t>PDE12</t>
  </si>
  <si>
    <t>SMARCA1</t>
  </si>
  <si>
    <t>PPP3R1</t>
  </si>
  <si>
    <t>CAD</t>
  </si>
  <si>
    <t>CSRP2</t>
  </si>
  <si>
    <t>METTL7A</t>
  </si>
  <si>
    <t>SLC38A4</t>
  </si>
  <si>
    <t>NFYB</t>
  </si>
  <si>
    <t>RPLP0</t>
  </si>
  <si>
    <t>RPL18</t>
  </si>
  <si>
    <t>C12orf44</t>
  </si>
  <si>
    <t>SLC25A3</t>
  </si>
  <si>
    <t>COQ5</t>
  </si>
  <si>
    <t>MON2</t>
  </si>
  <si>
    <t>FGD4</t>
  </si>
  <si>
    <t>OAS1</t>
  </si>
  <si>
    <t>NACA</t>
  </si>
  <si>
    <t>C17orf49</t>
  </si>
  <si>
    <t>YEATS4</t>
  </si>
  <si>
    <t>NAP1L1</t>
  </si>
  <si>
    <t>AK2</t>
  </si>
  <si>
    <t>BTD</t>
  </si>
  <si>
    <t>MYL6</t>
  </si>
  <si>
    <t>SENP6</t>
  </si>
  <si>
    <t>GMPS</t>
  </si>
  <si>
    <t>GOLIM4</t>
  </si>
  <si>
    <t>TMED4</t>
  </si>
  <si>
    <t>FAM21A</t>
  </si>
  <si>
    <t>TIA1</t>
  </si>
  <si>
    <t>PPP1R12B</t>
  </si>
  <si>
    <t>ABLIM1</t>
  </si>
  <si>
    <t>RTN4</t>
  </si>
  <si>
    <t>CCDC93</t>
  </si>
  <si>
    <t>STAG2</t>
  </si>
  <si>
    <t>BYSL</t>
  </si>
  <si>
    <t>CHTF18</t>
  </si>
  <si>
    <t>TPK1</t>
  </si>
  <si>
    <t>IPO11</t>
  </si>
  <si>
    <t>ZFAND2B</t>
  </si>
  <si>
    <t>DLGAP4</t>
  </si>
  <si>
    <t>CPSF6</t>
  </si>
  <si>
    <t>PCBP2</t>
  </si>
  <si>
    <t>CASP1</t>
  </si>
  <si>
    <t>LOH12CR1</t>
  </si>
  <si>
    <t>ASPG</t>
  </si>
  <si>
    <t>METTL10</t>
  </si>
  <si>
    <t>ACYP1</t>
  </si>
  <si>
    <t>RNASE1</t>
  </si>
  <si>
    <t>SPATA7</t>
  </si>
  <si>
    <t>DCAF8</t>
  </si>
  <si>
    <t>ATXN3</t>
  </si>
  <si>
    <t>HNRNPC</t>
  </si>
  <si>
    <t>DCAF5</t>
  </si>
  <si>
    <t>CHD2</t>
  </si>
  <si>
    <t>EML1</t>
  </si>
  <si>
    <t>DDX24</t>
  </si>
  <si>
    <t>CTAGE5</t>
  </si>
  <si>
    <t>CCNK</t>
  </si>
  <si>
    <t>GSTZ1</t>
  </si>
  <si>
    <t>NEMF</t>
  </si>
  <si>
    <t>ARID1B</t>
  </si>
  <si>
    <t>RFTN1</t>
  </si>
  <si>
    <t>PON2</t>
  </si>
  <si>
    <t>SLC12A2</t>
  </si>
  <si>
    <t>CFI</t>
  </si>
  <si>
    <t>TIMM8B</t>
  </si>
  <si>
    <t>SOS1</t>
  </si>
  <si>
    <t>MON1A</t>
  </si>
  <si>
    <t>FKBP1B</t>
  </si>
  <si>
    <t>MRPS22</t>
  </si>
  <si>
    <t>FNDC3A</t>
  </si>
  <si>
    <t>C4orf21</t>
  </si>
  <si>
    <t>PDIA3</t>
  </si>
  <si>
    <t>PUS1</t>
  </si>
  <si>
    <t>MIA3</t>
  </si>
  <si>
    <t>TIPIN</t>
  </si>
  <si>
    <t>WDR45</t>
  </si>
  <si>
    <t>KMO</t>
  </si>
  <si>
    <t>RPL35</t>
  </si>
  <si>
    <t>EIF4G2</t>
  </si>
  <si>
    <t>LPHN2</t>
  </si>
  <si>
    <t>NF1</t>
  </si>
  <si>
    <t>IMPDH2</t>
  </si>
  <si>
    <t>NBAS</t>
  </si>
  <si>
    <t>TRIM33</t>
  </si>
  <si>
    <t>UFM1</t>
  </si>
  <si>
    <t>PYCRL</t>
  </si>
  <si>
    <t>GOLGA4</t>
  </si>
  <si>
    <t>MED12</t>
  </si>
  <si>
    <t>THOC2</t>
  </si>
  <si>
    <t>FAT1</t>
  </si>
  <si>
    <t>TGFBI</t>
  </si>
  <si>
    <t>PCBD2</t>
  </si>
  <si>
    <t>MAN2B2</t>
  </si>
  <si>
    <t>APBB2</t>
  </si>
  <si>
    <t>EEF1E1</t>
  </si>
  <si>
    <t>MRPS28</t>
  </si>
  <si>
    <t>WWC1</t>
  </si>
  <si>
    <t>STAU2</t>
  </si>
  <si>
    <t>MTFR1</t>
  </si>
  <si>
    <t>SMN1</t>
  </si>
  <si>
    <t>TAGLN</t>
  </si>
  <si>
    <t>PPP5C</t>
  </si>
  <si>
    <t>C11orf31</t>
  </si>
  <si>
    <t>SSSCA1</t>
  </si>
  <si>
    <t>TMEM126B</t>
  </si>
  <si>
    <t>PUM1</t>
  </si>
  <si>
    <t>RPS2</t>
  </si>
  <si>
    <t>SMPD1</t>
  </si>
  <si>
    <t>RSF1</t>
  </si>
  <si>
    <t>LAMTOR1</t>
  </si>
  <si>
    <t>PRPF40A</t>
  </si>
  <si>
    <t>REXO2</t>
  </si>
  <si>
    <t>ARHGDIB</t>
  </si>
  <si>
    <t>ETNK1</t>
  </si>
  <si>
    <t>RAB3IP</t>
  </si>
  <si>
    <t>NID2</t>
  </si>
  <si>
    <t>POU2F1</t>
  </si>
  <si>
    <t>TRPM7</t>
  </si>
  <si>
    <t>KNSTRN</t>
  </si>
  <si>
    <t>ANKRD17</t>
  </si>
  <si>
    <t>ZNF592</t>
  </si>
  <si>
    <t>IRF9</t>
  </si>
  <si>
    <t>RMDN3</t>
  </si>
  <si>
    <t>GMPR2</t>
  </si>
  <si>
    <t>SHF</t>
  </si>
  <si>
    <t>C15orf57</t>
  </si>
  <si>
    <t>WDR61</t>
  </si>
  <si>
    <t>RAB8B</t>
  </si>
  <si>
    <t>BLM</t>
  </si>
  <si>
    <t>AKR7A2</t>
  </si>
  <si>
    <t>NOL3</t>
  </si>
  <si>
    <t>MPI</t>
  </si>
  <si>
    <t>MACF1</t>
  </si>
  <si>
    <t>CDAN1</t>
  </si>
  <si>
    <t>ARPP19</t>
  </si>
  <si>
    <t>RNF166</t>
  </si>
  <si>
    <t>EDC3</t>
  </si>
  <si>
    <t>COG8</t>
  </si>
  <si>
    <t>hCG_2044799</t>
  </si>
  <si>
    <t>SOLH</t>
  </si>
  <si>
    <t>WDR59</t>
  </si>
  <si>
    <t>ZFYVE19</t>
  </si>
  <si>
    <t>UQCRC2</t>
  </si>
  <si>
    <t>UBFD1</t>
  </si>
  <si>
    <t>PPCDC</t>
  </si>
  <si>
    <t>NUDT7</t>
  </si>
  <si>
    <t>EIF3C</t>
  </si>
  <si>
    <t>PPP4C</t>
  </si>
  <si>
    <t>EARS2</t>
  </si>
  <si>
    <t>BCKDK</t>
  </si>
  <si>
    <t>ARL2BP</t>
  </si>
  <si>
    <t>SP1</t>
  </si>
  <si>
    <t>NDUFB10</t>
  </si>
  <si>
    <t>PPP6R3</t>
  </si>
  <si>
    <t>TMEM209</t>
  </si>
  <si>
    <t>COL18A1</t>
  </si>
  <si>
    <t>NDUFA5</t>
  </si>
  <si>
    <t>NR4A2</t>
  </si>
  <si>
    <t>MKI67IP</t>
  </si>
  <si>
    <t>ZNF259</t>
  </si>
  <si>
    <t>NHEJ1</t>
  </si>
  <si>
    <t>AVL9</t>
  </si>
  <si>
    <t>APP</t>
  </si>
  <si>
    <t>DUSP22</t>
  </si>
  <si>
    <t>ZMYM4</t>
  </si>
  <si>
    <t>UHRF1BP1</t>
  </si>
  <si>
    <t>CC2D1B</t>
  </si>
  <si>
    <t>NOL7</t>
  </si>
  <si>
    <t>ART4</t>
  </si>
  <si>
    <t>GCA</t>
  </si>
  <si>
    <t>SDCCAG3</t>
  </si>
  <si>
    <t>FAM134A</t>
  </si>
  <si>
    <t>CWF19L2</t>
  </si>
  <si>
    <t>GNS</t>
  </si>
  <si>
    <t>ATG2A</t>
  </si>
  <si>
    <t>BUD13</t>
  </si>
  <si>
    <t>MBNL1</t>
  </si>
  <si>
    <t>PARP14</t>
  </si>
  <si>
    <t>IAH1</t>
  </si>
  <si>
    <t>SOX5</t>
  </si>
  <si>
    <t>DDX19A</t>
  </si>
  <si>
    <t>DPH1</t>
  </si>
  <si>
    <t>GOSR2</t>
  </si>
  <si>
    <t>CLUH</t>
  </si>
  <si>
    <t>CIC</t>
  </si>
  <si>
    <t>FAM195B</t>
  </si>
  <si>
    <t>EIF5A</t>
  </si>
  <si>
    <t>NDE1</t>
  </si>
  <si>
    <t>RPS15A</t>
  </si>
  <si>
    <t>MYL4</t>
  </si>
  <si>
    <t>SPAG7</t>
  </si>
  <si>
    <t>NFKBIB</t>
  </si>
  <si>
    <t>GPS2</t>
  </si>
  <si>
    <t>NPC2</t>
  </si>
  <si>
    <t>PSMD9</t>
  </si>
  <si>
    <t>TBC1D8B</t>
  </si>
  <si>
    <t>ANKRD44</t>
  </si>
  <si>
    <t>GTF2A1</t>
  </si>
  <si>
    <t>SAAL1</t>
  </si>
  <si>
    <t>INO80E</t>
  </si>
  <si>
    <t>CCS</t>
  </si>
  <si>
    <t>SEC16A</t>
  </si>
  <si>
    <t>BRAP</t>
  </si>
  <si>
    <t>SRSF2</t>
  </si>
  <si>
    <t>SIPA1L1</t>
  </si>
  <si>
    <t>DNTTIP2</t>
  </si>
  <si>
    <t>FAM21C</t>
  </si>
  <si>
    <t>FAM83H</t>
  </si>
  <si>
    <t>MPST</t>
  </si>
  <si>
    <t>COPS7B</t>
  </si>
  <si>
    <t>FBXO6</t>
  </si>
  <si>
    <t>GBA</t>
  </si>
  <si>
    <t>BABAM1</t>
  </si>
  <si>
    <t>CNDP1</t>
  </si>
  <si>
    <t>CYLD</t>
  </si>
  <si>
    <t>CBX1</t>
  </si>
  <si>
    <t>MBP</t>
  </si>
  <si>
    <t>GGA3</t>
  </si>
  <si>
    <t>MSL1</t>
  </si>
  <si>
    <t>HN1</t>
  </si>
  <si>
    <t>RPL26</t>
  </si>
  <si>
    <t>SMARCE1</t>
  </si>
  <si>
    <t>SCO1</t>
  </si>
  <si>
    <t>SNRPN</t>
  </si>
  <si>
    <t>VWA1</t>
  </si>
  <si>
    <t>CWC25</t>
  </si>
  <si>
    <t>RECQL5</t>
  </si>
  <si>
    <t>TRAPPC8</t>
  </si>
  <si>
    <t>RPL17</t>
  </si>
  <si>
    <t>RPL19</t>
  </si>
  <si>
    <t>ALDH3A2</t>
  </si>
  <si>
    <t>hCG_1996301</t>
  </si>
  <si>
    <t>LCAT</t>
  </si>
  <si>
    <t>RSL1D1</t>
  </si>
  <si>
    <t>NHP2</t>
  </si>
  <si>
    <t>KIF16B</t>
  </si>
  <si>
    <t>C17orf75</t>
  </si>
  <si>
    <t>GPRC5C</t>
  </si>
  <si>
    <t>HYI</t>
  </si>
  <si>
    <t>RWDD4</t>
  </si>
  <si>
    <t>MBD3</t>
  </si>
  <si>
    <t>SMAD4</t>
  </si>
  <si>
    <t>HEXDC</t>
  </si>
  <si>
    <t>STX10</t>
  </si>
  <si>
    <t>hCG_27535</t>
  </si>
  <si>
    <t>FARSA</t>
  </si>
  <si>
    <t>H3F3B</t>
  </si>
  <si>
    <t>NAGS</t>
  </si>
  <si>
    <t>LONP1</t>
  </si>
  <si>
    <t>PRKCSH</t>
  </si>
  <si>
    <t>KATNAL2</t>
  </si>
  <si>
    <t>TMEM205</t>
  </si>
  <si>
    <t>GIPC1</t>
  </si>
  <si>
    <t>ELOF1</t>
  </si>
  <si>
    <t>C18orf8</t>
  </si>
  <si>
    <t>PSMG2</t>
  </si>
  <si>
    <t>PRODH2</t>
  </si>
  <si>
    <t>CACTIN</t>
  </si>
  <si>
    <t>PDCD2L</t>
  </si>
  <si>
    <t>BECN1</t>
  </si>
  <si>
    <t>APOC1</t>
  </si>
  <si>
    <t>EIF3K</t>
  </si>
  <si>
    <t>RAD23A</t>
  </si>
  <si>
    <t>SARS2</t>
  </si>
  <si>
    <t>PAF1</t>
  </si>
  <si>
    <t>FBL</t>
  </si>
  <si>
    <t>PNKP</t>
  </si>
  <si>
    <t>SMG9</t>
  </si>
  <si>
    <t>USE1</t>
  </si>
  <si>
    <t>KXD1</t>
  </si>
  <si>
    <t>RPS5</t>
  </si>
  <si>
    <t>RPS16</t>
  </si>
  <si>
    <t>RPS19</t>
  </si>
  <si>
    <t>RABAC1</t>
  </si>
  <si>
    <t>PGPEP1</t>
  </si>
  <si>
    <t>MBLL</t>
  </si>
  <si>
    <t>REL</t>
  </si>
  <si>
    <t>RELA</t>
  </si>
  <si>
    <t>POLD3</t>
  </si>
  <si>
    <t>PPIA</t>
  </si>
  <si>
    <t>TUBE1</t>
  </si>
  <si>
    <t>PKIG</t>
  </si>
  <si>
    <t>FLNA</t>
  </si>
  <si>
    <t>HNRPLL</t>
  </si>
  <si>
    <t>TUBB</t>
  </si>
  <si>
    <t>RHOC</t>
  </si>
  <si>
    <t>HMGN5</t>
  </si>
  <si>
    <t>GMEB2</t>
  </si>
  <si>
    <t>STAU1</t>
  </si>
  <si>
    <t>DSN1</t>
  </si>
  <si>
    <t>MORF4L2</t>
  </si>
  <si>
    <t>PEX19</t>
  </si>
  <si>
    <t>RALY</t>
  </si>
  <si>
    <t>PSMF1</t>
  </si>
  <si>
    <t>AGER</t>
  </si>
  <si>
    <t>SH3BGRL3</t>
  </si>
  <si>
    <t>CKS1B</t>
  </si>
  <si>
    <t>CRTC2</t>
  </si>
  <si>
    <t>NFYC</t>
  </si>
  <si>
    <t>ADCK3</t>
  </si>
  <si>
    <t>ITIH2</t>
  </si>
  <si>
    <t>WDR96</t>
  </si>
  <si>
    <t>AGO1</t>
  </si>
  <si>
    <t>MNF1</t>
  </si>
  <si>
    <t>CAB39L</t>
  </si>
  <si>
    <t>TAF4</t>
  </si>
  <si>
    <t>LSM14B</t>
  </si>
  <si>
    <t>RBM34</t>
  </si>
  <si>
    <t>RNGTT</t>
  </si>
  <si>
    <t>POGK</t>
  </si>
  <si>
    <t>PLEKHA6</t>
  </si>
  <si>
    <t>DYNLT1</t>
  </si>
  <si>
    <t>GPAM</t>
  </si>
  <si>
    <t>RRAGB</t>
  </si>
  <si>
    <t>NMRK1</t>
  </si>
  <si>
    <t>PFKFB4</t>
  </si>
  <si>
    <t>Em:AP000351.3</t>
  </si>
  <si>
    <t>THOC3</t>
  </si>
  <si>
    <t>STAG1</t>
  </si>
  <si>
    <t>CENPC1</t>
  </si>
  <si>
    <t>CSNK1A1</t>
  </si>
  <si>
    <t>RPS6KB1</t>
  </si>
  <si>
    <t>TXNDC5</t>
  </si>
  <si>
    <t>OSBPL6</t>
  </si>
  <si>
    <t>WASF3</t>
  </si>
  <si>
    <t>PTK2</t>
  </si>
  <si>
    <t>TOM1L1</t>
  </si>
  <si>
    <t>MST4</t>
  </si>
  <si>
    <t>MTMR1</t>
  </si>
  <si>
    <t>RPS21</t>
  </si>
  <si>
    <t>LGALS9</t>
  </si>
  <si>
    <t>SLC27A4</t>
  </si>
  <si>
    <t>MYO5B</t>
  </si>
  <si>
    <t>CDH1</t>
  </si>
  <si>
    <t>MOSPD2</t>
  </si>
  <si>
    <t>PSMD8</t>
  </si>
  <si>
    <t>LAMTOR5</t>
  </si>
  <si>
    <t>BMI1</t>
  </si>
  <si>
    <t>YTHDF3</t>
  </si>
  <si>
    <t>ATP6V0D1</t>
  </si>
  <si>
    <t>S100A6</t>
  </si>
  <si>
    <t>DENND4C</t>
  </si>
  <si>
    <t>PSMC3</t>
  </si>
  <si>
    <t>EXOSC1</t>
  </si>
  <si>
    <t>Ubiquitin-like modifier-activating enzyme 6</t>
  </si>
  <si>
    <t>UHRF1-binding protein 1-like</t>
  </si>
  <si>
    <t>Shootin-1</t>
  </si>
  <si>
    <t>Acetolactate synthase-like protein</t>
  </si>
  <si>
    <t>Uncharacterized protein C1orf226</t>
  </si>
  <si>
    <t>Uncharacterized protein C17orf89</t>
  </si>
  <si>
    <t>SH3 and PX domain-containing protein 2B</t>
  </si>
  <si>
    <t>Isoform 2 of O-acetyl-ADP-ribose deacetylase MACROD2</t>
  </si>
  <si>
    <t>tRNA wybutosine-synthesizing protein 5</t>
  </si>
  <si>
    <t>Isoform 2 of Fucose mutarotase</t>
  </si>
  <si>
    <t>Isoform 3 of von Willebrand factor A domain-containing protein 8</t>
  </si>
  <si>
    <t>Isoform 3 of Protein strawberry notch homolog 1</t>
  </si>
  <si>
    <t>Isoform 2 of Isoprenoid synthase domain-containing protein</t>
  </si>
  <si>
    <t>Isoform 2 of WD repeat-containing protein 91</t>
  </si>
  <si>
    <t>Isoform 2 of Trafficking protein particle complex subunit 13</t>
  </si>
  <si>
    <t>Isoform 2 of CCR4-NOT transcription complex subunit 1</t>
  </si>
  <si>
    <t>Rho guanine nucleotide exchange factor 35</t>
  </si>
  <si>
    <t>Isoform 2 of Protein FAM83G</t>
  </si>
  <si>
    <t>Putative L-aspartate dehydrogenase</t>
  </si>
  <si>
    <t>Paralemmin-3</t>
  </si>
  <si>
    <t>Phosphoglycolate phosphatase</t>
  </si>
  <si>
    <t>UPF0600 protein C5orf51</t>
  </si>
  <si>
    <t>RCC1 domain-containing protein 1</t>
  </si>
  <si>
    <t>Ankyrin repeat domain-containing protein SOWAHB</t>
  </si>
  <si>
    <t>Succinate dehydrogenase assembly factor 1, mitochondrial</t>
  </si>
  <si>
    <t>rRNA/tRNA 2-O-methyltransferase fibrillarin-like protein 1</t>
  </si>
  <si>
    <t>Protein unc-119 homolog B</t>
  </si>
  <si>
    <t>Glyoxalase domain-containing protein 5</t>
  </si>
  <si>
    <t>Putative lipoyltransferase 2, mitochondrial</t>
  </si>
  <si>
    <t>Coiled-coil domain-containing protein 85C</t>
  </si>
  <si>
    <t>Purkinje cell protein 4-like protein 1</t>
  </si>
  <si>
    <t>Tetratricopeptide repeat protein 36</t>
  </si>
  <si>
    <t>LYR motif-containing protein 9</t>
  </si>
  <si>
    <t>Nucleoside diphosphate-linked moiety X motif 19, mitochondrial</t>
  </si>
  <si>
    <t>Isoform 4 of Forkhead-associated domain-containing protein 1</t>
  </si>
  <si>
    <t>Espin</t>
  </si>
  <si>
    <t>Protein phosphatase 1 regulatory subunit 3G</t>
  </si>
  <si>
    <t>Immunoglobulin lambda-like polypeptide 5</t>
  </si>
  <si>
    <t>Putative WAS protein family homolog 3</t>
  </si>
  <si>
    <t>Insulin, isoform 2</t>
  </si>
  <si>
    <t>Alkyldihydroxyacetonephosphate synthase, peroxisomal</t>
  </si>
  <si>
    <t>Isoform 3 of UBX domain-containing protein 8</t>
  </si>
  <si>
    <t>Isoform 2 of Kinesin-like protein KIF2A</t>
  </si>
  <si>
    <t>Thymidine kinase 2, mitochondrial</t>
  </si>
  <si>
    <t>ATP-dependent RNA helicase DDX39A</t>
  </si>
  <si>
    <t>PDZ and LIM domain protein 1</t>
  </si>
  <si>
    <t>Isoform 6 of Cytosolic acyl coenzyme A thioester hydrolase</t>
  </si>
  <si>
    <t>Synaptosomal-associated protein 23</t>
  </si>
  <si>
    <t>AH receptor-interacting protein</t>
  </si>
  <si>
    <t>GTP-binding protein 1</t>
  </si>
  <si>
    <t>Galectin-8</t>
  </si>
  <si>
    <t>26S proteasome non-ATPase regulatory subunit 11</t>
  </si>
  <si>
    <t>26S proteasome non-ATPase regulatory subunit 12</t>
  </si>
  <si>
    <t>Copper transport protein ATOX1</t>
  </si>
  <si>
    <t>E3 SUMO-protein ligase CBX4</t>
  </si>
  <si>
    <t>Membrane-associated progesterone receptor component 1</t>
  </si>
  <si>
    <t>Isoform 2 of Transcription elongation factor SPT5</t>
  </si>
  <si>
    <t>DNA fragmentation factor subunit alpha</t>
  </si>
  <si>
    <t>Huntingtin-interacting protein 1</t>
  </si>
  <si>
    <t>Chloride intracellular channel protein 1</t>
  </si>
  <si>
    <t>Dynactin subunit 6</t>
  </si>
  <si>
    <t>Neural Wiskott-Aldrich syndrome protein</t>
  </si>
  <si>
    <t>Importin-5</t>
  </si>
  <si>
    <t>Isoform 3 of Dynamin-1-like protein</t>
  </si>
  <si>
    <t>Phosphatidylinositol 3-kinase regulatory subunit beta</t>
  </si>
  <si>
    <t>Beta-mannosidase</t>
  </si>
  <si>
    <t>Isoform 2 of Agrin</t>
  </si>
  <si>
    <t>Exocyst complex component 5</t>
  </si>
  <si>
    <t>High mobility group nucleosome-binding domain-containing protein 4</t>
  </si>
  <si>
    <t>26S proteasome non-ATPase regulatory subunit 14</t>
  </si>
  <si>
    <t>Isoform II2 of Myc box-dependent-interacting protein 1</t>
  </si>
  <si>
    <t>Importin subunit alpha-3</t>
  </si>
  <si>
    <t>Serine/threonine-protein kinase 25</t>
  </si>
  <si>
    <t>Ladinin-1</t>
  </si>
  <si>
    <t>Krev interaction trapped protein 1</t>
  </si>
  <si>
    <t>von Willebrand factor A domain-containing protein 5A</t>
  </si>
  <si>
    <t>U3 small nucleolar ribonucleoprotein protein MPP10</t>
  </si>
  <si>
    <t>Nucleolar protein 56</t>
  </si>
  <si>
    <t>ATP-dependent RNA helicase DDX3X</t>
  </si>
  <si>
    <t>Pirin</t>
  </si>
  <si>
    <t>Importin subunit alpha-4</t>
  </si>
  <si>
    <t>Tripartite motif-containing protein 38</t>
  </si>
  <si>
    <t>Nuclear factor 1 B-type</t>
  </si>
  <si>
    <t>Serine/threonine-protein phosphatase 6 catalytic subunit</t>
  </si>
  <si>
    <t>Cocaine esterase</t>
  </si>
  <si>
    <t>Lysosomal alpha-mannosidase</t>
  </si>
  <si>
    <t>Fructose-1,6-bisphosphatase isozyme 2</t>
  </si>
  <si>
    <t>Acetyl-CoA carboxylase 2</t>
  </si>
  <si>
    <t>Pyridoxal kinase</t>
  </si>
  <si>
    <t>AT-rich interactive domain-containing protein 1A</t>
  </si>
  <si>
    <t>Isoform 2 of Cyclin-dependent kinase 2-associated protein 1</t>
  </si>
  <si>
    <t>TRAF-type zinc finger domain-containing protein 1</t>
  </si>
  <si>
    <t>Acyl carrier protein, mitochondrial</t>
  </si>
  <si>
    <t>Coatomer subunit epsilon</t>
  </si>
  <si>
    <t>Isoform 4 of AP-3 complex subunit delta-1</t>
  </si>
  <si>
    <t>Histone-lysine N-methyltransferase MLL2</t>
  </si>
  <si>
    <t>Isoform 2 of Inositol monophosphatase 2</t>
  </si>
  <si>
    <t>Dual specificity mitogen-activated protein kinase kinase 7</t>
  </si>
  <si>
    <t>Acyl-coenzyme A thioesterase 8</t>
  </si>
  <si>
    <t>Programmed cell death protein 5</t>
  </si>
  <si>
    <t>Protein arginine N-methyltransferase 5</t>
  </si>
  <si>
    <t>Na(+)/H(+) exchange regulatory cofactor NHE-RF1</t>
  </si>
  <si>
    <t>17-beta-hydroxysteroid dehydrogenase type 6</t>
  </si>
  <si>
    <t>Fucose-1-phosphate guanylyltransferase</t>
  </si>
  <si>
    <t>Isoform 2 of Tripeptidyl-peptidase 1</t>
  </si>
  <si>
    <t>Isoform 2 of Transcription elongation regulator 1</t>
  </si>
  <si>
    <t>Isoform 2 of Transportin-2</t>
  </si>
  <si>
    <t>Proteasome subunit alpha type-7</t>
  </si>
  <si>
    <t>Secretory carrier-associated membrane protein 3</t>
  </si>
  <si>
    <t>Isoform 2 of Phytanoyl-CoA dioxygenase, peroxisomal</t>
  </si>
  <si>
    <t>Phytanoyl-CoA dioxygenase, peroxisomal</t>
  </si>
  <si>
    <t>5-oxoprolinase</t>
  </si>
  <si>
    <t>Interferon-induced protein with tetratricopeptide repeats 3</t>
  </si>
  <si>
    <t>Interferon regulatory factor 6</t>
  </si>
  <si>
    <t>Histone acetyltransferase type B catalytic subunit</t>
  </si>
  <si>
    <t>Ubiquitin/ISG15-conjugating enzyme E2 L6</t>
  </si>
  <si>
    <t>Isoform 3 of Peripheral plasma membrane protein CASK</t>
  </si>
  <si>
    <t>Cytochrome b-c1 complex subunit 8</t>
  </si>
  <si>
    <t>Hepatocyte growth factor-regulated tyrosine kinase substrate</t>
  </si>
  <si>
    <t>Protein phosphatase 1 regulatory subunit 12A</t>
  </si>
  <si>
    <t>Isoform 2 of Very long-chain acyl-CoA synthetase</t>
  </si>
  <si>
    <t>Cyclin-G-associated kinase</t>
  </si>
  <si>
    <t>Isoform 3 of Heterogeneous nuclear ribonucleoprotein D-like</t>
  </si>
  <si>
    <t>Exportin-1</t>
  </si>
  <si>
    <t>TATA-binding protein-associated factor 172</t>
  </si>
  <si>
    <t>Zinc finger protein 609</t>
  </si>
  <si>
    <t>Spectrin beta chain, non-erythrocytic 2</t>
  </si>
  <si>
    <t>Isoform 2 of Microtubule-associated serine/threonine-protein kinase 4</t>
  </si>
  <si>
    <t>Plexin-B2</t>
  </si>
  <si>
    <t>Protein KHNYN</t>
  </si>
  <si>
    <t>Histone-lysine N-methyltransferase SETD1A</t>
  </si>
  <si>
    <t>Isoform 2A of Synaptojanin-2</t>
  </si>
  <si>
    <t>Phosphoribosylformylglycinamidine synthase</t>
  </si>
  <si>
    <t>Serine/threonine-protein phosphatase 6 regulatory ankyrin repeat subunit A</t>
  </si>
  <si>
    <t>Rho guanine nucleotide exchange factor 11</t>
  </si>
  <si>
    <t>U6 snRNA-associated Sm-like protein LSm1</t>
  </si>
  <si>
    <t>Actin-related protein 2/3 complex subunit 1B</t>
  </si>
  <si>
    <t>Actin-related protein 2/3 complex subunit 2</t>
  </si>
  <si>
    <t>Actin-related protein 2/3 complex subunit 3</t>
  </si>
  <si>
    <t>Zinc finger and BTB domain-containing protein 7B</t>
  </si>
  <si>
    <t>Isoform Short of Transcription intermediary factor 1-alpha</t>
  </si>
  <si>
    <t>Membrane-associated progesterone receptor component 2</t>
  </si>
  <si>
    <t>Prefoldin subunit 6</t>
  </si>
  <si>
    <t>Glutathione S-transferase A4</t>
  </si>
  <si>
    <t>Laminin subunit alpha-5</t>
  </si>
  <si>
    <t>Protein CASC3</t>
  </si>
  <si>
    <t>Chloride intracellular channel protein 2</t>
  </si>
  <si>
    <t>Peroxisomal acyl-coenzyme A oxidase 3</t>
  </si>
  <si>
    <t>Isoform 1 of UDP-N-acetylglucosamine--peptide N-acetylglucosaminyltransferase 110 kDa subunit</t>
  </si>
  <si>
    <t>Phosphomannomutase 2</t>
  </si>
  <si>
    <t>Protein phosphatase 1G</t>
  </si>
  <si>
    <t>Phosphatidylinositol 3,4,5-trisphosphate 5-phosphatase 2</t>
  </si>
  <si>
    <t>Eukaryotic translation initiation factor 3 subunit H</t>
  </si>
  <si>
    <t>Histone deacetylase 3</t>
  </si>
  <si>
    <t>Branched-chain-amino-acid aminotransferase, mitochondrial</t>
  </si>
  <si>
    <t>Importin-8</t>
  </si>
  <si>
    <t>Isoform 2 of Syntaxin-7</t>
  </si>
  <si>
    <t>C-C motif chemokine 16</t>
  </si>
  <si>
    <t>Isoform Delta of Glycogenin-2</t>
  </si>
  <si>
    <t>Synaptobrevin homolog YKT6</t>
  </si>
  <si>
    <t>Actin-related protein 2/3 complex subunit 5</t>
  </si>
  <si>
    <t>DNA-directed RNA polymerase II subunit RPB4</t>
  </si>
  <si>
    <t>RING finger protein 113A</t>
  </si>
  <si>
    <t>Putative pre-mRNA-splicing factor ATP-dependent RNA helicase DHX15</t>
  </si>
  <si>
    <t>mRNA cap guanine-N7 methyltransferase</t>
  </si>
  <si>
    <t>Isoform 2 of E3 ubiquitin-protein ligase Praja-2</t>
  </si>
  <si>
    <t>Isoform 2 of U4/U6 small nuclear ribonucleoprotein Prp4</t>
  </si>
  <si>
    <t>D-3-phosphoglycerate dehydrogenase</t>
  </si>
  <si>
    <t>Isoform 5 of Septin-4</t>
  </si>
  <si>
    <t>Cytoplasmic dynein 1 light intermediate chain 2</t>
  </si>
  <si>
    <t>26S proteasome non-ATPase regulatory subunit 3</t>
  </si>
  <si>
    <t>Bifunctional 3-phosphoadenosine 5-phosphosulfate synthase 1</t>
  </si>
  <si>
    <t>Centromere/kinetochore protein zw10 homolog</t>
  </si>
  <si>
    <t>U4/U6.U5 tri-snRNP-associated protein 1</t>
  </si>
  <si>
    <t>CBP80/20-dependent translation initiation factor</t>
  </si>
  <si>
    <t>Isoform 3 of Metastasis suppressor protein 1</t>
  </si>
  <si>
    <t>Isoform 2 of Inositol hexakisphosphate and diphosphoinositol-pentakisphosphate kinase 2</t>
  </si>
  <si>
    <t>Isoform 1A of Mitogen-activated protein kinase kinase kinase 7</t>
  </si>
  <si>
    <t>LYR motif-containing protein 1</t>
  </si>
  <si>
    <t>Heterogeneous nuclear ribonucleoprotein R</t>
  </si>
  <si>
    <t>Thioredoxin-like protein 1</t>
  </si>
  <si>
    <t>Tumor protein D54</t>
  </si>
  <si>
    <t>Isoform 3 of ERI1 exoribonuclease 3</t>
  </si>
  <si>
    <t>Eukaryotic translation initiation factor 4 gamma 3</t>
  </si>
  <si>
    <t>Isoform 3 of Serine protease HTRA2, mitochondrial</t>
  </si>
  <si>
    <t>Isoform 4 of Band 4.1-like protein 2</t>
  </si>
  <si>
    <t>Isoform TGN46 of Trans-Golgi network integral membrane protein 2</t>
  </si>
  <si>
    <t>Isoform 3 of Regulator of G-protein signaling 14</t>
  </si>
  <si>
    <t>Density-regulated protein</t>
  </si>
  <si>
    <t>Exportin-T</t>
  </si>
  <si>
    <t>2-deoxynucleoside 5-phosphate N-hydrolase 1</t>
  </si>
  <si>
    <t>Mitochondrial import inner membrane translocase subunit TIM44</t>
  </si>
  <si>
    <t>Trafficking protein particle complex subunit 3</t>
  </si>
  <si>
    <t>Charged multivesicular body protein 2a</t>
  </si>
  <si>
    <t>Isoform 2 of Pleiotropic regulator 1</t>
  </si>
  <si>
    <t>Isoform 3 of Protein regulator of cytokinesis 1</t>
  </si>
  <si>
    <t>Isoform 2 of Zinc finger protein 207</t>
  </si>
  <si>
    <t>NADH dehydrogenase [ubiquinone] 1 alpha subcomplex subunit 2</t>
  </si>
  <si>
    <t>ATPase ASNA1</t>
  </si>
  <si>
    <t>Isoform 2 of Mitotic checkpoint protein BUB3</t>
  </si>
  <si>
    <t>Sulfotransferase family cytosolic 1B member 1</t>
  </si>
  <si>
    <t>Alpha-actinin-4</t>
  </si>
  <si>
    <t>TP53-regulated inhibitor of apoptosis 1</t>
  </si>
  <si>
    <t>Glutamyl-tRNA(Gln) amidotransferase subunit C, mitochondrial</t>
  </si>
  <si>
    <t>HIV Tat-specific factor 1</t>
  </si>
  <si>
    <t>5-AMP-activated protein kinase subunit beta-2</t>
  </si>
  <si>
    <t>AP-1 complex subunit gamma-1</t>
  </si>
  <si>
    <t>Syntaxin-6</t>
  </si>
  <si>
    <t>Small glutamine-rich tetratricopeptide repeat-containing protein alpha</t>
  </si>
  <si>
    <t>Lipoyl synthase, mitochondrial</t>
  </si>
  <si>
    <t>Isoform 2 of Alpha-endosulfine</t>
  </si>
  <si>
    <t>Asparagine--tRNA ligase, cytoplasmic</t>
  </si>
  <si>
    <t>Isoform 2 of Unconventional myosin-Ib</t>
  </si>
  <si>
    <t>Sjoegren syndrome nuclear autoantigen 1</t>
  </si>
  <si>
    <t>Cleavage and polyadenylation specificity factor subunit 5</t>
  </si>
  <si>
    <t>LanC-like protein 1</t>
  </si>
  <si>
    <t>Isoform 2 of Striatin</t>
  </si>
  <si>
    <t>U3 small nucleolar RNA-interacting protein 2</t>
  </si>
  <si>
    <t>Protein SCO2 homolog, mitochondrial</t>
  </si>
  <si>
    <t>Isoform 4 of Hyaluronidase-3</t>
  </si>
  <si>
    <t>Isocitrate dehydrogenase [NAD] subunit beta, mitochondrial</t>
  </si>
  <si>
    <t>Isoform 2 of Nardilysin</t>
  </si>
  <si>
    <t>Calumenin</t>
  </si>
  <si>
    <t>Putative adenosylhomocysteinase 2</t>
  </si>
  <si>
    <t>Kinesin-like protein KIF1C</t>
  </si>
  <si>
    <t>Retinal rod rhodopsin-sensitive cGMP 3,5-cyclic phosphodiesterase subunit delta</t>
  </si>
  <si>
    <t>Double-strand-break repair protein rad21 homolog</t>
  </si>
  <si>
    <t>Aldo-keto reductase family 1 member B10</t>
  </si>
  <si>
    <t>Mitochondrial import inner membrane translocase subunit Tim8 A</t>
  </si>
  <si>
    <t>Putative pre-mRNA-splicing factor ATP-dependent RNA helicase DHX16</t>
  </si>
  <si>
    <t>Glia maturation factor gamma</t>
  </si>
  <si>
    <t>Perilipin-1</t>
  </si>
  <si>
    <t>Phosphoribosyl pyrophosphate synthase-associated protein 2</t>
  </si>
  <si>
    <t>Isoform 5 of E3 ubiquitin-protein ligase parkin</t>
  </si>
  <si>
    <t>SWI/SNF-related matrix-associated actin-dependent regulator of chromatin subfamily A member 5</t>
  </si>
  <si>
    <t>Isoform 4 of C-Jun-amino-terminal kinase-interacting protein 4</t>
  </si>
  <si>
    <t>Isoform 2 of Kinesin-like protein KIF1B</t>
  </si>
  <si>
    <t>Lysine-specific histone demethylase 1A</t>
  </si>
  <si>
    <t>Isoform 2 of TBC1 domain family member 4</t>
  </si>
  <si>
    <t>Isoform D of Endothelin-converting enzyme 2</t>
  </si>
  <si>
    <t>Periplakin</t>
  </si>
  <si>
    <t>Non-syndromic hearing impairment protein 5</t>
  </si>
  <si>
    <t>Ecotropic viral integration site 5 protein homolog</t>
  </si>
  <si>
    <t>Sorting nexin-3</t>
  </si>
  <si>
    <t>Vinexin</t>
  </si>
  <si>
    <t>Isoform 3 of Heterogeneous nuclear ribonucleoprotein Q</t>
  </si>
  <si>
    <t>Ran-binding protein 6</t>
  </si>
  <si>
    <t>Isoform 2 of GDP-mannose 4,6 dehydratase</t>
  </si>
  <si>
    <t>Glycylpeptide N-tetradecanoyltransferase 2</t>
  </si>
  <si>
    <t>Procollagen-lysine,2-oxoglutarate 5-dioxygenase 3</t>
  </si>
  <si>
    <t>15 kDa selenoprotein</t>
  </si>
  <si>
    <t>Isoform 3 of Exocyst complex component 3</t>
  </si>
  <si>
    <t>Isoform 4 of Perilipin-3</t>
  </si>
  <si>
    <t>UDP-glucose 6-dehydrogenase</t>
  </si>
  <si>
    <t>Isoform 1A of Catenin delta-1</t>
  </si>
  <si>
    <t>Sorting nexin-2</t>
  </si>
  <si>
    <t>General vesicular transport factor p115</t>
  </si>
  <si>
    <t>Coiled-coil domain-containing protein 22</t>
  </si>
  <si>
    <t>Isoform 2 of Polyglutamine-binding protein 1</t>
  </si>
  <si>
    <t>H/ACA ribonucleoprotein complex subunit 4</t>
  </si>
  <si>
    <t>Eukaryotic translation initiation factor 5B</t>
  </si>
  <si>
    <t>Endothelial differentiation-related factor 1</t>
  </si>
  <si>
    <t>DnaJ homolog subfamily A member 2</t>
  </si>
  <si>
    <t>Bromodomain-containing protein 4</t>
  </si>
  <si>
    <t>Isoform C of Protein CutA</t>
  </si>
  <si>
    <t>F-box-like/WD repeat-containing protein TBL1X</t>
  </si>
  <si>
    <t>Prefoldin subunit 1</t>
  </si>
  <si>
    <t>Protein phosphatase 1 regulatory subunit 11</t>
  </si>
  <si>
    <t>Nibrin</t>
  </si>
  <si>
    <t>Isoform 3 of Carboxyl-terminal PDZ ligand of neuronal nitric oxide synthase protein</t>
  </si>
  <si>
    <t>Isoform 2 of Protein CBFA2T3</t>
  </si>
  <si>
    <t>WD repeat-containing protein 1</t>
  </si>
  <si>
    <t>NEDD4-binding protein 1</t>
  </si>
  <si>
    <t>Rho-associated protein kinase 2</t>
  </si>
  <si>
    <t>Protein cordon-bleu</t>
  </si>
  <si>
    <t>Copine-3</t>
  </si>
  <si>
    <t>Huntingtin-interacting protein 1-related protein</t>
  </si>
  <si>
    <t>E3 ubiquitin-protein ligase BRE1B</t>
  </si>
  <si>
    <t>Zinc finger CCCH domain-containing protein 11A</t>
  </si>
  <si>
    <t>Isoform 2 of Rab11 family-interacting protein 3</t>
  </si>
  <si>
    <t>Isoform 2 of TSC22 domain family protein 2</t>
  </si>
  <si>
    <t>DnaJ homolog subfamily C member 13</t>
  </si>
  <si>
    <t>Isoform 4 of Serine/threonine-protein phosphatase 6 regulatory subunit 2</t>
  </si>
  <si>
    <t>CCR4-NOT transcription complex subunit 3</t>
  </si>
  <si>
    <t>Calcium-responsive transactivator</t>
  </si>
  <si>
    <t>Xylulose kinase</t>
  </si>
  <si>
    <t>Ubiquinone biosynthesis protein COQ9, mitochondrial</t>
  </si>
  <si>
    <t>Gamma-glutamylcyclotransferase</t>
  </si>
  <si>
    <t>Protein NipSnap homolog 2</t>
  </si>
  <si>
    <t>Programmed cell death protein 6</t>
  </si>
  <si>
    <t>Tubulin-specific chaperone A</t>
  </si>
  <si>
    <t>V-type proton ATPase subunit G 1</t>
  </si>
  <si>
    <t>Vacuolar protein sorting-associated protein 4B</t>
  </si>
  <si>
    <t>Ectonucleoside triphosphate diphosphohydrolase 5</t>
  </si>
  <si>
    <t>Isoform 1 of Core histone macro-H2A.1</t>
  </si>
  <si>
    <t>SH3 domain-binding glutamic acid-rich-like protein</t>
  </si>
  <si>
    <t>Isoform 8 of Filamin-B</t>
  </si>
  <si>
    <t>Nuclear receptor corepressor 1</t>
  </si>
  <si>
    <t>NADH dehydrogenase [ubiquinone] iron-sulfur protein 6, mitochondrial</t>
  </si>
  <si>
    <t>Vesicle-trafficking protein SEC22b</t>
  </si>
  <si>
    <t>Isoform 7 of Transforming acidic coiled-coil-containing protein 1</t>
  </si>
  <si>
    <t>PERQ amino acid-rich with GYF domain-containing protein 1</t>
  </si>
  <si>
    <t>Vacuolar protein sorting-associated protein 26A</t>
  </si>
  <si>
    <t>Mitochondrial-processing peptidase subunit beta</t>
  </si>
  <si>
    <t>Katanin p60 ATPase-containing subunit A1</t>
  </si>
  <si>
    <t>Retinol dehydrogenase 16</t>
  </si>
  <si>
    <t>PC4 and SFRS1-interacting protein</t>
  </si>
  <si>
    <t>Ceroid-lipofuscinosis neuronal protein 5</t>
  </si>
  <si>
    <t>Heat shock factor-binding protein 1</t>
  </si>
  <si>
    <t>Isoform 2 of Enoyl-CoA delta isomerase 2, mitochondrial</t>
  </si>
  <si>
    <t>Isoform 2 of KH domain-containing, RNA-binding, signal transduction-associated protein 3</t>
  </si>
  <si>
    <t>Barrier-to-autointegration factor</t>
  </si>
  <si>
    <t>Splicing factor 3B subunit 1</t>
  </si>
  <si>
    <t>Cold shock domain-containing protein E1</t>
  </si>
  <si>
    <t>2-amino-3-ketobutyrate coenzyme A ligase, mitochondrial</t>
  </si>
  <si>
    <t>Nucleoplasmin-3</t>
  </si>
  <si>
    <t>Isoform 2 of Acyl-protein thioesterase 1</t>
  </si>
  <si>
    <t>Protein CREG1</t>
  </si>
  <si>
    <t>U5 small nuclear ribonucleoprotein 200 kDa helicase</t>
  </si>
  <si>
    <t>Mitochondrial tRNA-specific 2-thiouridylase 1</t>
  </si>
  <si>
    <t>TIP41-like protein</t>
  </si>
  <si>
    <t>Protein phosphatase 1B</t>
  </si>
  <si>
    <t>Protein XRP2</t>
  </si>
  <si>
    <t>Transcription elongation factor A protein 3</t>
  </si>
  <si>
    <t>Isoform 2 of Ribonuclease P protein subunit p40</t>
  </si>
  <si>
    <t>Eukaryotic translation initiation factor 3 subunit G</t>
  </si>
  <si>
    <t>Eukaryotic translation initiation factor 3 subunit J</t>
  </si>
  <si>
    <t>Carbonyl reductase [NADPH] 3</t>
  </si>
  <si>
    <t>AP-1 complex subunit gamma-like 2</t>
  </si>
  <si>
    <t>Trafficking protein particle complex subunit 6A</t>
  </si>
  <si>
    <t>Isocitrate dehydrogenase [NADP] cytoplasmic</t>
  </si>
  <si>
    <t>Isoform 2 of Attractin</t>
  </si>
  <si>
    <t>Putative hydrolase RBBP9</t>
  </si>
  <si>
    <t>Signal transducing adapter molecule 2</t>
  </si>
  <si>
    <t>Cytosolic 10-formyltetrahydrofolate dehydrogenase</t>
  </si>
  <si>
    <t>Tumor suppressor candidate 2</t>
  </si>
  <si>
    <t>PRA1 family protein 3</t>
  </si>
  <si>
    <t>Pre-mRNA-splicing factor SPF27</t>
  </si>
  <si>
    <t>Dynactin subunit 3</t>
  </si>
  <si>
    <t>Gamma-butyrobetaine dioxygenase</t>
  </si>
  <si>
    <t>DnaJ homolog subfamily C member 8</t>
  </si>
  <si>
    <t>Survival of motor neuron-related-splicing factor 30</t>
  </si>
  <si>
    <t>Isoform 3 of Multiple PDZ domain protein</t>
  </si>
  <si>
    <t>Carboxypeptidase D</t>
  </si>
  <si>
    <t>Glutaredoxin-3</t>
  </si>
  <si>
    <t>Wolframin</t>
  </si>
  <si>
    <t>ATP-dependent Clp protease ATP-binding subunit clpX-like, mitochondrial</t>
  </si>
  <si>
    <t>Nebulette</t>
  </si>
  <si>
    <t>SEC14-like protein 2</t>
  </si>
  <si>
    <t>Probable cytosolic iron-sulfur protein assembly protein CIAO1</t>
  </si>
  <si>
    <t>Signal recognition particle subunit SRP72</t>
  </si>
  <si>
    <t>N(G),N(G)-dimethylarginine dimethylaminohydrolase 1</t>
  </si>
  <si>
    <t>Unconventional prefoldin RPB5 interactor 1</t>
  </si>
  <si>
    <t>Metastasis-associated protein MTA2</t>
  </si>
  <si>
    <t>Isoform 4 of Retinal dehydrogenase 2</t>
  </si>
  <si>
    <t>Tubulin polymerization-promoting protein</t>
  </si>
  <si>
    <t>Ubiquitin-like protein ATG12</t>
  </si>
  <si>
    <t>Kelch repeat and BTB domain-containing protein 11</t>
  </si>
  <si>
    <t>E3 ubiquitin-protein ligase listerin</t>
  </si>
  <si>
    <t>Mitochondrial import receptor subunit TOM70</t>
  </si>
  <si>
    <t>Importin-13</t>
  </si>
  <si>
    <t>Isoform 5 of Protein-methionine sulfoxide oxidase MICAL2</t>
  </si>
  <si>
    <t>Protein transport protein Sec24D</t>
  </si>
  <si>
    <t>E3 UFM1-protein ligase 1</t>
  </si>
  <si>
    <t>Isoform 12 of Sorbin and SH3 domain-containing protein 2</t>
  </si>
  <si>
    <t>PHD finger protein 14</t>
  </si>
  <si>
    <t>FERM, RhoGEF and pleckstrin domain-containing protein 2</t>
  </si>
  <si>
    <t>UBX domain-containing protein 7</t>
  </si>
  <si>
    <t>Proline synthase co-transcribed bacterial homolog protein</t>
  </si>
  <si>
    <t>Pre-mRNA cleavage complex 2 protein Pcf11</t>
  </si>
  <si>
    <t>Glutaminase kidney isoform, mitochondrial</t>
  </si>
  <si>
    <t>Isoform 2 of Actin-binding LIM protein 3</t>
  </si>
  <si>
    <t>Isoform 7 of Ubiquitin carboxyl-terminal hydrolase 19</t>
  </si>
  <si>
    <t>AP-2 complex subunit alpha-2</t>
  </si>
  <si>
    <t>Isoform 6 of Protein transport protein Sec31A</t>
  </si>
  <si>
    <t>Protein HEXIM1</t>
  </si>
  <si>
    <t>Arf-GAP domain and FG repeat-containing protein 2</t>
  </si>
  <si>
    <t>Isoform 3 of Splicing factor, arginine/serine-rich 15</t>
  </si>
  <si>
    <t>Snurportin-1</t>
  </si>
  <si>
    <t>Aflatoxin B1 aldehyde reductase member 3</t>
  </si>
  <si>
    <t>Isoform 2 of Ubiquitin conjugation factor E4 B</t>
  </si>
  <si>
    <t>Elongator complex protein 1</t>
  </si>
  <si>
    <t>LETM1 and EF-hand domain-containing protein 1, mitochondrial</t>
  </si>
  <si>
    <t>Starch-binding domain-containing protein 1</t>
  </si>
  <si>
    <t>Isoform 2 of Zinc finger Ran-binding domain-containing protein 2</t>
  </si>
  <si>
    <t>Sorting nexin-4</t>
  </si>
  <si>
    <t>Luc7-like protein 3</t>
  </si>
  <si>
    <t>Isoform 3 of Methyl-CpG-binding domain protein 4</t>
  </si>
  <si>
    <t>Myotubularin-related protein 5</t>
  </si>
  <si>
    <t>Isoform 2 of Histone acetyltransferase KAT7</t>
  </si>
  <si>
    <t>Isoform 6 of Laforin</t>
  </si>
  <si>
    <t>Vesicle-associated membrane protein-associated protein B/C</t>
  </si>
  <si>
    <t>SNARE-associated protein Snapin</t>
  </si>
  <si>
    <t>Peptidyl-prolyl cis-trans isomerase FKBP9</t>
  </si>
  <si>
    <t>6-phosphogluconolactonase</t>
  </si>
  <si>
    <t>Bifunctional 3-phosphoadenosine 5-phosphosulfate synthase 2</t>
  </si>
  <si>
    <t>Ubiquitin-like modifier-activating enzyme ATG7</t>
  </si>
  <si>
    <t>Phenylalanine--tRNA ligase, mitochondrial</t>
  </si>
  <si>
    <t>Zinc finger and BTB domain-containing protein 7A</t>
  </si>
  <si>
    <t>Acyl-protein thioesterase 2</t>
  </si>
  <si>
    <t>Importin-7</t>
  </si>
  <si>
    <t>E3 ubiquitin-protein ligase ARIH2</t>
  </si>
  <si>
    <t>Phosphoacetylglucosamine mutase</t>
  </si>
  <si>
    <t>Adenylyltransferase and sulfurtransferase MOCS3</t>
  </si>
  <si>
    <t>Urotensin-2</t>
  </si>
  <si>
    <t>CD2 antigen cytoplasmic tail-binding protein 2</t>
  </si>
  <si>
    <t>Zinc finger FYVE domain-containing protein 9</t>
  </si>
  <si>
    <t>Isoform 2 of Supervillin</t>
  </si>
  <si>
    <t>Isoform 2 of BAG family molecular chaperone regulator 4</t>
  </si>
  <si>
    <t>Activator of 90 kDa heat shock protein ATPase homolog 1</t>
  </si>
  <si>
    <t>Isoform 2 of Poly(A)-specific ribonuclease PARN</t>
  </si>
  <si>
    <t>Proteasome assembly chaperone 1</t>
  </si>
  <si>
    <t>GDH/6PGL endoplasmic bifunctional protein</t>
  </si>
  <si>
    <t>Protein transport protein Sec24A</t>
  </si>
  <si>
    <t>Isoform 2 of Protein transport protein Sec24B</t>
  </si>
  <si>
    <t>Pantetheinase</t>
  </si>
  <si>
    <t>NAD kinase</t>
  </si>
  <si>
    <t>Tyrosyl-DNA phosphodiesterase 2</t>
  </si>
  <si>
    <t>Protein ETHE1, mitochondrial</t>
  </si>
  <si>
    <t>Isoform 5 of CCR4-NOT transcription complex subunit 4</t>
  </si>
  <si>
    <t>STAM-binding protein</t>
  </si>
  <si>
    <t>Isoform 2 of N-acetylserotonin O-methyltransferase-like protein</t>
  </si>
  <si>
    <t>FGFR1 oncogene partner</t>
  </si>
  <si>
    <t>Synaptosomal-associated protein 29</t>
  </si>
  <si>
    <t>Serine/threonine-protein kinase</t>
  </si>
  <si>
    <t>Heat shock 70 kDa protein 4L</t>
  </si>
  <si>
    <t>N-alpha-acetyltransferase 38, NatC auxiliary subunit</t>
  </si>
  <si>
    <t>Isoform B of AP-2 complex subunit alpha-1</t>
  </si>
  <si>
    <t>Isoform 2 of Probable ATP-dependent RNA helicase DDX58</t>
  </si>
  <si>
    <t>Tetratricopeptide repeat protein 4</t>
  </si>
  <si>
    <t>Serum deprivation-response protein</t>
  </si>
  <si>
    <t>BAG family molecular chaperone regulator 2</t>
  </si>
  <si>
    <t>BAG family molecular chaperone regulator 3</t>
  </si>
  <si>
    <t>Malonyl-CoA decarboxylase, mitochondrial</t>
  </si>
  <si>
    <t>Quinone oxidoreductase-like protein 1</t>
  </si>
  <si>
    <t>Isoform 3 of Apoptosis-inducing factor 1, mitochondrial</t>
  </si>
  <si>
    <t>Echinoderm microtubule-associated protein-like 2</t>
  </si>
  <si>
    <t>Uridine diphosphate glucose pyrophosphatase</t>
  </si>
  <si>
    <t>N(G),N(G)-dimethylarginine dimethylaminohydrolase 2</t>
  </si>
  <si>
    <t>Thioredoxin domain-containing protein 12</t>
  </si>
  <si>
    <t>Formimidoyltransferase-cyclodeaminase</t>
  </si>
  <si>
    <t>DNA topoisomerase 3-beta-1</t>
  </si>
  <si>
    <t>Diphosphoinositol polyphosphate phosphohydrolase 1</t>
  </si>
  <si>
    <t>B-cell lymphoma/leukemia 10</t>
  </si>
  <si>
    <t>Zinc finger BED domain-containing protein 1</t>
  </si>
  <si>
    <t>Molybdopterin synthase catalytic subunit</t>
  </si>
  <si>
    <t>Isoform 4 of Serine/threonine-protein kinase PAK 4</t>
  </si>
  <si>
    <t>Actin-like protein 6A</t>
  </si>
  <si>
    <t>Molybdopterin synthase sulfur carrier subunit</t>
  </si>
  <si>
    <t>Alcohol dehydrogenase 1B</t>
  </si>
  <si>
    <t>Alcohol dehydrogenase 1C</t>
  </si>
  <si>
    <t>L-lactate dehydrogenase A chain</t>
  </si>
  <si>
    <t>Retinal dehydrogenase 1</t>
  </si>
  <si>
    <t>Dihydrofolate reductase</t>
  </si>
  <si>
    <t>Isoform 2 of NADH-cytochrome b5 reductase 3</t>
  </si>
  <si>
    <t>Isoform Cytoplasmic of Glutathione reductase, mitochondrial</t>
  </si>
  <si>
    <t>Cytochrome c oxidase subunit 2</t>
  </si>
  <si>
    <t>Phenylalanine-4-hydroxylase</t>
  </si>
  <si>
    <t>Ceruloplasmin</t>
  </si>
  <si>
    <t>Ornithine carbamoyltransferase, mitochondrial</t>
  </si>
  <si>
    <t>Purine nucleoside phosphorylase</t>
  </si>
  <si>
    <t>Hypoxanthine-guanine phosphoribosyltransferase</t>
  </si>
  <si>
    <t>Aspartate aminotransferase, mitochondrial</t>
  </si>
  <si>
    <t>Phosphoglycerate kinase 1</t>
  </si>
  <si>
    <t>Adenylate kinase isoenzyme 1</t>
  </si>
  <si>
    <t>Prothrombin</t>
  </si>
  <si>
    <t>Complement C1r subcomponent</t>
  </si>
  <si>
    <t>Haptoglobin</t>
  </si>
  <si>
    <t>Haptoglobin-related protein</t>
  </si>
  <si>
    <t>Coagulation factor IX</t>
  </si>
  <si>
    <t>Coagulation factor X</t>
  </si>
  <si>
    <t>Plasminogen</t>
  </si>
  <si>
    <t>Coagulation factor XII</t>
  </si>
  <si>
    <t>Argininosuccinate synthase</t>
  </si>
  <si>
    <t>Alpha-1-antitrypsin</t>
  </si>
  <si>
    <t>Alpha-1-antichymotrypsin</t>
  </si>
  <si>
    <t>Angiotensinogen</t>
  </si>
  <si>
    <t>Alpha-2-macroglobulin</t>
  </si>
  <si>
    <t>Complement C3</t>
  </si>
  <si>
    <t>Cystatin-C</t>
  </si>
  <si>
    <t>Cystatin-A</t>
  </si>
  <si>
    <t>Isoform LMW of Kininogen-1</t>
  </si>
  <si>
    <t>GTPase NRas</t>
  </si>
  <si>
    <t>Isoform 2B of GTPase KRas</t>
  </si>
  <si>
    <t>GTPase KRas</t>
  </si>
  <si>
    <t>Ig kappa chain V-I region EU</t>
  </si>
  <si>
    <t>Ig kappa chain V-I region Roy</t>
  </si>
  <si>
    <t>Ig kappa chain V-II region TEW</t>
  </si>
  <si>
    <t>Ig heavy chain V-I region HG3</t>
  </si>
  <si>
    <t>Ig heavy chain V-III region VH26</t>
  </si>
  <si>
    <t>Ig heavy chain V-III region BRO</t>
  </si>
  <si>
    <t>Ig kappa chain C region</t>
  </si>
  <si>
    <t>Ig gamma-1 chain C region</t>
  </si>
  <si>
    <t>Ig gamma-2 chain C region</t>
  </si>
  <si>
    <t>Ig gamma-3 chain C region</t>
  </si>
  <si>
    <t>Ig mu chain C region</t>
  </si>
  <si>
    <t>Ig alpha-1 chain C region</t>
  </si>
  <si>
    <t>Ig alpha-2 chain C region</t>
  </si>
  <si>
    <t>Hemoglobin subunit zeta</t>
  </si>
  <si>
    <t>Collagen alpha-1(I) chain</t>
  </si>
  <si>
    <t>Isoform 3 of Collagen alpha-1(II) chain</t>
  </si>
  <si>
    <t>Collagen alpha-1(IV) chain</t>
  </si>
  <si>
    <t>Keratin, type I cytoskeletal 14</t>
  </si>
  <si>
    <t>Keratin, type II cytoskeletal 6A</t>
  </si>
  <si>
    <t>Prelamin-A/C</t>
  </si>
  <si>
    <t>Apolipoprotein A-I</t>
  </si>
  <si>
    <t>Apolipoprotein E</t>
  </si>
  <si>
    <t>Apolipoprotein A-II</t>
  </si>
  <si>
    <t>Apolipoprotein C-III</t>
  </si>
  <si>
    <t>Isoform 2 of Fibrinogen alpha chain</t>
  </si>
  <si>
    <t>Fibrinogen beta chain</t>
  </si>
  <si>
    <t>Isoform Gamma-A of Fibrinogen gamma chain</t>
  </si>
  <si>
    <t>Serum amyloid P-component</t>
  </si>
  <si>
    <t>Complement component C9</t>
  </si>
  <si>
    <t>Beta-2-glycoprotein 1</t>
  </si>
  <si>
    <t>Leucine-rich alpha-2-glycoprotein</t>
  </si>
  <si>
    <t>Isoform 10 of Fibronectin</t>
  </si>
  <si>
    <t>Protein AMBP</t>
  </si>
  <si>
    <t>Alpha-1-acid glycoprotein 1</t>
  </si>
  <si>
    <t>Alpha-2-HS-glycoprotein</t>
  </si>
  <si>
    <t>Transthyretin</t>
  </si>
  <si>
    <t>Alpha-fetoprotein</t>
  </si>
  <si>
    <t>Vitamin D-binding protein</t>
  </si>
  <si>
    <t>Hemopexin</t>
  </si>
  <si>
    <t>Ferritin light chain</t>
  </si>
  <si>
    <t>Ferritin heavy chain</t>
  </si>
  <si>
    <t>Metallothionein-2</t>
  </si>
  <si>
    <t>Angiogenin</t>
  </si>
  <si>
    <t>Plasma kallikrein</t>
  </si>
  <si>
    <t>C4b-binding protein alpha chain</t>
  </si>
  <si>
    <t>Vitronectin</t>
  </si>
  <si>
    <t>Tissue alpha-L-fucosidase</t>
  </si>
  <si>
    <t>Cystatin-B</t>
  </si>
  <si>
    <t>Apolipoprotein B-100</t>
  </si>
  <si>
    <t>Isoform GR-A beta of Glucocorticoid receptor</t>
  </si>
  <si>
    <t>Superoxide dismutase [Mn], mitochondrial</t>
  </si>
  <si>
    <t>Ornithine aminotransferase, mitochondrial</t>
  </si>
  <si>
    <t>Histidine-rich glycoprotein</t>
  </si>
  <si>
    <t>Ig kappa chain V-III region GOL</t>
  </si>
  <si>
    <t>Alpha-1B-glycoprotein</t>
  </si>
  <si>
    <t>Keratin, type II cytoskeletal 6B</t>
  </si>
  <si>
    <t>Keratin, type II cytoskeletal 1</t>
  </si>
  <si>
    <t>von Willebrand factor</t>
  </si>
  <si>
    <t>Glyceraldehyde-3-phosphate dehydrogenase</t>
  </si>
  <si>
    <t>Argininosuccinate lyase</t>
  </si>
  <si>
    <t>Calpain small subunit 1</t>
  </si>
  <si>
    <t>Metallothionein-1A</t>
  </si>
  <si>
    <t>Metallothionein-1E</t>
  </si>
  <si>
    <t>Metallothionein-1F</t>
  </si>
  <si>
    <t>Heat shock protein beta-1</t>
  </si>
  <si>
    <t>Dolichyl-diphosphooligosaccharide--protein glycosyltransferase subunit 1</t>
  </si>
  <si>
    <t>Guanine nucleotide-binding protein G(i) subunit alpha-2</t>
  </si>
  <si>
    <t>Isoform 3 of Sodium/potassium-transporting ATPase subunit alpha-1</t>
  </si>
  <si>
    <t>Fructose-bisphosphate aldolase B</t>
  </si>
  <si>
    <t>Arginase-1</t>
  </si>
  <si>
    <t>Apolipoprotein D</t>
  </si>
  <si>
    <t>Aldehyde dehydrogenase, mitochondrial</t>
  </si>
  <si>
    <t>Protein S100-A8</t>
  </si>
  <si>
    <t>Non-histone chromosomal protein HMG-14</t>
  </si>
  <si>
    <t>ADP/ATP translocase 2</t>
  </si>
  <si>
    <t>Plasma serine protease inhibitor</t>
  </si>
  <si>
    <t>Plasma protease C1 inhibitor</t>
  </si>
  <si>
    <t>Ubiquitin-like protein ISG15</t>
  </si>
  <si>
    <t>Isoform H14 of Myeloperoxidase</t>
  </si>
  <si>
    <t>Propionyl-CoA carboxylase alpha chain, mitochondrial</t>
  </si>
  <si>
    <t>Propionyl-CoA carboxylase beta chain, mitochondrial</t>
  </si>
  <si>
    <t>Cytochrome P450 1A2</t>
  </si>
  <si>
    <t>Cytochrome P450 2E1</t>
  </si>
  <si>
    <t>Alkaline phosphatase, tissue-nonspecific isozyme</t>
  </si>
  <si>
    <t>Eukaryotic translation initiation factor 2 subunit 1</t>
  </si>
  <si>
    <t>Non-histone chromosomal protein HMG-17</t>
  </si>
  <si>
    <t>60S acidic ribosomal protein P2</t>
  </si>
  <si>
    <t>Lupus La protein</t>
  </si>
  <si>
    <t>Thyroxine-binding globulin</t>
  </si>
  <si>
    <t>Heparin cofactor 2</t>
  </si>
  <si>
    <t>Integrin beta-1</t>
  </si>
  <si>
    <t>Keratin, type I cytoskeletal 18</t>
  </si>
  <si>
    <t>Keratin, type II cytoskeletal 8</t>
  </si>
  <si>
    <t>Isoform MLC3 of Myosin light chain 1/3, skeletal muscle isoform</t>
  </si>
  <si>
    <t>Uroporphyrinogen decarboxylase</t>
  </si>
  <si>
    <t>UDP-glucuronosyltransferase 2B4</t>
  </si>
  <si>
    <t>Alpha-galactosidase A</t>
  </si>
  <si>
    <t>ATP synthase subunit beta, mitochondrial</t>
  </si>
  <si>
    <t>Complement C2</t>
  </si>
  <si>
    <t>Protein S100-A9</t>
  </si>
  <si>
    <t>Apolipoprotein A-IV</t>
  </si>
  <si>
    <t>Eukaryotic translation initiation factor 4E</t>
  </si>
  <si>
    <t>Alpha-enolase</t>
  </si>
  <si>
    <t>Glycogen phosphorylase, liver form</t>
  </si>
  <si>
    <t>Glucose-6-phosphate isomerase</t>
  </si>
  <si>
    <t>Nucleophosmin</t>
  </si>
  <si>
    <t>Isoform 2 of Tropomyosin alpha-3 chain</t>
  </si>
  <si>
    <t>Beta-hexosaminidase subunit alpha</t>
  </si>
  <si>
    <t>Epoxide hydrolase 1</t>
  </si>
  <si>
    <t>Acyl-CoA-binding protein</t>
  </si>
  <si>
    <t>Fatty acid-binding protein, liver</t>
  </si>
  <si>
    <t>L-lactate dehydrogenase B chain</t>
  </si>
  <si>
    <t>Glutathione peroxidase 1</t>
  </si>
  <si>
    <t>Phosphoglycerate kinase 2</t>
  </si>
  <si>
    <t>Protein disulfide-isomerase</t>
  </si>
  <si>
    <t>Histone H1.0</t>
  </si>
  <si>
    <t>Isoform H1b of Asialoglycoprotein receptor 1</t>
  </si>
  <si>
    <t>Isoform 3 of Asialoglycoprotein receptor 2</t>
  </si>
  <si>
    <t>Alcohol dehydrogenase 1A</t>
  </si>
  <si>
    <t>Isoform 3 of Tyrosine-protein kinase Fes/Fps</t>
  </si>
  <si>
    <t>Annexin A2</t>
  </si>
  <si>
    <t>Complement component C8 alpha chain</t>
  </si>
  <si>
    <t>Complement component C8 gamma chain</t>
  </si>
  <si>
    <t>Calpain-1 catalytic subunit</t>
  </si>
  <si>
    <t>Metallothionein-1B</t>
  </si>
  <si>
    <t>Proactivator polypeptide</t>
  </si>
  <si>
    <t>Beta-hexosaminidase subunit beta</t>
  </si>
  <si>
    <t>Cathepsin L1</t>
  </si>
  <si>
    <t>Profilin-1</t>
  </si>
  <si>
    <t>Bisphosphoglycerate mutase</t>
  </si>
  <si>
    <t>Adenine phosphoribosyltransferase</t>
  </si>
  <si>
    <t>Bifunctional glutamate/proline--tRNA ligase</t>
  </si>
  <si>
    <t>Cathepsin B</t>
  </si>
  <si>
    <t>Heat shock protein HSP 90-alpha</t>
  </si>
  <si>
    <t>Galactose-1-phosphate uridylyltransferase</t>
  </si>
  <si>
    <t>Cytochrome b-c1 complex subunit 6, mitochondrial</t>
  </si>
  <si>
    <t>Tyrosine-protein kinase Yes</t>
  </si>
  <si>
    <t>Isoform 2 of Tyrosine-protein kinase Lyn</t>
  </si>
  <si>
    <t>Isoform Cytoplasmic of Fumarate hydratase, mitochondrial</t>
  </si>
  <si>
    <t>Thrombospondin-1</t>
  </si>
  <si>
    <t>Heat shock 70 kDa protein 1A/1B</t>
  </si>
  <si>
    <t>Collagen alpha-2(I) chain</t>
  </si>
  <si>
    <t>Annexin A6</t>
  </si>
  <si>
    <t>Corticosteroid-binding globulin</t>
  </si>
  <si>
    <t>Isoform Short of Beta-glucuronidase</t>
  </si>
  <si>
    <t>Heat shock protein HSP 90-beta</t>
  </si>
  <si>
    <t>Isoform 2 of Signal recognition particle receptor subunit alpha</t>
  </si>
  <si>
    <t>Extracellular superoxide dismutase [Cu-Zn]</t>
  </si>
  <si>
    <t>Alcohol dehydrogenase 4</t>
  </si>
  <si>
    <t>Isoform 2 of Porphobilinogen deaminase</t>
  </si>
  <si>
    <t>Apolipoprotein(a)</t>
  </si>
  <si>
    <t>Isoform 3 of Pyruvate dehydrogenase E1 component subunit alpha, somatic form, mitochondrial</t>
  </si>
  <si>
    <t>Pleckstrin</t>
  </si>
  <si>
    <t>Monocyte differentiation antigen CD14</t>
  </si>
  <si>
    <t>Collagen alpha-2(IV) chain</t>
  </si>
  <si>
    <t>U2 small nuclear ribonucleoprotein B</t>
  </si>
  <si>
    <t>Hepatocyte growth factor receptor</t>
  </si>
  <si>
    <t>Complement factor H</t>
  </si>
  <si>
    <t>Isoform 2 of U1 small nuclear ribonucleoprotein 70 kDa</t>
  </si>
  <si>
    <t>Isoform 1 of Nuclear factor 1 C-type</t>
  </si>
  <si>
    <t>Vimentin</t>
  </si>
  <si>
    <t>Cytochrome P450 3A4</t>
  </si>
  <si>
    <t>Alpha-2-antiplasmin</t>
  </si>
  <si>
    <t>Keratin, type I cytoskeletal 19</t>
  </si>
  <si>
    <t>Keratin, type II cytoskeletal 7</t>
  </si>
  <si>
    <t>Guanine nucleotide-binding protein G(k) subunit alpha</t>
  </si>
  <si>
    <t>Keratin, type I cytoskeletal 16</t>
  </si>
  <si>
    <t>U1 small nuclear ribonucleoprotein A</t>
  </si>
  <si>
    <t>3-ketoacyl-CoA thiolase, peroxisomal</t>
  </si>
  <si>
    <t>Signal recognition particle 19 kDa protein</t>
  </si>
  <si>
    <t>Glutathione S-transferase A2</t>
  </si>
  <si>
    <t>U1 small nuclear ribonucleoprotein C</t>
  </si>
  <si>
    <t>Villin-1</t>
  </si>
  <si>
    <t>Galectin-1</t>
  </si>
  <si>
    <t>Dihydropteridine reductase</t>
  </si>
  <si>
    <t>High mobility group protein B1</t>
  </si>
  <si>
    <t>Fructose-1,6-bisphosphatase 1</t>
  </si>
  <si>
    <t>Isoform 3 of Tropomyosin alpha-1 chain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</si>
  <si>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</si>
  <si>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</si>
  <si>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</si>
  <si>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</si>
  <si>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Heme oxygenase 1</t>
  </si>
  <si>
    <t>Dihydrolipoyl dehydrogenase, mitochondrial</t>
  </si>
  <si>
    <t>Isoform 2 of Heterogeneous nuclear ribonucleoprotein A1</t>
  </si>
  <si>
    <t>U2 small nuclear ribonucleoprotein A</t>
  </si>
  <si>
    <t>Pro-cathepsin H</t>
  </si>
  <si>
    <t>Complement C1s subcomponent</t>
  </si>
  <si>
    <t>Poly [ADP-ribose] polymerase 1</t>
  </si>
  <si>
    <t>Interferon-induced protein with tetratricopeptide repeats 2</t>
  </si>
  <si>
    <t>Leukotriene A-4 hydrolase</t>
  </si>
  <si>
    <t>Fructose-bisphosphate aldolase C</t>
  </si>
  <si>
    <t>Complement C4-B</t>
  </si>
  <si>
    <t>CDGSH iron-sulfur domain-containing protein 3, mitochondrial</t>
  </si>
  <si>
    <t>Ataxin-1-like</t>
  </si>
  <si>
    <t>Protein ELFN1</t>
  </si>
  <si>
    <t>JmjC domain-containing protein 7</t>
  </si>
  <si>
    <t>Isoform 11 of Myocardial zonula adherens protein</t>
  </si>
  <si>
    <t>Ig lambda-2 chain C regions</t>
  </si>
  <si>
    <t>40S ribosomal protein S17-like</t>
  </si>
  <si>
    <t>Trafficking protein particle complex subunit 2 protein TRAPPC2P1</t>
  </si>
  <si>
    <t>Serum amyloid A-1 protein</t>
  </si>
  <si>
    <t>Adrenodoxin, mitochondrial</t>
  </si>
  <si>
    <t>Non-secretory ribonuclease</t>
  </si>
  <si>
    <t>60 kDa SS-A/Ro ribonucleoprotein</t>
  </si>
  <si>
    <t>Lysosomal alpha-glucosidase</t>
  </si>
  <si>
    <t>Ras-related protein R-Ras</t>
  </si>
  <si>
    <t>Serine/threonine-protein kinase A-Raf</t>
  </si>
  <si>
    <t>Histone H1.4</t>
  </si>
  <si>
    <t>Dihydrolipoyllysine-residue acetyltransferase component of pyruvate dehydrogenase complex, mitochondrial</t>
  </si>
  <si>
    <t>Isoform 2 of Receptor-type tyrosine-protein phosphatase F</t>
  </si>
  <si>
    <t>Nuclear receptor subfamily 2 group F member 6</t>
  </si>
  <si>
    <t>Cytochrome c oxidase subunit 5B, mitochondrial</t>
  </si>
  <si>
    <t>Lysosomal protective protein</t>
  </si>
  <si>
    <t>Cytochrome P450 2C8</t>
  </si>
  <si>
    <t>Cytochrome P450 2D6</t>
  </si>
  <si>
    <t>Complement component C7</t>
  </si>
  <si>
    <t>cAMP-dependent protein kinase type I-alpha regulatory subunit</t>
  </si>
  <si>
    <t>Uroporphyrinogen-III synthase</t>
  </si>
  <si>
    <t>S-formylglutathione hydrolase</t>
  </si>
  <si>
    <t>60 kDa heat shock protein, mitochondrial</t>
  </si>
  <si>
    <t>Isoform 4 of Clusterin</t>
  </si>
  <si>
    <t>78 kDa glucose-regulated protein</t>
  </si>
  <si>
    <t>Laminin subunit gamma-1</t>
  </si>
  <si>
    <t>Heat shock cognate 71 kDa protein</t>
  </si>
  <si>
    <t>Isoform 4 of Protein 4.1</t>
  </si>
  <si>
    <t>Uridine 5-monophosphate synthase</t>
  </si>
  <si>
    <t>Isoform 2 of Pyruvate dehydrogenase E1 component subunit beta, mitochondrial</t>
  </si>
  <si>
    <t>Lipoamide acyltransferase component of branched-chain alpha-keto acid dehydrogenase complex, mitochondrial</t>
  </si>
  <si>
    <t>Glycogen phosphorylase, brain form</t>
  </si>
  <si>
    <t>Mannose-binding protein C</t>
  </si>
  <si>
    <t>Arylamine N-acetyltransferase 2</t>
  </si>
  <si>
    <t>Isoform 2 of Breakpoint cluster region protein</t>
  </si>
  <si>
    <t>Lysosome-associated membrane glycoprotein 1</t>
  </si>
  <si>
    <t>Medium-chain specific acyl-CoA dehydrogenase, mitochondrial</t>
  </si>
  <si>
    <t>DNA topoisomerase 1</t>
  </si>
  <si>
    <t>Glucose-6-phosphate 1-dehydrogenase</t>
  </si>
  <si>
    <t>Ubiquitin-like protein 4A</t>
  </si>
  <si>
    <t>Pyruvate carboxylase, mitochondrial</t>
  </si>
  <si>
    <t>Cytochrome P450 2A6</t>
  </si>
  <si>
    <t>Isoform 2 of Dystrophin</t>
  </si>
  <si>
    <t>C-1-tetrahydrofolate synthase, cytoplasmic</t>
  </si>
  <si>
    <t>Cytochrome P450 2C9</t>
  </si>
  <si>
    <t>Cation-independent mannose-6-phosphate receptor</t>
  </si>
  <si>
    <t>Alcohol dehydrogenase class-3</t>
  </si>
  <si>
    <t>Cyclin-dependent kinase 4</t>
  </si>
  <si>
    <t>Ribose-phosphate pyrophosphokinase 2</t>
  </si>
  <si>
    <t>Polyadenylate-binding protein 1</t>
  </si>
  <si>
    <t>Proliferating cell nuclear antigen</t>
  </si>
  <si>
    <t>Collagen alpha-1(VI) chain</t>
  </si>
  <si>
    <t>Nucleoprotein TPR</t>
  </si>
  <si>
    <t>2-oxoisovalerate dehydrogenase subunit alpha, mitochondrial</t>
  </si>
  <si>
    <t>Eosinophil cationic protein</t>
  </si>
  <si>
    <t>Alpha-actinin-1</t>
  </si>
  <si>
    <t>Proto-oncogene tyrosine-protein kinase Src</t>
  </si>
  <si>
    <t>Xaa-Pro dipeptidase</t>
  </si>
  <si>
    <t>X-ray repair cross-complementing protein 6</t>
  </si>
  <si>
    <t>X-ray repair cross-complementing protein 5</t>
  </si>
  <si>
    <t>Cytochrome c oxidase subunit 4 isoform 1, mitochondrial</t>
  </si>
  <si>
    <t>5-aminolevulinate synthase, nonspecific, mitochondrial</t>
  </si>
  <si>
    <t>Gamma-interferon-inducible lysosomal thiol reductase</t>
  </si>
  <si>
    <t>Lysosome-associated membrane glycoprotein 2</t>
  </si>
  <si>
    <t>Ribonuclease inhibitor</t>
  </si>
  <si>
    <t>Cytochrome b-245 light chain</t>
  </si>
  <si>
    <t>Elongation factor 2</t>
  </si>
  <si>
    <t>Isoform 2 of Metallothionein-1G</t>
  </si>
  <si>
    <t>Metallothionein-1G</t>
  </si>
  <si>
    <t>Keratin, type II cytoskeletal 5</t>
  </si>
  <si>
    <t>Protein disulfide-isomerase A4</t>
  </si>
  <si>
    <t>Complement component C6</t>
  </si>
  <si>
    <t>Isoform 2 of Prolyl 4-hydroxylase subunit alpha-1</t>
  </si>
  <si>
    <t>Translationally-controlled tumor protein</t>
  </si>
  <si>
    <t>Plastin-2</t>
  </si>
  <si>
    <t>Plastin-3</t>
  </si>
  <si>
    <t>Acylamino-acid-releasing enzyme</t>
  </si>
  <si>
    <t>Electron transfer flavoprotein subunit alpha, mitochondrial</t>
  </si>
  <si>
    <t>cAMP-dependent protein kinase type II-alpha regulatory subunit</t>
  </si>
  <si>
    <t>Beta-enolase</t>
  </si>
  <si>
    <t>General transcription factor IIF subunit 2</t>
  </si>
  <si>
    <t>Macrophage migration inhibitory factor</t>
  </si>
  <si>
    <t>Isoform 3 of CD99 antigen</t>
  </si>
  <si>
    <t>Isoform 3 of Hepatocyte growth factor</t>
  </si>
  <si>
    <t>Hematopoietic lineage cell-specific protein</t>
  </si>
  <si>
    <t>Isoform 2 of Farnesyl pyrophosphate synthase</t>
  </si>
  <si>
    <t>Nidogen-1</t>
  </si>
  <si>
    <t>Alcohol dehydrogenase [NADP(+)]</t>
  </si>
  <si>
    <t>Pyruvate kinase isozymes M1/M2</t>
  </si>
  <si>
    <t>Acylphosphatase-2</t>
  </si>
  <si>
    <t>Endoplasmin</t>
  </si>
  <si>
    <t>Myosin light chain 6B</t>
  </si>
  <si>
    <t>Insulin-degrading enzyme</t>
  </si>
  <si>
    <t>Cytochrome c oxidase subunit 6B1</t>
  </si>
  <si>
    <t>Heterogeneous nuclear ribonucleoprotein L</t>
  </si>
  <si>
    <t>Aspartate--tRNA ligase, cytoplasmic</t>
  </si>
  <si>
    <t>D-amino-acid oxidase</t>
  </si>
  <si>
    <t>Junction plakoglobin</t>
  </si>
  <si>
    <t>Glutamine synthetase</t>
  </si>
  <si>
    <t>Aldose reductase</t>
  </si>
  <si>
    <t>Aminopeptidase N</t>
  </si>
  <si>
    <t>Isoform 2 of Eukaryotic peptide chain release factor GTP-binding subunit ERF3A</t>
  </si>
  <si>
    <t>Isoform 2 of Arylsulfatase A</t>
  </si>
  <si>
    <t>Arylsulfatase A</t>
  </si>
  <si>
    <t>Ezrin</t>
  </si>
  <si>
    <t>Isoform 3 of Cyclic AMP-dependent transcription factor ATF-2</t>
  </si>
  <si>
    <t>Ubiquitin carboxyl-terminal hydrolase isozyme L3</t>
  </si>
  <si>
    <t>15-hydroxyprostaglandin dehydrogenase [NAD(+)]</t>
  </si>
  <si>
    <t>Nucleoside diphosphate kinase A</t>
  </si>
  <si>
    <t>Isoform 2 of Phosphorylase b kinase gamma catalytic chain, liver/testis isoform</t>
  </si>
  <si>
    <t>Arylsulfatase B</t>
  </si>
  <si>
    <t>Beta-galactoside alpha-2,6-sialyltransferase 1</t>
  </si>
  <si>
    <t>Desmoplakin</t>
  </si>
  <si>
    <t>Replication protein A 32 kDa subunit</t>
  </si>
  <si>
    <t>Isoform 3 of Aggrecan core protein</t>
  </si>
  <si>
    <t>6-phosphofructo-2-kinase/fructose-2,6-bisphosphatase 1</t>
  </si>
  <si>
    <t>Carbonyl reductase [NADPH] 1</t>
  </si>
  <si>
    <t>Short-chain specific acyl-CoA dehydrogenase, mitochondrial</t>
  </si>
  <si>
    <t>Isoform 3 of Cyclic AMP-responsive element-binding protein 1</t>
  </si>
  <si>
    <t>Isoform 3 of Beta-galactosidase</t>
  </si>
  <si>
    <t>Isoform 3 of Serine/threonine-protein phosphatase 2B catalytic subunit beta isoform</t>
  </si>
  <si>
    <t>Cytoplasmic protein NCK1</t>
  </si>
  <si>
    <t>Isoform 2 of GC-rich sequence DNA-binding factor 2</t>
  </si>
  <si>
    <t>Histone H1.5</t>
  </si>
  <si>
    <t>NADPH--cytochrome P450 reductase</t>
  </si>
  <si>
    <t>Methylated-DNA--protein-cysteine methyltransferase</t>
  </si>
  <si>
    <t>UDP-glucuronosyltransferase 2B7</t>
  </si>
  <si>
    <t>1-phosphatidylinositol 4,5-bisphosphate phosphodiesterase gamma-2</t>
  </si>
  <si>
    <t>Fumarylacetoacetase</t>
  </si>
  <si>
    <t>Stathmin</t>
  </si>
  <si>
    <t>Isoform 2 of Y-box-binding protein 3</t>
  </si>
  <si>
    <t>Zinc finger protein 24</t>
  </si>
  <si>
    <t>Zinc finger protein with KRAB and SCAN domains 1</t>
  </si>
  <si>
    <t>Alpha-N-acetylgalactosaminidase</t>
  </si>
  <si>
    <t>Heat shock 70 kDa protein 6</t>
  </si>
  <si>
    <t>Isoform HMG-Y of High mobility group protein HMG-I/HMG-Y</t>
  </si>
  <si>
    <t>Aspartate aminotransferase, cytoplasmic</t>
  </si>
  <si>
    <t>Isoform UBF2 of Nucleolar transcription factor 1</t>
  </si>
  <si>
    <t>Aldo-keto reductase family 1 member C4</t>
  </si>
  <si>
    <t>Isoform 5 of Cyclic AMP-dependent transcription factor ATF-7</t>
  </si>
  <si>
    <t>cAMP-dependent protein kinase catalytic subunit alpha</t>
  </si>
  <si>
    <t>Calpain-2 catalytic subunit</t>
  </si>
  <si>
    <t>CCAAT/enhancer-binding protein beta</t>
  </si>
  <si>
    <t>Tyrosine aminotransferase</t>
  </si>
  <si>
    <t>CTP synthase 1</t>
  </si>
  <si>
    <t>6-phosphofructokinase, liver type</t>
  </si>
  <si>
    <t>Ganglioside GM2 activator</t>
  </si>
  <si>
    <t>Galectin-3</t>
  </si>
  <si>
    <t>T-complex protein 1 subunit alpha</t>
  </si>
  <si>
    <t>Tyrosine-protein phosphatase non-receptor type 1</t>
  </si>
  <si>
    <t>Arachidonate 12-lipoxygenase, 12S-type</t>
  </si>
  <si>
    <t>Insulin-like growth factor-binding protein 2</t>
  </si>
  <si>
    <t>ADP-ribosylation factor 4</t>
  </si>
  <si>
    <t>Isoform 1 of Vinculin</t>
  </si>
  <si>
    <t>Glutathione peroxidase 2</t>
  </si>
  <si>
    <t>Lipopolysaccharide-binding protein</t>
  </si>
  <si>
    <t>Arylamine N-acetyltransferase 1</t>
  </si>
  <si>
    <t>Isoform 4 of Interleukin-1 receptor antagonist protein</t>
  </si>
  <si>
    <t>Isoform E of Protein SON</t>
  </si>
  <si>
    <t>Negative elongation factor E</t>
  </si>
  <si>
    <t>Phosphoglycerate mutase 1</t>
  </si>
  <si>
    <t>Syndecan-1</t>
  </si>
  <si>
    <t>ATP synthase-coupling factor 6, mitochondrial</t>
  </si>
  <si>
    <t>Myosin regulatory light chain 12A</t>
  </si>
  <si>
    <t>1-phosphatidylinositol 4,5-bisphosphate phosphodiesterase gamma-1</t>
  </si>
  <si>
    <t>Nucleolin</t>
  </si>
  <si>
    <t>Isoform 4 of Hexokinase-1</t>
  </si>
  <si>
    <t>DNA-directed RNA polymerases I, II, and III subunit RPABC1</t>
  </si>
  <si>
    <t>NADH dehydrogenase [ubiquinone] flavoprotein 2, mitochondrial</t>
  </si>
  <si>
    <t>Interferon-induced, double-stranded RNA-activated protein kinase</t>
  </si>
  <si>
    <t>Spermidine synthase</t>
  </si>
  <si>
    <t>Alpha-1-acid glycoprotein 2</t>
  </si>
  <si>
    <t>Casein kinase II subunit alpha</t>
  </si>
  <si>
    <t>Inter-alpha-trypsin inhibitor heavy chain H1</t>
  </si>
  <si>
    <t>Nuclear factor NF-kappa-B p105 subunit</t>
  </si>
  <si>
    <t>Thymidine phosphorylase</t>
  </si>
  <si>
    <t>Eukaryotic translation initiation factor 2 subunit 2</t>
  </si>
  <si>
    <t>L-serine dehydratase/L-threonine deaminase</t>
  </si>
  <si>
    <t>Transcription factor BTF3</t>
  </si>
  <si>
    <t>Ras-related protein Rab-4A</t>
  </si>
  <si>
    <t>Isoform 2 of Ras-related protein Rab-6A</t>
  </si>
  <si>
    <t>DNA mismatch repair protein Msh3</t>
  </si>
  <si>
    <t>Interferon-induced GTP-binding protein Mx1</t>
  </si>
  <si>
    <t>Proteasome subunit beta type-1</t>
  </si>
  <si>
    <t>Cytochrome c oxidase subunit 5A, mitochondrial</t>
  </si>
  <si>
    <t>Lamin-B1</t>
  </si>
  <si>
    <t>Aromatic-L-amino-acid decarboxylase</t>
  </si>
  <si>
    <t>Pregnancy zone protein</t>
  </si>
  <si>
    <t>Isoform 5 of Calpastatin</t>
  </si>
  <si>
    <t>Isoform 6 of Calpastatin</t>
  </si>
  <si>
    <t>Cytochrome P450 2B6</t>
  </si>
  <si>
    <t>Isoform C of Hepatocyte nuclear factor 1-alpha</t>
  </si>
  <si>
    <t>N(4)-(beta-N-acetylglucosaminyl)-L-asparaginase</t>
  </si>
  <si>
    <t>Isoform 2 of Ras GTPase-activating protein 1</t>
  </si>
  <si>
    <t>Parathymosin</t>
  </si>
  <si>
    <t>Isoform 8 of Cyclin-dependent kinase 11B</t>
  </si>
  <si>
    <t>Glutathione S-transferase Mu 3</t>
  </si>
  <si>
    <t>V-type proton ATPase subunit B, brain isoform</t>
  </si>
  <si>
    <t>V-type proton ATPase subunit C 1</t>
  </si>
  <si>
    <t>Cysteine and glycine-rich protein 1</t>
  </si>
  <si>
    <t>Isoform 2 of Amine oxidase [flavin-containing] A</t>
  </si>
  <si>
    <t>Cytoplasmic aconitate hydratase</t>
  </si>
  <si>
    <t>Serine--pyruvate aminotransferase</t>
  </si>
  <si>
    <t>Tumor necrosis factor alpha-induced protein 3</t>
  </si>
  <si>
    <t>Isoform 2 of 5-nucleotidase</t>
  </si>
  <si>
    <t>Isoform 2 of Glycerol-3-phosphate dehydrogenase [NAD(+)], cytoplasmic</t>
  </si>
  <si>
    <t>Succinate dehydrogenase [ubiquinone] iron-sulfur subunit, mitochondrial</t>
  </si>
  <si>
    <t>2-oxoisovalerate dehydrogenase subunit beta, mitochondrial</t>
  </si>
  <si>
    <t>Isoform Soluble of Catechol O-methyltransferase</t>
  </si>
  <si>
    <t>Protein-glutamine gamma-glutamyltransferase 2</t>
  </si>
  <si>
    <t>Methylmalonyl-CoA mutase, mitochondrial</t>
  </si>
  <si>
    <t>Oxysterol-binding protein 1</t>
  </si>
  <si>
    <t>Protein-L-isoaspartate(D-aspartate) O-methyltransferase</t>
  </si>
  <si>
    <t>Trifunctional purine biosynthetic protein adenosine-3</t>
  </si>
  <si>
    <t>Multifunctional protein ADE2</t>
  </si>
  <si>
    <t>Isoform SCP2 of Non-specific lipid-transfer protein</t>
  </si>
  <si>
    <t>Non-specific lipid-transfer protein</t>
  </si>
  <si>
    <t>UDP-glucuronosyltransferase 1-4</t>
  </si>
  <si>
    <t>Ubiquitin-like modifier-activating enzyme 1</t>
  </si>
  <si>
    <t>Glutathione peroxidase 3</t>
  </si>
  <si>
    <t>Isoform 3 of Nucleoside diphosphate kinase B</t>
  </si>
  <si>
    <t>NADPH:adrenodoxin oxidoreductase, mitochondrial</t>
  </si>
  <si>
    <t>Heterogeneous nuclear ribonucleoproteins A2/B1</t>
  </si>
  <si>
    <t>Isoform 4 of cAMP-dependent protein kinase catalytic subunit beta</t>
  </si>
  <si>
    <t>Ferrochelatase, mitochondrial</t>
  </si>
  <si>
    <t>Liver carboxylesterase 1</t>
  </si>
  <si>
    <t>Isoform B of Fibulin-1</t>
  </si>
  <si>
    <t>Transcription elongation factor A protein 1</t>
  </si>
  <si>
    <t>Splicing factor, proline- and glutamine-rich</t>
  </si>
  <si>
    <t>Peptidyl-prolyl cis-trans isomerase B</t>
  </si>
  <si>
    <t>NAD-dependent malic enzyme, mitochondrial</t>
  </si>
  <si>
    <t>Glycine dehydrogenase [decarboxylating], mitochondrial</t>
  </si>
  <si>
    <t>Tryptophan--tRNA ligase, cytoplasmic</t>
  </si>
  <si>
    <t>40S ribosomal protein S3</t>
  </si>
  <si>
    <t>Myogenic factor 6</t>
  </si>
  <si>
    <t>Glycine cleavage system H protein, mitochondrial</t>
  </si>
  <si>
    <t>Nuclear autoantigen Sp-100</t>
  </si>
  <si>
    <t>Isoform 2 of Colorectal mutant cancer protein</t>
  </si>
  <si>
    <t>Adenosylhomocysteinase</t>
  </si>
  <si>
    <t>Cofilin-1</t>
  </si>
  <si>
    <t>Eukaryotic translation initiation factor 4B</t>
  </si>
  <si>
    <t>Factor VIII intron 22 protein</t>
  </si>
  <si>
    <t>Carnitine O-palmitoyltransferase 2, mitochondrial</t>
  </si>
  <si>
    <t>Thymidylate kinase</t>
  </si>
  <si>
    <t>Ribonucleoside-diphosphate reductase large subunit</t>
  </si>
  <si>
    <t>Myeloblastin</t>
  </si>
  <si>
    <t>Alanine aminotransferase 1</t>
  </si>
  <si>
    <t>G1/S-specific cyclin-D1</t>
  </si>
  <si>
    <t>Elongation factor 1-beta</t>
  </si>
  <si>
    <t>Low molecular weight phosphotyrosine protein phosphatase</t>
  </si>
  <si>
    <t>Acetyl-CoA acetyltransferase, mitochondrial</t>
  </si>
  <si>
    <t>DNA-directed RNA polymerase II subunit RPB1</t>
  </si>
  <si>
    <t>Cyclin-dependent kinase 2</t>
  </si>
  <si>
    <t>Beta-adrenergic receptor kinase 1</t>
  </si>
  <si>
    <t>DNA replication licensing factor MCM3</t>
  </si>
  <si>
    <t>Zinc-alpha-2-glycoprotein</t>
  </si>
  <si>
    <t>40S ribosomal protein S12</t>
  </si>
  <si>
    <t>Bromodomain-containing protein 2</t>
  </si>
  <si>
    <t>DnaJ homolog subfamily B member 1</t>
  </si>
  <si>
    <t>DnaJ homolog subfamily B member 2</t>
  </si>
  <si>
    <t>ATP synthase subunit alpha, mitochondrial</t>
  </si>
  <si>
    <t>Cathepsin S</t>
  </si>
  <si>
    <t>Proteasome subunit alpha type-1</t>
  </si>
  <si>
    <t>Proteasome subunit alpha type-2</t>
  </si>
  <si>
    <t>Isoform 2 of Proteasome subunit alpha type-3</t>
  </si>
  <si>
    <t>Proteasome subunit alpha type-4</t>
  </si>
  <si>
    <t>Protein S100-P</t>
  </si>
  <si>
    <t>Moesin</t>
  </si>
  <si>
    <t>Probable ATP-dependent RNA helicase DDX6</t>
  </si>
  <si>
    <t>DNA (cytosine-5)-methyltransferase 1</t>
  </si>
  <si>
    <t>Isoform 2 of Splicing factor U2AF 65 kDa subunit</t>
  </si>
  <si>
    <t>60S ribosomal protein L13</t>
  </si>
  <si>
    <t>Isovaleryl-CoA dehydrogenase, mitochondrial</t>
  </si>
  <si>
    <t>Protein S100-A4</t>
  </si>
  <si>
    <t>High mobility group protein B2</t>
  </si>
  <si>
    <t>Polypyrimidine tract-binding protein 1</t>
  </si>
  <si>
    <t>Threonine--tRNA ligase, cytoplasmic</t>
  </si>
  <si>
    <t>Valine--tRNA ligase</t>
  </si>
  <si>
    <t>Elongation factor 1-gamma</t>
  </si>
  <si>
    <t>Tristetraprolin</t>
  </si>
  <si>
    <t>Peptidyl-prolyl cis-trans isomerase FKBP2</t>
  </si>
  <si>
    <t>Hepatocyte growth factor-like protein</t>
  </si>
  <si>
    <t>GTP:AMP phosphotransferase AK4, mitochondrial</t>
  </si>
  <si>
    <t>Serum paraoxonase/arylesterase 1</t>
  </si>
  <si>
    <t>14-3-3 protein theta</t>
  </si>
  <si>
    <t>Isoform 2 of Aryl hydrocarbon receptor nuclear translocator</t>
  </si>
  <si>
    <t>Replication protein A 70 kDa DNA-binding subunit</t>
  </si>
  <si>
    <t>DNA-(apurinic or apyrimidinic site) lyase</t>
  </si>
  <si>
    <t>Calreticulin</t>
  </si>
  <si>
    <t>Microtubule-associated protein 4</t>
  </si>
  <si>
    <t>Calnexin</t>
  </si>
  <si>
    <t>Phosphatidylinositol 3-kinase regulatory subunit alpha</t>
  </si>
  <si>
    <t>Isoform 2 of Proteasome subunit beta type-8</t>
  </si>
  <si>
    <t>Proteasome subunit alpha type-5</t>
  </si>
  <si>
    <t>Proteasome subunit beta type-4</t>
  </si>
  <si>
    <t>Proteasome subunit beta type-6</t>
  </si>
  <si>
    <t>Proteasome subunit beta type-5</t>
  </si>
  <si>
    <t>Long-chain specific acyl-CoA dehydrogenase, mitochondrial</t>
  </si>
  <si>
    <t>NADH-ubiquinone oxidoreductase 75 kDa subunit, mitochondrial</t>
  </si>
  <si>
    <t>Alcohol dehydrogenase 6</t>
  </si>
  <si>
    <t>DNA polymerase delta catalytic subunit</t>
  </si>
  <si>
    <t>Mitogen-activated protein kinase 1</t>
  </si>
  <si>
    <t>DNA repair protein complementing XP-G cells</t>
  </si>
  <si>
    <t>Granulins</t>
  </si>
  <si>
    <t>Isoform 2 of Cytosol aminopeptidase</t>
  </si>
  <si>
    <t>Corticosteroid 11-beta-dehydrogenase isozyme 1</t>
  </si>
  <si>
    <t>General transcription factor IIE subunit 1</t>
  </si>
  <si>
    <t>Transcription initiation factor IIE subunit beta</t>
  </si>
  <si>
    <t>Tripeptidyl-peptidase 2</t>
  </si>
  <si>
    <t>Inositol monophosphatase 1</t>
  </si>
  <si>
    <t>Tyrosine-protein phosphatase non-receptor type 6</t>
  </si>
  <si>
    <t>Isoform 7 of SHC-transforming protein 1</t>
  </si>
  <si>
    <t>Isoform 4 of DNA-3-methyladenine glycosylase</t>
  </si>
  <si>
    <t>Isoform III of AT-rich interactive domain-containing protein 4A</t>
  </si>
  <si>
    <t>Transketolase</t>
  </si>
  <si>
    <t>Protein PML</t>
  </si>
  <si>
    <t>Isoform 3 of Elongation factor 1-delta</t>
  </si>
  <si>
    <t>Myristoylated alanine-rich C-kinase substrate</t>
  </si>
  <si>
    <t>Delta-1-pyrroline-5-carboxylate dehydrogenase, mitochondrial</t>
  </si>
  <si>
    <t>Phenazine biosynthesis-like domain-containing protein</t>
  </si>
  <si>
    <t>Endoplasmic reticulum resident protein 29</t>
  </si>
  <si>
    <t>Peroxiredoxin-6</t>
  </si>
  <si>
    <t>ES1 protein homolog, mitochondrial</t>
  </si>
  <si>
    <t>Flavin reductase (NADPH)</t>
  </si>
  <si>
    <t>Isoform Cytoplasmic+peroxisomal of Peroxiredoxin-5, mitochondrial</t>
  </si>
  <si>
    <t>D-dopachrome decarboxylase</t>
  </si>
  <si>
    <t>GTP cyclohydrolase 1 feedback regulatory protein</t>
  </si>
  <si>
    <t>ATP synthase subunit delta, mitochondrial</t>
  </si>
  <si>
    <t>60S ribosomal protein L12</t>
  </si>
  <si>
    <t>Enoyl-CoA hydratase, mitochondrial</t>
  </si>
  <si>
    <t>UMP-CMP kinase</t>
  </si>
  <si>
    <t>Phosphatidylethanolamine-binding protein 1</t>
  </si>
  <si>
    <t>Serine/threonine-protein phosphatase 2A 65 kDa regulatory subunit A alpha isoform</t>
  </si>
  <si>
    <t>Serine/threonine-protein phosphatase 2A 65 kDa regulatory subunit A beta isoform</t>
  </si>
  <si>
    <t>Peptidyl-prolyl cis-trans isomerase F, mitochondrial</t>
  </si>
  <si>
    <t>Glycylpeptide N-tetradecanoyltransferase 1</t>
  </si>
  <si>
    <t>Heme oxygenase 2</t>
  </si>
  <si>
    <t>Adenylosuccinate synthetase isozyme 2</t>
  </si>
  <si>
    <t>Alpha-2-macroglobulin receptor-associated protein</t>
  </si>
  <si>
    <t>Adenylosuccinate lyase</t>
  </si>
  <si>
    <t>Isoform L-type of Pyruvate kinase isozymes R/L</t>
  </si>
  <si>
    <t>Isoform 3 of CAP-Gly domain-containing linker protein 1</t>
  </si>
  <si>
    <t>Glutathione S-transferase theta-1</t>
  </si>
  <si>
    <t>Leukocyte elastase inhibitor</t>
  </si>
  <si>
    <t>GTP cyclohydrolase 1</t>
  </si>
  <si>
    <t>Aldehyde dehydrogenase X, mitochondrial</t>
  </si>
  <si>
    <t>Succinate dehydrogenase [ubiquinone] flavoprotein subunit, mitochondrial</t>
  </si>
  <si>
    <t>Coronin-1A</t>
  </si>
  <si>
    <t>Rab GDP dissociation inhibitor alpha</t>
  </si>
  <si>
    <t>S-adenosylmethionine synthase isoform type-2</t>
  </si>
  <si>
    <t>cAMP-dependent protein kinase type I-beta regulatory subunit</t>
  </si>
  <si>
    <t>Isoform 2 of Carbamoyl-phosphate synthase [ammonia], mitochondrial</t>
  </si>
  <si>
    <t>Carbamoyl-phosphate synthase [ammonia], mitochondrial</t>
  </si>
  <si>
    <t>Ribonucleoside-diphosphate reductase subunit M2</t>
  </si>
  <si>
    <t>Dimethylaniline monooxygenase [N-oxide-forming] 3</t>
  </si>
  <si>
    <t>DnaJ homolog subfamily A member 1</t>
  </si>
  <si>
    <t>RAC-alpha serine/threonine-protein kinase</t>
  </si>
  <si>
    <t>RAC-beta serine/threonine-protein kinase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</si>
  <si>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</si>
  <si>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</si>
  <si>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</si>
  <si>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</si>
  <si>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Caspase-14</t>
  </si>
  <si>
    <t>Isoform Short of 14-3-3 protein beta/alpha</t>
  </si>
  <si>
    <t>Isoform 2 of 14-3-3 protein sigma</t>
  </si>
  <si>
    <t>Stress-induced-phosphoprotein 1</t>
  </si>
  <si>
    <t>Protein S100-A11</t>
  </si>
  <si>
    <t>Peroxiredoxin-2</t>
  </si>
  <si>
    <t>Isoform 5 of Beta-arrestin-2</t>
  </si>
  <si>
    <t>Isoform 1 of Glycerol kinase</t>
  </si>
  <si>
    <t>Cytidine deaminase</t>
  </si>
  <si>
    <t>Deoxycytidylate deaminase</t>
  </si>
  <si>
    <t>Interferon-induced guanylate-binding protein 1</t>
  </si>
  <si>
    <t>Interferon-induced guanylate-binding protein 2</t>
  </si>
  <si>
    <t>Isoform 2 of ETS-related transcription factor Elf-1</t>
  </si>
  <si>
    <t>Isoform 2 of 4-hydroxyphenylpyruvate dioxygenase</t>
  </si>
  <si>
    <t>4-hydroxyphenylpyruvate dioxygenase</t>
  </si>
  <si>
    <t>Cystathionine gamma-lyase</t>
  </si>
  <si>
    <t>Long-chain-fatty-acid--CoA ligase 1</t>
  </si>
  <si>
    <t>Kinesin-1 heavy chain</t>
  </si>
  <si>
    <t>Isoform 2 of Cleavage stimulation factor subunit 2</t>
  </si>
  <si>
    <t>Lymphocyte-specific protein 1</t>
  </si>
  <si>
    <t>Cytochrome P450 2C19</t>
  </si>
  <si>
    <t>Isoform 2 of Deoxyuridine 5-triphosphate nucleotidohydrolase, mitochondrial</t>
  </si>
  <si>
    <t>Deoxyuridine 5-triphosphate nucleotidohydrolase, mitochondrial</t>
  </si>
  <si>
    <t>Mannosyl-oligosaccharide 1,2-alpha-mannosidase IA</t>
  </si>
  <si>
    <t>DNA replication licensing factor MCM4</t>
  </si>
  <si>
    <t>DNA replication licensing factor MCM5</t>
  </si>
  <si>
    <t>DNA replication licensing factor MCM7</t>
  </si>
  <si>
    <t>N-acetylgalactosamine-6-sulfatase</t>
  </si>
  <si>
    <t>Ribonuclease 4</t>
  </si>
  <si>
    <t>Serine hydroxymethyltransferase, cytosolic</t>
  </si>
  <si>
    <t>Isoform 3 of Serine hydroxymethyltransferase, mitochondrial</t>
  </si>
  <si>
    <t>Bifunctional epoxide hydrolase 2</t>
  </si>
  <si>
    <t>Heat shock 70 kDa protein 1-like</t>
  </si>
  <si>
    <t>Heat shock 70 kDa protein 4</t>
  </si>
  <si>
    <t>Isoform B of Trypsin-3</t>
  </si>
  <si>
    <t>Carbonic anhydrase 5A, mitochondrial</t>
  </si>
  <si>
    <t>Catenin alpha-1</t>
  </si>
  <si>
    <t>Serpin B6</t>
  </si>
  <si>
    <t>Radixin</t>
  </si>
  <si>
    <t>Isoform 2 of Replication factor C subunit 1</t>
  </si>
  <si>
    <t>60S ribosomal protein L22</t>
  </si>
  <si>
    <t>General transcription factor IIF subunit 1</t>
  </si>
  <si>
    <t>Sepiapterin reductase</t>
  </si>
  <si>
    <t>Cystathionine beta-synthase</t>
  </si>
  <si>
    <t>Serum amyloid A-4 protein</t>
  </si>
  <si>
    <t>Fibrillin-1</t>
  </si>
  <si>
    <t>Phosphoenolpyruvate carboxykinase, cytosolic [GTP]</t>
  </si>
  <si>
    <t>Insulin receptor substrate 1</t>
  </si>
  <si>
    <t>Glycogen debranching enzyme</t>
  </si>
  <si>
    <t>Myosin-9</t>
  </si>
  <si>
    <t>Myosin-10</t>
  </si>
  <si>
    <t>Coatomer subunit beta</t>
  </si>
  <si>
    <t>Isoform 2 of Alpha-adducin</t>
  </si>
  <si>
    <t>Isoform Short of RNA-binding protein FUS</t>
  </si>
  <si>
    <t>Isoform 2 of Nuclear pore complex protein Nup214</t>
  </si>
  <si>
    <t>Protein DEK</t>
  </si>
  <si>
    <t>Isoform 4 of Myosin-11</t>
  </si>
  <si>
    <t>Glutaredoxin-1</t>
  </si>
  <si>
    <t>Isoform 2 of Choline kinase alpha</t>
  </si>
  <si>
    <t>Protein phosphatase 1A</t>
  </si>
  <si>
    <t>Insulin-like growth factor-binding protein complex acid labile subunit</t>
  </si>
  <si>
    <t>Hydroxymethylglutaryl-CoA lyase, mitochondrial</t>
  </si>
  <si>
    <t>26S protease regulatory subunit 7</t>
  </si>
  <si>
    <t>ADP-ribosylation factor-like protein 2</t>
  </si>
  <si>
    <t>ADP-ribosylation factor-like protein 3</t>
  </si>
  <si>
    <t>Dual specificity mitogen-activated protein kinase kinase 2</t>
  </si>
  <si>
    <t>V-type proton ATPase subunit E 1</t>
  </si>
  <si>
    <t>Coproporphyrinogen-III oxidase, mitochondrial</t>
  </si>
  <si>
    <t>60S ribosomal protein L4</t>
  </si>
  <si>
    <t>Isoform p18 of 7,8-dihydro-8-oxoguanine triphosphatase</t>
  </si>
  <si>
    <t>Phosphoglucomutase-1</t>
  </si>
  <si>
    <t>Guanine nucleotide-binding protein-like 1</t>
  </si>
  <si>
    <t>Pigment epithelium-derived factor</t>
  </si>
  <si>
    <t>Dihydrolipoyllysine-residue succinyltransferase component of 2-oxoglutarate dehydrogenase complex, mitochondrial</t>
  </si>
  <si>
    <t>GMP reductase 1</t>
  </si>
  <si>
    <t>Isoform Cytoplasmic of Phospholipid hydroperoxide glutathione peroxidase, mitochondrial</t>
  </si>
  <si>
    <t>Isoform Short of Complement factor H-related protein 2</t>
  </si>
  <si>
    <t>Estradiol 17-beta-dehydrogenase 2</t>
  </si>
  <si>
    <t>Signal recognition particle 14 kDa protein</t>
  </si>
  <si>
    <t>Nuclear pore glycoprotein p62</t>
  </si>
  <si>
    <t>Hippocalcin-like protein 1</t>
  </si>
  <si>
    <t>Transgelin-2</t>
  </si>
  <si>
    <t>Transaldolase</t>
  </si>
  <si>
    <t>Electron transfer flavoprotein subunit beta</t>
  </si>
  <si>
    <t>RNA-binding motif protein, X chromosome</t>
  </si>
  <si>
    <t>Coilin</t>
  </si>
  <si>
    <t>V-type proton ATPase catalytic subunit A</t>
  </si>
  <si>
    <t>Stress-70 protein, mitochondrial</t>
  </si>
  <si>
    <t>Eukaryotic initiation factor 4A-III</t>
  </si>
  <si>
    <t>Acidic leucine-rich nuclear phosphoprotein 32 family member A</t>
  </si>
  <si>
    <t>Flap endonuclease 1</t>
  </si>
  <si>
    <t>Adenylyl cyclase-associated protein 2</t>
  </si>
  <si>
    <t>Alpha-taxilin</t>
  </si>
  <si>
    <t>T-complex protein 1 subunit zeta</t>
  </si>
  <si>
    <t>Nicotinamide N-methyltransferase</t>
  </si>
  <si>
    <t>Proteasome subunit beta type-10</t>
  </si>
  <si>
    <t>Alcohol dehydrogenase class 4 mu/sigma chain</t>
  </si>
  <si>
    <t>Isoform Del-701 of Signal transducer and activator of transcription 3</t>
  </si>
  <si>
    <t>Signal transducer and activator of transcription 3</t>
  </si>
  <si>
    <t>Ubiquitin carboxyl-terminal hydrolase 8</t>
  </si>
  <si>
    <t>Malate dehydrogenase, cytoplasmic</t>
  </si>
  <si>
    <t>Malate dehydrogenase, mitochondrial</t>
  </si>
  <si>
    <t>Trifunctional enzyme subunit alpha, mitochondrial</t>
  </si>
  <si>
    <t>Eukaryotic translation initiation factor 2 subunit 3</t>
  </si>
  <si>
    <t>Centrin-2</t>
  </si>
  <si>
    <t>Protein BUD31 homolog</t>
  </si>
  <si>
    <t>Ubiquitin-like modifier-activating enzyme 7</t>
  </si>
  <si>
    <t>Isoform 2 of N-alpha-acetyltransferase 10</t>
  </si>
  <si>
    <t>Isoform HNF4-Alpha-9 of Hepatocyte nuclear factor 4-alpha</t>
  </si>
  <si>
    <t>Protein phosphatase inhibitor 2</t>
  </si>
  <si>
    <t>Tyrosine-protein kinase CSK</t>
  </si>
  <si>
    <t>Glycine--tRNA ligase</t>
  </si>
  <si>
    <t>Isoleucine--tRNA ligase, cytoplasmic</t>
  </si>
  <si>
    <t>Eukaryotic translation initiation factor 1</t>
  </si>
  <si>
    <t>Protein kinase C iota type</t>
  </si>
  <si>
    <t>Beta-centractin</t>
  </si>
  <si>
    <t>Isoform 2 of Enoyl-CoA delta isomerase 1, mitochondrial</t>
  </si>
  <si>
    <t>Lamina-associated polypeptide 2, isoform alpha</t>
  </si>
  <si>
    <t>Lamina-associated polypeptide 2, isoforms beta/gamma</t>
  </si>
  <si>
    <t>Signal transducer and activator of transcription 1-alpha/beta</t>
  </si>
  <si>
    <t>Signal transducer and activator of transcription 6</t>
  </si>
  <si>
    <t>Superkiller viralicidic activity 2-like 2</t>
  </si>
  <si>
    <t>Aldo-keto reductase family 1 member C3</t>
  </si>
  <si>
    <t>Phosphatidylinositol 4,5-bisphosphate 3-kinase catalytic subunit alpha isoform</t>
  </si>
  <si>
    <t>Phosphatidylinositol 4,5-bisphosphate 3-kinase catalytic subunit beta isoform</t>
  </si>
  <si>
    <t>Serine/threonine-protein kinase mTOR</t>
  </si>
  <si>
    <t>Phosphatidylinositol 4-kinase alpha</t>
  </si>
  <si>
    <t>Histidine ammonia-lyase</t>
  </si>
  <si>
    <t>Epidermal growth factor receptor substrate 15</t>
  </si>
  <si>
    <t>Caspase-3</t>
  </si>
  <si>
    <t>Leucine-rich PPR motif-containing protein, mitochondrial</t>
  </si>
  <si>
    <t>3-ketoacyl-CoA thiolase, mitochondrial</t>
  </si>
  <si>
    <t>Wiskott-Aldrich syndrome protein</t>
  </si>
  <si>
    <t>Cyclin-dependent kinase 4 inhibitor C</t>
  </si>
  <si>
    <t>Lysosomal Pro-X carboxypeptidase</t>
  </si>
  <si>
    <t>Huntingtin</t>
  </si>
  <si>
    <t>Methylenetetrahydrofolate reductase</t>
  </si>
  <si>
    <t>Platelet-activating factor acetylhydrolase IB subunit alpha</t>
  </si>
  <si>
    <t>Isoform 2 of Carnitine O-acetyltransferase</t>
  </si>
  <si>
    <t>DNA mismatch repair protein Msh2</t>
  </si>
  <si>
    <t>Ran-specific GTPase-activating protein</t>
  </si>
  <si>
    <t>Nicotinamide phosphoribosyltransferase</t>
  </si>
  <si>
    <t>Afamin</t>
  </si>
  <si>
    <t>26S protease regulatory subunit 6B</t>
  </si>
  <si>
    <t>Transcription factor GATA-4</t>
  </si>
  <si>
    <t>Elongation factor Ts, mitochondrial</t>
  </si>
  <si>
    <t>Aspartoacylase</t>
  </si>
  <si>
    <t>Peptidyl-prolyl cis-trans isomerase C</t>
  </si>
  <si>
    <t>Short/branched chain specific acyl-CoA dehydrogenase, mitochondrial</t>
  </si>
  <si>
    <t>Chromobox protein homolog 5</t>
  </si>
  <si>
    <t>Isoform Short of Ubiquitin carboxyl-terminal hydrolase 5</t>
  </si>
  <si>
    <t>Isoform 3 of Mitogen-activated protein kinase 8</t>
  </si>
  <si>
    <t>Isoform Alpha-1 of Mitogen-activated protein kinase 9</t>
  </si>
  <si>
    <t>Dual specificity mitogen-activated protein kinase kinase 4</t>
  </si>
  <si>
    <t>Isoform Short of Antigen KI-67</t>
  </si>
  <si>
    <t>Phosphorylase b kinase regulatory subunit alpha, liver isoform</t>
  </si>
  <si>
    <t>Ran GTPase-activating protein 1</t>
  </si>
  <si>
    <t>ATP-dependent DNA helicase Q1</t>
  </si>
  <si>
    <t>Isoform 2 of Putative ribosomal RNA methyltransferase NOP2</t>
  </si>
  <si>
    <t>Isoform 1 of Transcriptional regulator ATRX</t>
  </si>
  <si>
    <t>Adapter molecule crk</t>
  </si>
  <si>
    <t>Crk-like protein</t>
  </si>
  <si>
    <t>Translation initiation factor IF-2, mitochondrial</t>
  </si>
  <si>
    <t>Cyclin-dependent kinase inhibitor 1B</t>
  </si>
  <si>
    <t>Isoform 1 of Dual specificity mitogen-activated protein kinase kinase 3</t>
  </si>
  <si>
    <t>Isoform 1 of Lys-63-specific deubiquitinase BRCC36</t>
  </si>
  <si>
    <t>60S ribosomal protein L5</t>
  </si>
  <si>
    <t>Isoform 4 of 60S ribosomal protein L28</t>
  </si>
  <si>
    <t>40S ribosomal protein S9</t>
  </si>
  <si>
    <t>40S ribosomal protein S10</t>
  </si>
  <si>
    <t>Glucosamine-6-phosphate isomerase 1</t>
  </si>
  <si>
    <t>Isoform 4 of E3 ubiquitin-protein ligase NEDD4</t>
  </si>
  <si>
    <t>Yorkie homolog</t>
  </si>
  <si>
    <t>Utrophin</t>
  </si>
  <si>
    <t>Ras GTPase-activating-like protein IQGAP1</t>
  </si>
  <si>
    <t>3-hydroxyanthranilate 3,4-dioxygenase</t>
  </si>
  <si>
    <t>Isoform GN-1 of Glycogenin-1</t>
  </si>
  <si>
    <t>Guanine nucleotide exchange factor MSS4</t>
  </si>
  <si>
    <t>F-actin-capping protein subunit alpha-2</t>
  </si>
  <si>
    <t>Eukaryotic translation initiation factor 1A, X-chromosomal</t>
  </si>
  <si>
    <t>Glutamine--tRNA ligase</t>
  </si>
  <si>
    <t>60S ribosomal protein L29</t>
  </si>
  <si>
    <t>Cytochrome b-c1 complex subunit Rieske, mitochondrial</t>
  </si>
  <si>
    <t>Xanthine dehydrogenase/oxidase</t>
  </si>
  <si>
    <t>ATP synthase subunit O, mitochondrial</t>
  </si>
  <si>
    <t>LIM and senescent cell antigen-like-containing domain protein 1</t>
  </si>
  <si>
    <t>Prolyl endopeptidase</t>
  </si>
  <si>
    <t>NADP-dependent malic enzyme</t>
  </si>
  <si>
    <t>Iron-responsive element-binding protein 2</t>
  </si>
  <si>
    <t>Coatomer subunit delta</t>
  </si>
  <si>
    <t>Isoform 3 of Lanosterol synthase</t>
  </si>
  <si>
    <t>Glutamate--cysteine ligase catalytic subunit</t>
  </si>
  <si>
    <t>Glutamate--cysteine ligase regulatory subunit</t>
  </si>
  <si>
    <t>Trafficking protein particle complex subunit 10</t>
  </si>
  <si>
    <t>Protein PRRC2A</t>
  </si>
  <si>
    <t>Glutathione synthetase</t>
  </si>
  <si>
    <t>T-complex protein 1 subunit epsilon</t>
  </si>
  <si>
    <t>Keratin, type II cytoskeletal 6C</t>
  </si>
  <si>
    <t>Aminomethyltransferase, mitochondrial</t>
  </si>
  <si>
    <t>Isocitrate dehydrogenase [NADP], mitochondrial</t>
  </si>
  <si>
    <t>Phosphatidylinositol transfer protein beta isoform</t>
  </si>
  <si>
    <t>Mannan-binding lectin serine protease 1</t>
  </si>
  <si>
    <t>Tryptophan 2,3-dioxygenase</t>
  </si>
  <si>
    <t>DNA polymerase delta subunit 2</t>
  </si>
  <si>
    <t>MARCKS-related protein</t>
  </si>
  <si>
    <t>Isoform Alpha of Paxillin</t>
  </si>
  <si>
    <t>Nuclear receptor subfamily 2 group C member 2</t>
  </si>
  <si>
    <t>4-trimethylaminobutyraldehyde dehydrogenase</t>
  </si>
  <si>
    <t>Ribose-5-phosphate isomerase</t>
  </si>
  <si>
    <t>Protein ERGIC-53</t>
  </si>
  <si>
    <t>Nuclear autoantigenic sperm protein</t>
  </si>
  <si>
    <t>Dimethylaniline monooxygenase [N-oxide-forming] 5</t>
  </si>
  <si>
    <t>Fatty acid synthase</t>
  </si>
  <si>
    <t>Protein farnesyltransferase/geranylgeranyltransferase type-1 subunit alpha</t>
  </si>
  <si>
    <t>Protein farnesyltransferase subunit beta</t>
  </si>
  <si>
    <t>Deoxyhypusine synthase</t>
  </si>
  <si>
    <t>T-complex protein 1 subunit gamma</t>
  </si>
  <si>
    <t>Isoform 1B of Beta-arrestin-1</t>
  </si>
  <si>
    <t>Elongation factor Tu, mitochondrial</t>
  </si>
  <si>
    <t>Isoform 2 of Alpha-aminoadipic semialdehyde dehydrogenase</t>
  </si>
  <si>
    <t>Ubiquitin-conjugating enzyme E2 R1</t>
  </si>
  <si>
    <t>Inositol polyphosphate 1-phosphatase</t>
  </si>
  <si>
    <t>Glutamate dehydrogenase 2, mitochondrial</t>
  </si>
  <si>
    <t>Signal recognition particle 9 kDa protein</t>
  </si>
  <si>
    <t>Ubiquitin-conjugating enzyme E2 A</t>
  </si>
  <si>
    <t>Choline-phosphate cytidylyltransferase A</t>
  </si>
  <si>
    <t>Alanine--tRNA ligase, cytoplasmic</t>
  </si>
  <si>
    <t>Isoform 3 of Cysteine--tRNA ligase, cytoplasmic</t>
  </si>
  <si>
    <t>Probable histidine--tRNA ligase, mitochondrial</t>
  </si>
  <si>
    <t>Serine--tRNA ligase, cytoplasmic</t>
  </si>
  <si>
    <t>Alpha-tocopherol transfer protein</t>
  </si>
  <si>
    <t>Isoform 2 of Caspase-4</t>
  </si>
  <si>
    <t>Casein kinase I isoform epsilon</t>
  </si>
  <si>
    <t>Proteasome subunit beta type-3</t>
  </si>
  <si>
    <t>Proteasome subunit beta type-2</t>
  </si>
  <si>
    <t>DNA replication licensing factor MCM2</t>
  </si>
  <si>
    <t>Very long-chain specific acyl-CoA dehydrogenase, mitochondrial</t>
  </si>
  <si>
    <t>Isoform 4 of YLP motif-containing protein 1</t>
  </si>
  <si>
    <t>Acyl-coenzyme A thioesterase 2, mitochondrial</t>
  </si>
  <si>
    <t>Transmembrane emp24 domain-containing protein 10</t>
  </si>
  <si>
    <t>RNA-binding protein 25</t>
  </si>
  <si>
    <t>Isoform 3 of Protein numb homolog</t>
  </si>
  <si>
    <t>Translation initiation factor eIF-2B subunit beta</t>
  </si>
  <si>
    <t>Histidine triad nucleotide-binding protein 1</t>
  </si>
  <si>
    <t>Bis(5-adenosyl)-triphosphatase</t>
  </si>
  <si>
    <t>Nuclear pore complex protein Nup153</t>
  </si>
  <si>
    <t>E3 SUMO-protein ligase RanBP2</t>
  </si>
  <si>
    <t>Isoform 2 of NADH dehydrogenase [ubiquinone] flavoprotein 1, mitochondrial</t>
  </si>
  <si>
    <t>Glycogen synthase kinase-3 alpha</t>
  </si>
  <si>
    <t>Glycogen synthase kinase-3 beta</t>
  </si>
  <si>
    <t>Estrogen sulfotransferase</t>
  </si>
  <si>
    <t>Cytosolic purine 5-nucleotidase</t>
  </si>
  <si>
    <t>Selenide, water dikinase 1</t>
  </si>
  <si>
    <t>5-formyltetrahydrofolate cyclo-ligase</t>
  </si>
  <si>
    <t>Double-strand break repair protein MRE11A</t>
  </si>
  <si>
    <t>Isoform C of Ketohexokinase</t>
  </si>
  <si>
    <t>Ketohexokinase</t>
  </si>
  <si>
    <t>Histamine N-methyltransferase</t>
  </si>
  <si>
    <t>Guanine nucleotide-binding protein G(I)/G(S)/G(O) subunit gamma-10</t>
  </si>
  <si>
    <t>Isocitrate dehydrogenase [NAD] subunit alpha, mitochondrial</t>
  </si>
  <si>
    <t>Sulfotransferase 1A3/1A4</t>
  </si>
  <si>
    <t>Sulfotransferase 1A1</t>
  </si>
  <si>
    <t>Sulfotransferase 1A2</t>
  </si>
  <si>
    <t>Protoporphyrinogen oxidase</t>
  </si>
  <si>
    <t>Rab GDP dissociation inhibitor beta</t>
  </si>
  <si>
    <t>Emerin</t>
  </si>
  <si>
    <t>Isoform 2 of Glycine amidinotransferase, mitochondrial</t>
  </si>
  <si>
    <t>Serpin B8</t>
  </si>
  <si>
    <t>Serpin B9</t>
  </si>
  <si>
    <t>Serpin H1</t>
  </si>
  <si>
    <t>Hsc70-interacting protein</t>
  </si>
  <si>
    <t>Isoform 2 of Peroxisomal targeting signal 1 receptor</t>
  </si>
  <si>
    <t>Vasodilator-stimulated phosphoprotein</t>
  </si>
  <si>
    <t>Dynamin-2</t>
  </si>
  <si>
    <t>Methionine aminopeptidase 2</t>
  </si>
  <si>
    <t>Bis(5-nucleosyl)-tetraphosphatase [asymmetrical]</t>
  </si>
  <si>
    <t>Biotin--protein ligase</t>
  </si>
  <si>
    <t>Kinetochore-associated protein 1</t>
  </si>
  <si>
    <t>Cyclin-dependent kinase 9</t>
  </si>
  <si>
    <t>Basal cell adhesion molecule</t>
  </si>
  <si>
    <t>Palmitoyl-protein thioesterase 1</t>
  </si>
  <si>
    <t>T-complex protein 1 subunit delta</t>
  </si>
  <si>
    <t>Poly(A) polymerase alpha</t>
  </si>
  <si>
    <t>Fragile X mental retardation syndrome-related protein 2</t>
  </si>
  <si>
    <t>Ras-related protein Rab-5C</t>
  </si>
  <si>
    <t>Ras-related protein Rab-7a</t>
  </si>
  <si>
    <t>Ras-related protein Rab-13</t>
  </si>
  <si>
    <t>Isoform 2 of 1-phosphatidylinositol 4,5-bisphosphate phosphodiesterase delta-1</t>
  </si>
  <si>
    <t>Isoform 2 of 28S ribosomal protein S29, mitochondrial</t>
  </si>
  <si>
    <t>Dual specificity protein phosphatase 3</t>
  </si>
  <si>
    <t>Isoform Short of Probable global transcription activator SNF2L2</t>
  </si>
  <si>
    <t>Isoform 5 of Transcription activator BRG1</t>
  </si>
  <si>
    <t>Isocitrate dehydrogenase [NAD] subunit gamma, mitochondrial</t>
  </si>
  <si>
    <t>Galactokinase</t>
  </si>
  <si>
    <t>B-cell receptor-associated protein 31</t>
  </si>
  <si>
    <t>Thiopurine S-methyltransferase</t>
  </si>
  <si>
    <t>Cytochrome P450 2J2</t>
  </si>
  <si>
    <t>Methyl-CpG-binding protein 2</t>
  </si>
  <si>
    <t>Isoform 4 of Host cell factor 1</t>
  </si>
  <si>
    <t>Succinate-semialdehyde dehydrogenase, mitochondrial</t>
  </si>
  <si>
    <t>Peroxisomal multifunctional enzyme type 2</t>
  </si>
  <si>
    <t>26S proteasome non-ATPase regulatory subunit 7</t>
  </si>
  <si>
    <t>Sulfite oxidase, mitochondrial</t>
  </si>
  <si>
    <t>N-sulphoglucosamine sulphohydrolase</t>
  </si>
  <si>
    <t>Signal transducer and activator of transcription 5B</t>
  </si>
  <si>
    <t>Dynein light chain Tctex-type 3</t>
  </si>
  <si>
    <t>3-oxo-5-beta-steroid 4-dehydrogenase</t>
  </si>
  <si>
    <t>Hepatoma-derived growth factor</t>
  </si>
  <si>
    <t>Lumican</t>
  </si>
  <si>
    <t>Isoform 2 of CDK-activating kinase assembly factor MAT1</t>
  </si>
  <si>
    <t>Heterogeneous nuclear ribonucleoprotein A3</t>
  </si>
  <si>
    <t>Isoform 2 of Heterogeneous nuclear ribonucleoprotein M</t>
  </si>
  <si>
    <t>Importin subunit alpha-2</t>
  </si>
  <si>
    <t>Importin subunit alpha-1</t>
  </si>
  <si>
    <t>Rap1 GTPase-GDP dissociation stimulator 1</t>
  </si>
  <si>
    <t>Rho GDP-dissociation inhibitor 1</t>
  </si>
  <si>
    <t>Isoform 2 of Arf-GAP domain and FG repeat-containing protein 1</t>
  </si>
  <si>
    <t>Heterogeneous nuclear ribonucleoprotein F</t>
  </si>
  <si>
    <t>Isoform 2 of Signal transducer and activator of transcription 2</t>
  </si>
  <si>
    <t>DNA mismatch repair protein Msh6</t>
  </si>
  <si>
    <t>Isoform 3 of Guanine nucleotide exchange factor VAV2</t>
  </si>
  <si>
    <t>RNA-binding protein 5</t>
  </si>
  <si>
    <t>Ribonuclease UK114</t>
  </si>
  <si>
    <t>Spermine synthase</t>
  </si>
  <si>
    <t>Hexokinase-3</t>
  </si>
  <si>
    <t>Thimet oligopeptidase</t>
  </si>
  <si>
    <t>Aldo-keto reductase family 1 member C2</t>
  </si>
  <si>
    <t>F-actin-capping protein subunit alpha-1</t>
  </si>
  <si>
    <t>Cysteine-rich protein 2</t>
  </si>
  <si>
    <t>Isoform 6 of Nuclear pore complex protein Nup98-Nup96</t>
  </si>
  <si>
    <t>Biliverdin reductase A</t>
  </si>
  <si>
    <t>Tricarboxylate transport protein, mitochondrial</t>
  </si>
  <si>
    <t>Isoform 2 of Arfaptin-2</t>
  </si>
  <si>
    <t>Arfaptin-1</t>
  </si>
  <si>
    <t>Nucleoside diphosphate-linked moiety X motif 6</t>
  </si>
  <si>
    <t>Isoform 2 of Cytosolic Fe-S cluster assembly factor NUBP1</t>
  </si>
  <si>
    <t>ATP-citrate synthase</t>
  </si>
  <si>
    <t>Methionine aminopeptidase 1</t>
  </si>
  <si>
    <t>Succinyl-CoA ligase [ADP/GDP-forming] subunit alpha, mitochondrial</t>
  </si>
  <si>
    <t>Diphosphomevalonate decarboxylase</t>
  </si>
  <si>
    <t>Geranylgeranyl transferase type-1 subunit beta</t>
  </si>
  <si>
    <t>Geranylgeranyl transferase type-2 subunit beta</t>
  </si>
  <si>
    <t>Coatomer subunit alpha</t>
  </si>
  <si>
    <t>Dipeptidyl peptidase 1</t>
  </si>
  <si>
    <t>Isoform 2 of Clathrin heavy chain 2</t>
  </si>
  <si>
    <t>AP-2 complex subunit sigma</t>
  </si>
  <si>
    <t>Calcipressin-1</t>
  </si>
  <si>
    <t>Isoform 2 of IST1 homolog</t>
  </si>
  <si>
    <t>Protein transport protein Sec24C</t>
  </si>
  <si>
    <t>Activated RNA polymerase II transcriptional coactivator p15</t>
  </si>
  <si>
    <t>Arginine--tRNA ligase, cytoplasmic</t>
  </si>
  <si>
    <t>Ataxin-1</t>
  </si>
  <si>
    <t>Isoform 3 of Mismatch repair endonuclease PMS2</t>
  </si>
  <si>
    <t>Tyrosine--tRNA ligase, cytoplasmic</t>
  </si>
  <si>
    <t>Isoform 2 of Ubiquitin carboxyl-terminal hydrolase 14</t>
  </si>
  <si>
    <t>Isoform 2 of 5-AMP-activated protein kinase subunit gamma-1</t>
  </si>
  <si>
    <t>Isoform 5 of Branched-chain-amino-acid aminotransferase, cytosolic</t>
  </si>
  <si>
    <t>UV excision repair protein RAD23 homolog B</t>
  </si>
  <si>
    <t>Alpha-N-acetylglucosaminidase</t>
  </si>
  <si>
    <t>Glycogen [starch] synthase, liver</t>
  </si>
  <si>
    <t>UDP-glucuronosyltransferase 2B15</t>
  </si>
  <si>
    <t>Hydroxymethylglutaryl-CoA synthase, mitochondrial</t>
  </si>
  <si>
    <t>Isoform Short of Delta-1-pyrroline-5-carboxylate synthase</t>
  </si>
  <si>
    <t>Alpha-soluble NSF attachment protein</t>
  </si>
  <si>
    <t>Allograft inflammatory factor 1</t>
  </si>
  <si>
    <t>Eukaryotic translation initiation factor 5</t>
  </si>
  <si>
    <t>26S proteasome non-ATPase regulatory subunit 4</t>
  </si>
  <si>
    <t>Developmentally-regulated GTP-binding protein 2</t>
  </si>
  <si>
    <t>Phospholipid transfer protein</t>
  </si>
  <si>
    <t>Isoform 3 of Exportin-2</t>
  </si>
  <si>
    <t>Transitional endoplasmic reticulum ATPase</t>
  </si>
  <si>
    <t>Microfibrillar-associated protein 1</t>
  </si>
  <si>
    <t>Trifunctional enzyme subunit beta, mitochondrial</t>
  </si>
  <si>
    <t>Inhibin beta C chain</t>
  </si>
  <si>
    <t>Mesencephalic astrocyte-derived neurotrophic factor</t>
  </si>
  <si>
    <t>Microsomal triglyceride transfer protein large subunit</t>
  </si>
  <si>
    <t>Isoform 3 of Afadin</t>
  </si>
  <si>
    <t>Afadin</t>
  </si>
  <si>
    <t>Caspase-7</t>
  </si>
  <si>
    <t>Caspase-6</t>
  </si>
  <si>
    <t>Adenosine kinase</t>
  </si>
  <si>
    <t>Isoform 3 of Double-stranded RNA-specific adenosine deaminase</t>
  </si>
  <si>
    <t>Laminin subunit beta-2</t>
  </si>
  <si>
    <t>Isoform 3 of Cadherin-13</t>
  </si>
  <si>
    <t>Isoform 2 of Tumor protein D52</t>
  </si>
  <si>
    <t>Protein SEC13 homolog</t>
  </si>
  <si>
    <t>NHP2-like protein 1</t>
  </si>
  <si>
    <t>FAD-linked sulfhydryl oxidase ALR</t>
  </si>
  <si>
    <t>Heterogeneous nuclear ribonucleoprotein H2</t>
  </si>
  <si>
    <t>Small ubiquitin-related modifier 3</t>
  </si>
  <si>
    <t>Eukaryotic translation initiation factor 3 subunit B</t>
  </si>
  <si>
    <t>Isoform 2 of NADH dehydrogenase [ubiquinone] flavoprotein 3, mitochondrial</t>
  </si>
  <si>
    <t>NADH dehydrogenase [ubiquinone] flavoprotein 3, mitochondrial</t>
  </si>
  <si>
    <t>Methionine--tRNA ligase, cytoplasmic</t>
  </si>
  <si>
    <t>Cx9C motif-containing protein 4</t>
  </si>
  <si>
    <t>ATP synthase subunit e, mitochondrial</t>
  </si>
  <si>
    <t>Galectin-4</t>
  </si>
  <si>
    <t>Histone deacetylase 4</t>
  </si>
  <si>
    <t>Eukaryotic translation initiation factor 6</t>
  </si>
  <si>
    <t>RWD domain-containing protein 2B</t>
  </si>
  <si>
    <t>Uncharacterized protein C21orf59</t>
  </si>
  <si>
    <t>Isoform 2 of tRNA (guanine-N(7)-)-methyltransferase subunit WDR4</t>
  </si>
  <si>
    <t>Synaptojanin-2-binding protein</t>
  </si>
  <si>
    <t>Isoform 3 of Coronin-7</t>
  </si>
  <si>
    <t>Gasdermin-D</t>
  </si>
  <si>
    <t>Selenocysteine-specific elongation factor</t>
  </si>
  <si>
    <t>Sestrin-2</t>
  </si>
  <si>
    <t>Myotrophin</t>
  </si>
  <si>
    <t>Tubulin polymerization-promoting protein family member 2</t>
  </si>
  <si>
    <t>Neutrophil defensin 3</t>
  </si>
  <si>
    <t>Actin-related protein 2/3 complex subunit 4</t>
  </si>
  <si>
    <t>Isoform 2 of Triosephosphate isomerase</t>
  </si>
  <si>
    <t>Eukaryotic translation initiation factor 3 subunit E</t>
  </si>
  <si>
    <t>Protein transport protein Sec61 subunit beta</t>
  </si>
  <si>
    <t>Isoform 2 of Ubiquitin-conjugating enzyme E2 G2</t>
  </si>
  <si>
    <t>Ras-related C3 botulinum toxin substrate 3</t>
  </si>
  <si>
    <t>Eukaryotic initiation factor 4A-I</t>
  </si>
  <si>
    <t>Ribose-phosphate pyrophosphokinase 1</t>
  </si>
  <si>
    <t>Proteasome subunit alpha type-6</t>
  </si>
  <si>
    <t>Protein S100-A10</t>
  </si>
  <si>
    <t>Cell division control protein 42 homolog</t>
  </si>
  <si>
    <t>Isoform 2 of Destrin</t>
  </si>
  <si>
    <t>Glia maturation factor beta</t>
  </si>
  <si>
    <t>Ras-related protein Rab-8A</t>
  </si>
  <si>
    <t>Signal recognition particle 54 kDa protein</t>
  </si>
  <si>
    <t>Ras-related protein Rab-2A</t>
  </si>
  <si>
    <t>Ras-related protein Rab-5B</t>
  </si>
  <si>
    <t>Ras-related protein Rab-10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</si>
  <si>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</si>
  <si>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</si>
  <si>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</si>
  <si>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</si>
  <si>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</si>
  <si>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Actin-related protein 3</t>
  </si>
  <si>
    <t>Actin-related protein 2</t>
  </si>
  <si>
    <t>Alpha-centractin</t>
  </si>
  <si>
    <t>COP9 signalosome complex subunit 2</t>
  </si>
  <si>
    <t>ATP-binding cassette sub-family E member 1</t>
  </si>
  <si>
    <t>Isoform 3 of Ras-related protein Rap-1b</t>
  </si>
  <si>
    <t>40S ribosomal protein S3a</t>
  </si>
  <si>
    <t>Proteasome activator complex subunit 3</t>
  </si>
  <si>
    <t>Protein mago nashi homolog</t>
  </si>
  <si>
    <t>Pterin-4-alpha-carbinolamine dehydratase</t>
  </si>
  <si>
    <t>Transforming protein RhoA</t>
  </si>
  <si>
    <t>10 kDa heat shock protein, mitochondrial</t>
  </si>
  <si>
    <t>Prefoldin subunit 3</t>
  </si>
  <si>
    <t>Coatomer subunit zeta-1</t>
  </si>
  <si>
    <t>Isoform 2 of Small ubiquitin-related modifier 2</t>
  </si>
  <si>
    <t>DDB1- and CUL4-associated factor 7</t>
  </si>
  <si>
    <t>WD repeat-containing protein 5</t>
  </si>
  <si>
    <t>AP-1 complex subunit sigma-1A</t>
  </si>
  <si>
    <t>Nuclear transport factor 2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</si>
  <si>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</si>
  <si>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</si>
  <si>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</si>
  <si>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</si>
  <si>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Serine/threonine-protein phosphatase PP1-alpha catalytic subunit</t>
  </si>
  <si>
    <t>Serine/threonine-protein phosphatase PP1-beta catalytic subunit</t>
  </si>
  <si>
    <t>Calmodulin</t>
  </si>
  <si>
    <t>26S protease regulatory subunit 4</t>
  </si>
  <si>
    <t>Isoform 2 of 26S protease regulatory subunit 8</t>
  </si>
  <si>
    <t>40S ribosomal protein S8</t>
  </si>
  <si>
    <t>14-3-3 protein epsilon</t>
  </si>
  <si>
    <t>40S ribosomal protein S14</t>
  </si>
  <si>
    <t>40S ribosomal protein S18</t>
  </si>
  <si>
    <t>40S ribosomal protein S13</t>
  </si>
  <si>
    <t>40S ribosomal protein S11</t>
  </si>
  <si>
    <t>Small nuclear ribonucleoprotein E</t>
  </si>
  <si>
    <t>Small nuclear ribonucleoprotein F</t>
  </si>
  <si>
    <t>Small nuclear ribonucleoprotein G</t>
  </si>
  <si>
    <t>U6 snRNA-associated Sm-like protein LSm3</t>
  </si>
  <si>
    <t>U6 snRNA-associated Sm-like protein LSm6</t>
  </si>
  <si>
    <t>Small nuclear ribonucleoprotein Sm D1</t>
  </si>
  <si>
    <t>Small nuclear ribonucleoprotein Sm D2</t>
  </si>
  <si>
    <t>Thymosin beta-4</t>
  </si>
  <si>
    <t>ADP-ribosylation factor 6</t>
  </si>
  <si>
    <t>26S protease regulatory subunit 10B</t>
  </si>
  <si>
    <t>60S ribosomal protein L7a</t>
  </si>
  <si>
    <t>DNA-directed RNA polymerase II subunit RPB7</t>
  </si>
  <si>
    <t>Eukaryotic peptide chain release factor subunit 1</t>
  </si>
  <si>
    <t>Isoform 2 of Cellular nucleic acid-binding protein</t>
  </si>
  <si>
    <t>40S ribosomal protein S4, X isoform</t>
  </si>
  <si>
    <t>Serine/threonine-protein phosphatase 2A catalytic subunit beta isoform</t>
  </si>
  <si>
    <t>60S ribosomal protein L23a</t>
  </si>
  <si>
    <t>40S ribosomal protein S6</t>
  </si>
  <si>
    <t>Visinin-like protein 1</t>
  </si>
  <si>
    <t>Histone H4</t>
  </si>
  <si>
    <t>Histone H2B type 1-C/E/F/G/I</t>
  </si>
  <si>
    <t>Ras-related protein Rab-1A</t>
  </si>
  <si>
    <t>GTP-binding nuclear protein Ran</t>
  </si>
  <si>
    <t>60S ribosomal protein L23</t>
  </si>
  <si>
    <t>Ras-related protein Rap-1A</t>
  </si>
  <si>
    <t>Ubiquitin-conjugating enzyme E2 D2</t>
  </si>
  <si>
    <t>40S ribosomal protein S25</t>
  </si>
  <si>
    <t>40S ribosomal protein S26</t>
  </si>
  <si>
    <t>40S ribosomal protein S28</t>
  </si>
  <si>
    <t>Guanine nucleotide-binding protein G(I)/G(S)/G(T) subunit beta-1</t>
  </si>
  <si>
    <t>E3 ubiquitin-protein ligase RBX1</t>
  </si>
  <si>
    <t>Isoform 2 of 60S ribosomal protein L11</t>
  </si>
  <si>
    <t>Peptidyl-prolyl cis-trans isomerase FKBP1A</t>
  </si>
  <si>
    <t>Growth factor receptor-bound protein 2</t>
  </si>
  <si>
    <t>Isoform 3 of Transformer-2 protein homolog beta</t>
  </si>
  <si>
    <t>Ras-related C3 botulinum toxin substrate 1</t>
  </si>
  <si>
    <t>AP-2 complex subunit beta</t>
  </si>
  <si>
    <t>Isoform 3 of Guanine nucleotide-binding protein G(s) subunit alpha isoforms short</t>
  </si>
  <si>
    <t>Guanine nucleotide-binding protein G(i) subunit alpha-1</t>
  </si>
  <si>
    <t>14-3-3 protein zeta/delta</t>
  </si>
  <si>
    <t>Serine/threonine-protein phosphatase 2A 55 kDa regulatory subunit B alpha isoform</t>
  </si>
  <si>
    <t>Dynein light chain 1, cytoplasmic</t>
  </si>
  <si>
    <t>Guanine nucleotide-binding protein subunit beta-2-like 1</t>
  </si>
  <si>
    <t>Actin, cytoplasmic 2</t>
  </si>
  <si>
    <t>Thymosin beta-10</t>
  </si>
  <si>
    <t>Serine/threonine-protein phosphatase 2A catalytic subunit alpha isoform</t>
  </si>
  <si>
    <t>Nuclease-sensitive element-binding protein 1</t>
  </si>
  <si>
    <t>Casein kinase II subunit beta</t>
  </si>
  <si>
    <t>Tropomyosin alpha-4 chain</t>
  </si>
  <si>
    <t>Ubiquitin-conjugating enzyme E2 L3</t>
  </si>
  <si>
    <t>Actin, alpha skeletal muscle</t>
  </si>
  <si>
    <t>Tubulin alpha-1B chain</t>
  </si>
  <si>
    <t>Tubulin beta-4B chain</t>
  </si>
  <si>
    <t>Platelet-activating factor acetylhydrolase IB subunit beta</t>
  </si>
  <si>
    <t>SH3 domain-binding protein 2</t>
  </si>
  <si>
    <t>Immunoglobulin-binding protein 1</t>
  </si>
  <si>
    <t>Leukotriene-B(4) omega-hydroxylase 1</t>
  </si>
  <si>
    <t>RNA-binding protein 6</t>
  </si>
  <si>
    <t>Ribonuclease P protein subunit p30</t>
  </si>
  <si>
    <t>Isoform 2 of General transcription factor II-I</t>
  </si>
  <si>
    <t>Phosphatidylinositol 5-phosphate 4-kinase type-2 beta</t>
  </si>
  <si>
    <t>SRSF protein kinase 2</t>
  </si>
  <si>
    <t>T-complex protein 1 subunit beta</t>
  </si>
  <si>
    <t>mRNA export factor</t>
  </si>
  <si>
    <t>Glutathione S-transferase omega-1</t>
  </si>
  <si>
    <t>Suppression of tumorigenicity 5 protein</t>
  </si>
  <si>
    <t>Death domain-containing protein CRADD</t>
  </si>
  <si>
    <t>Isoform 2 of Neutrophil gelatinase-associated lipocalin</t>
  </si>
  <si>
    <t>Interferon-induced 35 kDa protein</t>
  </si>
  <si>
    <t>Metallothionein-1H</t>
  </si>
  <si>
    <t>Metallothionein-1X</t>
  </si>
  <si>
    <t>Nucleobindin-2</t>
  </si>
  <si>
    <t>4-aminobutyrate aminotransferase, mitochondrial</t>
  </si>
  <si>
    <t>Brain acid soluble protein 1</t>
  </si>
  <si>
    <t>Dermcidin</t>
  </si>
  <si>
    <t>TATA element modulatory factor</t>
  </si>
  <si>
    <t>28S ribosomal protein S35, mitochondrial</t>
  </si>
  <si>
    <t>28S ribosomal protein S5, mitochondrial</t>
  </si>
  <si>
    <t>28S ribosomal protein S36, mitochondrial</t>
  </si>
  <si>
    <t>28S ribosomal protein S15, mitochondrial</t>
  </si>
  <si>
    <t>28S ribosomal protein S34, mitochondrial</t>
  </si>
  <si>
    <t>28S ribosomal protein S6, mitochondrial</t>
  </si>
  <si>
    <t>28S ribosomal protein S9, mitochondrial</t>
  </si>
  <si>
    <t>SAP domain-containing ribonucleoprotein</t>
  </si>
  <si>
    <t>Retinol-binding protein 5</t>
  </si>
  <si>
    <t>Serine beta-lactamase-like protein LACTB, mitochondrial</t>
  </si>
  <si>
    <t>Conserved oligomeric Golgi complex subunit 7</t>
  </si>
  <si>
    <t>Thioredoxin-like protein 4A</t>
  </si>
  <si>
    <t>ADP-ribosylation factor 1</t>
  </si>
  <si>
    <t>ADP-ribosylation factor 5</t>
  </si>
  <si>
    <t>Enhancer of rudimentary homolog</t>
  </si>
  <si>
    <t>Rho-related GTP-binding protein RhoG</t>
  </si>
  <si>
    <t>Forkhead box protein K1</t>
  </si>
  <si>
    <t>Hydroxyacyl-thioester dehydratase type 2, mitochondrial</t>
  </si>
  <si>
    <t>Vacuolar fusion protein CCZ1 homolog</t>
  </si>
  <si>
    <t>Isoform 2 of Disabled homolog 2</t>
  </si>
  <si>
    <t>Basement membrane-specific heparan sulfate proteoglycan core protein</t>
  </si>
  <si>
    <t>E3 ubiquitin-protein ligase XIAP</t>
  </si>
  <si>
    <t>Isoform 2 of RNA-binding protein 10</t>
  </si>
  <si>
    <t>Putative RNA-binding protein 3</t>
  </si>
  <si>
    <t>Isoform 2 of 55 kDa erythrocyte membrane protein</t>
  </si>
  <si>
    <t>Transcription factor A, mitochondrial</t>
  </si>
  <si>
    <t>Phosphatidylinositol transfer protein alpha isoform</t>
  </si>
  <si>
    <t>S-adenosylmethionine synthase isoform type-1</t>
  </si>
  <si>
    <t>Vigilin</t>
  </si>
  <si>
    <t>Transcription initiation factor IIB</t>
  </si>
  <si>
    <t>Cyclin-dependent kinase 6</t>
  </si>
  <si>
    <t>Cyclin-dependent kinase 5</t>
  </si>
  <si>
    <t>Transcriptional activator protein Pur-alpha</t>
  </si>
  <si>
    <t>Isoform 2 of Clathrin heavy chain 1</t>
  </si>
  <si>
    <t>Peptidyl-prolyl cis-trans isomerase FKBP3</t>
  </si>
  <si>
    <t>Sorbitol dehydrogenase</t>
  </si>
  <si>
    <t>Heterogeneous nuclear ribonucleoprotein U</t>
  </si>
  <si>
    <t>Perilipin-5</t>
  </si>
  <si>
    <t>Splicing factor U2AF 35 kDa subunit</t>
  </si>
  <si>
    <t>Isoform 2 of Spectrin beta chain, non-erythrocytic 1</t>
  </si>
  <si>
    <t>Spectrin beta chain, non-erythrocytic 1</t>
  </si>
  <si>
    <t>Isoform 2 of Nucleolysin TIAR</t>
  </si>
  <si>
    <t>Protein SET</t>
  </si>
  <si>
    <t>Isoform Ex1A-2-3 of AMP deaminase 2</t>
  </si>
  <si>
    <t>Di-N-acetylchitobiase</t>
  </si>
  <si>
    <t>Fatty acid-binding protein, epidermal</t>
  </si>
  <si>
    <t>Isoform 2 of Adenylyl cyclase-associated protein 1</t>
  </si>
  <si>
    <t>Hydroxymethylglutaryl-CoA synthase, cytoplasmic</t>
  </si>
  <si>
    <t>Protein Dr1</t>
  </si>
  <si>
    <t>OTU domain-containing protein 4</t>
  </si>
  <si>
    <t>6-phosphofructokinase type C</t>
  </si>
  <si>
    <t>Isoform 6 of RNA-binding protein EWS</t>
  </si>
  <si>
    <t>Isoform B of Inositol polyphosphate 5-phosphatase OCRL-1</t>
  </si>
  <si>
    <t>Isoform 2 of 1-phosphatidylinositol 4,5-bisphosphate phosphodiesterase beta-3</t>
  </si>
  <si>
    <t>Isoform 2 of N-acylethanolamine-hydrolyzing acid amidase</t>
  </si>
  <si>
    <t>Isoform 2 of Transcription factor Sp2</t>
  </si>
  <si>
    <t>Methylmalonate-semialdehyde dehydrogenase [acylating], mitochondrial</t>
  </si>
  <si>
    <t>Sterol 26-hydroxylase, mitochondrial</t>
  </si>
  <si>
    <t>Plasminogen-like protein B</t>
  </si>
  <si>
    <t>Amyloid beta A4 precursor protein-binding family A member 1</t>
  </si>
  <si>
    <t>Desmoglein-1</t>
  </si>
  <si>
    <t>Isoform 4 of Transcription factor Sp3</t>
  </si>
  <si>
    <t>Isoform 2B of Desmocollin-2</t>
  </si>
  <si>
    <t>Desmocollin-2</t>
  </si>
  <si>
    <t>Dual specificity mitogen-activated protein kinase kinase 1</t>
  </si>
  <si>
    <t>Peptidyl-prolyl cis-trans isomerase FKBP4</t>
  </si>
  <si>
    <t>Nucleobindin-1</t>
  </si>
  <si>
    <t>Cytochrome P450 4A11</t>
  </si>
  <si>
    <t>Isoform 3 of A-kinase anchor protein 12</t>
  </si>
  <si>
    <t>Isoform 2 of Complement factor H-related protein 3</t>
  </si>
  <si>
    <t>Isoform 2 of Dystonin</t>
  </si>
  <si>
    <t>Isoform 2 of Glutathione S-transferase Mu 4</t>
  </si>
  <si>
    <t>Aminoacylase-1</t>
  </si>
  <si>
    <t>Lamin-B2</t>
  </si>
  <si>
    <t>Complement factor H-related protein 1</t>
  </si>
  <si>
    <t>1,4-alpha-glucan-branching enzyme</t>
  </si>
  <si>
    <t>Isoform D of Eukaryotic translation initiation factor 4 gamma 1</t>
  </si>
  <si>
    <t>Keratin, type I cytoskeletal 17</t>
  </si>
  <si>
    <t>Neurogenic locus notch homolog protein 2</t>
  </si>
  <si>
    <t>Transducin-like enhancer protein 1</t>
  </si>
  <si>
    <t>Isoform 2 of Transducin-like enhancer protein 3</t>
  </si>
  <si>
    <t>Hepatocyte growth factor activator</t>
  </si>
  <si>
    <t>Lactoylglutathione lyase</t>
  </si>
  <si>
    <t>Aldo-keto reductase family 1 member C1</t>
  </si>
  <si>
    <t>Single-stranded DNA-binding protein, mitochondrial</t>
  </si>
  <si>
    <t>14-3-3 protein eta</t>
  </si>
  <si>
    <t>Cleavage stimulation factor subunit 1</t>
  </si>
  <si>
    <t>Isoform III of Ubiquitin-protein ligase E3A</t>
  </si>
  <si>
    <t>Tyrosine-protein phosphatase non-receptor type 12</t>
  </si>
  <si>
    <t>Isoform 2 of Protein kinase C zeta type</t>
  </si>
  <si>
    <t>Isoform 2 of Serine/arginine-rich splicing factor 11</t>
  </si>
  <si>
    <t>Elongation factor 1-alpha 2</t>
  </si>
  <si>
    <t>Isoform 5 of Caldesmon</t>
  </si>
  <si>
    <t>Isoform 2 of Inter-alpha-trypsin inhibitor heavy chain H3</t>
  </si>
  <si>
    <t>Isoform 2 of Tyrosine-protein phosphatase non-receptor type 11</t>
  </si>
  <si>
    <t>Amidophosphoribosyltransferase</t>
  </si>
  <si>
    <t>Isoform 2 of Glutamine--fructose-6-phosphate aminotransferase [isomerizing] 1</t>
  </si>
  <si>
    <t>Exosome complex component RRP45</t>
  </si>
  <si>
    <t>Aldehyde oxidase</t>
  </si>
  <si>
    <t>Proteasome activator complex subunit 1</t>
  </si>
  <si>
    <t>Bile salt sulfotransferase</t>
  </si>
  <si>
    <t>GA-binding protein alpha chain</t>
  </si>
  <si>
    <t>Complement component 1 Q subcomponent-binding protein, mitochondrial</t>
  </si>
  <si>
    <t>Glutamyl aminopeptidase</t>
  </si>
  <si>
    <t>Tight junction protein ZO-1</t>
  </si>
  <si>
    <t>Trichohyalin</t>
  </si>
  <si>
    <t>KH domain-containing, RNA-binding, signal transduction-associated protein 1</t>
  </si>
  <si>
    <t>Isoform Epsilon of Apoptosis regulator BAX</t>
  </si>
  <si>
    <t>Induced myeloid leukemia cell differentiation protein Mcl-1</t>
  </si>
  <si>
    <t>Activated CDC42 kinase 1</t>
  </si>
  <si>
    <t>Prolow-density lipoprotein receptor-related protein 1</t>
  </si>
  <si>
    <t>Serine/arginine-rich splicing factor 1</t>
  </si>
  <si>
    <t>Rho GTPase-activating protein 1</t>
  </si>
  <si>
    <t>Serine/arginine-rich splicing factor 4</t>
  </si>
  <si>
    <t>Isoform 2 of Protocadherin-1</t>
  </si>
  <si>
    <t>Isoform 2 of Serine/threonine-protein phosphatase 2B catalytic subunit alpha isoform</t>
  </si>
  <si>
    <t>ATP-dependent RNA helicase A</t>
  </si>
  <si>
    <t>Quinone oxidoreductase</t>
  </si>
  <si>
    <t>Golgin subfamily A member 3</t>
  </si>
  <si>
    <t>Golgin subfamily A member 2</t>
  </si>
  <si>
    <t>Galectin-3-binding protein</t>
  </si>
  <si>
    <t>Peroxisomal bifunctional enzyme</t>
  </si>
  <si>
    <t>Isoform CYP4F3B of Leukotriene-B(4) omega-hydroxylase 2</t>
  </si>
  <si>
    <t>Isoform Short of Dematin</t>
  </si>
  <si>
    <t>Peptidyl-prolyl cis-trans isomerase D</t>
  </si>
  <si>
    <t>Fibrinogen-like protein 1</t>
  </si>
  <si>
    <t>FACT complex subunit SSRP1</t>
  </si>
  <si>
    <t>Mitotic-spindle organizing protein 1</t>
  </si>
  <si>
    <t>Acyl-coenzyme A synthetase ACSM1, mitochondrial</t>
  </si>
  <si>
    <t>Acyl-coenzyme A synthetase ACSM2A, mitochondrial</t>
  </si>
  <si>
    <t>Protein VAC14 homolog</t>
  </si>
  <si>
    <t>tRNA (cytosine(34)-C(5))-methyltransferase</t>
  </si>
  <si>
    <t>Isoform 3 of Histone-binding protein RBBP4</t>
  </si>
  <si>
    <t>Nuclear cap-binding protein subunit 1</t>
  </si>
  <si>
    <t>Histone acetyltransferase p300</t>
  </si>
  <si>
    <t>Neuroblast differentiation-associated protein AHNAK</t>
  </si>
  <si>
    <t>FCH domain only protein 2</t>
  </si>
  <si>
    <t>Secernin-3</t>
  </si>
  <si>
    <t>Cingulin-like protein 1</t>
  </si>
  <si>
    <t>Isoform B of AP-1 complex subunit beta-1</t>
  </si>
  <si>
    <t>Isoform C of AP-1 complex subunit beta-1</t>
  </si>
  <si>
    <t>Cleavage and polyadenylation specificity factor subunit 1</t>
  </si>
  <si>
    <t>Mitochondrial-processing peptidase subunit alpha</t>
  </si>
  <si>
    <t>WASH complex subunit strumpellin</t>
  </si>
  <si>
    <t>Nuclear pore complex protein Nup160</t>
  </si>
  <si>
    <t>Rho guanine nucleotide exchange factor 5</t>
  </si>
  <si>
    <t>Isoform 2 of General transcription factor 3C polypeptide 1</t>
  </si>
  <si>
    <t>Twinfilin-1</t>
  </si>
  <si>
    <t>Isoform 7 of Hyaluronidase-1</t>
  </si>
  <si>
    <t>Isoform 10 of Aspartyl/asparaginyl beta-hydroxylase</t>
  </si>
  <si>
    <t>Isoform 3 of A-kinase anchor protein 13</t>
  </si>
  <si>
    <t>Isoform 2 of G-rich sequence factor 1</t>
  </si>
  <si>
    <t>Splicing factor, suppressor of white-apricot homolog</t>
  </si>
  <si>
    <t>Splicing factor 3A subunit 3</t>
  </si>
  <si>
    <t>Dihydropyrimidine dehydrogenase [NADP(+)]</t>
  </si>
  <si>
    <t>Tumor suppressor p53-binding protein 1</t>
  </si>
  <si>
    <t>Tripartite motif-containing protein 26</t>
  </si>
  <si>
    <t>Aminoacyl tRNA synthase complex-interacting multifunctional protein 1</t>
  </si>
  <si>
    <t>Interleukin enhancer-binding factor 2</t>
  </si>
  <si>
    <t>Isoform 4 of Interleukin enhancer-binding factor 3</t>
  </si>
  <si>
    <t>Epidermal growth factor receptor kinase substrate 8</t>
  </si>
  <si>
    <t>Isoform 4 of TNF receptor-associated factor 2</t>
  </si>
  <si>
    <t>Isoform 5 of Disks large homolog 1</t>
  </si>
  <si>
    <t>Transcription initiation factor TFIID subunit 10</t>
  </si>
  <si>
    <t>Unconventional myosin-Ie</t>
  </si>
  <si>
    <t>Nuclear inhibitor of protein phosphatase 1</t>
  </si>
  <si>
    <t>Protein tyrosine phosphatase type IVA 2</t>
  </si>
  <si>
    <t>Isoform 3 of Transcriptional repressor NF-X1</t>
  </si>
  <si>
    <t>Cleavage stimulation factor subunit 3</t>
  </si>
  <si>
    <t>Delta(3,5)-Delta(2,4)-dienoyl-CoA isomerase, mitochondrial</t>
  </si>
  <si>
    <t>Isoform 2 of Rho GTPase-activating protein 5</t>
  </si>
  <si>
    <t>Isoform Alpha of Striatin-3</t>
  </si>
  <si>
    <t>Isoform 2 of Serine/threonine-protein kinase 4</t>
  </si>
  <si>
    <t>Isoform 2 of Protein flightless-1 homolog</t>
  </si>
  <si>
    <t>Protein flightless-1 homolog</t>
  </si>
  <si>
    <t>Bifunctional coenzyme A synthase</t>
  </si>
  <si>
    <t>Acetyl-CoA carboxylase 1</t>
  </si>
  <si>
    <t>Isoform 2 of Ubiquitin carboxyl-terminal hydrolase 4</t>
  </si>
  <si>
    <t>Protein Red</t>
  </si>
  <si>
    <t>S-methyl-5-thioadenosine phosphorylase</t>
  </si>
  <si>
    <t>5-AMP-activated protein kinase catalytic subunit alpha-1</t>
  </si>
  <si>
    <t>Isoform 2 of Liprin-alpha-1</t>
  </si>
  <si>
    <t>TAR DNA-binding protein 43</t>
  </si>
  <si>
    <t>Heterogeneous nuclear ribonucleoprotein A0</t>
  </si>
  <si>
    <t>Serine/threonine-protein kinase PAK 1</t>
  </si>
  <si>
    <t>Aminoacyl tRNA synthase complex-interacting multifunctional protein 2</t>
  </si>
  <si>
    <t>Protein FADD</t>
  </si>
  <si>
    <t>Peroxiredoxin-4</t>
  </si>
  <si>
    <t>Serine/threonine-protein kinase PAK 2</t>
  </si>
  <si>
    <t>Chromobox protein homolog 3</t>
  </si>
  <si>
    <t>Serine/threonine-protein kinase 3</t>
  </si>
  <si>
    <t>26S proteasome non-ATPase regulatory subunit 2</t>
  </si>
  <si>
    <t>Probable ATP-dependent RNA helicase DDX10</t>
  </si>
  <si>
    <t>DnaJ homolog subfamily C member 3</t>
  </si>
  <si>
    <t>Selenium-binding protein 1</t>
  </si>
  <si>
    <t>Nucleoside diphosphate kinase 3</t>
  </si>
  <si>
    <t>Isoform SRP40-4 of Serine/arginine-rich splicing factor 5</t>
  </si>
  <si>
    <t>Isoform SRP55-3 of Serine/arginine-rich splicing factor 6</t>
  </si>
  <si>
    <t>Mitotic spindle assembly checkpoint protein MAD2A</t>
  </si>
  <si>
    <t>Transcription intermediary factor 1-beta</t>
  </si>
  <si>
    <t>Ras GTPase-activating protein-binding protein 1</t>
  </si>
  <si>
    <t>N-myc-interactor</t>
  </si>
  <si>
    <t>Isoform 3 of Polyadenylate-binding protein 4</t>
  </si>
  <si>
    <t>Polyadenylate-binding protein 4</t>
  </si>
  <si>
    <t>Serine-protein kinase ATM</t>
  </si>
  <si>
    <t>Interferon-induced protein with tetratricopeptide repeats 5</t>
  </si>
  <si>
    <t>Isoform 3 of Metastasis-associated protein MTA1</t>
  </si>
  <si>
    <t>Eukaryotic translation initiation factor 3 subunit I</t>
  </si>
  <si>
    <t>Isoform 4 of Serine/threonine-protein phosphatase 2A 56 kDa regulatory subunit gamma isoform</t>
  </si>
  <si>
    <t>Isoform 2 of C-terminal-binding protein 1</t>
  </si>
  <si>
    <t>Ubiquitin-conjugating enzyme E2 variant 1</t>
  </si>
  <si>
    <t>Isoform 2F of Cytoplasmic dynein 1 intermediate chain 2</t>
  </si>
  <si>
    <t>Integrin-linked protein kinase</t>
  </si>
  <si>
    <t>NAD(P) transhydrogenase, mitochondrial</t>
  </si>
  <si>
    <t>Alpha-1-syntrophin</t>
  </si>
  <si>
    <t>Isoform 2 of DNA repair protein XRCC4</t>
  </si>
  <si>
    <t>Isoform 2 of Peptidyl-prolyl cis-trans isomerase G</t>
  </si>
  <si>
    <t>Isoform 4 of Treacle protein</t>
  </si>
  <si>
    <t>Splicing factor 3B subunit 2</t>
  </si>
  <si>
    <t>28 kDa heat- and acid-stable phosphoprotein</t>
  </si>
  <si>
    <t>Peptidyl-prolyl cis-trans isomerase FKBP5</t>
  </si>
  <si>
    <t>Isoform Short of Unconventional myosin-IXb</t>
  </si>
  <si>
    <t>Rho-associated protein kinase 1</t>
  </si>
  <si>
    <t>Isoform 2 of Baculoviral IAP repeat-containing protein 2</t>
  </si>
  <si>
    <t>Isoform 3 of Phosphatidylinositol-binding clathrin assembly protein</t>
  </si>
  <si>
    <t>Myotubularin</t>
  </si>
  <si>
    <t>Isoform 2 of Sequestosome-1</t>
  </si>
  <si>
    <t>Protein phosphatase 1 regulatory subunit 1A</t>
  </si>
  <si>
    <t>Peptidyl-prolyl cis-trans isomerase NIMA-interacting 1</t>
  </si>
  <si>
    <t>Eukaryotic translation initiation factor 4E-binding protein 1</t>
  </si>
  <si>
    <t>Eukaryotic translation initiation factor 4E-binding protein 2</t>
  </si>
  <si>
    <t>Receptor-interacting serine/threonine-protein kinase 1</t>
  </si>
  <si>
    <t>Histone deacetylase 1</t>
  </si>
  <si>
    <t>Isoform 7 of Calcium/calmodulin-dependent protein kinase type II subunit beta</t>
  </si>
  <si>
    <t>Isoform 10 of Calcium/calmodulin-dependent protein kinase type II subunit gamma</t>
  </si>
  <si>
    <t>Isoform Delta 6 of Calcium/calmodulin-dependent protein kinase type II subunit delta</t>
  </si>
  <si>
    <t>Dynactin subunit 2</t>
  </si>
  <si>
    <t>Inositol-tetrakisphosphate 1-kinase</t>
  </si>
  <si>
    <t>SNW domain-containing protein 1</t>
  </si>
  <si>
    <t>Ras GTPase-activating-like protein IQGAP2</t>
  </si>
  <si>
    <t>Stromal interaction molecule 1</t>
  </si>
  <si>
    <t>Sorting nexin-1</t>
  </si>
  <si>
    <t>Periodic tryptophan protein 1 homolog</t>
  </si>
  <si>
    <t>Cullin-1</t>
  </si>
  <si>
    <t>Cullin-2</t>
  </si>
  <si>
    <t>Cullin-3</t>
  </si>
  <si>
    <t>Cullin-4A</t>
  </si>
  <si>
    <t>Isoform 2 of Cullin-4B</t>
  </si>
  <si>
    <t>Apoptosis-stimulating of p53 protein 2</t>
  </si>
  <si>
    <t>Isoform 2 of Dual specificity tyrosine-phosphorylation-regulated kinase 1A</t>
  </si>
  <si>
    <t>GDP-L-fucose synthase</t>
  </si>
  <si>
    <t>Isoform 1 of Four and a half LIM domains protein 1</t>
  </si>
  <si>
    <t>Four and a half LIM domains protein 3</t>
  </si>
  <si>
    <t>Alkylated DNA repair protein alkB homolog 1</t>
  </si>
  <si>
    <t>Protein Shroom2</t>
  </si>
  <si>
    <t>Isoform 2 of Spectrin alpha chain, non-erythrocytic 1</t>
  </si>
  <si>
    <t>Spectrin alpha chain, non-erythrocytic 1</t>
  </si>
  <si>
    <t>Methylglutaconyl-CoA hydratase, mitochondrial</t>
  </si>
  <si>
    <t>Spliceosome RNA helicase DDX39B</t>
  </si>
  <si>
    <t>Bleomycin hydrolase</t>
  </si>
  <si>
    <t>Exosome complex component RRP4</t>
  </si>
  <si>
    <t>Beta-1-syntrophin</t>
  </si>
  <si>
    <t>Tubulin beta-2A chain</t>
  </si>
  <si>
    <t>Isopentenyl-diphosphate Delta-isomerase 1</t>
  </si>
  <si>
    <t>Calcyphosin</t>
  </si>
  <si>
    <t>Isoform 2 of Core-binding factor subunit beta</t>
  </si>
  <si>
    <t>Isoform 2 of Cyclin-dependent kinase 13</t>
  </si>
  <si>
    <t>Isoform 3 of Pro-interleukin-16</t>
  </si>
  <si>
    <t>Isoform 2 of Cytoskeleton-associated protein 5</t>
  </si>
  <si>
    <t>Cold-inducible RNA-binding protein</t>
  </si>
  <si>
    <t>Calcium/calmodulin-dependent protein kinase type 1</t>
  </si>
  <si>
    <t>Coactosin-like protein</t>
  </si>
  <si>
    <t>Bile acid-CoA:amino acid N-acyltransferase</t>
  </si>
  <si>
    <t>Cytochrome c oxidase copper chaperone</t>
  </si>
  <si>
    <t>Isoform 3 of Heterogeneous nuclear ribonucleoprotein D0</t>
  </si>
  <si>
    <t>Isoform 4 of Heterogeneous nuclear ribonucleoprotein D0</t>
  </si>
  <si>
    <t>Isoform 2 of Interleukin-18</t>
  </si>
  <si>
    <t>Dihydropyrimidinase</t>
  </si>
  <si>
    <t>Dystroglycan</t>
  </si>
  <si>
    <t>Desmoglein-2</t>
  </si>
  <si>
    <t>Ribosome biogenesis protein BOP1</t>
  </si>
  <si>
    <t>Ubiquitin conjugation factor E4 A</t>
  </si>
  <si>
    <t>Isoform I of Septin-6</t>
  </si>
  <si>
    <t>Scaffold attachment factor B2</t>
  </si>
  <si>
    <t>Isoform 1 of Rho guanine nucleotide exchange factor 7</t>
  </si>
  <si>
    <t>Ubiquitin-associated protein 2-like</t>
  </si>
  <si>
    <t>Protein scribble homolog</t>
  </si>
  <si>
    <t>ARF GTPase-activating protein GIT2</t>
  </si>
  <si>
    <t>Tubulin--tyrosine ligase-like protein 12</t>
  </si>
  <si>
    <t>DNA polymerase alpha subunit B</t>
  </si>
  <si>
    <t>Dedicator of cytokinesis protein 1</t>
  </si>
  <si>
    <t>Four and a half LIM domains protein 2</t>
  </si>
  <si>
    <t>Isoform 6 of Dynactin subunit 1</t>
  </si>
  <si>
    <t>Cytoplasmic dynein 1 heavy chain 1</t>
  </si>
  <si>
    <t>Translation initiation factor eIF-2B subunit alpha</t>
  </si>
  <si>
    <t>Eukaryotic initiation factor 4A-II</t>
  </si>
  <si>
    <t>Transcription elongation factor B polypeptide 3</t>
  </si>
  <si>
    <t>Isoform 2 of Ensconsin</t>
  </si>
  <si>
    <t>Isoform 3 of Src substrate cortactin</t>
  </si>
  <si>
    <t>Src substrate cortactin</t>
  </si>
  <si>
    <t>Endonuclease G, mitochondrial</t>
  </si>
  <si>
    <t>Reticulocalbin-2</t>
  </si>
  <si>
    <t>E3 ubiquitin/ISG15 ligase TRIM25</t>
  </si>
  <si>
    <t>Isoform 2 of Protein-tyrosine kinase 2-beta</t>
  </si>
  <si>
    <t>Isoform 2 of Peptidyl-prolyl cis-trans isomerase FKBP8</t>
  </si>
  <si>
    <t>Peptidyl-prolyl cis-trans isomerase FKBP8</t>
  </si>
  <si>
    <t>Protein FAM50A</t>
  </si>
  <si>
    <t>Guanidinoacetate N-methyltransferase</t>
  </si>
  <si>
    <t>UDP-glucose 4-epimerase</t>
  </si>
  <si>
    <t>Glucokinase regulatory protein</t>
  </si>
  <si>
    <t>Isoform 2 of Caprin-1</t>
  </si>
  <si>
    <t>Isoform 2 of RNA-binding protein 39</t>
  </si>
  <si>
    <t>Isoform 2 of Hyaluronan-binding protein 2</t>
  </si>
  <si>
    <t>Helicase-like transcription factor</t>
  </si>
  <si>
    <t>Protein disulfide-isomerase A5</t>
  </si>
  <si>
    <t>Phosphoribosyl pyrophosphate synthase-associated protein 1</t>
  </si>
  <si>
    <t>DNA replication licensing factor MCM6</t>
  </si>
  <si>
    <t>Isoform 2 of Next to BRCA1 gene 1 protein</t>
  </si>
  <si>
    <t>Inter-alpha-trypsin inhibitor heavy chain H4</t>
  </si>
  <si>
    <t>Plastin-1</t>
  </si>
  <si>
    <t>Interferon regulatory factor 3</t>
  </si>
  <si>
    <t>L antigen family member 3</t>
  </si>
  <si>
    <t>E3 ubiquitin-protein ligase TRIP12</t>
  </si>
  <si>
    <t>Isoform 3 of Mediator of DNA damage checkpoint protein 1</t>
  </si>
  <si>
    <t>Clathrin interactor 1</t>
  </si>
  <si>
    <t>Isoform 2 of KN motif and ankyrin repeat domain-containing protein 1</t>
  </si>
  <si>
    <t>Structural maintenance of chromosomes protein 1A</t>
  </si>
  <si>
    <t>Isoform 2 of Ribosomal RNA processing protein 1 homolog B</t>
  </si>
  <si>
    <t>Isoform 2 of Genetic suppressor element 1</t>
  </si>
  <si>
    <t>Isoform 6 of Disco-interacting protein 2 homolog A</t>
  </si>
  <si>
    <t>Protein RRP5 homolog</t>
  </si>
  <si>
    <t>Ubiquitin carboxyl-terminal hydrolase 10</t>
  </si>
  <si>
    <t>LDLR chaperone MESD</t>
  </si>
  <si>
    <t>Isoform 2 of Neutral alpha-glucosidase AB</t>
  </si>
  <si>
    <t>Neutral alpha-glucosidase AB</t>
  </si>
  <si>
    <t>Glycine N-methyltransferase</t>
  </si>
  <si>
    <t>Golgin subfamily B member 1</t>
  </si>
  <si>
    <t>Caspase-8</t>
  </si>
  <si>
    <t>N-alpha-acetyltransferase 30</t>
  </si>
  <si>
    <t>Isoform MEF2D00 of Myocyte-specific enhancer factor 2D</t>
  </si>
  <si>
    <t>LIM and SH3 domain protein 1</t>
  </si>
  <si>
    <t>Thiomorpholine-carboxylate dehydrogenase</t>
  </si>
  <si>
    <t>Isoform 2 of Prostaglandin reductase 1</t>
  </si>
  <si>
    <t>Isoform 5 of Nuclear factor 1 X-type</t>
  </si>
  <si>
    <t>Zinc finger protein 638</t>
  </si>
  <si>
    <t>Importin subunit beta-1</t>
  </si>
  <si>
    <t>Nucleolar and coiled-body phosphoprotein 1</t>
  </si>
  <si>
    <t>Nuclear mitotic apparatus protein 1</t>
  </si>
  <si>
    <t>Proteasome activator complex subunit 4</t>
  </si>
  <si>
    <t>Isoform 4 of GTPase-activating protein and VPS9 domain-containing protein 1</t>
  </si>
  <si>
    <t>Isoform 2 of N-alpha-acetyltransferase 25, NatB auxiliary subunit</t>
  </si>
  <si>
    <t>Hepatocyte cell adhesion molecule</t>
  </si>
  <si>
    <t>Pre-mRNA-splicing regulator WTAP</t>
  </si>
  <si>
    <t>26S proteasome non-ATPase regulatory subunit 6</t>
  </si>
  <si>
    <t>BRISC complex subunit Abro1</t>
  </si>
  <si>
    <t>Septin-2</t>
  </si>
  <si>
    <t>Squamous cell carcinoma antigen recognized by T-cells 3</t>
  </si>
  <si>
    <t>Exosome complex component RRP42</t>
  </si>
  <si>
    <t>Isoform 2 of 116 kDa U5 small nuclear ribonucleoprotein component</t>
  </si>
  <si>
    <t>Isoform 2 of Sorting nexin-17</t>
  </si>
  <si>
    <t>Isoform 2 of Zinc transporter ZIP14</t>
  </si>
  <si>
    <t>Lysine--tRNA ligase</t>
  </si>
  <si>
    <t>Leucine-rich repeat-containing protein 14</t>
  </si>
  <si>
    <t>Rho guanine nucleotide exchange factor 6</t>
  </si>
  <si>
    <t>Isoform Short of Eukaryotic translation initiation factor 4H</t>
  </si>
  <si>
    <t>Arf-GAP with coiled-coil, ANK repeat and PH domain-containing protein 2</t>
  </si>
  <si>
    <t>Bromodomain-containing protein 3</t>
  </si>
  <si>
    <t>Isoform 4 of Periostin</t>
  </si>
  <si>
    <t>Isoform 2 of Peroxisomal acyl-coenzyme A oxidase 1</t>
  </si>
  <si>
    <t>Peroxisomal acyl-coenzyme A oxidase 1</t>
  </si>
  <si>
    <t>Early endosome antigen 1</t>
  </si>
  <si>
    <t>Platelet-activating factor acetylhydrolase IB subunit gamma</t>
  </si>
  <si>
    <t>[Pyruvate dehydrogenase [lipoamide]] kinase isozyme 1, mitochondrial</t>
  </si>
  <si>
    <t>[Pyruvate dehydrogenase [lipoamide]] kinase isozyme 2, mitochondrial</t>
  </si>
  <si>
    <t>[Pyruvate dehydrogenase [lipoamide]] kinase isozyme 3, mitochondrial</t>
  </si>
  <si>
    <t>Isoform 2 of Phosphoglucomutase-like protein 5</t>
  </si>
  <si>
    <t>Phosphomevalonate kinase</t>
  </si>
  <si>
    <t>Isoform 8 of Plectin</t>
  </si>
  <si>
    <t>Isoform 2 of Transcription elongation factor A protein-like 1</t>
  </si>
  <si>
    <t>Serine/threonine-protein phosphatase 2A 56 kDa regulatory subunit alpha isoform</t>
  </si>
  <si>
    <t>Inorganic pyrophosphatase</t>
  </si>
  <si>
    <t>Serine/threonine-protein kinase 38</t>
  </si>
  <si>
    <t>Non-POU domain-containing octamer-binding protein</t>
  </si>
  <si>
    <t>Isoform 1 of Serine/threonine-protein phosphatase 2A activator</t>
  </si>
  <si>
    <t>Serine/threonine-protein phosphatase 2A activator</t>
  </si>
  <si>
    <t>Receptor-type tyrosine-protein phosphatase kappa</t>
  </si>
  <si>
    <t>Nicotinate-nucleotide pyrophosphorylase [carboxylating]</t>
  </si>
  <si>
    <t>Rab GTPase-binding effector protein 1</t>
  </si>
  <si>
    <t>Isoform 2 of Ras GTPase-activating protein 2</t>
  </si>
  <si>
    <t>Retinoblastoma-binding protein 5</t>
  </si>
  <si>
    <t>Reticulocalbin-1</t>
  </si>
  <si>
    <t>RalA-binding protein 1</t>
  </si>
  <si>
    <t>Leucine-rich repeat-containing protein 41</t>
  </si>
  <si>
    <t>Poly(rC)-binding protein 1</t>
  </si>
  <si>
    <t>GTP-binding protein Rheb</t>
  </si>
  <si>
    <t>Ubiquitin-protein ligase E3C</t>
  </si>
  <si>
    <t>Splicing factor 3B subunit 3</t>
  </si>
  <si>
    <t>Ras suppressor protein 1</t>
  </si>
  <si>
    <t>Calponin-3</t>
  </si>
  <si>
    <t>Scaffold attachment factor B1</t>
  </si>
  <si>
    <t>Splicing factor 3B subunit 4</t>
  </si>
  <si>
    <t>Splicing factor 3A subunit 2</t>
  </si>
  <si>
    <t>Protein phosphatase 1 regulatory subunit 7</t>
  </si>
  <si>
    <t>Protein transport protein Sec23B</t>
  </si>
  <si>
    <t>Splicing factor 3A subunit 1</t>
  </si>
  <si>
    <t>Helicase SKI2W</t>
  </si>
  <si>
    <t>Regucalcin</t>
  </si>
  <si>
    <t>Isoform 2 of Surfeit locus protein 1</t>
  </si>
  <si>
    <t>Surfeit locus protein 2</t>
  </si>
  <si>
    <t>Telomeric repeat-binding factor 2</t>
  </si>
  <si>
    <t>Isoform 4 of Microtubule-associated protein RP/EB family member 2</t>
  </si>
  <si>
    <t>Nuclear receptor coactivator 2</t>
  </si>
  <si>
    <t>Na(+)/H(+) exchange regulatory cofactor NHE-RF2</t>
  </si>
  <si>
    <t>Tumor necrosis factor receptor type 1-associated DEATH domain protein</t>
  </si>
  <si>
    <t>Isoform 2 of RISC-loading complex subunit TARBP2</t>
  </si>
  <si>
    <t>Isoform 5 of Splicing factor 1</t>
  </si>
  <si>
    <t>Cdc42-interacting protein 4</t>
  </si>
  <si>
    <t>Thyroid receptor-interacting protein 11</t>
  </si>
  <si>
    <t>Activating signal cointegrator 1</t>
  </si>
  <si>
    <t>High mobility group nucleosome-binding domain-containing protein 3</t>
  </si>
  <si>
    <t>Probable JmjC domain-containing histone demethylation protein 2C</t>
  </si>
  <si>
    <t>Thyroid receptor-interacting protein 6</t>
  </si>
  <si>
    <t>Microtubule-associated protein RP/EB family member 1</t>
  </si>
  <si>
    <t>Isoform 2 of TSC22 domain family protein 1</t>
  </si>
  <si>
    <t>ELAV-like protein 1</t>
  </si>
  <si>
    <t>Sterol-4-alpha-carboxylate 3-dehydrogenase, decarboxylating</t>
  </si>
  <si>
    <t>Isoform 2 of Myosin light chain kinase, smooth muscle</t>
  </si>
  <si>
    <t>Isoform 2 of TGF-beta-activated kinase 1 and MAP3K7-binding protein 1</t>
  </si>
  <si>
    <t>Mitochondrial import receptor subunit TOM34</t>
  </si>
  <si>
    <t>Tubulin-specific chaperone E</t>
  </si>
  <si>
    <t>Tubulin-specific chaperone C</t>
  </si>
  <si>
    <t>Ubiquitin-conjugating enzyme E2 variant 2</t>
  </si>
  <si>
    <t>Syntaxin-binding protein 2</t>
  </si>
  <si>
    <t>Adipogenesis regulatory factor</t>
  </si>
  <si>
    <t>Ras-related protein Rab-11B</t>
  </si>
  <si>
    <t>Zyxin</t>
  </si>
  <si>
    <t>Electron transfer flavoprotein-ubiquinone oxidoreductase, mitochondrial</t>
  </si>
  <si>
    <t>Septin-7</t>
  </si>
  <si>
    <t>Proteasomal ubiquitin receptor ADRM1</t>
  </si>
  <si>
    <t>Coiled-coil domain-containing protein 6</t>
  </si>
  <si>
    <t>Isoform AGX1 of UDP-N-acetylhexosamine pyrophosphorylase</t>
  </si>
  <si>
    <t>Isoform 2 of Insulin-like growth factor-binding protein 7</t>
  </si>
  <si>
    <t>Isoform 2 of 26S proteasome non-ATPase regulatory subunit 5</t>
  </si>
  <si>
    <t>Isoform 3 of Serine/threonine-protein kinase N2</t>
  </si>
  <si>
    <t>DNA damage-binding protein 1</t>
  </si>
  <si>
    <t>Mitogen-activated protein kinase 14</t>
  </si>
  <si>
    <t>Hsp90 co-chaperone Cdc37</t>
  </si>
  <si>
    <t>Isoform 2 of Dihydropyrimidinase-related protein 2</t>
  </si>
  <si>
    <t>Histone-binding protein RBBP7</t>
  </si>
  <si>
    <t>Isoform 5 of Occludin</t>
  </si>
  <si>
    <t>Male-enhanced antigen 1</t>
  </si>
  <si>
    <t>Isoform 3 of Serine/arginine-rich splicing factor 7</t>
  </si>
  <si>
    <t>MAP kinase-activated protein kinase 3</t>
  </si>
  <si>
    <t>[Pyruvate dehydrogenase [lipoamide]] kinase isozyme 4, mitochondrial</t>
  </si>
  <si>
    <t>Fascin</t>
  </si>
  <si>
    <t>Kynureninase</t>
  </si>
  <si>
    <t>Putative ATP-dependent Clp protease proteolytic subunit, mitochondrial</t>
  </si>
  <si>
    <t>Thiosulfate sulfurtransferase</t>
  </si>
  <si>
    <t>Kynurenine--oxoglutarate transaminase 1</t>
  </si>
  <si>
    <t>Hydroxyacylglutathione hydrolase, mitochondrial</t>
  </si>
  <si>
    <t>Phosphoenolpyruvate carboxykinase [GTP], mitochondrial</t>
  </si>
  <si>
    <t>Tyrosine-protein phosphatase non-receptor type 21</t>
  </si>
  <si>
    <t>Uridine phosphorylase 1</t>
  </si>
  <si>
    <t>Hydroxyacyl-coenzyme A dehydrogenase, mitochondrial</t>
  </si>
  <si>
    <t>Isoform 2 of UTP--glucose-1-phosphate uridylyltransferase</t>
  </si>
  <si>
    <t>UTP--glucose-1-phosphate uridylyltransferase</t>
  </si>
  <si>
    <t>Deoxyguanosine kinase, mitochondrial</t>
  </si>
  <si>
    <t>V-type proton ATPase subunit F</t>
  </si>
  <si>
    <t>Cysteine dioxygenase type 1</t>
  </si>
  <si>
    <t>Isoform 5 of Putative deoxyribonuclease TATDN3</t>
  </si>
  <si>
    <t>Exocyst complex component 3-like protein 4</t>
  </si>
  <si>
    <t>Protein FAM98C</t>
  </si>
  <si>
    <t>Protein FAM110C</t>
  </si>
  <si>
    <t>Inverted formin-2</t>
  </si>
  <si>
    <t>HLA class I histocompatibility antigen, B-67 alpha chain</t>
  </si>
  <si>
    <t>Sister chromatid cohesion protein PDS5 homolog A</t>
  </si>
  <si>
    <t>Protein CLEC16A</t>
  </si>
  <si>
    <t>WASH complex subunit 7</t>
  </si>
  <si>
    <t>Pre-rRNA-processing protein TSR1 homolog</t>
  </si>
  <si>
    <t>Isoform 3 of Ral GTPase-activating protein subunit alpha-2</t>
  </si>
  <si>
    <t>Peroxisomal leader peptide-processing protease</t>
  </si>
  <si>
    <t>WD40 repeat-containing protein SMU1</t>
  </si>
  <si>
    <t>Acid trehalase-like protein 1</t>
  </si>
  <si>
    <t>Isoform 2 of Leucine-rich repeat flightless-interacting protein 1</t>
  </si>
  <si>
    <t>Isoform 3 of Leucine-rich repeat flightless-interacting protein 1</t>
  </si>
  <si>
    <t>Isoform 4 of Leucine-rich repeat flightless-interacting protein 1</t>
  </si>
  <si>
    <t>tRNA (guanine(37)-N1)-methyltransferase</t>
  </si>
  <si>
    <t>Echinoderm microtubule-associated protein-like 3</t>
  </si>
  <si>
    <t>Glucose-fructose oxidoreductase domain-containing protein 2</t>
  </si>
  <si>
    <t>Bifunctional ATP-dependent dihydroxyacetone kinase/FAD-AMP lyase (cyclizing)</t>
  </si>
  <si>
    <t>Protein LSM12 homolog</t>
  </si>
  <si>
    <t>Putative tRNA pseudouridine synthase Pus10</t>
  </si>
  <si>
    <t>Rab-like protein 6</t>
  </si>
  <si>
    <t>Tubulin beta-8 chain</t>
  </si>
  <si>
    <t>Galectin-related protein</t>
  </si>
  <si>
    <t>Isoform 5 of Putative oxidoreductase GLYR1</t>
  </si>
  <si>
    <t>Cerebral dopamine neurotrophic factor</t>
  </si>
  <si>
    <t>Isoform 2 of UPF0489 protein C5orf22</t>
  </si>
  <si>
    <t>Cytochrome c oxidase assembly protein COX19</t>
  </si>
  <si>
    <t>Vacuolar protein sorting-associated protein 26B</t>
  </si>
  <si>
    <t>La-related protein 7</t>
  </si>
  <si>
    <t>NAD kinase domain-containing protein 1, mitochondrial</t>
  </si>
  <si>
    <t>BTB/POZ domain-containing protein KCTD21</t>
  </si>
  <si>
    <t>Acyl-CoA synthetase family member 3, mitochondrial</t>
  </si>
  <si>
    <t>Isoform 4 of Prolyl endopeptidase-like</t>
  </si>
  <si>
    <t>TBC1 domain family member 10B</t>
  </si>
  <si>
    <t>Isoform 2 of Taperin</t>
  </si>
  <si>
    <t>Isoform 3 of 1-phosphatidylinositol 4,5-bisphosphate phosphodiesterase eta-1</t>
  </si>
  <si>
    <t>Isoform 3 of AT-rich interactive domain-containing protein 4B</t>
  </si>
  <si>
    <t>GRIP1-associated protein 1</t>
  </si>
  <si>
    <t>Zinc finger protein 658B</t>
  </si>
  <si>
    <t>Isoform 2 of PAB-dependent poly(A)-specific ribonuclease subunit 2</t>
  </si>
  <si>
    <t>Isoform 2 of Protein FAM98B</t>
  </si>
  <si>
    <t>Rho GTPase-activating protein 29</t>
  </si>
  <si>
    <t>Isoform 2 of Programmed cell death protein 4</t>
  </si>
  <si>
    <t>Uncharacterized protein C17orf85</t>
  </si>
  <si>
    <t>Quinone oxidoreductase PIG3</t>
  </si>
  <si>
    <t>Acyl-coenzyme A synthetase ACSM3, mitochondrial</t>
  </si>
  <si>
    <t>Isoform 3 of U4/U6.U5 tri-snRNP-associated protein 2</t>
  </si>
  <si>
    <t>Beta-lactamase-like protein 2</t>
  </si>
  <si>
    <t>Protein TSSC1</t>
  </si>
  <si>
    <t>Single-strand selective monofunctional uracil DNA glycosylase</t>
  </si>
  <si>
    <t>Ankyrin repeat domain-containing protein SOWAHC</t>
  </si>
  <si>
    <t>BolA-like protein 3</t>
  </si>
  <si>
    <t>Isoform 4 of Cordon-bleu protein-like 1</t>
  </si>
  <si>
    <t>HCLS1-binding protein 3</t>
  </si>
  <si>
    <t>Putative heat shock protein HSP 90-beta 2</t>
  </si>
  <si>
    <t>DDB1- and CUL4-associated factor 6</t>
  </si>
  <si>
    <t>Putative 60S ribosomal protein L39-like 5</t>
  </si>
  <si>
    <t>Oxidoreductase-like domain-containing protein 1</t>
  </si>
  <si>
    <t>DBIRD complex subunit ZNF326</t>
  </si>
  <si>
    <t>Nucleolar MIF4G domain-containing protein 1</t>
  </si>
  <si>
    <t>Filaggrin-2</t>
  </si>
  <si>
    <t>Isoform 2 of RILP-like protein 1</t>
  </si>
  <si>
    <t>PDZ domain-containing protein 11</t>
  </si>
  <si>
    <t>UMP-CMP kinase 2, mitochondrial</t>
  </si>
  <si>
    <t>DnaJ homolog subfamily C member 21</t>
  </si>
  <si>
    <t>Isoform 3 of Probable E3 ubiquitin-protein ligase HERC4</t>
  </si>
  <si>
    <t>Isoform 3 of SH3 domain-containing protein 19</t>
  </si>
  <si>
    <t>Tetratricopeptide repeat protein 32</t>
  </si>
  <si>
    <t>Presequence protease, mitochondrial</t>
  </si>
  <si>
    <t>NHL repeat-containing protein 3</t>
  </si>
  <si>
    <t>Proteasome assembly chaperone 4</t>
  </si>
  <si>
    <t>Isoform 2 of WD repeat-containing protein 44</t>
  </si>
  <si>
    <t>Isoform 1 of Protein PRRC2B</t>
  </si>
  <si>
    <t>Isoform 2 of APC membrane recruitment protein 1</t>
  </si>
  <si>
    <t>Isoform 2 of Tight junction-associated protein 1</t>
  </si>
  <si>
    <t>Isoform 3 of Cytochrome c oxidase assembly factor 6 homolog</t>
  </si>
  <si>
    <t>Torsin-1A-interacting protein 1</t>
  </si>
  <si>
    <t>Alanine--tRNA ligase, mitochondrial</t>
  </si>
  <si>
    <t>Isoform 3 of PCI domain-containing protein 2</t>
  </si>
  <si>
    <t>Collectin-12</t>
  </si>
  <si>
    <t>Isoform 3 of Serine/threonine-protein phosphatase 4 regulatory subunit 3B</t>
  </si>
  <si>
    <t>Isoform 2 of WD repeat domain phosphoinositide-interacting protein 1</t>
  </si>
  <si>
    <t>EGF domain-specific O-linked N-acetylglucosamine transferase</t>
  </si>
  <si>
    <t>Tubulin-specific chaperone cofactor E-like protein</t>
  </si>
  <si>
    <t>Isoform 4 of Rab GTPase-activating protein 1-like</t>
  </si>
  <si>
    <t>Tetratricopeptide repeat protein 38</t>
  </si>
  <si>
    <t>Uncharacterized protein C1orf173</t>
  </si>
  <si>
    <t>Exosome complex component MTR3</t>
  </si>
  <si>
    <t>Phytanoyl-CoA dioxygenase domain-containing protein 1</t>
  </si>
  <si>
    <t>Heterochromatin protein 1-binding protein 3</t>
  </si>
  <si>
    <t>Valine--tRNA ligase, mitochondrial</t>
  </si>
  <si>
    <t>Isoform 2 of Centrosomal protein of 170 kDa</t>
  </si>
  <si>
    <t>DNL-type zinc finger protein</t>
  </si>
  <si>
    <t>Isoform 2 of NHS-like protein 1</t>
  </si>
  <si>
    <t>Isoform 3 of Formin-binding protein 1-like</t>
  </si>
  <si>
    <t>Probable arginine--tRNA ligase, mitochondrial</t>
  </si>
  <si>
    <t>Acyl-coenzyme A thioesterase THEM4</t>
  </si>
  <si>
    <t>FK506-binding protein 15</t>
  </si>
  <si>
    <t>Zinc finger CCCH domain-containing protein 13</t>
  </si>
  <si>
    <t>UPF0668 protein C10orf76</t>
  </si>
  <si>
    <t>Na(+)/H(+) exchange regulatory cofactor NHE-RF3</t>
  </si>
  <si>
    <t>Putative transferase CAF17, mitochondrial</t>
  </si>
  <si>
    <t>E3 ubiquitin-protein ligase HECTD3</t>
  </si>
  <si>
    <t>Isoform 6 of Protrudin</t>
  </si>
  <si>
    <t>Isoform 3 of E3 ubiquitin-protein ligase UBR4</t>
  </si>
  <si>
    <t>Sickle tail protein homolog</t>
  </si>
  <si>
    <t>Rho GTPase-activating protein 21</t>
  </si>
  <si>
    <t>Probable gluconokinase</t>
  </si>
  <si>
    <t>UPF0553 protein C9orf64</t>
  </si>
  <si>
    <t>Keratinocyte proline-rich protein</t>
  </si>
  <si>
    <t>RAB6-interacting golgin</t>
  </si>
  <si>
    <t>Isoform 2 of Acyl-CoA-binding domain-containing protein 5</t>
  </si>
  <si>
    <t>Acyl-CoA-binding domain-containing protein 5</t>
  </si>
  <si>
    <t>Isoform 2 of RNA-binding protein 26</t>
  </si>
  <si>
    <t>Glycolipid transfer protein domain-containing protein 1</t>
  </si>
  <si>
    <t>Protein furry homolog</t>
  </si>
  <si>
    <t>ATP synthase mitochondrial F1 complex assembly factor 1</t>
  </si>
  <si>
    <t>Isoform 4 of Membrane-associated guanylate kinase, WW and PDZ domain-containing protein 3</t>
  </si>
  <si>
    <t>Protein DDI1 homolog 2</t>
  </si>
  <si>
    <t>NADH dehydrogenase [ubiquinone] 1 alpha subcomplex assembly factor 5</t>
  </si>
  <si>
    <t>5-nucleotidase domain-containing protein 1</t>
  </si>
  <si>
    <t>Signal-regulatory protein beta-1 isoform 3</t>
  </si>
  <si>
    <t>PX domain-containing protein 1</t>
  </si>
  <si>
    <t>Rootletin</t>
  </si>
  <si>
    <t>Complex III assembly factor LYRM7</t>
  </si>
  <si>
    <t>Isoform 2 of Telomere-associated protein RIF1</t>
  </si>
  <si>
    <t>Isoform 4 of Vacuolar protein sorting-associated protein 53 homolog</t>
  </si>
  <si>
    <t>Striatin-interacting protein 1</t>
  </si>
  <si>
    <t>Isoform 2 of G kinase-anchoring protein 1</t>
  </si>
  <si>
    <t>Centrosome-associated protein 350</t>
  </si>
  <si>
    <t>Regulation of nuclear pre-mRNA domain-containing protein 2</t>
  </si>
  <si>
    <t>Putative elongation factor 1-alpha-like 3</t>
  </si>
  <si>
    <t>Isoform 5 of Tetratricopeptide repeat protein 39B</t>
  </si>
  <si>
    <t>E3 ubiquitin-protein ligase BRE1A</t>
  </si>
  <si>
    <t>ATP synthase subunit epsilon-like protein, mitochondrial</t>
  </si>
  <si>
    <t>Zinc finger protein 318</t>
  </si>
  <si>
    <t>Uncharacterized protein C1orf53</t>
  </si>
  <si>
    <t>UPF0369 protein C6orf57</t>
  </si>
  <si>
    <t>Rho guanine nucleotide exchange factor 16</t>
  </si>
  <si>
    <t>Isoform 2 of Ubiquitin thioesterase OTU1</t>
  </si>
  <si>
    <t>BRO1 domain-containing protein BROX</t>
  </si>
  <si>
    <t>Focadhesin</t>
  </si>
  <si>
    <t>Sorting nexin-30</t>
  </si>
  <si>
    <t>Muscular LMNA-interacting protein</t>
  </si>
  <si>
    <t>Isoform 3 of Disabled homolog 2-interacting protein</t>
  </si>
  <si>
    <t>Lysophospholipase-like protein 1</t>
  </si>
  <si>
    <t>Proteasome-associated protein ECM29 homolog</t>
  </si>
  <si>
    <t>Isoform 6 of Terminal uridylyltransferase 7</t>
  </si>
  <si>
    <t>Isoform 2 of Renalase</t>
  </si>
  <si>
    <t>N-alpha-acetyltransferase 35, NatC auxiliary subunit</t>
  </si>
  <si>
    <t>Leucine-rich repeat-containing protein 16A</t>
  </si>
  <si>
    <t>Protein FAM160B1</t>
  </si>
  <si>
    <t>SPRY domain-containing protein 7</t>
  </si>
  <si>
    <t>E3 ubiquitin-protein ligase RNF123</t>
  </si>
  <si>
    <t>Kynurenine formamidase</t>
  </si>
  <si>
    <t>E3 ubiquitin-protein ligase RNF213</t>
  </si>
  <si>
    <t>Isoform 3 of KN motif and ankyrin repeat domain-containing protein 2</t>
  </si>
  <si>
    <t>Protein FAM91A1</t>
  </si>
  <si>
    <t>Isoform 9 of La-related protein 1B</t>
  </si>
  <si>
    <t>Isoform 2 of TBC1 domain family member 9B</t>
  </si>
  <si>
    <t>Serine/threonine-protein phosphatase 2A 55 kDa regulatory subunit B delta isoform</t>
  </si>
  <si>
    <t>Isoform 5 of ADP-ribosylation factor-like protein 6-interacting protein 4</t>
  </si>
  <si>
    <t>ADP-ribosylation factor-like protein 6-interacting protein 4</t>
  </si>
  <si>
    <t>Isoform 2 of Autophagy-related protein 16-1</t>
  </si>
  <si>
    <t>Acyl-coenzyme A synthetase ACSM2B, mitochondrial</t>
  </si>
  <si>
    <t>Tensin-3</t>
  </si>
  <si>
    <t>Isoform 3 of Protein SPT2 homolog</t>
  </si>
  <si>
    <t>LMBR1 domain-containing protein 2</t>
  </si>
  <si>
    <t>Isoform 2 of Integrator complex subunit 3</t>
  </si>
  <si>
    <t>Isoform 6 of Rho GTPase-activating protein 17</t>
  </si>
  <si>
    <t>CWF19-like protein 1</t>
  </si>
  <si>
    <t>Isoform 3 of Protein virilizer homolog</t>
  </si>
  <si>
    <t>Isoform 2 of Cytospin-A</t>
  </si>
  <si>
    <t>Putative 3-phosphoinositide-dependent protein kinase 2</t>
  </si>
  <si>
    <t>Isoform 3 of Protein WWC2</t>
  </si>
  <si>
    <t>Zinc finger protein 787</t>
  </si>
  <si>
    <t>Atlastin-3</t>
  </si>
  <si>
    <t>Isoform 2 of Adenosine deaminase-like protein</t>
  </si>
  <si>
    <t>Tetratricopeptide repeat protein 19, mitochondrial</t>
  </si>
  <si>
    <t>Isoform 2 of IQ motif and SEC7 domain-containing protein 1</t>
  </si>
  <si>
    <t>Vasorin</t>
  </si>
  <si>
    <t>Isoform 3 of Anamorsin</t>
  </si>
  <si>
    <t>Isoform 2 of AN1-type zinc finger protein 6</t>
  </si>
  <si>
    <t>SET and MYND domain-containing protein 5</t>
  </si>
  <si>
    <t>Putative peptidyl-tRNA hydrolase PTRHD1</t>
  </si>
  <si>
    <t>Isoform 2 of OTU domain-containing protein 7B</t>
  </si>
  <si>
    <t>Isoform 4 of Ral GTPase-activating protein subunit alpha-1</t>
  </si>
  <si>
    <t>Glutamine-dependent NAD(+) synthetase</t>
  </si>
  <si>
    <t>Isoform 2 of Elongator complex protein 2</t>
  </si>
  <si>
    <t>Glycine N-acyltransferase</t>
  </si>
  <si>
    <t>Twinfilin-2</t>
  </si>
  <si>
    <t>GRAM domain-containing protein 4</t>
  </si>
  <si>
    <t>Isoform 3 of Uncharacterized protein KIAA0930</t>
  </si>
  <si>
    <t>Isoform 2 of Serine/threonine-protein phosphatase 4 regulatory subunit 3A</t>
  </si>
  <si>
    <t>LYR motif-containing protein 5</t>
  </si>
  <si>
    <t>Ras-related protein Rab-12</t>
  </si>
  <si>
    <t>Isoform 2 of Pleckstrin homology domain-containing family A member 7</t>
  </si>
  <si>
    <t>Isoform 3 of Protein SDE2 homolog</t>
  </si>
  <si>
    <t>Isoform 2 of CapZ-interacting protein</t>
  </si>
  <si>
    <t>Acyl-CoA dehydrogenase family member 10</t>
  </si>
  <si>
    <t>Isoform 2 of Keratin, type II cytoskeletal 80</t>
  </si>
  <si>
    <t>Isoform 2 of Nipped-B-like protein</t>
  </si>
  <si>
    <t>Isoform 2 of Zinc finger protein 280D</t>
  </si>
  <si>
    <t>2-oxoglutarate and iron-dependent oxygenase domain-containing protein 2</t>
  </si>
  <si>
    <t>All-trans-retinol 13,14-reductase</t>
  </si>
  <si>
    <t>Acyl-coenzyme A synthetase ACSM5, mitochondrial</t>
  </si>
  <si>
    <t>RAD50-interacting protein 1</t>
  </si>
  <si>
    <t>Isoform 2 of Transmembrane protein 214</t>
  </si>
  <si>
    <t>3-hydroxyisobutyryl-CoA hydrolase, mitochondrial</t>
  </si>
  <si>
    <t>Isoform 2 of KN motif and ankyrin repeat domain-containing protein 3</t>
  </si>
  <si>
    <t>Phostensin</t>
  </si>
  <si>
    <t>Zinc finger CCHC domain-containing protein 8</t>
  </si>
  <si>
    <t>Parafibromin</t>
  </si>
  <si>
    <t>Isoform A of Lethal(2) giant larvae protein homolog 2</t>
  </si>
  <si>
    <t>Isoform 2 of Coiled-coil and C2 domain-containing protein 1A</t>
  </si>
  <si>
    <t>Putative deoxyribonuclease TATDN1</t>
  </si>
  <si>
    <t>tRNA-dihydrouridine(16/17) synthase [NAD(P)(+)]-like</t>
  </si>
  <si>
    <t>UPF0598 protein C8orf82</t>
  </si>
  <si>
    <t>Enhancer of mRNA-decapping protein 4</t>
  </si>
  <si>
    <t>Putative protein arginine N-methyltransferase 10</t>
  </si>
  <si>
    <t>Pre-mRNA-processing-splicing factor 8</t>
  </si>
  <si>
    <t>SCY1-like protein 2</t>
  </si>
  <si>
    <t>Tetratricopeptide repeat protein 27</t>
  </si>
  <si>
    <t>Phospholipase B-like 1</t>
  </si>
  <si>
    <t>Adrenodoxin-like protein, mitochondrial</t>
  </si>
  <si>
    <t>Isoform 3 of Nuclear factor related to kappa-B-binding protein</t>
  </si>
  <si>
    <t>Acylpyruvase FAHD1, mitochondrial</t>
  </si>
  <si>
    <t>Uncharacterized protein C8orf47</t>
  </si>
  <si>
    <t>RNA demethylase ALKBH5</t>
  </si>
  <si>
    <t>RNA polymerase-associated protein CTR9 homolog</t>
  </si>
  <si>
    <t>Alpha- and gamma-adaptin-binding protein p34</t>
  </si>
  <si>
    <t>Tetratricopeptide repeat protein 37</t>
  </si>
  <si>
    <t>Aspartate--tRNA ligase, mitochondrial</t>
  </si>
  <si>
    <t>Isoform 2 of F-box only protein 38</t>
  </si>
  <si>
    <t>BRCA1-associated ATM activator 1</t>
  </si>
  <si>
    <t>Isoform 4 of Zinc finger CCCH domain-containing protein 14</t>
  </si>
  <si>
    <t>Isoform 2 of Zinc finger protein 773</t>
  </si>
  <si>
    <t>La-related protein 1</t>
  </si>
  <si>
    <t>Protein TMED8</t>
  </si>
  <si>
    <t>Isoform 3 of Cysteine-rich protein 3</t>
  </si>
  <si>
    <t>Isoform 8 of Peroxisomal N(1)-acetyl-spermine/spermidine oxidase</t>
  </si>
  <si>
    <t>Biogenesis of lysosome-related organelles complex 1 subunit 3</t>
  </si>
  <si>
    <t>Isoform 2 of Biogenesis of lysosome-related organelles complex 1 subunit 2</t>
  </si>
  <si>
    <t>Atherin</t>
  </si>
  <si>
    <t>Methionine aminopeptidase 1D, mitochondrial</t>
  </si>
  <si>
    <t>Isoform 5 of Aftiphilin</t>
  </si>
  <si>
    <t>Isoform 4 of Pre-mRNA 3-end-processing factor FIP1</t>
  </si>
  <si>
    <t>KDEL motif-containing protein 1</t>
  </si>
  <si>
    <t>E3 ubiquitin-protein ligase LRSAM1</t>
  </si>
  <si>
    <t>Dehydrogenase/reductase SDR family member 11</t>
  </si>
  <si>
    <t>Suprabasin</t>
  </si>
  <si>
    <t>Carboxylesterase 3</t>
  </si>
  <si>
    <t>Isoform 2 of Peptidyl-prolyl cis-trans isomerase CWC27 homolog</t>
  </si>
  <si>
    <t>Methyltransferase-like protein 7B</t>
  </si>
  <si>
    <t>Isoform 4 of Cysteine-rich with EGF-like domain protein 2</t>
  </si>
  <si>
    <t>WD repeat-containing protein 82</t>
  </si>
  <si>
    <t>Apolipoprotein O-like</t>
  </si>
  <si>
    <t>Isoform 2 of Activating transcription factor 7-interacting protein 1</t>
  </si>
  <si>
    <t>Phosphofurin acidic cluster sorting protein 1</t>
  </si>
  <si>
    <t>Myosin phosphatase Rho-interacting protein</t>
  </si>
  <si>
    <t>Isoform 2 of Rab11 family-interacting protein 1</t>
  </si>
  <si>
    <t>Nicotinate phosphoribosyltransferase</t>
  </si>
  <si>
    <t>Dynamin-binding protein</t>
  </si>
  <si>
    <t>Isoform 3 of PERQ amino acid-rich with GYF domain-containing protein 2</t>
  </si>
  <si>
    <t>Hydroxysteroid dehydrogenase-like protein 2</t>
  </si>
  <si>
    <t>Isoform 3 of Kynurenine--oxoglutarate transaminase 3</t>
  </si>
  <si>
    <t>Protein phosphatase 1 regulatory subunit 21</t>
  </si>
  <si>
    <t>Isoform 3 of Nesprin-3</t>
  </si>
  <si>
    <t>GDP-D-glucose phosphorylase 1</t>
  </si>
  <si>
    <t>Isoform 3 of Helicase SRCAP</t>
  </si>
  <si>
    <t>Isoform 2 of Protein FAM65A</t>
  </si>
  <si>
    <t>Neurobeachin-like protein 1</t>
  </si>
  <si>
    <t>Isoform 2 of Rho guanine nucleotide exchange factor 18</t>
  </si>
  <si>
    <t>E3 ubiquitin-protein ligase UBR3</t>
  </si>
  <si>
    <t>Phosphoinositide 3-kinase adapter protein 1</t>
  </si>
  <si>
    <t>TOM1-like protein 2</t>
  </si>
  <si>
    <t>Isoform 3 of Vacuolar protein sorting-associated protein 13C</t>
  </si>
  <si>
    <t>Acyl-CoA dehydrogenase family member 11</t>
  </si>
  <si>
    <t>Isoform RMO1ac of Ras-associated and pleckstrin homology domains-containing protein 1</t>
  </si>
  <si>
    <t>Ras-associated and pleckstrin homology domains-containing protein 1</t>
  </si>
  <si>
    <t>Isoform 4 of Ubiquitin carboxyl-terminal hydrolase 43</t>
  </si>
  <si>
    <t>MOB kinase activator 2</t>
  </si>
  <si>
    <t>Ubiquitin-conjugating enzyme E2 R2</t>
  </si>
  <si>
    <t>Isoform 6 of La-related protein 4</t>
  </si>
  <si>
    <t>Isoform 2 of Tubulin alpha-1A chain</t>
  </si>
  <si>
    <t>Histone H2A.V</t>
  </si>
  <si>
    <t>MTSS1-like protein</t>
  </si>
  <si>
    <t>Isoform 3 of Nucleolar protein 8</t>
  </si>
  <si>
    <t>Transcription elongation factor SPT6</t>
  </si>
  <si>
    <t>Staphylococcal nuclease domain-containing protein 1</t>
  </si>
  <si>
    <t>Isoform 12 of Serine/threonine-protein kinase MARK2</t>
  </si>
  <si>
    <t>Probable ATP-dependent RNA helicase DDX46</t>
  </si>
  <si>
    <t>Isoform 4 of Protein RUFY3</t>
  </si>
  <si>
    <t>Mitochondrial ribonuclease P protein 1</t>
  </si>
  <si>
    <t>Basic leucine zipper and W2 domain-containing protein 1</t>
  </si>
  <si>
    <t>Isoaspartyl peptidase/L-asparaginase</t>
  </si>
  <si>
    <t>7SK snRNA methylphosphate capping enzyme</t>
  </si>
  <si>
    <t>Probable proline--tRNA ligase, mitochondrial</t>
  </si>
  <si>
    <t>Arginine/serine-rich coiled-coil protein 2</t>
  </si>
  <si>
    <t>Cytoplasmic FMR1-interacting protein 1</t>
  </si>
  <si>
    <t>NADH dehydrogenase [ubiquinone] complex I, assembly factor 7</t>
  </si>
  <si>
    <t>Golgi to ER traffic protein 4 homolog</t>
  </si>
  <si>
    <t>Mitochondrial enolase superfamily member 1</t>
  </si>
  <si>
    <t>EPM2A-interacting protein 1</t>
  </si>
  <si>
    <t>Isoform 3 of Serine/threonine-protein kinase TAO1</t>
  </si>
  <si>
    <t>FAST kinase domain-containing protein 5</t>
  </si>
  <si>
    <t>Endonuclease/exonuclease/phosphatase family domain-containing protein 1</t>
  </si>
  <si>
    <t>Lysine-specific demethylase 3B</t>
  </si>
  <si>
    <t>Charged multivesicular body protein 1b</t>
  </si>
  <si>
    <t>Ribonucleoside-diphosphate reductase subunit M2 B</t>
  </si>
  <si>
    <t>Protein-methionine sulfoxide oxidase MICAL3</t>
  </si>
  <si>
    <t>PHD finger-like domain-containing protein 5A</t>
  </si>
  <si>
    <t>Zinc finger CCCH-type antiviral protein 1</t>
  </si>
  <si>
    <t>Elongation factor Tu GTP-binding domain-containing protein 1</t>
  </si>
  <si>
    <t>Isoform 3 of Trafficking protein particle complex subunit 11</t>
  </si>
  <si>
    <t>Uncharacterized protein C10orf118</t>
  </si>
  <si>
    <t>UPF0505 protein C16orf62</t>
  </si>
  <si>
    <t>Zinc finger FYVE domain-containing protein 16</t>
  </si>
  <si>
    <t>Myosin-14</t>
  </si>
  <si>
    <t>Nuclear fragile X mental retardation-interacting protein 2</t>
  </si>
  <si>
    <t>Isoform 2 of SUZ domain-containing protein 1</t>
  </si>
  <si>
    <t>Mitochondrial antiviral-signaling protein</t>
  </si>
  <si>
    <t>Isoform 2 of CLIP-associating protein 1</t>
  </si>
  <si>
    <t>ATP-dependent RNA helicase DHX29</t>
  </si>
  <si>
    <t>COMM domain-containing protein 6</t>
  </si>
  <si>
    <t>Isoform 2 of tRNA (guanine(10)-N2)-methyltransferase homolog</t>
  </si>
  <si>
    <t>Isoform 2 of HD domain-containing protein 2</t>
  </si>
  <si>
    <t>KDEL motif-containing protein 2</t>
  </si>
  <si>
    <t>Isoform 3 of LIM and senescent cell antigen-like-containing domain protein 2</t>
  </si>
  <si>
    <t>HEAT repeat-containing protein 3</t>
  </si>
  <si>
    <t>Isoform 3 of Kinesin-like protein KIF21A</t>
  </si>
  <si>
    <t>Hepatoma-derived growth factor-related protein 2</t>
  </si>
  <si>
    <t>L-xylulose reductase</t>
  </si>
  <si>
    <t>Wings apart-like protein homolog</t>
  </si>
  <si>
    <t>Isoform 2 of Interferon regulatory factor 2-binding protein 2</t>
  </si>
  <si>
    <t>17-beta-hydroxysteroid dehydrogenase 13</t>
  </si>
  <si>
    <t>Isoform 6 of Cytoplasmic polyadenylation element-binding protein 2</t>
  </si>
  <si>
    <t>Amyloid beta A4 precursor protein-binding family B member 1-interacting protein</t>
  </si>
  <si>
    <t>Isoform 2 of Coiled-coil domain-containing protein 91</t>
  </si>
  <si>
    <t>Isoform 4 of E3 ubiquitin-protein ligase RBBP6</t>
  </si>
  <si>
    <t>Protein prenyltransferase alpha subunit repeat-containing protein 1</t>
  </si>
  <si>
    <t>Rab9 effector protein with kelch motifs</t>
  </si>
  <si>
    <t>mTERF domain-containing protein 2</t>
  </si>
  <si>
    <t>Isoform 2 of E3 ubiquitin-protein ligase HUWE1</t>
  </si>
  <si>
    <t>Keratin, type II cytoskeletal 1b</t>
  </si>
  <si>
    <t>Isoform 2 of Ubiquitin-conjugating enzyme E2 Q1</t>
  </si>
  <si>
    <t>COX assembly mitochondrial protein homolog</t>
  </si>
  <si>
    <t>Isoform 3 of Centromere protein V</t>
  </si>
  <si>
    <t>Protein zer-1 homolog</t>
  </si>
  <si>
    <t>Isoform 3 of Pleckstrin homology-like domain family B member 2</t>
  </si>
  <si>
    <t>Pleckstrin homology-like domain family B member 2</t>
  </si>
  <si>
    <t>Glutaredoxin-related protein 5, mitochondrial</t>
  </si>
  <si>
    <t>Trafficking protein particle complex subunit 6B</t>
  </si>
  <si>
    <t>Isoform 4 of Protein PAT1 homolog 1</t>
  </si>
  <si>
    <t>Dipeptidyl peptidase 9</t>
  </si>
  <si>
    <t>Protein prune homolog</t>
  </si>
  <si>
    <t>Histone-lysine N-methyltransferase setd3</t>
  </si>
  <si>
    <t>Acyl-coenzyme A thioesterase 1</t>
  </si>
  <si>
    <t>Serpin A11</t>
  </si>
  <si>
    <t>Iron-sulfur cluster assembly 2 homolog, mitochondrial</t>
  </si>
  <si>
    <t>Isoform 2 of Polyadenylate-binding protein 2</t>
  </si>
  <si>
    <t>N6-adenosine-methyltransferase 70 kDa subunit</t>
  </si>
  <si>
    <t>Isoform 2 of LIM domain-binding protein 1</t>
  </si>
  <si>
    <t>YrdC domain-containing protein, mitochondrial</t>
  </si>
  <si>
    <t>Pre-mRNA-processing factor 39</t>
  </si>
  <si>
    <t>Protein LYRIC</t>
  </si>
  <si>
    <t>Isoform 2 of Zinc finger protein 598</t>
  </si>
  <si>
    <t>Kinectin</t>
  </si>
  <si>
    <t>Telomerase-binding protein EST1A</t>
  </si>
  <si>
    <t>Isoform 4 of B-cell CLL/lymphoma 9-like protein</t>
  </si>
  <si>
    <t>Isoform 2 of Ubiquitin carboxyl-terminal hydrolase 48</t>
  </si>
  <si>
    <t>Isoform 2 of Serine/threonine-protein kinase 32C</t>
  </si>
  <si>
    <t>Isoform 2 of Fermitin family homolog 3</t>
  </si>
  <si>
    <t>Isoform 2 of 5-nucleotidase domain-containing protein 3</t>
  </si>
  <si>
    <t>Isoform 2 of Leucine zipper protein 1</t>
  </si>
  <si>
    <t>THO complex subunit 4</t>
  </si>
  <si>
    <t>Zinc finger CCCH domain-containing protein 18</t>
  </si>
  <si>
    <t>Isoform 2 of Vacuolar protein-sorting-associated protein 36</t>
  </si>
  <si>
    <t>Cullin-associated NEDD8-dissociated protein 1</t>
  </si>
  <si>
    <t>Thioredoxin reductase 3</t>
  </si>
  <si>
    <t>Protein FAM134C</t>
  </si>
  <si>
    <t>Protein Hook homolog 3</t>
  </si>
  <si>
    <t>Isoform 2 of COMM domain-containing protein 7</t>
  </si>
  <si>
    <t>Methyltransferase-like protein 16</t>
  </si>
  <si>
    <t>Isoform 4 of Liprin-beta-1</t>
  </si>
  <si>
    <t>Valacyclovir hydrolase</t>
  </si>
  <si>
    <t>Lon protease homolog 2, peroxisomal</t>
  </si>
  <si>
    <t>Isoform 3 of Nuclear-interacting partner of ALK</t>
  </si>
  <si>
    <t>Isoform 4 of Vasculin</t>
  </si>
  <si>
    <t>Nuclear receptor 2C2-associated protein</t>
  </si>
  <si>
    <t>Coiled-coil domain-containing protein 25</t>
  </si>
  <si>
    <t>Proline and serine-rich protein 2</t>
  </si>
  <si>
    <t>Isoform 2 of Probable D-lactate dehydrogenase, mitochondrial</t>
  </si>
  <si>
    <t>Isoform 3 of Ral GTPase-activating protein subunit beta</t>
  </si>
  <si>
    <t>Ras-specific guanine nucleotide-releasing factor RalGPS2</t>
  </si>
  <si>
    <t>Isoform 1 of Histone-arginine methyltransferase CARM1</t>
  </si>
  <si>
    <t>Isoform 1 of Nitrilase homolog 1</t>
  </si>
  <si>
    <t>COMM domain-containing protein 2</t>
  </si>
  <si>
    <t>Probable 4-hydroxy-2-oxoglutarate aldolase, mitochondrial</t>
  </si>
  <si>
    <t>ATP-dependent RNA helicase DDX42</t>
  </si>
  <si>
    <t>Isoform 4 of Serine/threonine-protein kinase VRK2</t>
  </si>
  <si>
    <t>Syntaxin-12</t>
  </si>
  <si>
    <t>Enoyl-CoA hydratase domain-containing protein 2, mitochondrial</t>
  </si>
  <si>
    <t>ERO1-like protein beta</t>
  </si>
  <si>
    <t>Decaprenyl-diphosphate synthase subunit 2</t>
  </si>
  <si>
    <t>Isoform 4 of Threonine synthase-like 2</t>
  </si>
  <si>
    <t>Testis development-related protein</t>
  </si>
  <si>
    <t>Isoform 2 of Transcriptional repressor p66-alpha</t>
  </si>
  <si>
    <t>Ras-related protein Rab-43</t>
  </si>
  <si>
    <t>C2 domain-containing protein 5</t>
  </si>
  <si>
    <t>Interferon regulatory factor 2-binding protein 1</t>
  </si>
  <si>
    <t>Rhophilin-2</t>
  </si>
  <si>
    <t>ELKS/Rab6-interacting/CAST family member 1</t>
  </si>
  <si>
    <t>Isoform 2 of Bifunctional lysine-specific demethylase and histidyl-hydroxylase MINA</t>
  </si>
  <si>
    <t>Trafficking protein particle complex subunit 5</t>
  </si>
  <si>
    <t>5-phosphohydroxy-L-lysine phospho-lyase</t>
  </si>
  <si>
    <t>Leucine rich adaptor protein 1-like</t>
  </si>
  <si>
    <t>Phospholipase D3</t>
  </si>
  <si>
    <t>Laccase domain-containing protein 1</t>
  </si>
  <si>
    <t>Ankyrin repeat and MYND domain-containing protein 2</t>
  </si>
  <si>
    <t>NudC domain-containing protein 3</t>
  </si>
  <si>
    <t>Methylmalonic aciduria type A protein, mitochondrial</t>
  </si>
  <si>
    <t>Isoform 2 of Coiled-coil domain-containing protein 50</t>
  </si>
  <si>
    <t>Coiled-coil domain-containing protein 50</t>
  </si>
  <si>
    <t>Malonyl-CoA-acyl carrier protein transacylase, mitochondrial</t>
  </si>
  <si>
    <t>Glycerate kinase</t>
  </si>
  <si>
    <t>ATP-dependent (S)-NAD(P)H-hydrate dehydratase</t>
  </si>
  <si>
    <t>WD repeat and FYVE domain-containing protein 1</t>
  </si>
  <si>
    <t>Testis-expressed sequence 2 protein</t>
  </si>
  <si>
    <t>Protein NOXP20</t>
  </si>
  <si>
    <t>GRIP and coiled-coil domain-containing protein 2</t>
  </si>
  <si>
    <t>Iron-sulfur cluster co-chaperone protein HscB, mitochondrial</t>
  </si>
  <si>
    <t>Zinc finger CCCH domain-containing protein 7A</t>
  </si>
  <si>
    <t>Serine/threonine-protein kinase LMTK2</t>
  </si>
  <si>
    <t>E3 ubiquitin-protein ligase UBR1</t>
  </si>
  <si>
    <t>Isoform 4 of E3 ubiquitin-protein ligase UBR2</t>
  </si>
  <si>
    <t>Isoform 2 of Rho GTPase-activating protein 12</t>
  </si>
  <si>
    <t>Hydroxyacid-oxoacid transhydrogenase, mitochondrial</t>
  </si>
  <si>
    <t>Calcium homeostasis endoplasmic reticulum protein</t>
  </si>
  <si>
    <t>Ankyrin repeat and KH domain-containing protein 1</t>
  </si>
  <si>
    <t>SURP and G-patch domain-containing protein 1</t>
  </si>
  <si>
    <t>Isoform 6 of Ubiquitin-conjugating enzyme E2 variant 3</t>
  </si>
  <si>
    <t>Isoform 2 of Cell division cycle and apoptosis regulator protein 1</t>
  </si>
  <si>
    <t>Isoform NELF-D of Negative elongation factor C/D</t>
  </si>
  <si>
    <t>Isoform 2 of NAD-dependent protein deacetylase sirtuin-2</t>
  </si>
  <si>
    <t>Isoform 2 of Polyhomeotic-like protein 2</t>
  </si>
  <si>
    <t>Uncharacterized protein KIAA1704</t>
  </si>
  <si>
    <t>Isoform 2 of Poly [ADP-ribose] polymerase 9</t>
  </si>
  <si>
    <t>Isoform 2 of Putative RNA polymerase II subunit B1 CTD phosphatase RPAP2</t>
  </si>
  <si>
    <t>Isoform 4 of MICAL-like protein 2</t>
  </si>
  <si>
    <t>pre-rRNA processing protein FTSJ3</t>
  </si>
  <si>
    <t>Isoform 3 of Stromal membrane-associated protein 1</t>
  </si>
  <si>
    <t>DIS3-like exonuclease 2</t>
  </si>
  <si>
    <t>ATP-dependent RNA helicase SUPV3L1, mitochondrial</t>
  </si>
  <si>
    <t>Eukaryotic peptide chain release factor GTP-binding subunit ERF3B</t>
  </si>
  <si>
    <t>Exocyst complex component 8</t>
  </si>
  <si>
    <t>UPF0688 protein C1orf174</t>
  </si>
  <si>
    <t>Threonine synthase-like 1</t>
  </si>
  <si>
    <t>Peptidase M20 domain-containing protein 2</t>
  </si>
  <si>
    <t>FtsJ methyltransferase domain-containing protein 1</t>
  </si>
  <si>
    <t>Ankyrin repeat domain-containing protein 13A</t>
  </si>
  <si>
    <t>Isoform 3 of Phosphatase and actin regulator 4</t>
  </si>
  <si>
    <t>tRNA (uracil-5-)-methyltransferase homolog A</t>
  </si>
  <si>
    <t>Aldehyde dehydrogenase family 16 member A1</t>
  </si>
  <si>
    <t>mRNA-decapping enzyme 1B</t>
  </si>
  <si>
    <t>Isoform 2 of 5-3 exoribonuclease 1</t>
  </si>
  <si>
    <t>Isoform 10 of Abl interactor 1</t>
  </si>
  <si>
    <t>Retinol dehydrogenase 10</t>
  </si>
  <si>
    <t>Uncharacterized protein C8orf59</t>
  </si>
  <si>
    <t>Protein FAM185A</t>
  </si>
  <si>
    <t>L-fucose kinase</t>
  </si>
  <si>
    <t>Citrate lyase subunit beta-like protein, mitochondrial</t>
  </si>
  <si>
    <t>Spartin</t>
  </si>
  <si>
    <t>Isoform 7 of Mesoderm induction early response protein 1</t>
  </si>
  <si>
    <t>Protein canopy homolog 4</t>
  </si>
  <si>
    <t>Adenylosuccinate synthetase isozyme 1</t>
  </si>
  <si>
    <t>DBIRD complex subunit KIAA1967</t>
  </si>
  <si>
    <t>Vacuolar protein sorting-associated protein 52 homolog</t>
  </si>
  <si>
    <t>Nuclear pore complex protein Nup93</t>
  </si>
  <si>
    <t>Cap-specific mRNA (nucleoside-2-O-)-methyltransferase 1</t>
  </si>
  <si>
    <t>Leucine-rich repeat-containing protein 47</t>
  </si>
  <si>
    <t>Dedicator of cytokinesis protein 4</t>
  </si>
  <si>
    <t>Integrator complex subunit 1</t>
  </si>
  <si>
    <t>Ankyrin repeat domain-containing protein 35</t>
  </si>
  <si>
    <t>Pyridine nucleotide-disulfide oxidoreductase domain-containing protein 2</t>
  </si>
  <si>
    <t>Angiogenic factor with G patch and FHA domains 1</t>
  </si>
  <si>
    <t>Glycerol-3-phosphate dehydrogenase 1-like protein</t>
  </si>
  <si>
    <t>Lysine-specific demethylase 8</t>
  </si>
  <si>
    <t>Isoform 2 of Rho GTPase-activating protein 18</t>
  </si>
  <si>
    <t>EH domain-binding protein 1-like protein 1</t>
  </si>
  <si>
    <t>MICAL-like protein 1</t>
  </si>
  <si>
    <t>Isoform 3 of Vacuolar protein sorting-associated protein 8 homolog</t>
  </si>
  <si>
    <t>Isoform 2 of Synaptopodin</t>
  </si>
  <si>
    <t>Formin-binding protein 4</t>
  </si>
  <si>
    <t>Translation factor GUF1, mitochondrial</t>
  </si>
  <si>
    <t>D-2-hydroxyglutarate dehydrogenase, mitochondrial</t>
  </si>
  <si>
    <t>RING1 and YY1-binding protein</t>
  </si>
  <si>
    <t>Isoform 4 of Probable hydrolase PNKD</t>
  </si>
  <si>
    <t>Isoform 4 of Misshapen-like kinase 1</t>
  </si>
  <si>
    <t>UPF0586 protein C9orf41</t>
  </si>
  <si>
    <t>Guanosine-3,5-bis(diphosphate) 3-pyrophosphohydrolase MESH1</t>
  </si>
  <si>
    <t>Zinc-binding alcohol dehydrogenase domain-containing protein 2</t>
  </si>
  <si>
    <t>Mitochondrial intermembrane space import and assembly protein 40</t>
  </si>
  <si>
    <t>Carbonyl reductase family member 4</t>
  </si>
  <si>
    <t>Isoform 8 of Oxidation resistance protein 1</t>
  </si>
  <si>
    <t>Tetratricopeptide repeat protein 39C</t>
  </si>
  <si>
    <t>Isoform 3 of Zinc finger CCCH-type with G patch domain-containing protein</t>
  </si>
  <si>
    <t>Macoilin</t>
  </si>
  <si>
    <t>Uncharacterized protein C12orf45</t>
  </si>
  <si>
    <t>Protein FAM63A</t>
  </si>
  <si>
    <t>CDGSH iron-sulfur domain-containing protein 2</t>
  </si>
  <si>
    <t>Ribonuclease P protein subunit p25-like protein</t>
  </si>
  <si>
    <t>ATP synthase mitochondrial F1 complex assembly factor 2</t>
  </si>
  <si>
    <t>39S ribosomal protein L50, mitochondrial</t>
  </si>
  <si>
    <t>Zinc finger CCCH domain-containing protein 8</t>
  </si>
  <si>
    <t>Ephexin-1</t>
  </si>
  <si>
    <t>Kynurenine/alpha-aminoadipate aminotransferase, mitochondrial</t>
  </si>
  <si>
    <t>FTS and Hook-interacting protein</t>
  </si>
  <si>
    <t>Isoform 2 of Cleavage and polyadenylation specificity factor subunit 7</t>
  </si>
  <si>
    <t>ADP-ribosylation factor GTPase-activating protein 2</t>
  </si>
  <si>
    <t>Isoform 2 of UPF0690 protein C1orf52</t>
  </si>
  <si>
    <t>Isoform 3 of Methyltransferase-like protein 13</t>
  </si>
  <si>
    <t>Prostaglandin reductase 2</t>
  </si>
  <si>
    <t>UPF0565 protein C2orf69</t>
  </si>
  <si>
    <t>Protein enabled homolog</t>
  </si>
  <si>
    <t>Guanylate-binding protein 7</t>
  </si>
  <si>
    <t>Acyl-coenzyme A thioesterase 4</t>
  </si>
  <si>
    <t>Leucine-rich repeat-containing protein 57</t>
  </si>
  <si>
    <t>Protein SCAI</t>
  </si>
  <si>
    <t>Isoform 2 of WD repeat, SAM and U-box domain-containing protein 1</t>
  </si>
  <si>
    <t>Zinc finger protein 579</t>
  </si>
  <si>
    <t>Isoform 2 of Zinc finger protein 511</t>
  </si>
  <si>
    <t>Parkinson disease 7 domain-containing protein 1</t>
  </si>
  <si>
    <t>NHL repeat-containing protein 2</t>
  </si>
  <si>
    <t>Isoform 2 of Golgi membrane protein 1</t>
  </si>
  <si>
    <t>Procollagen galactosyltransferase 1</t>
  </si>
  <si>
    <t>Sulfatase-modifying factor 2</t>
  </si>
  <si>
    <t>Isoform 4 of Sulfatase-modifying factor 1</t>
  </si>
  <si>
    <t>Protein O-glucosyltransferase 1</t>
  </si>
  <si>
    <t>Isoform 2 of Retinol dehydrogenase 13</t>
  </si>
  <si>
    <t>Saccharopine dehydrogenase-like oxidoreductase</t>
  </si>
  <si>
    <t>Acyl-CoA-binding domain-containing protein 4</t>
  </si>
  <si>
    <t>Isoform 4 of Plasminogen activator inhibitor 1 RNA-binding protein</t>
  </si>
  <si>
    <t>Adaptin ear-binding coat-associated protein 1</t>
  </si>
  <si>
    <t>Isoform 2 of Protein FAM98A</t>
  </si>
  <si>
    <t>Group XV phospholipase A2</t>
  </si>
  <si>
    <t>Isoform 3 of Myotubularin-related protein 14</t>
  </si>
  <si>
    <t>NFATC2-interacting protein</t>
  </si>
  <si>
    <t>E3 ubiquitin-protein ligase RNF169</t>
  </si>
  <si>
    <t>Pyruvate dehydrogenase phosphatase regulatory subunit, mitochondrial</t>
  </si>
  <si>
    <t>NAD(P)H-hydrate epimerase</t>
  </si>
  <si>
    <t>Isoform 2 of Leucine-rich repeat-containing protein 16B</t>
  </si>
  <si>
    <t>RING finger protein 214</t>
  </si>
  <si>
    <t>Liprin-beta-2</t>
  </si>
  <si>
    <t>Isoform 3 of Cyclin-Y</t>
  </si>
  <si>
    <t>Probable aminopeptidase NPEPL1</t>
  </si>
  <si>
    <t>Isoform 3 of EH domain-binding protein 1</t>
  </si>
  <si>
    <t>Choline dehydrogenase, mitochondrial</t>
  </si>
  <si>
    <t>ATP-binding cassette sub-family F member 1</t>
  </si>
  <si>
    <t>Phosphatidylinositol 3-kinase catalytic subunit type 3</t>
  </si>
  <si>
    <t>PDZ domain-containing protein 8</t>
  </si>
  <si>
    <t>DCC-interacting protein 13-beta</t>
  </si>
  <si>
    <t>Isoform 6 of Periphilin-1</t>
  </si>
  <si>
    <t>Isoform 2 of Vacuolar protein sorting-associated protein 37A</t>
  </si>
  <si>
    <t>F-box only protein 22</t>
  </si>
  <si>
    <t>Biorientation of chromosomes in cell division protein 1-like 1</t>
  </si>
  <si>
    <t>Isoform 2 of FAD synthase</t>
  </si>
  <si>
    <t>Nucleoporin Nup43</t>
  </si>
  <si>
    <t>Nucleoporin Nup37</t>
  </si>
  <si>
    <t>Isoform 4 of RalBP1-associated Eps domain-containing protein 2</t>
  </si>
  <si>
    <t>Cytosolic endo-beta-N-acetylglucosaminidase</t>
  </si>
  <si>
    <t>Torsin-1A-interacting protein 2</t>
  </si>
  <si>
    <t>Isoform 4 of Thiosulfate sulfurtransferase/rhodanese-like domain-containing protein 1</t>
  </si>
  <si>
    <t>Thiosulfate sulfurtransferase/rhodanese-like domain-containing protein 1</t>
  </si>
  <si>
    <t>Alpha/beta hydrolase domain-containing protein 11</t>
  </si>
  <si>
    <t>N-acylneuraminate cytidylyltransferase</t>
  </si>
  <si>
    <t>E3 ubiquitin-protein ligase ZNRF2</t>
  </si>
  <si>
    <t>Putative trypsin-6</t>
  </si>
  <si>
    <t>Putative phospholipase B-like 2</t>
  </si>
  <si>
    <t>Tudor domain-containing protein 7</t>
  </si>
  <si>
    <t>Anaphase-promoting complex subunit CDC26</t>
  </si>
  <si>
    <t>Isoform 2 of Nuclear receptor coactivator 7</t>
  </si>
  <si>
    <t>Isoform 2 of Multiple coagulation factor deficiency protein 2</t>
  </si>
  <si>
    <t>InaD-like protein</t>
  </si>
  <si>
    <t>Protein phosphatase PTC7 homolog</t>
  </si>
  <si>
    <t>WD repeat-containing protein 48</t>
  </si>
  <si>
    <t>Isoform 2 of SWI/SNF complex subunit SMARCC2</t>
  </si>
  <si>
    <t>Nuclear protein localization protein 4 homolog</t>
  </si>
  <si>
    <t>Uncharacterized protein CXorf38</t>
  </si>
  <si>
    <t>Spermatogenesis-associated protein 20</t>
  </si>
  <si>
    <t>Ras and Rab interactor 3</t>
  </si>
  <si>
    <t>Iron-sulfur protein NUBPL</t>
  </si>
  <si>
    <t>DEP domain-containing mTOR-interacting protein</t>
  </si>
  <si>
    <t>Isoform 2 of Pumilio homolog 2</t>
  </si>
  <si>
    <t>Isoform 2 of Golgin subfamily A member 5</t>
  </si>
  <si>
    <t>NEDD8-activating enzyme E1 catalytic subunit</t>
  </si>
  <si>
    <t>Zinc finger and SCAN domain-containing protein 18</t>
  </si>
  <si>
    <t>N-acylneuraminate-9-phosphatase</t>
  </si>
  <si>
    <t>Isoform 4 of Prostamide/prostaglandin F synthase</t>
  </si>
  <si>
    <t>Isoform 3 of Ethanolamine-phosphate phospho-lyase</t>
  </si>
  <si>
    <t>Phosphatidylinositol 5-phosphate 4-kinase type-2 gamma</t>
  </si>
  <si>
    <t>Isoform 2 of TBC1 domain family member 15</t>
  </si>
  <si>
    <t>Retinol dehydrogenase 11</t>
  </si>
  <si>
    <t>Leucine-rich repeat-containing protein 20</t>
  </si>
  <si>
    <t>UPF0729 protein C18orf32</t>
  </si>
  <si>
    <t>5(3)-deoxyribonucleotidase, cytosolic type</t>
  </si>
  <si>
    <t>Isoform 2 of Protein FAM45A</t>
  </si>
  <si>
    <t>Polyribonucleotide nucleotidyltransferase 1, mitochondrial</t>
  </si>
  <si>
    <t>Protein bicaudal D homolog 2</t>
  </si>
  <si>
    <t>Serine/threonine-protein kinase Nek9</t>
  </si>
  <si>
    <t>Alanine aminotransferase 2</t>
  </si>
  <si>
    <t>E3 ubiquitin-protein ligase DTX3L</t>
  </si>
  <si>
    <t>Isoform 2 of ATP-dependent RNA helicase DDX54</t>
  </si>
  <si>
    <t>Isoform 2 of Biogenesis of lysosome-related organelles complex 1 subunit 5</t>
  </si>
  <si>
    <t>Isoform 2 of 2-amino-3-carboxymuconate-6-semialdehyde decarboxylase</t>
  </si>
  <si>
    <t>2-amino-3-carboxymuconate-6-semialdehyde decarboxylase</t>
  </si>
  <si>
    <t>Serine/threonine-protein kinase Nek7</t>
  </si>
  <si>
    <t>Isoform 2 of Pantothenate kinase 1</t>
  </si>
  <si>
    <t>Protein phosphatase Slingshot homolog 3</t>
  </si>
  <si>
    <t>Putative methyltransferase NSUN6</t>
  </si>
  <si>
    <t>Isoform 3 of TBC domain-containing protein kinase-like protein</t>
  </si>
  <si>
    <t>D-tyrosyl-tRNA(Tyr) deacylase 1</t>
  </si>
  <si>
    <t>Isoform 2 of DDB1- and CUL4-associated factor 11</t>
  </si>
  <si>
    <t>DENN domain-containing protein 1A</t>
  </si>
  <si>
    <t>Gem-associated protein 5</t>
  </si>
  <si>
    <t>Isoform 4 of Sushi, nidogen and EGF-like domain-containing protein 1</t>
  </si>
  <si>
    <t>Rho guanine nucleotide exchange factor 40</t>
  </si>
  <si>
    <t>Neutral alpha-glucosidase C</t>
  </si>
  <si>
    <t>Isoform 5 of Partitioning defective 3 homolog</t>
  </si>
  <si>
    <t>Isoform 5 of Partitioning defective 3 homolog B</t>
  </si>
  <si>
    <t>Importin-4</t>
  </si>
  <si>
    <t>Arginine/serine-rich protein PNISR</t>
  </si>
  <si>
    <t>Isoform 2 of Serine/threonine-protein phosphatase 4 regulatory subunit 1</t>
  </si>
  <si>
    <t>PDZ domain-containing protein GIPC2</t>
  </si>
  <si>
    <t>Protein Shroom3</t>
  </si>
  <si>
    <t>WAS/WASL-interacting protein family member 2</t>
  </si>
  <si>
    <t>Histone-lysine N-methyltransferase SETD7</t>
  </si>
  <si>
    <t>Isoform 2 of Scavenger receptor class B member 1</t>
  </si>
  <si>
    <t>Marginal zone B- and B1-cell-specific protein</t>
  </si>
  <si>
    <t>Isoform 2 of Stromal membrane-associated protein 2</t>
  </si>
  <si>
    <t>Zinc finger CCCH domain-containing protein 15</t>
  </si>
  <si>
    <t>Peptidyl-prolyl cis-trans isomerase-like 4</t>
  </si>
  <si>
    <t>Ras-related protein Rab-2B</t>
  </si>
  <si>
    <t>RelA-associated inhibitor</t>
  </si>
  <si>
    <t>UPF0444 transmembrane protein C12orf23</t>
  </si>
  <si>
    <t>Serine/threonine/tyrosine-interacting protein</t>
  </si>
  <si>
    <t>Programmed cell death 6-interacting protein</t>
  </si>
  <si>
    <t>Ubiquitin domain-containing protein 2</t>
  </si>
  <si>
    <t>UPF0235 protein C15orf40</t>
  </si>
  <si>
    <t>Protein BRICK1</t>
  </si>
  <si>
    <t>Charged multivesicular body protein 7</t>
  </si>
  <si>
    <t>B-cell linker protein</t>
  </si>
  <si>
    <t>Sorting nexin-33</t>
  </si>
  <si>
    <t>Nucleoside diphosphate-linked moiety X motif 8, mitochondrial</t>
  </si>
  <si>
    <t>RNA polymerase-associated protein LEO1</t>
  </si>
  <si>
    <t>NudC domain-containing protein 2</t>
  </si>
  <si>
    <t>Sec1 family domain-containing protein 1</t>
  </si>
  <si>
    <t>Trafficking protein particle complex subunit 12</t>
  </si>
  <si>
    <t>Ubiquitin-like domain-containing CTD phosphatase 1</t>
  </si>
  <si>
    <t>Kelch repeat and BTB domain-containing protein 7</t>
  </si>
  <si>
    <t>PEST proteolytic signal-containing nuclear protein</t>
  </si>
  <si>
    <t>SPRY domain-containing protein 4</t>
  </si>
  <si>
    <t>Probable tRNA pseudouridine synthase 1</t>
  </si>
  <si>
    <t>Ataxin-2-like protein</t>
  </si>
  <si>
    <t>PH-interacting protein</t>
  </si>
  <si>
    <t>Reticulon-4-interacting protein 1, mitochondrial</t>
  </si>
  <si>
    <t>Selenoprotein M</t>
  </si>
  <si>
    <t>U4/U6 small nuclear ribonucleoprotein Prp31</t>
  </si>
  <si>
    <t>Negative elongation factor B</t>
  </si>
  <si>
    <t>Isoform 4 of Palladin</t>
  </si>
  <si>
    <t>Isoform 2 of Splicing regulatory glutamine/lysine-rich protein 1</t>
  </si>
  <si>
    <t>Gem-associated protein 6</t>
  </si>
  <si>
    <t>Caskin-2</t>
  </si>
  <si>
    <t>Isoform 2 of ATR-interacting protein</t>
  </si>
  <si>
    <t>Paraspeckle component 1</t>
  </si>
  <si>
    <t>Nesprin-2</t>
  </si>
  <si>
    <t>Transcriptional repressor p66-beta</t>
  </si>
  <si>
    <t>DnaJ homolog subfamily C member 9</t>
  </si>
  <si>
    <t>Isoform 2 of THAP domain-containing protein 4</t>
  </si>
  <si>
    <t>Acyl-coenzyme A thioesterase 12</t>
  </si>
  <si>
    <t>Protein ELYS</t>
  </si>
  <si>
    <t>Coiled-coil-helix-coiled-coil-helix domain-containing protein 10, mitochondrial</t>
  </si>
  <si>
    <t>Isoform 3 of Titin</t>
  </si>
  <si>
    <t>Isoform 3 of E3 ubiquitin-protein ligase rififylin</t>
  </si>
  <si>
    <t>Ovarian cancer-associated gene 2 protein</t>
  </si>
  <si>
    <t>Protein LZIC</t>
  </si>
  <si>
    <t>Immunity-related GTPase family Q protein</t>
  </si>
  <si>
    <t>DNA damage-binding protein 2</t>
  </si>
  <si>
    <t>ATP-dependent RNA helicase DDX1</t>
  </si>
  <si>
    <t>Estradiol 17-beta-dehydrogenase 8</t>
  </si>
  <si>
    <t>Protein FAM3C</t>
  </si>
  <si>
    <t>Histone H1x</t>
  </si>
  <si>
    <t>Golgi-specific brefeldin A-resistance guanine nucleotide exchange factor 1</t>
  </si>
  <si>
    <t>Phosphatidate phosphatase LPIN2</t>
  </si>
  <si>
    <t>RNA polymerase-associated protein RTF1 homolog</t>
  </si>
  <si>
    <t>Retrograde Golgi transport protein RGP1 homolog</t>
  </si>
  <si>
    <t>Inositol hexakisphosphate kinase 1</t>
  </si>
  <si>
    <t>28S ribosomal protein S27, mitochondrial</t>
  </si>
  <si>
    <t>Engulfment and cell motility protein 1</t>
  </si>
  <si>
    <t>AP-3 complex subunit sigma-1</t>
  </si>
  <si>
    <t>Isoform 2 of Hamartin</t>
  </si>
  <si>
    <t>UBX domain-containing protein 4</t>
  </si>
  <si>
    <t>Isoform 2 of PHD finger protein 3</t>
  </si>
  <si>
    <t>Protein NDRG1</t>
  </si>
  <si>
    <t>Isoform Beta of Heat shock protein 105 kDa</t>
  </si>
  <si>
    <t>Isoform 2 of Septin-8</t>
  </si>
  <si>
    <t>Cell differentiation protein RCD1 homolog</t>
  </si>
  <si>
    <t>TBC1 domain family member 5</t>
  </si>
  <si>
    <t>Isoform 4 of Unconventional myosin-XVIIIa</t>
  </si>
  <si>
    <t>La-related protein 4B</t>
  </si>
  <si>
    <t>Translational activator GCN1</t>
  </si>
  <si>
    <t>Pre-mRNA-splicing factor ATP-dependent RNA helicase PRP16</t>
  </si>
  <si>
    <t>Nuclear pore complex protein Nup205</t>
  </si>
  <si>
    <t>28S ribosomal protein S31, mitochondrial</t>
  </si>
  <si>
    <t>A-kinase anchor protein 1, mitochondrial</t>
  </si>
  <si>
    <t>Isoform 2 of Acidic leucine-rich nuclear phosphoprotein 32 family member B</t>
  </si>
  <si>
    <t>Poliovirus receptor-related protein 2</t>
  </si>
  <si>
    <t>Geranylgeranyl transferase type-2 subunit alpha</t>
  </si>
  <si>
    <t>Isoform 2 of Protein TFG</t>
  </si>
  <si>
    <t>USP6 N-terminal-like protein</t>
  </si>
  <si>
    <t>Actin-related protein 2/3 complex subunit 1A</t>
  </si>
  <si>
    <t>Thyroid hormone-inducible hepatic protein</t>
  </si>
  <si>
    <t>Ras-responsive element-binding protein 1</t>
  </si>
  <si>
    <t>Isoform 2 of Signal transducing adapter molecule 1</t>
  </si>
  <si>
    <t>Zinc finger protein ubi-d4</t>
  </si>
  <si>
    <t>Prospero homeobox protein 1</t>
  </si>
  <si>
    <t>Isoform 2 of CREB-binding protein</t>
  </si>
  <si>
    <t>Symplekin</t>
  </si>
  <si>
    <t>Isoform Short of TATA-binding protein-associated factor 2N</t>
  </si>
  <si>
    <t>Golgin subfamily A member 1</t>
  </si>
  <si>
    <t>Envoplakin</t>
  </si>
  <si>
    <t>Gamma-glutamyl hydrolase</t>
  </si>
  <si>
    <t>Probable ATP-dependent RNA helicase DDX17</t>
  </si>
  <si>
    <t>Caspase-10</t>
  </si>
  <si>
    <t>DNA repair protein RAD50</t>
  </si>
  <si>
    <t>Isoform 5 of CUGBP Elav-like family member 1</t>
  </si>
  <si>
    <t>Osteoclast-stimulating factor 1</t>
  </si>
  <si>
    <t>Isoform 2 of Rho guanine nucleotide exchange factor 1</t>
  </si>
  <si>
    <t>DNA repair endonuclease XPF</t>
  </si>
  <si>
    <t>Ubiquitin fusion degradation protein 1 homolog</t>
  </si>
  <si>
    <t>Golgi apparatus protein 1</t>
  </si>
  <si>
    <t>Isoform 2 of Regulator of nonsense transcripts 1</t>
  </si>
  <si>
    <t>COP9 signalosome complex subunit 5</t>
  </si>
  <si>
    <t>G patch domain and KOW motifs-containing protein</t>
  </si>
  <si>
    <t>SWI/SNF complex subunit SMARCC1</t>
  </si>
  <si>
    <t>Bcl2 antagonist of cell death</t>
  </si>
  <si>
    <t>Far upstream element-binding protein 2</t>
  </si>
  <si>
    <t>Glutaryl-CoA dehydrogenase, mitochondrial</t>
  </si>
  <si>
    <t>Isoform C of Proteoglycan 4</t>
  </si>
  <si>
    <t>Isoform 2 of Transportin-1</t>
  </si>
  <si>
    <t>Isoform 2 of Polyribonucleotide 5-hydroxyl-kinase Clp1</t>
  </si>
  <si>
    <t>Glomulin</t>
  </si>
  <si>
    <t>Ubiquitin carboxyl-terminal hydrolase 13</t>
  </si>
  <si>
    <t>Probable ubiquitin carboxyl-terminal hydrolase FAF-X</t>
  </si>
  <si>
    <t>N-acetyltransferase 6</t>
  </si>
  <si>
    <t>Cullin-5</t>
  </si>
  <si>
    <t>Lipoma-preferred partner</t>
  </si>
  <si>
    <t>Isoform D of RNA-binding protein with multiple splicing</t>
  </si>
  <si>
    <t>Isoform 2 of Selenocysteine insertion sequence-binding protein 2-like</t>
  </si>
  <si>
    <t>Histone H2A type 1-C</t>
  </si>
  <si>
    <t>Betaine--homocysteine S-methyltransferase 1</t>
  </si>
  <si>
    <t>Protein tyrosine phosphatase type IVA 1</t>
  </si>
  <si>
    <t>Homogentisate 1,2-dioxygenase</t>
  </si>
  <si>
    <t>Isoform 4 of Phosphorylase b kinase regulatory subunit beta</t>
  </si>
  <si>
    <t>Riboflavin kinase</t>
  </si>
  <si>
    <t>UPF0556 protein C19orf10</t>
  </si>
  <si>
    <t>Glycine N-acyltransferase-like protein 1</t>
  </si>
  <si>
    <t>E3 ubiquitin-protein ligase RNF34</t>
  </si>
  <si>
    <t>Protein YIPF5</t>
  </si>
  <si>
    <t>60S ribosomal protein L36a-like</t>
  </si>
  <si>
    <t>Isoform 2 of Ribosome-releasing factor 2, mitochondrial</t>
  </si>
  <si>
    <t>Isoform 2 of 7-methylguanosine phosphate-specific 5-nucleotidase</t>
  </si>
  <si>
    <t>Isoform 3 of tRNA modification GTPase GTPBP3, mitochondrial</t>
  </si>
  <si>
    <t>Protein TBRG4</t>
  </si>
  <si>
    <t>MOSC domain-containing protein 2, mitochondrial</t>
  </si>
  <si>
    <t>Coiled-coil domain-containing protein 47</t>
  </si>
  <si>
    <t>Synapse-associated protein 1</t>
  </si>
  <si>
    <t>Exocyst complex component 4</t>
  </si>
  <si>
    <t>Isochorismatase domain-containing protein 2, mitochondrial</t>
  </si>
  <si>
    <t>Fermitin family homolog 2</t>
  </si>
  <si>
    <t>Isoform 2 of Far upstream element-binding protein 1</t>
  </si>
  <si>
    <t>Far upstream element-binding protein 1</t>
  </si>
  <si>
    <t>Leucine-rich repeat-containing protein 59</t>
  </si>
  <si>
    <t>Isoform 1 of Vesicle transport through interaction with t-SNAREs homolog 1A</t>
  </si>
  <si>
    <t>Uncharacterized protein KIAA1143</t>
  </si>
  <si>
    <t>Ribulose-phosphate 3-epimerase</t>
  </si>
  <si>
    <t>Exosome complex component RRP43</t>
  </si>
  <si>
    <t>Proline-rich AKT1 substrate 1</t>
  </si>
  <si>
    <t>UPF0693 protein C10orf32</t>
  </si>
  <si>
    <t>Zinc finger protein 428</t>
  </si>
  <si>
    <t>Leukocyte receptor cluster member 9</t>
  </si>
  <si>
    <t>SH3 domain-containing kinase-binding protein 1</t>
  </si>
  <si>
    <t>E3 ubiquitin-protein ligase RNF25</t>
  </si>
  <si>
    <t>Axin interactor, dorsalization-associated protein</t>
  </si>
  <si>
    <t>Protein FAM105B</t>
  </si>
  <si>
    <t>Peptidylprolyl isomerase domain and WD repeat-containing protein 1</t>
  </si>
  <si>
    <t>Sel1 repeat-containing protein 1</t>
  </si>
  <si>
    <t>Isoform 2 of Phosphotriesterase-related protein</t>
  </si>
  <si>
    <t>Autophagy-related protein 2 homolog B</t>
  </si>
  <si>
    <t>Leukocyte receptor cluster member 1</t>
  </si>
  <si>
    <t>Protein FAM136A</t>
  </si>
  <si>
    <t>FGGY carbohydrate kinase domain-containing protein</t>
  </si>
  <si>
    <t>EF-hand domain-containing protein D2</t>
  </si>
  <si>
    <t>Aldose 1-epimerase</t>
  </si>
  <si>
    <t>Synaptotagmin-like protein 4</t>
  </si>
  <si>
    <t>m7GpppX diphosphatase</t>
  </si>
  <si>
    <t>Protein phosphatase 1 regulatory subunit 14B</t>
  </si>
  <si>
    <t>Integrator complex subunit 12</t>
  </si>
  <si>
    <t>F-box/LRR-repeat protein 8</t>
  </si>
  <si>
    <t>Charged multivesicular body protein 4c</t>
  </si>
  <si>
    <t>TRAF-interacting protein with FHA domain-containing protein A</t>
  </si>
  <si>
    <t>Isochorismatase domain-containing protein 1</t>
  </si>
  <si>
    <t>FLYWCH family member 2</t>
  </si>
  <si>
    <t>FAS-associated factor 2</t>
  </si>
  <si>
    <t>Coiled-coil domain-containing protein 124</t>
  </si>
  <si>
    <t>Isoform 3 of FAD-dependent oxidoreductase domain-containing protein 1</t>
  </si>
  <si>
    <t>Optineurin</t>
  </si>
  <si>
    <t>Isoform 2 of AP-2 complex subunit mu</t>
  </si>
  <si>
    <t>Isoform 2 of Gamma-tubulin complex component 3</t>
  </si>
  <si>
    <t>Probable RNA polymerase II nuclear localization protein SLC7A6OS</t>
  </si>
  <si>
    <t>BTB/POZ domain-containing protein KCTD12</t>
  </si>
  <si>
    <t>60S ribosomal export protein NMD3</t>
  </si>
  <si>
    <t>Isoform 2 of RalBP1-associated Eps domain-containing protein 1</t>
  </si>
  <si>
    <t>Transmembrane and coiled-coil domain-containing protein 6</t>
  </si>
  <si>
    <t>Enoyl-CoA hydratase domain-containing protein 3, mitochondrial</t>
  </si>
  <si>
    <t>U8 snoRNA-decapping enzyme</t>
  </si>
  <si>
    <t>Carboxymethylenebutenolidase homolog</t>
  </si>
  <si>
    <t>U5 small nuclear ribonucleoprotein 40 kDa protein</t>
  </si>
  <si>
    <t>Methionyl-tRNA formyltransferase, mitochondrial</t>
  </si>
  <si>
    <t>Rho guanine nucleotide exchange factor 26</t>
  </si>
  <si>
    <t>Dynein heavy chain 11, axonemal</t>
  </si>
  <si>
    <t>39S ribosomal protein L38, mitochondrial</t>
  </si>
  <si>
    <t>Ankyrin repeat and SOCS box protein 9</t>
  </si>
  <si>
    <t>Protein FAM122A</t>
  </si>
  <si>
    <t>Isoform 3 of Ribosome-recycling factor, mitochondrial</t>
  </si>
  <si>
    <t>RNA binding motif protein, X-linked-like-1</t>
  </si>
  <si>
    <t>Elongator complex protein 4</t>
  </si>
  <si>
    <t>NAD-dependent protein deacetylase sirtuin-1</t>
  </si>
  <si>
    <t>Isoform 2 of Protein Hook homolog 2</t>
  </si>
  <si>
    <t>Nucleoporin SEH1</t>
  </si>
  <si>
    <t>Transcription elongation factor A protein-like 4</t>
  </si>
  <si>
    <t>KIF1-binding protein</t>
  </si>
  <si>
    <t>Glucosamine 6-phosphate N-acetyltransferase</t>
  </si>
  <si>
    <t>Trans-L-3-hydroxyproline dehydratase</t>
  </si>
  <si>
    <t>Molybdenum cofactor sulfurase</t>
  </si>
  <si>
    <t>E3 ubiquitin-protein ligase RNF31</t>
  </si>
  <si>
    <t>Isoform 2 of DAZ-associated protein 1</t>
  </si>
  <si>
    <t>RNA-binding protein 33</t>
  </si>
  <si>
    <t>Dysbindin</t>
  </si>
  <si>
    <t>Isoform 2 of DnaJ homolog subfamily A member 3, mitochondrial</t>
  </si>
  <si>
    <t>Pentatricopeptide repeat domain-containing protein 3, mitochondrial</t>
  </si>
  <si>
    <t>Cob(I)yrinic acid a,c-diamide adenosyltransferase, mitochondrial</t>
  </si>
  <si>
    <t>Probable inactive tRNA-specific adenosine deaminase-like protein 3</t>
  </si>
  <si>
    <t>Diamine acetyltransferase 2</t>
  </si>
  <si>
    <t>Isoform 2 of Nuclear receptor-binding factor 2</t>
  </si>
  <si>
    <t>Coiled-coil domain-containing protein 97</t>
  </si>
  <si>
    <t>Protein MEF2BNB</t>
  </si>
  <si>
    <t>Dynein light chain 2, cytoplasmic</t>
  </si>
  <si>
    <t>Secernin-2</t>
  </si>
  <si>
    <t>tRNA (adenine(58)-N(1))-methyltransferase catalytic subunit TRMT61A</t>
  </si>
  <si>
    <t>Isoform 3 of Protein bicaudal D homolog 1</t>
  </si>
  <si>
    <t>Phosphoglucomutase-2</t>
  </si>
  <si>
    <t>tRNA-dihydrouridine(47) synthase [NAD(P)(+)]-like</t>
  </si>
  <si>
    <t>Serine dehydratase-like</t>
  </si>
  <si>
    <t>Pyridoxal phosphate phosphatase</t>
  </si>
  <si>
    <t>Isoform 2 of Calmodulin-like protein 4</t>
  </si>
  <si>
    <t>E3 ubiquitin-protein ligase RNF185</t>
  </si>
  <si>
    <t>DCN1-like protein 1</t>
  </si>
  <si>
    <t>Fumarylacetoacetate hydrolase domain-containing protein 2A</t>
  </si>
  <si>
    <t>Uncharacterized protein C17orf59</t>
  </si>
  <si>
    <t>Methionine--tRNA ligase, mitochondrial</t>
  </si>
  <si>
    <t>Putative ataxin-7-like protein 3B</t>
  </si>
  <si>
    <t>Methylthioribulose-1-phosphate dehydratase</t>
  </si>
  <si>
    <t>Vacuolar-sorting protein SNF8</t>
  </si>
  <si>
    <t>PDZ and LIM domain protein 5</t>
  </si>
  <si>
    <t>Aspartoacylase-2</t>
  </si>
  <si>
    <t>ERO1-like protein alpha</t>
  </si>
  <si>
    <t>Isoform 2 of UPF0562 protein C7orf55</t>
  </si>
  <si>
    <t>UPF0562 protein C7orf55</t>
  </si>
  <si>
    <t>Isoform 4 of Putative adenosylhomocysteinase 3</t>
  </si>
  <si>
    <t>Oxidoreductase NAD-binding domain-containing protein 1</t>
  </si>
  <si>
    <t>Isoform 2 of CDKN2AIP N-terminal-like protein</t>
  </si>
  <si>
    <t>Receptor expression-enhancing protein 6</t>
  </si>
  <si>
    <t>Serine/threonine-protein phosphatase PGAM5, mitochondrial</t>
  </si>
  <si>
    <t>DDRGK domain-containing protein 1</t>
  </si>
  <si>
    <t>Probable 2-oxoglutarate dehydrogenase E1 component DHKTD1, mitochondrial</t>
  </si>
  <si>
    <t>Selenocysteine lyase</t>
  </si>
  <si>
    <t>Protein preY, mitochondrial</t>
  </si>
  <si>
    <t>Far upstream element-binding protein 3</t>
  </si>
  <si>
    <t>Splicing factor 45</t>
  </si>
  <si>
    <t>Protein phosphatase 1 regulatory subunit 16A</t>
  </si>
  <si>
    <t>Williams-Beuren syndrome chromosomal region 16 protein</t>
  </si>
  <si>
    <t>Probable asparagine--tRNA ligase, mitochondrial</t>
  </si>
  <si>
    <t>Succinyl-CoA ligase [GDP-forming] subunit beta, mitochondrial</t>
  </si>
  <si>
    <t>LIM domain-containing protein ajuba</t>
  </si>
  <si>
    <t>Mannose-1-phosphate guanyltransferase alpha</t>
  </si>
  <si>
    <t>Alpha/beta hydrolase domain-containing protein 14B</t>
  </si>
  <si>
    <t>Isoform 2 of Peptide-N(4)-(N-acetyl-beta-glucosaminyl)asparagine amidase</t>
  </si>
  <si>
    <t>Kinetochore-associated protein NSL1 homolog</t>
  </si>
  <si>
    <t>Carboxypeptidase B2</t>
  </si>
  <si>
    <t>PRKC apoptosis WT1 regulator protein</t>
  </si>
  <si>
    <t>Isoform 2 of E3 ubiquitin-protein ligase Itchy homolog</t>
  </si>
  <si>
    <t>Conserved oligomeric Golgi complex subunit 3</t>
  </si>
  <si>
    <t>CDK5 regulatory subunit-associated protein 3</t>
  </si>
  <si>
    <t>Protein transport protein Sec16B</t>
  </si>
  <si>
    <t>Isoform 3 of Coiled-coil domain-containing protein 132</t>
  </si>
  <si>
    <t>Deubiquitinating protein VCIP135</t>
  </si>
  <si>
    <t>Chromosome alignment-maintaining phosphoprotein 1</t>
  </si>
  <si>
    <t>Putative unconventional myosin-XVB</t>
  </si>
  <si>
    <t>Isoform 2 of E3 ubiquitin-protein ligase ZFP91</t>
  </si>
  <si>
    <t>Calmin</t>
  </si>
  <si>
    <t>PDZ and LIM domain protein 2</t>
  </si>
  <si>
    <t>Isoform 2 of Transcription factor BTF3 homolog 4</t>
  </si>
  <si>
    <t>DnaJ homolog subfamily C member 1</t>
  </si>
  <si>
    <t>Isoform 3 of N-terminal kinase-like protein</t>
  </si>
  <si>
    <t>Zinc finger protein 512B</t>
  </si>
  <si>
    <t>Exocyst complex component 2</t>
  </si>
  <si>
    <t>Cytosolic non-specific dipeptidase</t>
  </si>
  <si>
    <t>Zinc finger RNA-binding protein</t>
  </si>
  <si>
    <t>Isoform 3 of E1A-binding protein p400</t>
  </si>
  <si>
    <t>Isoform 2 of Sorting nexin-27</t>
  </si>
  <si>
    <t>Sentrin-specific protease 8</t>
  </si>
  <si>
    <t>Dehydrogenase/reductase SDR family member 1</t>
  </si>
  <si>
    <t>Protein PRRC1</t>
  </si>
  <si>
    <t>Isoform 4 of F-box/LRR-repeat protein 18</t>
  </si>
  <si>
    <t>Protein-L-isoaspartate O-methyltransferase domain-containing protein 1</t>
  </si>
  <si>
    <t>Protein HEXIM2</t>
  </si>
  <si>
    <t>Isoform 2 of YTH domain-containing protein 1</t>
  </si>
  <si>
    <t>Coiled-coil domain-containing protein 43</t>
  </si>
  <si>
    <t>WD repeat-containing protein 92</t>
  </si>
  <si>
    <t>Urocanate hydratase</t>
  </si>
  <si>
    <t>Rab-interacting lysosomal protein</t>
  </si>
  <si>
    <t>Zinc finger protein 830</t>
  </si>
  <si>
    <t>Zinc finger matrin-type protein 2</t>
  </si>
  <si>
    <t>Protein C8orf37</t>
  </si>
  <si>
    <t>Probable imidazolonepropionase</t>
  </si>
  <si>
    <t>Proline-rich acidic protein 1</t>
  </si>
  <si>
    <t>Putative methyltransferase NSUN5</t>
  </si>
  <si>
    <t>Isoform 2 of Regulation of nuclear pre-mRNA domain-containing protein 1A</t>
  </si>
  <si>
    <t>Arf-GAP with GTPase, ANK repeat and PH domain-containing protein 3</t>
  </si>
  <si>
    <t>Isoform 7 of Arf-GAP with Rho-GAP domain, ANK repeat and PH domain-containing protein 1</t>
  </si>
  <si>
    <t>Importin-9</t>
  </si>
  <si>
    <t>N-acetylmuramoyl-L-alanine amidase</t>
  </si>
  <si>
    <t>Methylmalonyl-CoA epimerase, mitochondrial</t>
  </si>
  <si>
    <t>RNA-binding protein 14</t>
  </si>
  <si>
    <t>Isoform 3 of RING finger and CHY zinc finger domain-containing protein 1</t>
  </si>
  <si>
    <t>Guanylate-binding protein 4</t>
  </si>
  <si>
    <t>Isoform 3 of E3 ubiquitin-protein ligase NEDD4-like</t>
  </si>
  <si>
    <t>Isoform 3 of Protein quaking</t>
  </si>
  <si>
    <t>Isoform 6 of Protein quaking</t>
  </si>
  <si>
    <t>Leukocyte receptor cluster member 8</t>
  </si>
  <si>
    <t>Pseudouridylate synthase 7 homolog</t>
  </si>
  <si>
    <t>Isoform 3 of Trafficking protein particle complex subunit 9</t>
  </si>
  <si>
    <t>Isoform 2 of Perilipin-4</t>
  </si>
  <si>
    <t>Isoform 2 of CCA tRNA nucleotidyltransferase 1, mitochondrial</t>
  </si>
  <si>
    <t>Alsin</t>
  </si>
  <si>
    <t>Alpha-ketoglutarate-dependent dioxygenase alkB homolog 3</t>
  </si>
  <si>
    <t>Serine/threonine-protein phosphatase 1 regulatory subunit 10</t>
  </si>
  <si>
    <t>Vacuolar protein sorting-associated protein 35</t>
  </si>
  <si>
    <t>Transcriptional activator protein Pur-beta</t>
  </si>
  <si>
    <t>Exportin-6</t>
  </si>
  <si>
    <t>Isoform 3 of Membrane-associated guanylate kinase, WW and PDZ domain-containing protein 1</t>
  </si>
  <si>
    <t>Sperm-associated antigen 5</t>
  </si>
  <si>
    <t>Nucleus accumbens-associated protein 1</t>
  </si>
  <si>
    <t>Isoform 2 of Sorting nexin-18</t>
  </si>
  <si>
    <t>BRCA1-A complex subunit RAP80</t>
  </si>
  <si>
    <t>Isoform 4 of Vacuolar protein sorting-associated protein 13A</t>
  </si>
  <si>
    <t>Isoform 3 of Mediator of RNA polymerase II transcription subunit 15</t>
  </si>
  <si>
    <t>Elongation factor G, mitochondrial</t>
  </si>
  <si>
    <t>Methylcrotonoyl-CoA carboxylase subunit alpha, mitochondrial</t>
  </si>
  <si>
    <t>Isoform 3 of NudC domain-containing protein 1</t>
  </si>
  <si>
    <t>Isoform 9 of Protein LAP2</t>
  </si>
  <si>
    <t>Isoform 2 of Ubiquitin carboxyl-terminal hydrolase 28</t>
  </si>
  <si>
    <t>Isoform 4 of Formin-binding protein 1</t>
  </si>
  <si>
    <t>Isoform 2 of Hemicentin-1</t>
  </si>
  <si>
    <t>UPF0585 protein C16orf13</t>
  </si>
  <si>
    <t>TP53-regulating kinase</t>
  </si>
  <si>
    <t>Isoform 2 of ATPase WRNIP1</t>
  </si>
  <si>
    <t>Isoform 4 of Chloride channel CLIC-like protein 1</t>
  </si>
  <si>
    <t>Pleckstrin homology domain-containing family F member 1</t>
  </si>
  <si>
    <t>Neurabin-2</t>
  </si>
  <si>
    <t>Isoform 2 of Spermatid perinuclear RNA-binding protein</t>
  </si>
  <si>
    <t>Protein IWS1 homolog</t>
  </si>
  <si>
    <t>Paired amphipathic helix protein Sin3a</t>
  </si>
  <si>
    <t>Isoform 7 of Oxysterol-binding protein-related protein 9</t>
  </si>
  <si>
    <t>2-aminoethanethiol dioxygenase</t>
  </si>
  <si>
    <t>Isoform 2 of Putative RNA-binding protein 15</t>
  </si>
  <si>
    <t>RUN and FYVE domain-containing protein 1</t>
  </si>
  <si>
    <t>Msx2-interacting protein</t>
  </si>
  <si>
    <t>MMS19 nucleotide excision repair protein homolog</t>
  </si>
  <si>
    <t>Isoform 2 of Niban-like protein 1</t>
  </si>
  <si>
    <t>Isoform 3 of ATP-dependent zinc metalloprotease YME1L1</t>
  </si>
  <si>
    <t>C-Myc-binding protein</t>
  </si>
  <si>
    <t>Peroxisomal acyl-coenzyme A oxidase 2</t>
  </si>
  <si>
    <t>Tubulin-folding cofactor B</t>
  </si>
  <si>
    <t>Proteasome subunit beta type-7</t>
  </si>
  <si>
    <t>Isoform 3 of Ethanolamine-phosphate cytidylyltransferase</t>
  </si>
  <si>
    <t>Cell division cycle 5-like protein</t>
  </si>
  <si>
    <t>26S proteasome non-ATPase regulatory subunit 1</t>
  </si>
  <si>
    <t>Stromal cell-derived factor 2</t>
  </si>
  <si>
    <t>Prefoldin subunit 5</t>
  </si>
  <si>
    <t>Platelet-activating factor acetylhydrolase 2, cytoplasmic</t>
  </si>
  <si>
    <t>D-aspartate oxidase</t>
  </si>
  <si>
    <t>E3 ubiquitin-protein ligase RING2</t>
  </si>
  <si>
    <t>Protein DJ-1</t>
  </si>
  <si>
    <t>Sialidase-1</t>
  </si>
  <si>
    <t>Synaptic vesicle membrane protein VAT-1 homolog</t>
  </si>
  <si>
    <t>Legumain</t>
  </si>
  <si>
    <t>DnaJ homolog subfamily C member 2</t>
  </si>
  <si>
    <t>M-phase phosphoprotein 8</t>
  </si>
  <si>
    <t>Nuclear pore complex protein Nup88</t>
  </si>
  <si>
    <t>Isoform 2 of Plakophilin-4</t>
  </si>
  <si>
    <t>Phosphoinositide 3-kinase regulatory subunit 4</t>
  </si>
  <si>
    <t>Ribonucleases P/MRP protein subunit POP1</t>
  </si>
  <si>
    <t>Protein S100-A13</t>
  </si>
  <si>
    <t>Isoform 2 of Protein SCAF11</t>
  </si>
  <si>
    <t>Translin-associated protein X</t>
  </si>
  <si>
    <t>Selenide, water dikinase 2</t>
  </si>
  <si>
    <t>Tetratricopeptide repeat protein 1</t>
  </si>
  <si>
    <t>DnaJ homolog subfamily C member 7</t>
  </si>
  <si>
    <t>Protein C10</t>
  </si>
  <si>
    <t>Sodium-coupled neutral amino acid transporter 3</t>
  </si>
  <si>
    <t>Isoform 2 of COP9 signalosome complex subunit 8</t>
  </si>
  <si>
    <t>Calcineurin B homologous protein 1</t>
  </si>
  <si>
    <t>Monoglyceride lipase</t>
  </si>
  <si>
    <t>Isoform 4 of Ataxin-2</t>
  </si>
  <si>
    <t>Methionine synthase</t>
  </si>
  <si>
    <t>3-hydroxyacyl-CoA dehydrogenase type-2</t>
  </si>
  <si>
    <t>Nucleosome assembly protein 1-like 4</t>
  </si>
  <si>
    <t>Gamma-soluble NSF attachment protein</t>
  </si>
  <si>
    <t>Thioredoxin, mitochondrial</t>
  </si>
  <si>
    <t>ATP synthase subunit s, mitochondrial</t>
  </si>
  <si>
    <t>Mitochondrial intermediate peptidase</t>
  </si>
  <si>
    <t>Aconitate hydratase, mitochondrial</t>
  </si>
  <si>
    <t>Isoform 2 of Ubiquinone biosynthesis protein COQ7 homolog</t>
  </si>
  <si>
    <t>T-complex protein 1 subunit eta</t>
  </si>
  <si>
    <t>Myeloid differentiation primary response protein MyD88</t>
  </si>
  <si>
    <t>Histone H2A type 1-J</t>
  </si>
  <si>
    <t>Tyrosine-protein phosphatase non-receptor type 18</t>
  </si>
  <si>
    <t>Isoform 1 of Plakophilin-2</t>
  </si>
  <si>
    <t>Endophilin-A2</t>
  </si>
  <si>
    <t>Isoform 5 of A-kinase anchor protein 9</t>
  </si>
  <si>
    <t>Protein NipSnap homolog 1</t>
  </si>
  <si>
    <t>Actin-related protein 2/3 complex subunit 5-like protein</t>
  </si>
  <si>
    <t>Zinc finger FYVE domain-containing protein 21</t>
  </si>
  <si>
    <t>Zinc phosphodiesterase ELAC protein 2</t>
  </si>
  <si>
    <t>Uncharacterized protein C19orf43</t>
  </si>
  <si>
    <t>Glutamate-rich WD repeat-containing protein 1</t>
  </si>
  <si>
    <t>O-acetyl-ADP-ribose deacetylase MACROD1</t>
  </si>
  <si>
    <t>Kelch domain-containing protein 3</t>
  </si>
  <si>
    <t>Methylosome protein 50</t>
  </si>
  <si>
    <t>Diphthamide biosynthesis protein 2</t>
  </si>
  <si>
    <t>Tubulin alpha-1C chain</t>
  </si>
  <si>
    <t>Apolipoprotein L2</t>
  </si>
  <si>
    <t>Myb-binding protein 1A</t>
  </si>
  <si>
    <t>Peroxisomal NADH pyrophosphatase NUDT12</t>
  </si>
  <si>
    <t>Isoform 2 of Phosphatidate phosphatase LPIN3</t>
  </si>
  <si>
    <t>Mitochondrial genome maintenance exonuclease 1</t>
  </si>
  <si>
    <t>FYVE and coiled-coil domain-containing protein 1</t>
  </si>
  <si>
    <t>Acyl-CoA-binding domain-containing protein 6</t>
  </si>
  <si>
    <t>Coronin-1B</t>
  </si>
  <si>
    <t>Thioredoxin domain-containing protein 17</t>
  </si>
  <si>
    <t>Calcineurin-like phosphoesterase domain-containing protein 1</t>
  </si>
  <si>
    <t>Vacuolar protein-sorting-associated protein 25</t>
  </si>
  <si>
    <t>45 kDa calcium-binding protein</t>
  </si>
  <si>
    <t>Proteasomal ATPase-associated factor 1</t>
  </si>
  <si>
    <t>Isoform 2 of Partner of Y14 and mago</t>
  </si>
  <si>
    <t>Isoform 2 of Apoptosis-inducing factor 2</t>
  </si>
  <si>
    <t>Migration and invasion enhancer 1</t>
  </si>
  <si>
    <t>E3 ubiquitin-protein ligase TRIM56</t>
  </si>
  <si>
    <t>Endoplasmic reticulum resident protein 44</t>
  </si>
  <si>
    <t>Cancer-related nucleoside-triphosphatase</t>
  </si>
  <si>
    <t>Agmatinase, mitochondrial</t>
  </si>
  <si>
    <t>Translational activator of cytochrome c oxidase 1</t>
  </si>
  <si>
    <t>Haloacid dehalogenase-like hydrolase domain-containing protein 3</t>
  </si>
  <si>
    <t>Isoform 3 of Uncharacterized protein C17orf80</t>
  </si>
  <si>
    <t>Extended synaptotagmin-1</t>
  </si>
  <si>
    <t>Ubiquitin-associated domain-containing protein 1</t>
  </si>
  <si>
    <t>Rhotekin</t>
  </si>
  <si>
    <t>UPF0183 protein C16orf70</t>
  </si>
  <si>
    <t>Coiled-coil-helix-coiled-coil-helix domain-containing protein 5</t>
  </si>
  <si>
    <t>Protein canopy homolog 3</t>
  </si>
  <si>
    <t>Alpha-ketoglutarate-dependent dioxygenase alkB homolog 7</t>
  </si>
  <si>
    <t>Proteasome assembly chaperone 3</t>
  </si>
  <si>
    <t>COP9 signalosome complex subunit 4</t>
  </si>
  <si>
    <t>Isoform 2 of WW domain-containing adapter protein with coiled-coil</t>
  </si>
  <si>
    <t>Death-inducer obliterator 1</t>
  </si>
  <si>
    <t>Isoform 2 of Dynactin subunit 5</t>
  </si>
  <si>
    <t>Isoform 2 of Mini-chromosome maintenance complex-binding protein</t>
  </si>
  <si>
    <t>Alanyl-tRNA editing protein Aarsd1</t>
  </si>
  <si>
    <t>RNMT-activating mini protein</t>
  </si>
  <si>
    <t>Acidic leucine-rich nuclear phosphoprotein 32 family member E</t>
  </si>
  <si>
    <t>Tubulin-specific chaperone D</t>
  </si>
  <si>
    <t>Alpha-tocopherol transfer protein-like</t>
  </si>
  <si>
    <t>Plasma alpha-L-fucosidase</t>
  </si>
  <si>
    <t>Protein FAM203A</t>
  </si>
  <si>
    <t>Dehydrogenase/reductase SDR family member 4</t>
  </si>
  <si>
    <t>Thiamine-triphosphatase</t>
  </si>
  <si>
    <t>NADH dehydrogenase [ubiquinone] 1 alpha subcomplex assembly factor 3</t>
  </si>
  <si>
    <t>Deoxyhypusine hydroxylase</t>
  </si>
  <si>
    <t>Iron-sulfur cluster assembly 1 homolog, mitochondrial</t>
  </si>
  <si>
    <t>Uncharacterized protein C9orf142</t>
  </si>
  <si>
    <t>Isoform 2 of Heterogeneous nuclear ribonucleoprotein U-like protein 1</t>
  </si>
  <si>
    <t>EF-hand domain-containing protein D1</t>
  </si>
  <si>
    <t>Probable ATP-dependent RNA helicase DDX23</t>
  </si>
  <si>
    <t>3-hydroxybutyrate dehydrogenase type 2</t>
  </si>
  <si>
    <t>Protein FAM195A</t>
  </si>
  <si>
    <t>Uncharacterized protein C1orf50</t>
  </si>
  <si>
    <t>Methylthioribose-1-phosphate isomerase</t>
  </si>
  <si>
    <t>THUMP domain-containing protein 3</t>
  </si>
  <si>
    <t>1,2-dihydroxy-3-keto-5-methylthiopentene dioxygenase</t>
  </si>
  <si>
    <t>Trans-2-enoyl-CoA reductase, mitochondrial</t>
  </si>
  <si>
    <t>N-terminal Xaa-Pro-Lys N-methyltransferase 1</t>
  </si>
  <si>
    <t>Protein PBDC1</t>
  </si>
  <si>
    <t>Isoform 3 of U3 small nucleolar RNA-associated protein 14 homolog A</t>
  </si>
  <si>
    <t>Dual specificity protein phosphatase 23</t>
  </si>
  <si>
    <t>Selenoprotein O</t>
  </si>
  <si>
    <t>Gamma-glutamylaminecyclotransferase</t>
  </si>
  <si>
    <t>tRNA (adenine(58)-N(1))-methyltransferase, mitochondrial</t>
  </si>
  <si>
    <t>Nuclear pore complex protein Nup85</t>
  </si>
  <si>
    <t>DET1- and DDB1-associated protein 1</t>
  </si>
  <si>
    <t>HIRA-interacting protein 3</t>
  </si>
  <si>
    <t>Isoform 2 of Intraflagellar transport protein 27 homolog</t>
  </si>
  <si>
    <t>Coiled-coil domain-containing protein 94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</si>
  <si>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</si>
  <si>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</si>
  <si>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</si>
  <si>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</si>
  <si>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Isoform 2 of RNA polymerase II-associated protein 1</t>
  </si>
  <si>
    <t>Splicing factor 3B subunit 5</t>
  </si>
  <si>
    <t>Isoform 3 of Chitinase domain-containing protein 1</t>
  </si>
  <si>
    <t>Kanadaptin</t>
  </si>
  <si>
    <t>Isoform 5 of Sorbin and SH3 domain-containing protein 1</t>
  </si>
  <si>
    <t>Isoform 9 of Sorbin and SH3 domain-containing protein 1</t>
  </si>
  <si>
    <t>Histidine triad nucleotide-binding protein 2, mitochondrial</t>
  </si>
  <si>
    <t>Sphingosine-1-phosphate phosphatase 1</t>
  </si>
  <si>
    <t>Oxysterol-binding protein-related protein 11</t>
  </si>
  <si>
    <t>TBC1 domain family member 10A</t>
  </si>
  <si>
    <t>N-alpha-acetyltransferase 15, NatA auxiliary subunit</t>
  </si>
  <si>
    <t>Bcl-2-like protein 13</t>
  </si>
  <si>
    <t>Isoform 5 of Serrate RNA effector molecule homolog</t>
  </si>
  <si>
    <t>Queuine tRNA-ribosyltransferase</t>
  </si>
  <si>
    <t>AP-1 complex subunit mu-1</t>
  </si>
  <si>
    <t>Isoform 7 of Nucleolar and spindle-associated protein 1</t>
  </si>
  <si>
    <t>Uncharacterized protein C14orf142</t>
  </si>
  <si>
    <t>Oxysterol-binding protein-related protein 1</t>
  </si>
  <si>
    <t>Isoform 1 of Cat eye syndrome critical region protein 5</t>
  </si>
  <si>
    <t>Inosine triphosphate pyrophosphatase</t>
  </si>
  <si>
    <t>Protein RTF2 homolog</t>
  </si>
  <si>
    <t>Charged multivesicular body protein 4a</t>
  </si>
  <si>
    <t>Peroxisomal trans-2-enoyl-CoA reductase</t>
  </si>
  <si>
    <t>Isoform 2 of Cell adhesion molecule 1</t>
  </si>
  <si>
    <t>Polymerase delta-interacting protein 3</t>
  </si>
  <si>
    <t>Uncharacterized protein KIAA1671</t>
  </si>
  <si>
    <t>39S ribosomal protein L1, mitochondrial</t>
  </si>
  <si>
    <t>RanBP-type and C3HC4-type zinc finger-containing protein 1</t>
  </si>
  <si>
    <t>Sulfiredoxin-1</t>
  </si>
  <si>
    <t>28S ribosomal protein S26, mitochondrial</t>
  </si>
  <si>
    <t>Isoform 3 of Serine/threonine-protein kinase WNK3</t>
  </si>
  <si>
    <t>Neurolysin, mitochondrial</t>
  </si>
  <si>
    <t>Alanine--glyoxylate aminotransferase 2, mitochondrial</t>
  </si>
  <si>
    <t>Isoform 4 of Beta,beta-carotene 9,10-oxygenase</t>
  </si>
  <si>
    <t>Isoform 4 of TBC1 domain family member 2A</t>
  </si>
  <si>
    <t>Interferon-induced helicase C domain-containing protein 1</t>
  </si>
  <si>
    <t>Isoform 2 of Pantothenate kinase 2, mitochondrial</t>
  </si>
  <si>
    <t>tRNA pseudouridine(38/39) synthase</t>
  </si>
  <si>
    <t>Tether containing UBX domain for GLUT4</t>
  </si>
  <si>
    <t>Isoform 3 of Oxysterol-binding protein-related protein 8</t>
  </si>
  <si>
    <t>WD repeat-containing protein 11</t>
  </si>
  <si>
    <t>Isoform 2 of Regulator of nonsense transcripts 3B</t>
  </si>
  <si>
    <t>F-box-like/WD repeat-containing protein TBL1XR1</t>
  </si>
  <si>
    <t>Ubiquitin-like protein 5</t>
  </si>
  <si>
    <t>Protein phosphatase 1 regulatory subunit 12C</t>
  </si>
  <si>
    <t>Isoform 2 of Apoptosis inhibitor 5</t>
  </si>
  <si>
    <t>Protein dpy-30 homolog</t>
  </si>
  <si>
    <t>Isoform Iota of Tripartite motif-containing protein 5</t>
  </si>
  <si>
    <t>RING finger protein unkempt homolog</t>
  </si>
  <si>
    <t>Alpha-ketoglutarate-dependent dioxygenase FTO</t>
  </si>
  <si>
    <t>Isoform 2 of Palmitoyltransferase ZDHHC5</t>
  </si>
  <si>
    <t>Transport and Golgi organization 6 homolog</t>
  </si>
  <si>
    <t>182 kDa tankyrase-1-binding protein</t>
  </si>
  <si>
    <t>Ubiquitin-conjugating enzyme E2 O</t>
  </si>
  <si>
    <t>Isoform 4 of SRC kinase signaling inhibitor 1</t>
  </si>
  <si>
    <t>Myotubularin-related protein 12</t>
  </si>
  <si>
    <t>pre-mRNA 3 end processing protein WDR33</t>
  </si>
  <si>
    <t>Protein YIPF3</t>
  </si>
  <si>
    <t>Isoform 3 of Tubulointerstitial nephritis antigen-like</t>
  </si>
  <si>
    <t>UPF0687 protein C20orf27</t>
  </si>
  <si>
    <t>PITH domain-containing protein 1</t>
  </si>
  <si>
    <t>COMM domain-containing protein 5</t>
  </si>
  <si>
    <t>Isoform 2 of SRA stem-loop-interacting RNA-binding protein, mitochondrial</t>
  </si>
  <si>
    <t>Isoform 2 of NIF3-like protein 1</t>
  </si>
  <si>
    <t>Egl nine homolog 1</t>
  </si>
  <si>
    <t>Protein FAM192A</t>
  </si>
  <si>
    <t>Isoform 2 of Mitochondrial fission factor</t>
  </si>
  <si>
    <t>Ubiquitin-like modifier-activating enzyme 5</t>
  </si>
  <si>
    <t>Phospholysine phosphohistidine inorganic pyrophosphate phosphatase</t>
  </si>
  <si>
    <t>Polyadenylate-binding protein-interacting protein 1</t>
  </si>
  <si>
    <t>Isoform 2 of Caseinolytic peptidase B protein homolog</t>
  </si>
  <si>
    <t>Protein FAM107B</t>
  </si>
  <si>
    <t>COMM domain-containing protein 4</t>
  </si>
  <si>
    <t>Integrin-linked kinase-associated serine/threonine phosphatase 2C</t>
  </si>
  <si>
    <t>5-3 exoribonuclease 2</t>
  </si>
  <si>
    <t>Toll-interacting protein</t>
  </si>
  <si>
    <t>Histone deacetylase complex subunit SAP130</t>
  </si>
  <si>
    <t>Sharpin</t>
  </si>
  <si>
    <t>Nuclear speckle splicing regulatory protein 1</t>
  </si>
  <si>
    <t>Serine/threonine-protein kinase SIK2</t>
  </si>
  <si>
    <t>Cleavage stimulation factor subunit 2 tau variant</t>
  </si>
  <si>
    <t>Isoform 1 of Cytosolic 5-nucleotidase 3A</t>
  </si>
  <si>
    <t>Haloacid dehalogenase-like hydrolase domain-containing protein 2</t>
  </si>
  <si>
    <t>Glutamyl-tRNA(Gln) amidotransferase subunit A, mitochondrial</t>
  </si>
  <si>
    <t>Ras-related protein Rab-1B</t>
  </si>
  <si>
    <t>Ester hydrolase C11orf54</t>
  </si>
  <si>
    <t>Nucleotide exchange factor SIL1</t>
  </si>
  <si>
    <t>Interferon regulatory factor 2-binding protein-like</t>
  </si>
  <si>
    <t>Nuclear ubiquitous casein and cyclin-dependent kinase substrate 1</t>
  </si>
  <si>
    <t>Isoform 3 of Kinesin-like protein KIF13A</t>
  </si>
  <si>
    <t>Regulator of nonsense transcripts 3A</t>
  </si>
  <si>
    <t>Rabenosyn-5</t>
  </si>
  <si>
    <t>Iron-sulfur cluster assembly enzyme ISCU, mitochondrial</t>
  </si>
  <si>
    <t>Autophagy protein 5</t>
  </si>
  <si>
    <t>WD repeat-containing protein 13</t>
  </si>
  <si>
    <t>EH domain-containing protein 4</t>
  </si>
  <si>
    <t>Cytosolic beta-glucosidase</t>
  </si>
  <si>
    <t>Vacuolar protein sorting-associated protein 33B</t>
  </si>
  <si>
    <t>Vacuolar protein sorting-associated protein 11 homolog</t>
  </si>
  <si>
    <t>Aldehyde dehydrogenase family 8 member A1</t>
  </si>
  <si>
    <t>Isoform 4 of TRIO and F-actin-binding protein</t>
  </si>
  <si>
    <t>STE20-like serine/threonine-protein kinase</t>
  </si>
  <si>
    <t>Peptidyl-prolyl cis-trans isomerase-like 3</t>
  </si>
  <si>
    <t>Serine/threonine-protein kinase TAO3</t>
  </si>
  <si>
    <t>S-methylmethionine--homocysteine S-methyltransferase BHMT2</t>
  </si>
  <si>
    <t>Rab3 GTPase-activating protein non-catalytic subunit</t>
  </si>
  <si>
    <t>Activity-dependent neuroprotector homeobox protein</t>
  </si>
  <si>
    <t>Isoform 3 of Diphthine synthase</t>
  </si>
  <si>
    <t>Isoform 3 of Probable ATP-dependent RNA helicase DHX36</t>
  </si>
  <si>
    <t>Inorganic pyrophosphatase 2, mitochondrial</t>
  </si>
  <si>
    <t>39S ribosomal protein L46, mitochondrial</t>
  </si>
  <si>
    <t>Isoform 10 of C-type lectin domain family 4 member M</t>
  </si>
  <si>
    <t>Pinin</t>
  </si>
  <si>
    <t>Isoform 2 of Band 4.1-like protein 4B</t>
  </si>
  <si>
    <t>Probable serine carboxypeptidase CPVL</t>
  </si>
  <si>
    <t>UPF0696 protein C11orf68</t>
  </si>
  <si>
    <t>BolA-like protein 2</t>
  </si>
  <si>
    <t>Thioredoxin-related transmembrane protein 1</t>
  </si>
  <si>
    <t>Negative elongation factor A</t>
  </si>
  <si>
    <t>Golgi resident protein GCP60</t>
  </si>
  <si>
    <t>Cdc42 effector protein 4</t>
  </si>
  <si>
    <t>Tyrosine-protein phosphatase non-receptor type 23</t>
  </si>
  <si>
    <t>Isoform 2 of Protein unc-45 homolog A</t>
  </si>
  <si>
    <t>Isoform 2 of Lck-interacting transmembrane adapter 1</t>
  </si>
  <si>
    <t>Charged multivesicular body protein 4b</t>
  </si>
  <si>
    <t>Ribokinase</t>
  </si>
  <si>
    <t>Fructosamine-3-kinase</t>
  </si>
  <si>
    <t>GDP-fucose protein O-fucosyltransferase 1</t>
  </si>
  <si>
    <t>Aminopeptidase B</t>
  </si>
  <si>
    <t>Golgi phosphoprotein 3</t>
  </si>
  <si>
    <t>Probable tRNA threonylcarbamoyladenosine biosynthesis protein</t>
  </si>
  <si>
    <t>Zinc fingers and homeoboxes protein 3</t>
  </si>
  <si>
    <t>SWI/SNF-related matrix-associated actin-dependent regulator of chromatin subfamily A containing DEAD/H box 1</t>
  </si>
  <si>
    <t>EH domain-containing protein 1</t>
  </si>
  <si>
    <t>Phosphorylated CTD-interacting factor 1</t>
  </si>
  <si>
    <t>Rab GTPase-binding effector protein 2</t>
  </si>
  <si>
    <t>Dimethyladenosine transferase 2, mitochondrial</t>
  </si>
  <si>
    <t>Isoform 2 of UPF0428 protein CXorf56</t>
  </si>
  <si>
    <t>CST complex subunit STN1</t>
  </si>
  <si>
    <t>Speckle targeted PIP5K1A-regulated poly(A) polymerase</t>
  </si>
  <si>
    <t>Coiled-coil domain-containing protein 86</t>
  </si>
  <si>
    <t>Cytosolic Fe-S cluster assembly factor NARFL</t>
  </si>
  <si>
    <t>Acyl-CoA synthetase short-chain family member 3, mitochondrial</t>
  </si>
  <si>
    <t>Probable ATP-dependent RNA helicase YTHDC2</t>
  </si>
  <si>
    <t>Epidermal growth factor receptor kinase substrate 8-like protein 2</t>
  </si>
  <si>
    <t>Isoform 2 of Epithelial splicing regulatory protein 2</t>
  </si>
  <si>
    <t>Isoform 2 of RNA polymerase II-associated protein 3</t>
  </si>
  <si>
    <t>Isoform 1 of Breast carcinoma-amplified sequence 3</t>
  </si>
  <si>
    <t>dCTP pyrophosphatase 1</t>
  </si>
  <si>
    <t>Zinc phosphodiesterase ELAC protein 1</t>
  </si>
  <si>
    <t>SH2 domain-containing protein 4A</t>
  </si>
  <si>
    <t>Mth938 domain-containing protein</t>
  </si>
  <si>
    <t>Dedicator of cytokinesis protein 5</t>
  </si>
  <si>
    <t>Isoform 3 of Tudor domain-containing protein 3</t>
  </si>
  <si>
    <t>Splicing factor, arginine/serine-rich 19</t>
  </si>
  <si>
    <t>Histone acetyltransferase KAT8</t>
  </si>
  <si>
    <t>Prostaglandin E synthase 2</t>
  </si>
  <si>
    <t>Phosphorylated adapter RNA export protein</t>
  </si>
  <si>
    <t>Ubiquitin-conjugating enzyme E2 Z</t>
  </si>
  <si>
    <t>Acyl-CoA dehydrogenase family member 9, mitochondrial</t>
  </si>
  <si>
    <t>Isoform 2 of Caspase activity and apoptosis inhibitor 1</t>
  </si>
  <si>
    <t>Protein FAM188A</t>
  </si>
  <si>
    <t>MOB kinase activator 1A</t>
  </si>
  <si>
    <t>AKT-interacting protein</t>
  </si>
  <si>
    <t>AN1-type zinc finger protein 3</t>
  </si>
  <si>
    <t>Pleckstrin homology domain-containing family F member 2</t>
  </si>
  <si>
    <t>Golgi reassembly-stacking protein 2</t>
  </si>
  <si>
    <t>Proline-serine-threonine phosphatase-interacting protein 2</t>
  </si>
  <si>
    <t>Queuine tRNA-ribosyltransferase subunit QTRTD1</t>
  </si>
  <si>
    <t>UPF0364 protein C6orf211</t>
  </si>
  <si>
    <t>Pantothenate kinase 3</t>
  </si>
  <si>
    <t>Isoform 2 of CCR4-NOT transcription complex subunit 10</t>
  </si>
  <si>
    <t>Leucine-rich repeat-containing protein 40</t>
  </si>
  <si>
    <t>Isoform 3 of Histone-lysine N-methyltransferase EHMT1</t>
  </si>
  <si>
    <t>Sideroflexin-1</t>
  </si>
  <si>
    <t>Isoform 2 of Spermatogenesis-defective protein 39 homolog</t>
  </si>
  <si>
    <t>Conserved oligomeric Golgi complex subunit 4</t>
  </si>
  <si>
    <t>Protein argonaute-3</t>
  </si>
  <si>
    <t>39S ribosomal protein L44, mitochondrial</t>
  </si>
  <si>
    <t>Isoform 2 of Elongator complex protein 3</t>
  </si>
  <si>
    <t>Ketosamine-3-kinase</t>
  </si>
  <si>
    <t>TBC1 domain family member 17</t>
  </si>
  <si>
    <t>Probable cysteine--tRNA ligase, mitochondrial</t>
  </si>
  <si>
    <t>Phosphopantothenate--cysteine ligase</t>
  </si>
  <si>
    <t>Isoform 4 of CaiB/baiF CoA-transferase family protein C7orf10</t>
  </si>
  <si>
    <t>Nicotinamide mononucleotide adenylyltransferase 1</t>
  </si>
  <si>
    <t>Isoform 2 of Sialate O-acetylesterase</t>
  </si>
  <si>
    <t>Pleckstrin homology domain-containing family A member 5</t>
  </si>
  <si>
    <t>Regulator of nonsense transcripts 2</t>
  </si>
  <si>
    <t>Exportin-5</t>
  </si>
  <si>
    <t>GrpE protein homolog 1, mitochondrial</t>
  </si>
  <si>
    <t>UPF0160 protein MYG1, mitochondrial</t>
  </si>
  <si>
    <t>Retinoid-inducible serine carboxypeptidase</t>
  </si>
  <si>
    <t>Calcyclin-binding protein</t>
  </si>
  <si>
    <t>Ras-related GTP-binding protein C</t>
  </si>
  <si>
    <t>Isoform 2 of Cadherin-related family member 5</t>
  </si>
  <si>
    <t>Isoform 2 of Zinc finger FYVE domain-containing protein 1</t>
  </si>
  <si>
    <t>Peptide deformylase, mitochondrial</t>
  </si>
  <si>
    <t>Beta-parvin</t>
  </si>
  <si>
    <t>Arsenite methyltransferase</t>
  </si>
  <si>
    <t>NmrA-like family domain-containing protein 1</t>
  </si>
  <si>
    <t>Echinoderm microtubule-associated protein-like 4</t>
  </si>
  <si>
    <t>Isoform 2 of Glyoxalase domain-containing protein 4</t>
  </si>
  <si>
    <t>Chromobox protein homolog 8</t>
  </si>
  <si>
    <t>Isoform 2 of Zinc finger and BTB domain-containing protein 20</t>
  </si>
  <si>
    <t>Methylcrotonoyl-CoA carboxylase beta chain, mitochondrial</t>
  </si>
  <si>
    <t>Isoform 5 of Lateral signaling target protein 2 homolog</t>
  </si>
  <si>
    <t>Putative helicase MOV-10</t>
  </si>
  <si>
    <t>Methyltransferase-like protein 14</t>
  </si>
  <si>
    <t>Isoform 3 of Rho guanine nucleotide exchange factor 10-like protein</t>
  </si>
  <si>
    <t>Isoform 2 of Band 4.1-like protein 5</t>
  </si>
  <si>
    <t>Isoform 3 of GPN-loop GTPase 1</t>
  </si>
  <si>
    <t>Stromal cell-derived factor 2-like protein 1</t>
  </si>
  <si>
    <t>Zinc finger protein 304</t>
  </si>
  <si>
    <t>Steroid receptor RNA activator 1</t>
  </si>
  <si>
    <t>Isoform 2 of Golgi-associated PDZ and coiled-coil motif-containing protein</t>
  </si>
  <si>
    <t>LYR motif-containing protein 4</t>
  </si>
  <si>
    <t>O-phosphoseryl-tRNA(Sec) selenium transferase</t>
  </si>
  <si>
    <t>Charged multivesicular body protein 1a</t>
  </si>
  <si>
    <t>Isoform 4 of Ran guanine nucleotide release factor</t>
  </si>
  <si>
    <t>Resistin</t>
  </si>
  <si>
    <t>Isoform 2 of Thioredoxin reductase 2, mitochondrial</t>
  </si>
  <si>
    <t>ADP-ribosylation factor GTPase-activating protein 3</t>
  </si>
  <si>
    <t>Isoform 4 of Carbohydrate-responsive element-binding protein</t>
  </si>
  <si>
    <t>Ras-related protein Rab-18</t>
  </si>
  <si>
    <t>Isoform 2 of UDP-N-acetylglucosamine transferase subunit ALG13 homolog</t>
  </si>
  <si>
    <t>Palmdelphin</t>
  </si>
  <si>
    <t>RNA polymerase II subunit A C-terminal domain phosphatase SSU72</t>
  </si>
  <si>
    <t>Vacuolar protein sorting-associated protein VTA1 homolog</t>
  </si>
  <si>
    <t>Dynein light chain roadblock-type 1</t>
  </si>
  <si>
    <t>Isoform 2 of Enhancer of yellow 2 transcription factor homolog</t>
  </si>
  <si>
    <t>Glycerophosphocholine phosphodiesterase GPCPD1</t>
  </si>
  <si>
    <t>Exosome complex component RRP41</t>
  </si>
  <si>
    <t>H/ACA ribonucleoprotein complex subunit 3</t>
  </si>
  <si>
    <t>Isoform 2 of Ubinuclein-1</t>
  </si>
  <si>
    <t>Lysophosphatidic acid phosphatase type 6</t>
  </si>
  <si>
    <t>Acyl-coenzyme A thioesterase 13</t>
  </si>
  <si>
    <t>Isoform 4 of Synembryn-A</t>
  </si>
  <si>
    <t>Fructose-2,6-bisphosphatase TIGAR</t>
  </si>
  <si>
    <t>Isoform 2 of APOBEC1 complementation factor</t>
  </si>
  <si>
    <t>Regulation of nuclear pre-mRNA domain-containing protein 1B</t>
  </si>
  <si>
    <t>Mitochondrial dynamic protein MID51</t>
  </si>
  <si>
    <t>Isoform 2 of Probable Xaa-Pro aminopeptidase 3</t>
  </si>
  <si>
    <t>Prefoldin subunit 4</t>
  </si>
  <si>
    <t>Omega-amidase NIT2</t>
  </si>
  <si>
    <t>Cell death regulator Aven</t>
  </si>
  <si>
    <t>Exosome complex component RRP46</t>
  </si>
  <si>
    <t>Kinesin-like protein KIF13B</t>
  </si>
  <si>
    <t>Isoform 3 of Xaa-Pro aminopeptidase 1</t>
  </si>
  <si>
    <t>Gephyrin</t>
  </si>
  <si>
    <t>Baculoviral IAP repeat-containing protein 6</t>
  </si>
  <si>
    <t>Acetyl-coenzyme A synthetase, cytoplasmic</t>
  </si>
  <si>
    <t>Isoform 2 of Diablo homolog, mitochondrial</t>
  </si>
  <si>
    <t>Nucleolar RNA helicase 2</t>
  </si>
  <si>
    <t>GTP-binding protein SAR1a</t>
  </si>
  <si>
    <t>Sialic acid synthase</t>
  </si>
  <si>
    <t>Isoform 3 of Translation initiation factor eIF-2B subunit gamma</t>
  </si>
  <si>
    <t>CTP synthase 2</t>
  </si>
  <si>
    <t>DNA polymerase epsilon subunit 3</t>
  </si>
  <si>
    <t>L-aminoadipate-semialdehyde dehydrogenase-phosphopantetheinyl transferase</t>
  </si>
  <si>
    <t>Protein ACN9 homolog, mitochondrial</t>
  </si>
  <si>
    <t>Ubiquilin-4</t>
  </si>
  <si>
    <t>Isoform 2 of Sorting nexin-15</t>
  </si>
  <si>
    <t>Heme-binding protein 1</t>
  </si>
  <si>
    <t>Vacuolar protein sorting-associated protein 45</t>
  </si>
  <si>
    <t>14 kDa phosphohistidine phosphatase</t>
  </si>
  <si>
    <t>Rho GTPase-activating protein 35</t>
  </si>
  <si>
    <t>Protein FAM114A2</t>
  </si>
  <si>
    <t>LanC-like protein 2</t>
  </si>
  <si>
    <t>E3 ubiquitin-protein ligase RAD18</t>
  </si>
  <si>
    <t>Isoform 2 of Homer protein homolog 2</t>
  </si>
  <si>
    <t>Phenylalanine--tRNA ligase beta subunit</t>
  </si>
  <si>
    <t>Isoleucine--tRNA ligase, mitochondrial</t>
  </si>
  <si>
    <t>Kinesin light chain 4</t>
  </si>
  <si>
    <t>Nuclear receptor-binding protein 2</t>
  </si>
  <si>
    <t>StAR-related lipid transfer protein 5</t>
  </si>
  <si>
    <t>Ubiquitin-like-conjugating enzyme ATG3</t>
  </si>
  <si>
    <t>NAD-dependent protein deacetylase sirtuin-3, mitochondrial</t>
  </si>
  <si>
    <t>Isoform 2 of Sister chromatid cohesion protein PDS5 homolog B</t>
  </si>
  <si>
    <t>Isoform 3 of Alpha-mannosidase 2C1</t>
  </si>
  <si>
    <t>Obg-like ATPase 1</t>
  </si>
  <si>
    <t>Copper homeostasis protein cutC homolog</t>
  </si>
  <si>
    <t>Semaphorin-4G</t>
  </si>
  <si>
    <t>Isoform 6 of Ethylmalonyl-CoA decarboxylase</t>
  </si>
  <si>
    <t>RNA-binding protein 12</t>
  </si>
  <si>
    <t>LYR motif-containing protein 2</t>
  </si>
  <si>
    <t>p53 and DNA damage-regulated protein 1</t>
  </si>
  <si>
    <t>Isoform 2 of Peroxisomal 2,4-dienoyl-CoA reductase</t>
  </si>
  <si>
    <t>Peroxisomal 2,4-dienoyl-CoA reductase</t>
  </si>
  <si>
    <t>Mycophenolic acid acyl-glucuronide esterase, mitochondrial</t>
  </si>
  <si>
    <t>Isoform 4 of UPF0515 protein C19orf66</t>
  </si>
  <si>
    <t>tRNA:m(4)X modification enzyme TRM13 homolog</t>
  </si>
  <si>
    <t>Protein lin-7 homolog C</t>
  </si>
  <si>
    <t>Gamma-taxilin</t>
  </si>
  <si>
    <t>SPATS2-like protein</t>
  </si>
  <si>
    <t>Isoform 2 of ATP-binding cassette sub-family F member 3</t>
  </si>
  <si>
    <t>Protein FAM49B</t>
  </si>
  <si>
    <t>GTPase IMAP family member 4</t>
  </si>
  <si>
    <t>Isoform 2 of TBC1 domain family member 23</t>
  </si>
  <si>
    <t>Probable 8-oxo-dGTP diphosphatase NUDT15</t>
  </si>
  <si>
    <t>MRG/MORF4L-binding protein</t>
  </si>
  <si>
    <t>Isoform 2 of Exocyst complex component 1</t>
  </si>
  <si>
    <t>Alpha-parvin</t>
  </si>
  <si>
    <t>Pantothenate kinase 4</t>
  </si>
  <si>
    <t>Ethanolamine kinase 2</t>
  </si>
  <si>
    <t>TBC1 domain family member 13</t>
  </si>
  <si>
    <t>Isoform 2 of Exonuclease 3-5 domain-containing protein 2</t>
  </si>
  <si>
    <t>Trimethyllysine dioxygenase, mitochondrial</t>
  </si>
  <si>
    <t>DnaJ homolog subfamily C member 17</t>
  </si>
  <si>
    <t>Protein kintoun</t>
  </si>
  <si>
    <t>Pyridoxine-5-phosphate oxidase</t>
  </si>
  <si>
    <t>Armadillo repeat-containing protein 1</t>
  </si>
  <si>
    <t>Isoform 2 of Protein SDA1 homolog</t>
  </si>
  <si>
    <t>Notchless protein homolog 1</t>
  </si>
  <si>
    <t>Adaptin ear-binding coat-associated protein 2</t>
  </si>
  <si>
    <t>RNA-binding protein 28</t>
  </si>
  <si>
    <t>Pre-mRNA-splicing factor RBM22</t>
  </si>
  <si>
    <t>Isoform 4 of BSD domain-containing protein 1</t>
  </si>
  <si>
    <t>Isoform 8 of BSD domain-containing protein 1</t>
  </si>
  <si>
    <t>WD repeat-containing protein 70</t>
  </si>
  <si>
    <t>Arginine and glutamate-rich protein 1</t>
  </si>
  <si>
    <t>SAFB-like transcription modulator</t>
  </si>
  <si>
    <t>Isoform 2 of Box C/D snoRNA protein 1</t>
  </si>
  <si>
    <t>3-oxoacyl-[acyl-carrier-protein] synthase, mitochondrial</t>
  </si>
  <si>
    <t>Glucose-induced degradation protein 8 homolog</t>
  </si>
  <si>
    <t>UPF0587 protein C1orf123</t>
  </si>
  <si>
    <t>Probable tRNA(His) guanylyltransferase</t>
  </si>
  <si>
    <t>UPF0609 protein C4orf27</t>
  </si>
  <si>
    <t>Interleukin-1 receptor-associated kinase 4</t>
  </si>
  <si>
    <t>Isoform 3 of Uridine-cytidine kinase-like 1</t>
  </si>
  <si>
    <t>Thioredoxin-like protein 4B</t>
  </si>
  <si>
    <t>COMM domain-containing protein 8</t>
  </si>
  <si>
    <t>Protein FAM206A</t>
  </si>
  <si>
    <t>Poly(ADP-ribose) glycohydrolase ARH3</t>
  </si>
  <si>
    <t>Huntingtin-interacting protein K</t>
  </si>
  <si>
    <t>NAD-dependent protein deacylase sirtuin-5, mitochondrial</t>
  </si>
  <si>
    <t>Myotubularin-related protein 10</t>
  </si>
  <si>
    <t>THUMP domain-containing protein 1</t>
  </si>
  <si>
    <t>Isoform 2 of Transmembrane prolyl 4-hydroxylase</t>
  </si>
  <si>
    <t>tRNA (guanine(26)-N(2))-dimethyltransferase</t>
  </si>
  <si>
    <t>Isoform 4 of BRCA1-A complex subunit BRE</t>
  </si>
  <si>
    <t>ADP-ribosylation factor-like protein 15</t>
  </si>
  <si>
    <t>CDKN2A-interacting protein</t>
  </si>
  <si>
    <t>DnaJ homolog subfamily B member 12</t>
  </si>
  <si>
    <t>Alpha-ketoglutarate-dependent dioxygenase alkB homolog 4</t>
  </si>
  <si>
    <t>Isoform 2 of H/ACA ribonucleoprotein complex subunit 1</t>
  </si>
  <si>
    <t>Serine/threonine-protein phosphatase 4 regulatory subunit 2</t>
  </si>
  <si>
    <t>Dipeptidyl peptidase 3</t>
  </si>
  <si>
    <t>Telomeric repeat-binding factor 2-interacting protein 1</t>
  </si>
  <si>
    <t>Isoform 2 of Bcl-2-associated transcription factor 1</t>
  </si>
  <si>
    <t>Cytochrome c oxidase assembly factor 4 homolog, mitochondrial</t>
  </si>
  <si>
    <t>TGF-beta-activated kinase 1 and MAP3K7-binding protein 2</t>
  </si>
  <si>
    <t>Mitogen-activated protein kinase kinase kinase MLT</t>
  </si>
  <si>
    <t>Tropomodulin-3</t>
  </si>
  <si>
    <t>Hydroxyacid oxidase 2</t>
  </si>
  <si>
    <t>Isoform 2 of UDP-glucose:glycoprotein glucosyltransferase 1</t>
  </si>
  <si>
    <t>Isoform 2 of Cyclin-dependent kinase 12</t>
  </si>
  <si>
    <t>Isoform 2 of FAST kinase domain-containing protein 2</t>
  </si>
  <si>
    <t>Endoplasmic reticulum aminopeptidase 1</t>
  </si>
  <si>
    <t>Isoform 2 of Ubiquitin-associated protein 1</t>
  </si>
  <si>
    <t>Actin-related protein 10</t>
  </si>
  <si>
    <t>CDGSH iron-sulfur domain-containing protein 1</t>
  </si>
  <si>
    <t>Uncharacterized protein C9orf78</t>
  </si>
  <si>
    <t>Constitutive coactivator of PPAR-gamma-like protein 1</t>
  </si>
  <si>
    <t>Isoform 6 of Molybdenum cofactor biosynthesis protein 1</t>
  </si>
  <si>
    <t>Glycolipid transfer protein</t>
  </si>
  <si>
    <t>Isoform 2 of Maspardin</t>
  </si>
  <si>
    <t>Isoform 2 of Sacsin</t>
  </si>
  <si>
    <t>Hexaprenyldihydroxybenzoate methyltransferase, mitochondrial</t>
  </si>
  <si>
    <t>Diphosphoinositol polyphosphate phosphohydrolase 2</t>
  </si>
  <si>
    <t>Hsp70-binding protein 1</t>
  </si>
  <si>
    <t>Methionine adenosyltransferase 2 subunit beta</t>
  </si>
  <si>
    <t>Isoform 2 of Intersectin-2</t>
  </si>
  <si>
    <t>Isoform 2 of Rho guanine nucleotide exchange factor 12</t>
  </si>
  <si>
    <t>Isoform 4 of CCR4-NOT transcription complex subunit 2</t>
  </si>
  <si>
    <t>Isoform 3 of Aryl-hydrocarbon-interacting protein-like 1</t>
  </si>
  <si>
    <t>Complement C1r subcomponent-like protein</t>
  </si>
  <si>
    <t>Isoform 2 of Opioid growth factor receptor</t>
  </si>
  <si>
    <t>LIM and cysteine-rich domains protein 1</t>
  </si>
  <si>
    <t>Charged multivesicular body protein 5</t>
  </si>
  <si>
    <t>COMM domain-containing protein 9</t>
  </si>
  <si>
    <t>Spliceosome-associated protein CWC15 homolog</t>
  </si>
  <si>
    <t>Thymocyte nuclear protein 1</t>
  </si>
  <si>
    <t>Very-long-chain (3R)-3-hydroxyacyl-[acyl-carrier protein] dehydratase 3</t>
  </si>
  <si>
    <t>[Pyruvate dehydrogenase [acetyl-transferring]]-phosphatase 1, mitochondrial</t>
  </si>
  <si>
    <t>E3 ubiquitin-protein ligase KCMF1</t>
  </si>
  <si>
    <t>Isoform 3 of Ankycorbin</t>
  </si>
  <si>
    <t>Vesicle-associated membrane protein-associated protein A</t>
  </si>
  <si>
    <t>A-kinase anchor protein 7 isoform gamma</t>
  </si>
  <si>
    <t>Uncharacterized protein C6orf203</t>
  </si>
  <si>
    <t>GSK3-beta interaction protein</t>
  </si>
  <si>
    <t>Peroxisomal sarcosine oxidase</t>
  </si>
  <si>
    <t>Costars family protein ABRACL</t>
  </si>
  <si>
    <t>Actin-related protein 3B</t>
  </si>
  <si>
    <t>Calmodulin-regulated spectrin-associated protein 3</t>
  </si>
  <si>
    <t>Isoform 2 of Calcium-binding and coiled-coil domain-containing protein 1</t>
  </si>
  <si>
    <t>Isoform 2 of Uncharacterized protein KIAA1522</t>
  </si>
  <si>
    <t>Protein RCC2</t>
  </si>
  <si>
    <t>Isoform 2 of LisH domain and HEAT repeat-containing protein KIAA1468</t>
  </si>
  <si>
    <t>LisH domain and HEAT repeat-containing protein KIAA1468</t>
  </si>
  <si>
    <t>Disco-interacting protein 2 homolog B</t>
  </si>
  <si>
    <t>Junctional protein associated with coronary artery disease</t>
  </si>
  <si>
    <t>SLAIN motif-containing protein 2</t>
  </si>
  <si>
    <t>BRCA2 and CDKN1A-interacting protein</t>
  </si>
  <si>
    <t>Coatomer subunit zeta-2</t>
  </si>
  <si>
    <t>Isoform 2 of Inhibitor of Bruton tyrosine kinase</t>
  </si>
  <si>
    <t>Isoform 3 of HEAT repeat-containing protein 5B</t>
  </si>
  <si>
    <t>Isoform 1 of Ribosome-binding protein 1</t>
  </si>
  <si>
    <t>Ribosome-binding protein 1</t>
  </si>
  <si>
    <t>Cleavage and polyadenylation specificity factor subunit 2</t>
  </si>
  <si>
    <t>Isoform 2 of Eukaryotic translation initiation factor 2-alpha kinase 4</t>
  </si>
  <si>
    <t>Cingulin</t>
  </si>
  <si>
    <t>RNA-binding protein 27</t>
  </si>
  <si>
    <t>Ankyrin repeat and FYVE domain-containing protein 1</t>
  </si>
  <si>
    <t>Isoform 2 of Arginine-glutamic acid dipeptide repeats protein</t>
  </si>
  <si>
    <t>Protein IMPACT</t>
  </si>
  <si>
    <t>UV radiation resistance-associated gene protein</t>
  </si>
  <si>
    <t>Ataxin-10</t>
  </si>
  <si>
    <t>Methyl-CpG-binding domain protein 2</t>
  </si>
  <si>
    <t>Isoform 2 of Neurochondrin</t>
  </si>
  <si>
    <t>Isoform 3 of Epidermal growth factor receptor substrate 15-like 1</t>
  </si>
  <si>
    <t>SUMO-activating enzyme subunit 1</t>
  </si>
  <si>
    <t>Coatomer subunit gamma-2</t>
  </si>
  <si>
    <t>RING-box protein 2</t>
  </si>
  <si>
    <t>Isoform 2 of Phosphatidylinositol 4-kinase beta</t>
  </si>
  <si>
    <t>COMM domain-containing protein 3</t>
  </si>
  <si>
    <t>Guanine nucleotide-binding protein G(I)/G(S)/G(O) subunit gamma-12</t>
  </si>
  <si>
    <t>Isoform B of Methionine synthase reductase</t>
  </si>
  <si>
    <t>Histone deacetylase 6</t>
  </si>
  <si>
    <t>Isoform 3 of Spastin</t>
  </si>
  <si>
    <t>tRNA (guanine-N(7)-)-methyltransferase</t>
  </si>
  <si>
    <t>Vacuolar protein sorting-associated protein 29</t>
  </si>
  <si>
    <t>Glyoxylate reductase/hydroxypyruvate reductase</t>
  </si>
  <si>
    <t>Beta-ureidopropionase</t>
  </si>
  <si>
    <t>Cathepsin Z</t>
  </si>
  <si>
    <t>DnaJ homolog subfamily B member 11</t>
  </si>
  <si>
    <t>E3 ubiquitin-protein ligase RNF14</t>
  </si>
  <si>
    <t>SUMO-activating enzyme subunit 2</t>
  </si>
  <si>
    <t>Protein FAM8A1</t>
  </si>
  <si>
    <t>Peflin</t>
  </si>
  <si>
    <t>Isoform 2 of Zinc finger MYM-type protein 2</t>
  </si>
  <si>
    <t>COP9 signalosome complex subunit 7a</t>
  </si>
  <si>
    <t>Cathepsin F</t>
  </si>
  <si>
    <t>Alpha-aminoadipic semialdehyde synthase, mitochondrial</t>
  </si>
  <si>
    <t>SEC14-like protein 4</t>
  </si>
  <si>
    <t>Tight junction protein ZO-2</t>
  </si>
  <si>
    <t>Vesicle transport through interaction with t-SNAREs homolog 1B</t>
  </si>
  <si>
    <t>Isoform 1 of Gamma-adducin</t>
  </si>
  <si>
    <t>Leucine-rich repeat and WD repeat-containing protein 1</t>
  </si>
  <si>
    <t>UPF0449 protein C19orf25</t>
  </si>
  <si>
    <t>Protein NipSnap homolog 3A</t>
  </si>
  <si>
    <t>CGG triplet repeat-binding protein 1</t>
  </si>
  <si>
    <t>Peptide chain release factor 1-like, mitochondrial</t>
  </si>
  <si>
    <t>Testin</t>
  </si>
  <si>
    <t>Isoform B of 5-AMP-activated protein kinase subunit gamma-2</t>
  </si>
  <si>
    <t>Signal-transducing adaptor protein 2</t>
  </si>
  <si>
    <t>Secretion-regulating guanine nucleotide exchange factor</t>
  </si>
  <si>
    <t>Tryptophan--tRNA ligase, mitochondrial</t>
  </si>
  <si>
    <t>LIM domain-containing protein 1</t>
  </si>
  <si>
    <t>Translocation protein SEC63 homolog</t>
  </si>
  <si>
    <t>Armadillo repeat-containing X-linked protein 3</t>
  </si>
  <si>
    <t>Switch-associated protein 70</t>
  </si>
  <si>
    <t>Ragulator complex protein LAMTOR3</t>
  </si>
  <si>
    <t>Isoform 4 of LIM domain and actin-binding protein 1</t>
  </si>
  <si>
    <t>LIM domain and actin-binding protein 1</t>
  </si>
  <si>
    <t>Isoform 2 of AF4/FMR2 family member 4</t>
  </si>
  <si>
    <t>Signal recognition particle subunit SRP68</t>
  </si>
  <si>
    <t>Cysteine and histidine-rich domain-containing protein 1</t>
  </si>
  <si>
    <t>Serine/threonine-protein kinase TBK1</t>
  </si>
  <si>
    <t>Septin-9</t>
  </si>
  <si>
    <t>Ubiquilin-2</t>
  </si>
  <si>
    <t>Sedoheptulokinase</t>
  </si>
  <si>
    <t>Dipeptidyl peptidase 2</t>
  </si>
  <si>
    <t>Ubiquitin carboxyl-terminal hydrolase 25</t>
  </si>
  <si>
    <t>Brain-specific angiogenesis inhibitor 1-associated protein 2-like protein 1</t>
  </si>
  <si>
    <t>Isoform 2 of SAP30-binding protein</t>
  </si>
  <si>
    <t>Prefoldin subunit 2</t>
  </si>
  <si>
    <t>Isoform 4 of Poly(U)-binding-splicing factor PUF60</t>
  </si>
  <si>
    <t>Enolase-phosphatase E1</t>
  </si>
  <si>
    <t>Ena/VASP-like protein</t>
  </si>
  <si>
    <t>Isoform 3 of Translation initiation factor eIF-2B subunit delta</t>
  </si>
  <si>
    <t>Translation initiation factor eIF-2B subunit delta</t>
  </si>
  <si>
    <t>Isoform 2 of V-type proton ATPase subunit H</t>
  </si>
  <si>
    <t>Dimethylglycine dehydrogenase, mitochondrial</t>
  </si>
  <si>
    <t>Glutaminase liver isoform, mitochondrial</t>
  </si>
  <si>
    <t>Exportin-7</t>
  </si>
  <si>
    <t>Vacuolar protein sorting-associated protein 51 homolog</t>
  </si>
  <si>
    <t>Isoform 2 of Tyrosine-protein kinase BAZ1B</t>
  </si>
  <si>
    <t>ATPase inhibitor, mitochondrial</t>
  </si>
  <si>
    <t>GTP:AMP phosphotransferase AK3, mitochondrial</t>
  </si>
  <si>
    <t>Isoform 3 of Short coiled-coil protein</t>
  </si>
  <si>
    <t>FK506-binding protein-like</t>
  </si>
  <si>
    <t>Isoform 2 of CCR4-NOT transcription complex subunit 7</t>
  </si>
  <si>
    <t>Isoform 2 of Rab5 GDP/GTP exchange factor</t>
  </si>
  <si>
    <t>Isoform 5 of Mitochondrial peptide methionine sulfoxide reductase</t>
  </si>
  <si>
    <t>N-acetyl-D-glucosamine kinase</t>
  </si>
  <si>
    <t>tRNA (adenine(58)-N(1))-methyltransferase non-catalytic subunit TRM6</t>
  </si>
  <si>
    <t>SH3 domain-binding glutamic acid-rich-like protein 2</t>
  </si>
  <si>
    <t>ERBB receptor feedback inhibitor 1</t>
  </si>
  <si>
    <t>Hydroxyacid oxidase 1</t>
  </si>
  <si>
    <t>Calcium-binding mitochondrial carrier protein Aralar2</t>
  </si>
  <si>
    <t>Isoform 2 of Drebrin-like protein</t>
  </si>
  <si>
    <t>Drebrin-like protein</t>
  </si>
  <si>
    <t>Dynactin subunit 4</t>
  </si>
  <si>
    <t>ADP-ribosylation factor-binding protein GGA2</t>
  </si>
  <si>
    <t>Isoform 4 of ADP-ribosylation factor-binding protein GGA1</t>
  </si>
  <si>
    <t>F-box only protein 2</t>
  </si>
  <si>
    <t>U6 snRNA-associated Sm-like protein LSm7</t>
  </si>
  <si>
    <t>Protein Z-dependent protease inhibitor</t>
  </si>
  <si>
    <t>Lariat debranching enzyme</t>
  </si>
  <si>
    <t>F-box only protein 3</t>
  </si>
  <si>
    <t>A-kinase anchor protein 11</t>
  </si>
  <si>
    <t>DnaJ homolog subfamily C member 12</t>
  </si>
  <si>
    <t>Isoform 8 of TRAF2 and NCK-interacting protein kinase</t>
  </si>
  <si>
    <t>Cleavage and polyadenylation specificity factor subunit 3</t>
  </si>
  <si>
    <t>DCC-interacting protein 13-alpha</t>
  </si>
  <si>
    <t>Peroxisomal carnitine O-octanoyltransferase</t>
  </si>
  <si>
    <t>G patch domain-containing protein 8</t>
  </si>
  <si>
    <t>ADP-sugar pyrophosphatase</t>
  </si>
  <si>
    <t>REST corepressor 1</t>
  </si>
  <si>
    <t>Phosphatidylcholine transfer protein</t>
  </si>
  <si>
    <t>General transcription factor 3C polypeptide 4</t>
  </si>
  <si>
    <t>Protein kinase C and casein kinase substrate in neurons protein 3</t>
  </si>
  <si>
    <t>F-box only protein 4</t>
  </si>
  <si>
    <t>Isobutyryl-CoA dehydrogenase, mitochondrial</t>
  </si>
  <si>
    <t>Protein argonaute-2</t>
  </si>
  <si>
    <t>Nuclear pore complex protein Nup50</t>
  </si>
  <si>
    <t>Zinc fingers and homeoboxes protein 1</t>
  </si>
  <si>
    <t>Isoform 2 of Protein CDV3 homolog</t>
  </si>
  <si>
    <t>CCR4-NOT transcription complex subunit 11</t>
  </si>
  <si>
    <t>Sarcosine dehydrogenase, mitochondrial</t>
  </si>
  <si>
    <t>Ras-related protein Rab-21</t>
  </si>
  <si>
    <t>Isoform 2 of Trafficking protein particle complex subunit 2-like protein</t>
  </si>
  <si>
    <t>Paraneoplastic antigen Ma2</t>
  </si>
  <si>
    <t>Proteasome activator complex subunit 2</t>
  </si>
  <si>
    <t>Aspartyl aminopeptidase</t>
  </si>
  <si>
    <t>Malignant T-cell-amplified sequence 1</t>
  </si>
  <si>
    <t>Long-chain-fatty-acid--CoA ligase 5</t>
  </si>
  <si>
    <t>2-oxoglutarate dehydrogenase-like, mitochondrial</t>
  </si>
  <si>
    <t>Isoform 2 of Microtubule-associated tumor suppressor 1</t>
  </si>
  <si>
    <t>Isoform 4 of MKL/myocardin-like protein 2</t>
  </si>
  <si>
    <t>Zinc finger MIZ domain-containing protein 1</t>
  </si>
  <si>
    <t>Isoform 2 of TBC1 domain family member 24</t>
  </si>
  <si>
    <t>Polyadenylate-binding protein-interacting protein 2B</t>
  </si>
  <si>
    <t>E3 ubiquitin-protein ligase HECTD1</t>
  </si>
  <si>
    <t>Isoform 4 of Protein kinase C-binding protein 1</t>
  </si>
  <si>
    <t>Coronin-1C</t>
  </si>
  <si>
    <t>Targeting protein for Xklp2</t>
  </si>
  <si>
    <t>Isoform 2 of Apoptosis-associated speck-like protein containing a CARD</t>
  </si>
  <si>
    <t>Histone-lysine N-methyltransferase MLL4</t>
  </si>
  <si>
    <t>Isoform 3 of NFU1 iron-sulfur cluster scaffold homolog, mitochondrial</t>
  </si>
  <si>
    <t>Pre-mRNA-processing factor 19</t>
  </si>
  <si>
    <t>Isoform 2 of Ubiquilin-1</t>
  </si>
  <si>
    <t>Neudesin</t>
  </si>
  <si>
    <t>Isoform 2 of Sorting nexin-12</t>
  </si>
  <si>
    <t>Isoform 5 of Synergin gamma</t>
  </si>
  <si>
    <t>Protein NDRG2</t>
  </si>
  <si>
    <t>Isoform B of Ras GTPase-activating protein-binding protein 2</t>
  </si>
  <si>
    <t>E3 ubiquitin-protein ligase CHIP</t>
  </si>
  <si>
    <t>Protein kinase C and casein kinase substrate in neurons protein 2</t>
  </si>
  <si>
    <t>Melanoma-associated antigen D2</t>
  </si>
  <si>
    <t>Sorting nexin-7</t>
  </si>
  <si>
    <t>Sorting nexin-6</t>
  </si>
  <si>
    <t>26S proteasome non-ATPase regulatory subunit 13</t>
  </si>
  <si>
    <t>FAS-associated factor 1</t>
  </si>
  <si>
    <t>COP9 signalosome complex subunit 3</t>
  </si>
  <si>
    <t>Multiple inositol polyphosphate phosphatase 1</t>
  </si>
  <si>
    <t>NSFL1 cofactor p47</t>
  </si>
  <si>
    <t>Conserved oligomeric Golgi complex subunit 5</t>
  </si>
  <si>
    <t>Protein SCAF8</t>
  </si>
  <si>
    <t>Serine/threonine-protein phosphatase 6 regulatory subunit 1</t>
  </si>
  <si>
    <t>Isoform 4 of Histone lysine demethylase PHF8</t>
  </si>
  <si>
    <t>Isoform 2 of Arf-GAP with GTPase, ANK repeat and PH domain-containing protein 1</t>
  </si>
  <si>
    <t>Isoform 2 of Trinucleotide repeat-containing gene 6B protein</t>
  </si>
  <si>
    <t>Inactive phospholipase C-like protein 2</t>
  </si>
  <si>
    <t>Isoform 2 of Exocyst complex component 7</t>
  </si>
  <si>
    <t>Zinc finger CCCH domain-containing protein 4</t>
  </si>
  <si>
    <t>Ubiquitin carboxyl-terminal hydrolase 24</t>
  </si>
  <si>
    <t>TBC1 domain family member 2B</t>
  </si>
  <si>
    <t>Isoform 3 of SH3 and multiple ankyrin repeat domains protein 2</t>
  </si>
  <si>
    <t>Endoribonuclease Dicer</t>
  </si>
  <si>
    <t>Isoform 2 of Microtubule-associated protein RP/EB family member 3</t>
  </si>
  <si>
    <t>Isoform 2 of Leucine-rich repeat protein SHOC-2</t>
  </si>
  <si>
    <t>Serine/arginine repetitive matrix protein 2</t>
  </si>
  <si>
    <t>Proliferation-associated protein 2G4</t>
  </si>
  <si>
    <t>Isoform 5 of Brain-specific angiogenesis inhibitor 1-associated protein 2</t>
  </si>
  <si>
    <t>Structural maintenance of chromosomes protein 3</t>
  </si>
  <si>
    <t>Myotubularin-related protein 6</t>
  </si>
  <si>
    <t>Isoform 2 of Bifunctional UDP-N-acetylglucosamine 2-epimerase/N-acetylmannosamine kinase</t>
  </si>
  <si>
    <t>UPF0568 protein C14orf166</t>
  </si>
  <si>
    <t>RuvB-like 2</t>
  </si>
  <si>
    <t>Peptidyl-prolyl cis-trans isomerase NIMA-interacting 4</t>
  </si>
  <si>
    <t>Choline/ethanolamine kinase</t>
  </si>
  <si>
    <t>Eukaryotic translation initiation factor 3 subunit L</t>
  </si>
  <si>
    <t>Phospholipase A-2-activating protein</t>
  </si>
  <si>
    <t>RuvB-like 1</t>
  </si>
  <si>
    <t>Nuclear migration protein nudC</t>
  </si>
  <si>
    <t>Cofilin-2</t>
  </si>
  <si>
    <t>Histone chaperone ASF1A</t>
  </si>
  <si>
    <t>Developmentally-regulated GTP-binding protein 1</t>
  </si>
  <si>
    <t>Trafficking protein particle complex subunit 4</t>
  </si>
  <si>
    <t>Nck-associated protein 1</t>
  </si>
  <si>
    <t>Protein canopy homolog 2</t>
  </si>
  <si>
    <t>Exocyst complex component 6B</t>
  </si>
  <si>
    <t>Isoform 4 of A-kinase anchor protein 2</t>
  </si>
  <si>
    <t>Disco-interacting protein 2 homolog C</t>
  </si>
  <si>
    <t>Isoform 4 of Nischarin</t>
  </si>
  <si>
    <t>Isoform B of Band 4.1-like protein 3</t>
  </si>
  <si>
    <t>Isoform 4 of Lysine-specific demethylase 2A</t>
  </si>
  <si>
    <t>Exosome complex exonuclease RRP44</t>
  </si>
  <si>
    <t>Bile acyl-CoA synthetase</t>
  </si>
  <si>
    <t>Glutathione S-transferase kappa 1</t>
  </si>
  <si>
    <t>Ragulator complex protein LAMTOR2</t>
  </si>
  <si>
    <t>28S ribosomal protein S7, mitochondrial</t>
  </si>
  <si>
    <t>Lambda-crystallin homolog</t>
  </si>
  <si>
    <t>Translation machinery-associated protein 7</t>
  </si>
  <si>
    <t>Polymerase delta-interacting protein 2</t>
  </si>
  <si>
    <t>AP-3 complex subunit mu-1</t>
  </si>
  <si>
    <t>Isoform 3 of Guanine deaminase</t>
  </si>
  <si>
    <t>Mitogen-activated protein kinase kinase kinase 2</t>
  </si>
  <si>
    <t>Inner nuclear membrane protein Man1</t>
  </si>
  <si>
    <t>Calcium-regulated heat stable protein 1</t>
  </si>
  <si>
    <t>Conserved oligomeric Golgi complex subunit 6</t>
  </si>
  <si>
    <t>Thyroid hormone receptor-associated protein 3</t>
  </si>
  <si>
    <t>Nucleolar protein 58</t>
  </si>
  <si>
    <t>ARF GTPase-activating protein GIT1</t>
  </si>
  <si>
    <t>Suppressor of G2 allele of SKP1 homolog</t>
  </si>
  <si>
    <t>Isoform 6 of Protein MTO1 homolog, mitochondrial</t>
  </si>
  <si>
    <t>Tyrosine--tRNA ligase, mitochondrial</t>
  </si>
  <si>
    <t>Isoform 3 of Ubiquinone biosynthesis monooxygenase COQ6</t>
  </si>
  <si>
    <t>Putative N-acetylglucosamine-6-phosphate deacetylase</t>
  </si>
  <si>
    <t>Acyl-coenzyme A thioesterase 9, mitochondrial</t>
  </si>
  <si>
    <t>Nitric oxide synthase-interacting protein</t>
  </si>
  <si>
    <t>Putative deoxyribose-phosphate aldolase</t>
  </si>
  <si>
    <t>Protein MEMO1</t>
  </si>
  <si>
    <t>Endophilin-B1</t>
  </si>
  <si>
    <t>Calcium-binding protein 39</t>
  </si>
  <si>
    <t>Putative RNA-binding protein Luc7-like 2</t>
  </si>
  <si>
    <t>28S ribosomal protein S2, mitochondrial</t>
  </si>
  <si>
    <t>Isoform 2 of MOB-like protein phocein</t>
  </si>
  <si>
    <t>Ribosome maturation protein SBDS</t>
  </si>
  <si>
    <t>RRP15-like protein</t>
  </si>
  <si>
    <t>Nucleolar protein 16</t>
  </si>
  <si>
    <t>Isoform 2 of TP53RK-binding protein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</si>
  <si>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</si>
  <si>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</si>
  <si>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</si>
  <si>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</si>
  <si>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Mitochondrial fission 1 protein</t>
  </si>
  <si>
    <t>Isoform 3 of Adenylate kinase isoenzyme 6</t>
  </si>
  <si>
    <t>28S ribosomal protein S23, mitochondrial</t>
  </si>
  <si>
    <t>BolA-like protein 1</t>
  </si>
  <si>
    <t>Serine-threonine kinase receptor-associated protein</t>
  </si>
  <si>
    <t>tRNA-splicing ligase RtcB homolog</t>
  </si>
  <si>
    <t>F-box only protein 7</t>
  </si>
  <si>
    <t>Ras-related protein Rap-2c</t>
  </si>
  <si>
    <t>Rab GTPase-activating protein 1</t>
  </si>
  <si>
    <t>Isoform 2 of Protein dopey-2</t>
  </si>
  <si>
    <t>Zinc finger protein 330</t>
  </si>
  <si>
    <t>Coiled-coil domain-containing protein 9</t>
  </si>
  <si>
    <t>Isoform 3 of Chromatin target of PRMT1 protein</t>
  </si>
  <si>
    <t>Deoxynucleoside triphosphate triphosphohydrolase SAMHD1</t>
  </si>
  <si>
    <t>Isoform 3 of HBS1-like protein</t>
  </si>
  <si>
    <t>5-AMP-activated protein kinase subunit beta-1</t>
  </si>
  <si>
    <t>Talin-1</t>
  </si>
  <si>
    <t>Isoform 3 of Protein VPRBP</t>
  </si>
  <si>
    <t>Isoform 2 of Protein FAM115A</t>
  </si>
  <si>
    <t>Isoform 2 of Ubiquitin carboxyl-terminal hydrolase 15</t>
  </si>
  <si>
    <t>FERM, RhoGEF and pleckstrin domain-containing protein 1</t>
  </si>
  <si>
    <t>Talin-2</t>
  </si>
  <si>
    <t>Insulin receptor substrate 2</t>
  </si>
  <si>
    <t>Isoform 2 of Unconventional myosin-Va</t>
  </si>
  <si>
    <t>Absent in melanoma 1 protein</t>
  </si>
  <si>
    <t>TNF receptor-associated factor 6</t>
  </si>
  <si>
    <t>Mitogen-activated protein kinase kinase kinase kinase 5</t>
  </si>
  <si>
    <t>Isoform 4 of WD repeat domain phosphoinositide-interacting protein 2</t>
  </si>
  <si>
    <t>Methylmalonic aciduria and homocystinuria type C protein</t>
  </si>
  <si>
    <t>AFG3-like protein 2</t>
  </si>
  <si>
    <t>Krueppel-like factor 12</t>
  </si>
  <si>
    <t>E3 ubiquitin-protein ligase ARIH1</t>
  </si>
  <si>
    <t>U6 snRNA-associated Sm-like protein LSm4</t>
  </si>
  <si>
    <t>RING finger protein 114</t>
  </si>
  <si>
    <t>Isoform 4 of Protein PRRC2C</t>
  </si>
  <si>
    <t>Heat shock protein beta-11</t>
  </si>
  <si>
    <t>Protein phosphatase methylesterase 1</t>
  </si>
  <si>
    <t>Isoform 2 of BTB/POZ domain-containing protein KCTD3</t>
  </si>
  <si>
    <t>Isoform 2 of NEDD8 ultimate buster 1</t>
  </si>
  <si>
    <t>Isoform 2 of YTH domain family protein 2</t>
  </si>
  <si>
    <t>RNA polymerase II subunit A C-terminal domain phosphatase</t>
  </si>
  <si>
    <t>FACT complex subunit SPT16</t>
  </si>
  <si>
    <t>Mitochondrial import inner membrane translocase subunit Tim9</t>
  </si>
  <si>
    <t>Isoform 2 of Ubiquitin carboxyl-terminal hydrolase isozyme L5</t>
  </si>
  <si>
    <t>CD2-associated protein</t>
  </si>
  <si>
    <t>V-type proton ATPase subunit D</t>
  </si>
  <si>
    <t>Transportin-3</t>
  </si>
  <si>
    <t>Mitochondrial import inner membrane translocase subunit Tim13</t>
  </si>
  <si>
    <t>HemK methyltransferase family member 2</t>
  </si>
  <si>
    <t>Isoform 2 of Collagen type IV alpha-3-binding protein</t>
  </si>
  <si>
    <t>Mannose-1-phosphate guanyltransferase beta</t>
  </si>
  <si>
    <t>General transcription factor 3C polypeptide 3</t>
  </si>
  <si>
    <t>Trafficking protein particle complex subunit 1</t>
  </si>
  <si>
    <t>Serine/threonine-protein kinase MRCK beta</t>
  </si>
  <si>
    <t>RNA-binding protein 8A</t>
  </si>
  <si>
    <t>Isoform 2 of Protein TSSC4</t>
  </si>
  <si>
    <t>Zinc finger protein 706</t>
  </si>
  <si>
    <t>Sorting nexin-9</t>
  </si>
  <si>
    <t>Sorting nexin-8</t>
  </si>
  <si>
    <t>Sorting nexin-5</t>
  </si>
  <si>
    <t>Cytosolic Fe-S cluster assembly factor NUBP2</t>
  </si>
  <si>
    <t>Heme-binding protein 2</t>
  </si>
  <si>
    <t>Isoform 2 of Cysteine sulfinic acid decarboxylase</t>
  </si>
  <si>
    <t>Isoform 4 of Leucine-rich repeat flightless-interacting protein 2</t>
  </si>
  <si>
    <t>Phosphoserine aminotransferase</t>
  </si>
  <si>
    <t>Carboxypeptidase Q</t>
  </si>
  <si>
    <t>Coatomer subunit gamma-1</t>
  </si>
  <si>
    <t>Isoform 3 of Peptidyl-prolyl cis-trans isomerase FKBP7</t>
  </si>
  <si>
    <t>Chloride intracellular channel protein 4</t>
  </si>
  <si>
    <t>Isoform Cytoplasmic of Cysteine desulfurase, mitochondrial</t>
  </si>
  <si>
    <t>UPF0468 protein C16orf80</t>
  </si>
  <si>
    <t>Brefeldin A-inhibited guanine nucleotide-exchange protein 2</t>
  </si>
  <si>
    <t>Brefeldin A-inhibited guanine nucleotide-exchange protein 1</t>
  </si>
  <si>
    <t>Mitotic spindle assembly checkpoint protein MAD1</t>
  </si>
  <si>
    <t>COMM domain-containing protein 10</t>
  </si>
  <si>
    <t>Cytoplasmic dynein 1 light intermediate chain 1</t>
  </si>
  <si>
    <t>Coiled-coil-helix-coiled-coil-helix domain-containing protein 2, mitochondrial</t>
  </si>
  <si>
    <t>Isoform 3 of Epsin-1</t>
  </si>
  <si>
    <t>Testis-expressed sequence 264 protein</t>
  </si>
  <si>
    <t>2-5-oligoadenylate synthase 3</t>
  </si>
  <si>
    <t>NF-kappa-B essential modulator</t>
  </si>
  <si>
    <t>Zinc transporter 1</t>
  </si>
  <si>
    <t>Sulfide:quinone oxidoreductase, mitochondrial</t>
  </si>
  <si>
    <t>Sestrin-1</t>
  </si>
  <si>
    <t>Isoform 2 of Protein piccolo</t>
  </si>
  <si>
    <t>Calpain-7</t>
  </si>
  <si>
    <t>Wiskott-Aldrich syndrome protein family member 2</t>
  </si>
  <si>
    <t>Bis(5-adenosyl)-triphosphatase ENPP4</t>
  </si>
  <si>
    <t>Zinc fingers and homeoboxes protein 2</t>
  </si>
  <si>
    <t>Isoform 2 of MORC family CW-type zinc finger protein 2</t>
  </si>
  <si>
    <t>KIAA0999 protein</t>
  </si>
  <si>
    <t>MARVEL domain-containing protein 2</t>
  </si>
  <si>
    <t>Proteasome subunit beta type</t>
  </si>
  <si>
    <t>RAB3GAP1 protein</t>
  </si>
  <si>
    <t>28S ribosomal protein S16, mitochondrial</t>
  </si>
  <si>
    <t>Leucine-rich repeat-containing protein C10orf11</t>
  </si>
  <si>
    <t>Proline-rich protein PRCC</t>
  </si>
  <si>
    <t>Hematological and neurological-expressed 1-like protein</t>
  </si>
  <si>
    <t>Coiled-coil-helix-coiled-coil-helix domain-containing protein 1</t>
  </si>
  <si>
    <t>N-acylglucosamine 2-epimerase</t>
  </si>
  <si>
    <t>Diaphanous homolog 2 (Drosophila), isoform CRA_c</t>
  </si>
  <si>
    <t>Protein Shroom1</t>
  </si>
  <si>
    <t>Protein TRIM39-RPP21 (Fragment)</t>
  </si>
  <si>
    <t>Intersectin 1 long form variant 2</t>
  </si>
  <si>
    <t>Fragile X mental retardation protein 1</t>
  </si>
  <si>
    <t>Down syndrome critical region protein 3</t>
  </si>
  <si>
    <t>NEDD8-activating enzyme E1 regulatory subunit</t>
  </si>
  <si>
    <t>Protein Hook homolog 1</t>
  </si>
  <si>
    <t>Tubulin alpha-4A chain</t>
  </si>
  <si>
    <t>Geranylgeranyl diphosphate synthase 1, isoform CRA_b</t>
  </si>
  <si>
    <t>Cadherin-2</t>
  </si>
  <si>
    <t>HCG1770615, isoform CRA_b</t>
  </si>
  <si>
    <t>Matrin-3</t>
  </si>
  <si>
    <t>Ribonuclease P protein subunit p29</t>
  </si>
  <si>
    <t>LUC7-like (S. cerevisiae)</t>
  </si>
  <si>
    <t>Serine/arginine repetitive matrix protein 1</t>
  </si>
  <si>
    <t>6-phosphofructo-2-kinase/fructose-2, 6-bisphosphatase 2 transcript variant 3</t>
  </si>
  <si>
    <t>HLA-B associated transcript 3, isoform CRA_a</t>
  </si>
  <si>
    <t>26S proteasome non-ATPase regulatory subunit 10</t>
  </si>
  <si>
    <t>Capping protein (Actin filament) muscle Z-line, beta, isoform CRA_a</t>
  </si>
  <si>
    <t>Eukaryotic translation initiation factor 4E transporter</t>
  </si>
  <si>
    <t>Nuclear factor 1 A-type</t>
  </si>
  <si>
    <t>Ubiquinol-cytochrome c reductase complex chaperone CBP3 homolog (Fragment)</t>
  </si>
  <si>
    <t>Astrocytic phosphoprotein PEA-15</t>
  </si>
  <si>
    <t>E3 ubiquitin-protein ligase UHRF2</t>
  </si>
  <si>
    <t>Hsp90 co-chaperone Cdc37-like 1</t>
  </si>
  <si>
    <t>Neutrophil cytosol factor 2 (Fragment)</t>
  </si>
  <si>
    <t>Protein PALM2-AKAP2 (Fragment)</t>
  </si>
  <si>
    <t>Guanylate kinase (Fragment)</t>
  </si>
  <si>
    <t>Glucocorticoid modulatory element-binding protein 1 (Fragment)</t>
  </si>
  <si>
    <t>Bifunctional arginine demethylase and lysyl-hydroxylase JMJD6</t>
  </si>
  <si>
    <t>Histone deacetylase</t>
  </si>
  <si>
    <t>Leucine zipper transcription factor-like 1, isoform CRA_b</t>
  </si>
  <si>
    <t>PHD finger protein 23</t>
  </si>
  <si>
    <t>Retinoic acid receptor RXR-alpha</t>
  </si>
  <si>
    <t>RNA pseudouridylate synthase domain-containing protein 2</t>
  </si>
  <si>
    <t>Calponin-2</t>
  </si>
  <si>
    <t>Vacuolar fusion protein MON1 homolog B</t>
  </si>
  <si>
    <t>Beta-catenin-like protein 1</t>
  </si>
  <si>
    <t>T-complex protein 1 subunit theta</t>
  </si>
  <si>
    <t>Eukaryotic translation initiation factor 3 subunit F</t>
  </si>
  <si>
    <t>Vesicle-fusing ATPase</t>
  </si>
  <si>
    <t>28S ribosomal protein S18b, mitochondrial</t>
  </si>
  <si>
    <t>COMM domain-containing protein 1</t>
  </si>
  <si>
    <t>Catenin beta-1</t>
  </si>
  <si>
    <t>Phosphatidylinositol 5-phosphate 4-kinase type-2 alpha</t>
  </si>
  <si>
    <t>MAP1S light chain</t>
  </si>
  <si>
    <t>BCL2/adenovirus E1B 19 kDa protein-interacting protein 3</t>
  </si>
  <si>
    <t>Acyl-CoA synthetase family member 2, mitochondrial</t>
  </si>
  <si>
    <t>Ras-related protein Rab-5A</t>
  </si>
  <si>
    <t>Squalene synthase</t>
  </si>
  <si>
    <t>Small nuclear ribonucleoprotein Sm D3</t>
  </si>
  <si>
    <t>Citrate synthase</t>
  </si>
  <si>
    <t>Protein zyg-11 homolog B</t>
  </si>
  <si>
    <t>Exosome component 10</t>
  </si>
  <si>
    <t>Cartilage oligomeric matrix protein</t>
  </si>
  <si>
    <t>Lipolysis-stimulated lipoprotein receptor</t>
  </si>
  <si>
    <t>ATP synthase subunit gamma</t>
  </si>
  <si>
    <t>Protein CHURC1-FNTB</t>
  </si>
  <si>
    <t>Mitochondrial dicarboxylate carrier</t>
  </si>
  <si>
    <t>Probable ATP-dependent RNA helicase DDX5</t>
  </si>
  <si>
    <t>E3 ubiquitin-protein ligase RNF220</t>
  </si>
  <si>
    <t>3-ketodihydrosphingosine reductase</t>
  </si>
  <si>
    <t>Prostaglandin E synthase 3</t>
  </si>
  <si>
    <t>Makorin, ring finger protein, 2, isoform CRA_b</t>
  </si>
  <si>
    <t>TOX high mobility group box family member 4</t>
  </si>
  <si>
    <t>SH3 domain-binding protein 5-like</t>
  </si>
  <si>
    <t>Golgi SNAP receptor complex member 1</t>
  </si>
  <si>
    <t>6-phosphogluconate dehydrogenase, decarboxylating</t>
  </si>
  <si>
    <t>Serine/threonine-protein kinase 24 12 kDa subunit</t>
  </si>
  <si>
    <t>Rab proteins geranylgeranyltransferase component A 1</t>
  </si>
  <si>
    <t>Annexin</t>
  </si>
  <si>
    <t>Protein LSM14 homolog A</t>
  </si>
  <si>
    <t>DNA ligase</t>
  </si>
  <si>
    <t>3(2),5-bisphosphate nucleotidase 1</t>
  </si>
  <si>
    <t>Eukaryotic translation initiation factor 3 subunit D</t>
  </si>
  <si>
    <t>2-hydroxyacyl-CoA lyase 1</t>
  </si>
  <si>
    <t>Keratin, type II cytoskeletal 72</t>
  </si>
  <si>
    <t>Uncharacterized protein</t>
  </si>
  <si>
    <t>Fragile X mental retardation syndrome-related protein 1</t>
  </si>
  <si>
    <t>Nucleoporin NUP53</t>
  </si>
  <si>
    <t>Nuclear pore complex protein Nup107</t>
  </si>
  <si>
    <t>Regulator of microtubule dynamics protein 1</t>
  </si>
  <si>
    <t>Arginyl-tRNA--protein transferase 1</t>
  </si>
  <si>
    <t>Armadillo repeat-containing protein 6</t>
  </si>
  <si>
    <t>Complement factor B</t>
  </si>
  <si>
    <t>Serine/arginine-rich-splicing factor 3</t>
  </si>
  <si>
    <t>Erythrocyte band 7 integral membrane protein</t>
  </si>
  <si>
    <t>Insulin-like growth factor-binding protein 4</t>
  </si>
  <si>
    <t>Adenosine deaminase CECR1</t>
  </si>
  <si>
    <t>Replication protein A 14 kDa subunit</t>
  </si>
  <si>
    <t>Pescadillo homolog</t>
  </si>
  <si>
    <t>Protein disulfide-isomerase A6</t>
  </si>
  <si>
    <t>Protein phosphatase 1F</t>
  </si>
  <si>
    <t>R3H domain-containing protein 2</t>
  </si>
  <si>
    <t>Calcineurin binding protein 1, isoform CRA_c</t>
  </si>
  <si>
    <t>Pre-mRNA-splicing factor CWC22 homolog</t>
  </si>
  <si>
    <t>Cytohesin-1</t>
  </si>
  <si>
    <t>Beta-chimaerin</t>
  </si>
  <si>
    <t>Amine oxidase [flavin-containing] B</t>
  </si>
  <si>
    <t>Myotubularin-related protein 9</t>
  </si>
  <si>
    <t>Conserved oligomeric Golgi complex subunit 2</t>
  </si>
  <si>
    <t>Protein NDRG3</t>
  </si>
  <si>
    <t>GRB2-associated-binding protein 1</t>
  </si>
  <si>
    <t>Delta-aminolevulinic acid dehydratase</t>
  </si>
  <si>
    <t>Deoxyribonuclease-2-alpha</t>
  </si>
  <si>
    <t>WW domain-binding protein 4</t>
  </si>
  <si>
    <t>ETS domain-containing transcription factor ERF</t>
  </si>
  <si>
    <t>Transport and Golgi organization 2 homolog</t>
  </si>
  <si>
    <t>Probable ATP-dependent RNA helicase DDX59</t>
  </si>
  <si>
    <t>Armadillo repeat containing 8, isoform CRA_g</t>
  </si>
  <si>
    <t>2,4-dienoyl-CoA reductase, mitochondrial</t>
  </si>
  <si>
    <t>Acid sphingomyelinase-like phosphodiesterase 3a</t>
  </si>
  <si>
    <t>Ran-binding protein 3</t>
  </si>
  <si>
    <t>Growth factor receptor-bound protein 14</t>
  </si>
  <si>
    <t>Atlastin-2</t>
  </si>
  <si>
    <t>Ubiquitin carboxyl-terminal hydrolase</t>
  </si>
  <si>
    <t>DNA-binding protein RFX5</t>
  </si>
  <si>
    <t>Tyrosine-protein phosphatase non-receptor type 3</t>
  </si>
  <si>
    <t>Protein NADK2</t>
  </si>
  <si>
    <t>Sodium/potassium-transporting ATPase subunit beta-1</t>
  </si>
  <si>
    <t>UPF0554 protein C2orf43</t>
  </si>
  <si>
    <t>N-acetylgalactosamine kinase</t>
  </si>
  <si>
    <t>Mediator of RNA polymerase II transcription subunit 20</t>
  </si>
  <si>
    <t>Endophilin-B2</t>
  </si>
  <si>
    <t>PPP2R5E protein</t>
  </si>
  <si>
    <t>ER degradation-enhancing alpha-mannosidase-like protein 3</t>
  </si>
  <si>
    <t>PDE3B protein</t>
  </si>
  <si>
    <t>Protein Wiz</t>
  </si>
  <si>
    <t>Methyltransferase-like protein 5</t>
  </si>
  <si>
    <t>Protein eva-1 homolog A</t>
  </si>
  <si>
    <t>MAGUK p55 subfamily member 6</t>
  </si>
  <si>
    <t>60S ribosomal protein L31</t>
  </si>
  <si>
    <t>Thymosin alpha-1</t>
  </si>
  <si>
    <t>Ankyrin repeat and zinc finger domain-containing protein 1</t>
  </si>
  <si>
    <t>Vesicle-associated membrane protein 8</t>
  </si>
  <si>
    <t>Transcription elongation factor B (SIII), polypeptide 2 (18kDa, elongin B), isoform CRA_b</t>
  </si>
  <si>
    <t>Coenzyme Q-binding protein COQ10 homolog B, mitochondrial</t>
  </si>
  <si>
    <t>Cytochrome c oxidase assembly factor 5</t>
  </si>
  <si>
    <t>DNA-directed RNA polymerase</t>
  </si>
  <si>
    <t>PEX7 protein</t>
  </si>
  <si>
    <t>Transitional endoplasmic reticulum ATPase (Fragment)</t>
  </si>
  <si>
    <t>Charged multivesicular body protein 2b</t>
  </si>
  <si>
    <t>Sorcin</t>
  </si>
  <si>
    <t>PDZ domain-containing protein MAGIX (Fragment)</t>
  </si>
  <si>
    <t>E3 ubiquitin-protein ligase RNF181</t>
  </si>
  <si>
    <t>NEDD8-conjugating enzyme UBE2F</t>
  </si>
  <si>
    <t>E3 ubiquitin-protein ligase Hakai (Fragment)</t>
  </si>
  <si>
    <t>NF-kappa-B essential modulator (Fragment)</t>
  </si>
  <si>
    <t>Mitochondrial inner membrane protein</t>
  </si>
  <si>
    <t>Eukaryotic translation initiation factor 5A-2 (Fragment)</t>
  </si>
  <si>
    <t>Programmed cell death protein 10 (Fragment)</t>
  </si>
  <si>
    <t>Insulin-like growth factor-binding protein 1</t>
  </si>
  <si>
    <t>Profilin-2</t>
  </si>
  <si>
    <t>Apolipoprotein B receptor</t>
  </si>
  <si>
    <t>Histone deacetylase 10</t>
  </si>
  <si>
    <t>40S ribosomal protein SA (Fragment)</t>
  </si>
  <si>
    <t>Metallo-beta-lactamase domain-containing protein 1 (Fragment)</t>
  </si>
  <si>
    <t>Frataxin, mitochondrial</t>
  </si>
  <si>
    <t>Rho GTPase-activating protein 25</t>
  </si>
  <si>
    <t>Phosphoserine phosphatase (Fragment)</t>
  </si>
  <si>
    <t>DNA-directed RNA polymerases I, II, and III subunit RPABC3</t>
  </si>
  <si>
    <t>Nuclear receptor corepressor 2</t>
  </si>
  <si>
    <t>Eukaryotic translation initiation factor 4E type 2 (Fragment)</t>
  </si>
  <si>
    <t>COP9 signalosome complex subunit 1</t>
  </si>
  <si>
    <t>7-alpha-hydroxycholest-4-en-3-one 12-alpha-hydroxylase</t>
  </si>
  <si>
    <t>39S ribosomal protein L39, mitochondrial (Fragment)</t>
  </si>
  <si>
    <t>Angio-associated migratory cell protein</t>
  </si>
  <si>
    <t>Regulator of microtubule dynamics protein 2 (Fragment)</t>
  </si>
  <si>
    <t>Cysteine protease ATG4B (Fragment)</t>
  </si>
  <si>
    <t>Apoptotic protease-activating factor 1</t>
  </si>
  <si>
    <t>AP-4 complex subunit mu-1 (Fragment)</t>
  </si>
  <si>
    <t>O-acetyl-ADP-ribose deacetylase 1 (Fragment)</t>
  </si>
  <si>
    <t>Coiled-coil domain-containing protein 58</t>
  </si>
  <si>
    <t>Nucleoside diphosphate kinase</t>
  </si>
  <si>
    <t>Mitogen-activated protein kinase kinase kinase kinase 2</t>
  </si>
  <si>
    <t>Peptidyl-prolyl cis-trans isomerase (Fragment)</t>
  </si>
  <si>
    <t>Serine/threonine-protein kinase 11-interacting protein</t>
  </si>
  <si>
    <t>Dipeptidyl peptidase 8</t>
  </si>
  <si>
    <t>SWI/SNF-related matrix-associated actin-dependent regulator of chromatin subfamily B member 1 (Fragment)</t>
  </si>
  <si>
    <t>Growth factor receptor-bound protein 10 (Fragment)</t>
  </si>
  <si>
    <t>Malcavernin</t>
  </si>
  <si>
    <t>L-2-hydroxyglutarate dehydrogenase, mitochondrial</t>
  </si>
  <si>
    <t>Tensin-like C1 domain-containing phosphatase</t>
  </si>
  <si>
    <t>Regulator of chromosome condensation (Fragment)</t>
  </si>
  <si>
    <t>Lamin-B receptor (Fragment)</t>
  </si>
  <si>
    <t>Lipoma-preferred partner (Fragment)</t>
  </si>
  <si>
    <t>BAG family molecular chaperone regulator 1 (Fragment)</t>
  </si>
  <si>
    <t>Ribonuclease P protein subunit p20 (Fragment)</t>
  </si>
  <si>
    <t>Dehydrogenase/reductase SDR family member 2 (Fragment)</t>
  </si>
  <si>
    <t>Ubiquitin-conjugating enzyme E2 H (Fragment)</t>
  </si>
  <si>
    <t>Interferon-induced protein with tetratricopeptide repeats 1</t>
  </si>
  <si>
    <t>CAR4/6</t>
  </si>
  <si>
    <t>Protein KRI1 homolog</t>
  </si>
  <si>
    <t>tRNA methyltransferase 10 homolog A (Fragment)</t>
  </si>
  <si>
    <t>CXXC-type zinc finger protein 5 (Fragment)</t>
  </si>
  <si>
    <t>RNA-binding protein 47</t>
  </si>
  <si>
    <t>Cyclin-dependent kinase 7</t>
  </si>
  <si>
    <t>Heterogeneous nuclear ribonucleoprotein A/B</t>
  </si>
  <si>
    <t>E3 ubiquitin-protein ligase SH3RF1 (Fragment)</t>
  </si>
  <si>
    <t>Soluble lamin-associated protein of 75 kDa</t>
  </si>
  <si>
    <t>Alpha-methylacyl-CoA racemase</t>
  </si>
  <si>
    <t>OCIA domain-containing protein 1</t>
  </si>
  <si>
    <t>LEM domain-containing protein 2</t>
  </si>
  <si>
    <t>Vesicular integral-membrane protein VIP36</t>
  </si>
  <si>
    <t>Syntaxin-18 (Fragment)</t>
  </si>
  <si>
    <t>Estradiol 17-beta-dehydrogenase 11</t>
  </si>
  <si>
    <t>Immunoglobulin J chain (Fragment)</t>
  </si>
  <si>
    <t>Glutamyl-tRNA(Gln) amidotransferase subunit B, mitochondrial</t>
  </si>
  <si>
    <t>Selenoprotein P (Fragment)</t>
  </si>
  <si>
    <t>Small-inducible cytokine B6, N-processed variant 1</t>
  </si>
  <si>
    <t>Septin 11, isoform CRA_b</t>
  </si>
  <si>
    <t>CCR4-NOT transcription complex subunit 6-like (Fragment)</t>
  </si>
  <si>
    <t>Cyclin-H</t>
  </si>
  <si>
    <t>Ribonuclease T2 (Fragment)</t>
  </si>
  <si>
    <t>Protein C15orf38-AP3S2</t>
  </si>
  <si>
    <t>Activating signal cointegrator 1 complex subunit 3 (Fragment)</t>
  </si>
  <si>
    <t>RWD domain-containing protein 1 (Fragment)</t>
  </si>
  <si>
    <t>Transcription elongation factor B polypeptide 1 (Fragment)</t>
  </si>
  <si>
    <t>UPF0544 protein C5orf45</t>
  </si>
  <si>
    <t>60S ribosomal protein L30 (Fragment)</t>
  </si>
  <si>
    <t>Coiled-coil-helix-coiled-coil-helix domain-containing protein 7 (Fragment)</t>
  </si>
  <si>
    <t>AP-3 complex subunit beta-1</t>
  </si>
  <si>
    <t>Syndecan-2 (Fragment)</t>
  </si>
  <si>
    <t>2,4-dienoyl-CoA reductase, mitochondrial (Fragment)</t>
  </si>
  <si>
    <t>S-phase kinase-associated protein 1</t>
  </si>
  <si>
    <t>COP9 signalosome complex subunit 6</t>
  </si>
  <si>
    <t>Proprotein convertase subtilisin/kexin type 6</t>
  </si>
  <si>
    <t>Acid ceramidase</t>
  </si>
  <si>
    <t>TNFAIP3-interacting protein 1</t>
  </si>
  <si>
    <t>Transforming acidic coiled-coil-containing protein 2</t>
  </si>
  <si>
    <t>Histone-lysine N-methyltransferase</t>
  </si>
  <si>
    <t>Sperm-specific antigen 2</t>
  </si>
  <si>
    <t>Nesprin-1</t>
  </si>
  <si>
    <t>Target of Myb protein 1</t>
  </si>
  <si>
    <t>Pyridoxal-dependent decarboxylase domain-containing protein 1</t>
  </si>
  <si>
    <t>N-alpha-acetyltransferase 50</t>
  </si>
  <si>
    <t>TRAF family member-associated NF-kappa-B activator</t>
  </si>
  <si>
    <t>DNA-directed RNA polymerases I and III subunit RPAC1</t>
  </si>
  <si>
    <t>Apoptotic chromatin condensation inducer in the nucleus</t>
  </si>
  <si>
    <t>Ribosomal protein L15 (Fragment)</t>
  </si>
  <si>
    <t>Tensin-1 (Fragment)</t>
  </si>
  <si>
    <t>High mobility group protein B3 (Fragment)</t>
  </si>
  <si>
    <t>Intercellular adhesion molecule 1</t>
  </si>
  <si>
    <t>N-acetyltransferase 10</t>
  </si>
  <si>
    <t>U2 snRNP-associated SURP motif-containing protein</t>
  </si>
  <si>
    <t>Methyl-CpG-binding domain protein 1</t>
  </si>
  <si>
    <t>Nucleosome-remodeling factor subunit BPTF</t>
  </si>
  <si>
    <t>RNA-binding motif, single-stranded-interacting protein 1</t>
  </si>
  <si>
    <t>Basic leucine zipper and W2 domain-containing protein 2 (Fragment)</t>
  </si>
  <si>
    <t>DNA-dependent protein kinase catalytic subunit</t>
  </si>
  <si>
    <t>ADP-ribosylation factor GTPase-activating protein 1</t>
  </si>
  <si>
    <t>U4/U6 small nuclear ribonucleoprotein Prp3</t>
  </si>
  <si>
    <t>Protein polybromo-1 (Fragment)</t>
  </si>
  <si>
    <t>Cytoplasmic FMR1-interacting protein 2</t>
  </si>
  <si>
    <t>Receptor-type tyrosine-protein phosphatase mu</t>
  </si>
  <si>
    <t>Septin-10</t>
  </si>
  <si>
    <t>Peptidyl-prolyl cis-trans isomerase-like 2</t>
  </si>
  <si>
    <t>Exocyst complex component 6</t>
  </si>
  <si>
    <t>Ubiquitin-associated protein 2</t>
  </si>
  <si>
    <t>Mitogen-activated protein kinase kinase kinase kinase 4</t>
  </si>
  <si>
    <t>Nuclear cap-binding protein subunit 2</t>
  </si>
  <si>
    <t>HEAT repeat-containing protein 5A</t>
  </si>
  <si>
    <t>Pyruvate dehydrogenase protein X component, mitochondrial</t>
  </si>
  <si>
    <t>RNA-binding protein 4 (Fragment)</t>
  </si>
  <si>
    <t>WD repeat-containing protein 6</t>
  </si>
  <si>
    <t>Conserved oligomeric Golgi complex subunit 1 (Fragment)</t>
  </si>
  <si>
    <t>Translation initiation factor eIF-2B subunit epsilon</t>
  </si>
  <si>
    <t>D-beta-hydroxybutyrate dehydrogenase, mitochondrial</t>
  </si>
  <si>
    <t>Putative E3 ubiquitin-protein ligase UBR7</t>
  </si>
  <si>
    <t>Metastasis-associated protein MTA3</t>
  </si>
  <si>
    <t>Heterogeneous nuclear ribonucleoprotein H</t>
  </si>
  <si>
    <t>Armadillo repeat protein deleted in velo-cardio-facial syndrome</t>
  </si>
  <si>
    <t>Alkaline phosphodiesterase I</t>
  </si>
  <si>
    <t>Peroxisome biogenesis factor 1</t>
  </si>
  <si>
    <t>Androgen receptor</t>
  </si>
  <si>
    <t>Protein diaphanous homolog 1</t>
  </si>
  <si>
    <t>Nuclear pore complex protein Nup155</t>
  </si>
  <si>
    <t>Transducin beta-like protein 2</t>
  </si>
  <si>
    <t>Centrosomal protein of 170 kDa protein B</t>
  </si>
  <si>
    <t>Epidermal growth factor receptor</t>
  </si>
  <si>
    <t>Nucleolar protein 14</t>
  </si>
  <si>
    <t>Serine/threonine-protein phosphatase 2A 56 kDa regulatory subunit delta isoform</t>
  </si>
  <si>
    <t>AP2-associated protein kinase 1</t>
  </si>
  <si>
    <t>Tensin-1</t>
  </si>
  <si>
    <t>Bifunctional protein NCOAT</t>
  </si>
  <si>
    <t>Protein FAM13A</t>
  </si>
  <si>
    <t>Translin</t>
  </si>
  <si>
    <t>Thioredoxin-dependent peroxide reductase, mitochondrial</t>
  </si>
  <si>
    <t>DNA-directed RNA polymerase III subunit RPC3</t>
  </si>
  <si>
    <t>Tetranectin</t>
  </si>
  <si>
    <t>Probable leucine--tRNA ligase, mitochondrial</t>
  </si>
  <si>
    <t>Maestro heat-like repeat-containing protein family member 1</t>
  </si>
  <si>
    <t>Zinc finger protein GLI1 (Fragment)</t>
  </si>
  <si>
    <t>Syntaxin-17</t>
  </si>
  <si>
    <t>Thioredoxin reductase 1, cytoplasmic</t>
  </si>
  <si>
    <t>NADH-cytochrome b5 reductase 2 (Fragment)</t>
  </si>
  <si>
    <t>PHD and RING finger domain-containing protein 1</t>
  </si>
  <si>
    <t>UBX domain-containing protein 1 (Fragment)</t>
  </si>
  <si>
    <t>Protein Hikeshi</t>
  </si>
  <si>
    <t>Cysteine and histidine-rich protein 1</t>
  </si>
  <si>
    <t>MAP kinase-interacting serine/threonine-protein kinase 1 (Fragment)</t>
  </si>
  <si>
    <t>Elongation factor 1-delta (Fragment)</t>
  </si>
  <si>
    <t>Poly [ADP-ribose] polymerase 10</t>
  </si>
  <si>
    <t>Sortilin-related receptor</t>
  </si>
  <si>
    <t>Pleckstrin homology domain-containing family A member 7</t>
  </si>
  <si>
    <t>Sterol O-acyltransferase 1 (Fragment)</t>
  </si>
  <si>
    <t>Protein arginine N-methyltransferase 1</t>
  </si>
  <si>
    <t>Tetratricopeptide repeat protein 9C (Fragment)</t>
  </si>
  <si>
    <t>Hypoxia up-regulated protein 1</t>
  </si>
  <si>
    <t>Myomegalin</t>
  </si>
  <si>
    <t>Protein NEDD8-MDP1 (Fragment)</t>
  </si>
  <si>
    <t>Mitochondrial fission regulator 1-like</t>
  </si>
  <si>
    <t>Puromycin-sensitive aminopeptidase</t>
  </si>
  <si>
    <t>Small acidic protein (Fragment)</t>
  </si>
  <si>
    <t>Methylosome subunit pICln</t>
  </si>
  <si>
    <t>LIM domain only protein 7</t>
  </si>
  <si>
    <t>Dr1-associated corepressor (Fragment)</t>
  </si>
  <si>
    <t>Tumor protein D53</t>
  </si>
  <si>
    <t>6-pyruvoyl tetrahydrobiopterin synthase</t>
  </si>
  <si>
    <t>Syntaxin-5</t>
  </si>
  <si>
    <t>60S ribosomal protein L8</t>
  </si>
  <si>
    <t>Anoctamin-1 (Fragment)</t>
  </si>
  <si>
    <t>Autophagy-related protein 13 (Fragment)</t>
  </si>
  <si>
    <t>Kelch repeat and BTB domain-containing protein 4</t>
  </si>
  <si>
    <t>Zinc finger protein-like 1 (Fragment)</t>
  </si>
  <si>
    <t>Growth arrest-specific protein 2 (Fragment)</t>
  </si>
  <si>
    <t>Probable RNA-binding protein EIF1AD</t>
  </si>
  <si>
    <t>Vacuolar protein sorting-associated protein 28 homolog (Fragment)</t>
  </si>
  <si>
    <t>Mitogen-activated protein kinase 3</t>
  </si>
  <si>
    <t>Lysosomal acid phosphatase</t>
  </si>
  <si>
    <t>Repressor of RNA polymerase III transcription MAF1 homolog (Fragment)</t>
  </si>
  <si>
    <t>Vascular non-inflammatory molecule 2 (Fragment)</t>
  </si>
  <si>
    <t>Histone-lysine N-methyltransferase SETDB1 (Fragment)</t>
  </si>
  <si>
    <t>Ribosomal protein S6 kinase</t>
  </si>
  <si>
    <t>Protein FRG1 (Fragment)</t>
  </si>
  <si>
    <t>Constitutive coactivator of peroxisome proliferator-activated receptor gamma</t>
  </si>
  <si>
    <t>6-phosphofructo-2-kinase</t>
  </si>
  <si>
    <t>DNA repair protein-complementing XP-A cells</t>
  </si>
  <si>
    <t>Copine-1 (Fragment)</t>
  </si>
  <si>
    <t>Exportin-4</t>
  </si>
  <si>
    <t>Extended synaptotagmin-2</t>
  </si>
  <si>
    <t>tRNA-splicing endonuclease subunit Sen15</t>
  </si>
  <si>
    <t>Adenosine deaminase</t>
  </si>
  <si>
    <t>WASH complex subunit CCDC53</t>
  </si>
  <si>
    <t>Serine/threonine-protein kinase WNK1</t>
  </si>
  <si>
    <t>Mothers against decapentaplegic homolog 5</t>
  </si>
  <si>
    <t>Chromodomain-helicase-DNA-binding protein 4</t>
  </si>
  <si>
    <t>tRNA methyltransferase 112 homolog</t>
  </si>
  <si>
    <t>Succinyl-CoA ligase [ADP-forming] subunit beta, mitochondrial</t>
  </si>
  <si>
    <t>CD166 antigen</t>
  </si>
  <si>
    <t>SH2B adapter protein 1</t>
  </si>
  <si>
    <t>SPARC (Fragment)</t>
  </si>
  <si>
    <t>Complement component C8 beta chain</t>
  </si>
  <si>
    <t>Uracil-DNA glycosylase</t>
  </si>
  <si>
    <t>Ribosomal protein S6 kinase alpha-3</t>
  </si>
  <si>
    <t>Striatin-4</t>
  </si>
  <si>
    <t>Ubiquitin thioesterase OTUB1</t>
  </si>
  <si>
    <t>Methylmalonyl-CoA epimerase, mitochondrial (Fragment)</t>
  </si>
  <si>
    <t>Amyloid-like protein 2</t>
  </si>
  <si>
    <t>Scavenger receptor cysteine-rich type 1 protein M130</t>
  </si>
  <si>
    <t>E3 ubiquitin-protein ligase TRIM21</t>
  </si>
  <si>
    <t>Enolase</t>
  </si>
  <si>
    <t>Steroid hormone receptor ERR1 (Fragment)</t>
  </si>
  <si>
    <t>SEC23-interacting protein</t>
  </si>
  <si>
    <t>Ras-related protein Rab-35 (Fragment)</t>
  </si>
  <si>
    <t>Thioredoxin reductase 2, mitochondrial</t>
  </si>
  <si>
    <t>Malectin (Fragment)</t>
  </si>
  <si>
    <t>Lipopolysaccharide-responsive and beige-like anchor protein</t>
  </si>
  <si>
    <t>PCTP-like protein (Fragment)</t>
  </si>
  <si>
    <t>Uveal autoantigen with coiled-coil domains and ankyrin repeats</t>
  </si>
  <si>
    <t>Protein lunapark</t>
  </si>
  <si>
    <t>Serine/threonine-protein kinase PRP4 homolog</t>
  </si>
  <si>
    <t>Tight junction protein ZO-3</t>
  </si>
  <si>
    <t>Eukaryotic translation initiation factor 3 subunit A</t>
  </si>
  <si>
    <t>Protein transport protein Sec23A</t>
  </si>
  <si>
    <t>Tumor susceptibility gene 101 protein</t>
  </si>
  <si>
    <t>Cell cycle checkpoint control protein RAD9A (Fragment)</t>
  </si>
  <si>
    <t>Importin subunit alpha</t>
  </si>
  <si>
    <t>Peroxisomal membrane protein PEX14</t>
  </si>
  <si>
    <t>Superoxide dismutase [Mn], mitochondrial (Fragment)</t>
  </si>
  <si>
    <t>Cytochrome P450 3A5</t>
  </si>
  <si>
    <t>Nuclear pore complex protein Nup133</t>
  </si>
  <si>
    <t>CLIP-associating protein 2</t>
  </si>
  <si>
    <t>ATP-dependent RNA helicase DHX8</t>
  </si>
  <si>
    <t>Leucine--tRNA ligase, cytoplasmic</t>
  </si>
  <si>
    <t>Nucleolar protein 10</t>
  </si>
  <si>
    <t>WW domain-binding protein 11</t>
  </si>
  <si>
    <t>Microsomal glutathione S-transferase 1 (Fragment)</t>
  </si>
  <si>
    <t>Growth hormone-binding protein</t>
  </si>
  <si>
    <t>2-oxoglutarate dehydrogenase, mitochondrial</t>
  </si>
  <si>
    <t>Heat shock protein 75 kDa, mitochondrial</t>
  </si>
  <si>
    <t>Factor VII heavy chain</t>
  </si>
  <si>
    <t>DNA repair protein XRCC1</t>
  </si>
  <si>
    <t>Set1/Ash2 histone methyltransferase complex subunit ASH2</t>
  </si>
  <si>
    <t>Mevalonate kinase</t>
  </si>
  <si>
    <t>Pogo transposable element with ZNF domain</t>
  </si>
  <si>
    <t>Rab GTPase-activating protein 1-like</t>
  </si>
  <si>
    <t>Signal-induced proliferation-associated protein 1</t>
  </si>
  <si>
    <t>2,5-phosphodiesterase 12</t>
  </si>
  <si>
    <t>Probable global transcription activator SNF2L1 (Fragment)</t>
  </si>
  <si>
    <t>Calcineurin subunit B type 1</t>
  </si>
  <si>
    <t>DNA fragmentation factor subunit beta</t>
  </si>
  <si>
    <t>Cysteine and glycine-rich protein 2</t>
  </si>
  <si>
    <t>Methyltransferase-like protein 7A (Fragment)</t>
  </si>
  <si>
    <t>Sodium-coupled neutral amino acid transporter 4 (Fragment)</t>
  </si>
  <si>
    <t>Nuclear transcription factor Y subunit beta (Fragment)</t>
  </si>
  <si>
    <t>60S acidic ribosomal protein P0 (Fragment)</t>
  </si>
  <si>
    <t>60S ribosomal protein L18 (Fragment)</t>
  </si>
  <si>
    <t>Autophagy-related protein 101 (Fragment)</t>
  </si>
  <si>
    <t>Phosphate carrier protein, mitochondrial</t>
  </si>
  <si>
    <t>2-methoxy-6-polyprenyl-1,4-benzoquinol methylase, mitochondrial (Fragment)</t>
  </si>
  <si>
    <t>Protein MON2 homolog</t>
  </si>
  <si>
    <t>FYVE, RhoGEF and PH domain-containing protein 4</t>
  </si>
  <si>
    <t>2-5-oligoadenylate synthase 1</t>
  </si>
  <si>
    <t>Nascent polypeptide-associated complex subunit alpha</t>
  </si>
  <si>
    <t>Chromatin complexes subunit BAP18</t>
  </si>
  <si>
    <t>YEATS domain-containing protein 4</t>
  </si>
  <si>
    <t>Nucleosome assembly protein 1-like 1 (Fragment)</t>
  </si>
  <si>
    <t>Adenylate kinase 2, mitochondrial</t>
  </si>
  <si>
    <t>Biotinidase</t>
  </si>
  <si>
    <t>Myosin light polypeptide 6</t>
  </si>
  <si>
    <t>Sentrin-specific protease 6</t>
  </si>
  <si>
    <t>Pyruvate kinase isozymes R/L</t>
  </si>
  <si>
    <t>GMP synthase [glutamine-hydrolyzing]</t>
  </si>
  <si>
    <t>Golgi integral membrane protein 4</t>
  </si>
  <si>
    <t>Transmembrane emp24 domain-containing protein 4</t>
  </si>
  <si>
    <t>WASH complex subunit FAM21A</t>
  </si>
  <si>
    <t>Nucleolysin TIA-1 isoform p40</t>
  </si>
  <si>
    <t>Protein phosphatase 1 regulatory subunit 12B</t>
  </si>
  <si>
    <t>Actin-binding LIM protein 1</t>
  </si>
  <si>
    <t>Reticulon-4</t>
  </si>
  <si>
    <t>Afadin (Fragment)</t>
  </si>
  <si>
    <t>Coiled-coil domain-containing protein 93</t>
  </si>
  <si>
    <t>Cohesin subunit SA-2</t>
  </si>
  <si>
    <t>Bystin</t>
  </si>
  <si>
    <t>Chromosome transmission fidelity protein 18 homolog</t>
  </si>
  <si>
    <t>Thiamin pyrophosphokinase 1</t>
  </si>
  <si>
    <t>Importin-11</t>
  </si>
  <si>
    <t>AN1-type zinc finger protein 2B</t>
  </si>
  <si>
    <t>Disks large-associated protein 4</t>
  </si>
  <si>
    <t>Cleavage and polyadenylation-specificity factor subunit 6</t>
  </si>
  <si>
    <t>Poly(RC) binding protein 2, isoform CRA_f</t>
  </si>
  <si>
    <t>Caspase</t>
  </si>
  <si>
    <t>Loss of heterozygosity 12 chromosomal region 1 protein</t>
  </si>
  <si>
    <t>HCG23215, isoform CRA_a</t>
  </si>
  <si>
    <t>Methyltransferase-like protein 10</t>
  </si>
  <si>
    <t>Acylphosphatase</t>
  </si>
  <si>
    <t>Ribonuclease pancreatic</t>
  </si>
  <si>
    <t>Spermatogenesis-associated protein 7</t>
  </si>
  <si>
    <t>DDB1- and CUL4-associated factor 8</t>
  </si>
  <si>
    <t>Ataxin-3 (Fragment)</t>
  </si>
  <si>
    <t>Heterogeneous nuclear ribonucleoproteins C1/C2</t>
  </si>
  <si>
    <t>DDB1- and CUL4-associated factor 5</t>
  </si>
  <si>
    <t>Chromodomain-helicase-DNA-binding protein 2 (Fragment)</t>
  </si>
  <si>
    <t>Heterogeneous nuclear ribonucleoproteins C1/C2 (Fragment)</t>
  </si>
  <si>
    <t>Echinoderm microtubule-associated protein-like 1 (Fragment)</t>
  </si>
  <si>
    <t>ATP-dependent RNA helicase DDX24</t>
  </si>
  <si>
    <t>cTAGE family member 5</t>
  </si>
  <si>
    <t>Cyclin-K</t>
  </si>
  <si>
    <t>Maleylacetoacetate isomerase</t>
  </si>
  <si>
    <t>Nuclear export mediator factor NEMF (Fragment)</t>
  </si>
  <si>
    <t>Methionine aminopeptidase</t>
  </si>
  <si>
    <t>AT rich interactive domain 1B (SWI1-like), isoform CRA_a</t>
  </si>
  <si>
    <t>Raft-linking protein, isoform CRA_c</t>
  </si>
  <si>
    <t>Paraoxonase 2, isoform CRA_c</t>
  </si>
  <si>
    <t>Solute carrier family 12 (Sodium/potassium/chloride transporters), member 2, isoform CRA_a</t>
  </si>
  <si>
    <t>Complement factor I light chain</t>
  </si>
  <si>
    <t>Mitochondrial import inner membrane translocase subunit Tim8 B</t>
  </si>
  <si>
    <t>Son of sevenless homolog 1</t>
  </si>
  <si>
    <t>MON1 homolog A (Yeast), isoform CRA_a</t>
  </si>
  <si>
    <t>FK506 binding protein 1B, 12.6 kDa, isoform CRA_c</t>
  </si>
  <si>
    <t>28S ribosomal protein S22, mitochondrial</t>
  </si>
  <si>
    <t>Fibronectin type III domain containing 3A, isoform CRA_f</t>
  </si>
  <si>
    <t>HCG21296, isoform CRA_c</t>
  </si>
  <si>
    <t>Protein disulfide isomerase family A, member 3, isoform CRA_b</t>
  </si>
  <si>
    <t>Cordon-bleu protein-like 1</t>
  </si>
  <si>
    <t>tRNA pseudouridine synthase (Fragment)</t>
  </si>
  <si>
    <t>Melanoma inhibitory activity protein 3</t>
  </si>
  <si>
    <t>TIMELESS-interacting protein</t>
  </si>
  <si>
    <t>WD repeat domain phosphoinositide-interacting protein 4</t>
  </si>
  <si>
    <t>Dystrophin (Fragment)</t>
  </si>
  <si>
    <t>Kynurenine 3-monooxygenase (Fragment)</t>
  </si>
  <si>
    <t>60S ribosomal protein L35 (Fragment)</t>
  </si>
  <si>
    <t>Eukaryotic translation initiation factor 4 gamma 2</t>
  </si>
  <si>
    <t>Latrophilin-2 (Fragment)</t>
  </si>
  <si>
    <t>Neurofibromin truncated (Fragment)</t>
  </si>
  <si>
    <t>Inosine-5-monophosphate dehydrogenase 2 (Fragment)</t>
  </si>
  <si>
    <t>Neuroblastoma-amplified sequence (Fragment)</t>
  </si>
  <si>
    <t>E3 ubiquitin-protein ligase TRIM33 (Fragment)</t>
  </si>
  <si>
    <t>Ubiquitin-fold modifier 1 (Fragment)</t>
  </si>
  <si>
    <t>ADP-ribosylation factor GTPase-activating protein 3 (Fragment)</t>
  </si>
  <si>
    <t>Pyrroline-5-carboxylate reductase 3 (Fragment)</t>
  </si>
  <si>
    <t>Golgin subfamily A member 4 (Fragment)</t>
  </si>
  <si>
    <t>Mediator of RNA polymerase II transcription subunit 12 (Fragment)</t>
  </si>
  <si>
    <t>THO complex subunit 2 (Fragment)</t>
  </si>
  <si>
    <t>Muscular LMNA-interacting protein (Fragment)</t>
  </si>
  <si>
    <t>Protocadherin Fat 1 (Fragment)</t>
  </si>
  <si>
    <t>Transforming growth factor-beta-induced protein ig-h3 (Fragment)</t>
  </si>
  <si>
    <t>Pterin-4-alpha-carbinolamine dehydratase 2 (Fragment)</t>
  </si>
  <si>
    <t>Epididymis-specific alpha-mannosidase (Fragment)</t>
  </si>
  <si>
    <t>Amyloid beta A4 precursor protein-binding family B member 2 (Fragment)</t>
  </si>
  <si>
    <t>Eukaryotic translation elongation factor 1 epsilon-1 (Fragment)</t>
  </si>
  <si>
    <t>28S ribosomal protein S35, mitochondrial (Fragment)</t>
  </si>
  <si>
    <t>Protein KIBRA (Fragment)</t>
  </si>
  <si>
    <t>Double-stranded RNA-binding protein Staufen homolog 2 (Fragment)</t>
  </si>
  <si>
    <t>Mitochondrial fission regulator 1 (Fragment)</t>
  </si>
  <si>
    <t>Survival motor neuron protein (Fragment)</t>
  </si>
  <si>
    <t>Transgelin (Fragment)</t>
  </si>
  <si>
    <t>LIM domain only protein 7 (Fragment)</t>
  </si>
  <si>
    <t>Serine/threonine-protein phosphatase (Fragment)</t>
  </si>
  <si>
    <t>Selenoprotein H (Fragment)</t>
  </si>
  <si>
    <t>Sjoegren syndrome/scleroderma autoantigen 1 (Fragment)</t>
  </si>
  <si>
    <t>Transmembrane protein 126B (Fragment)</t>
  </si>
  <si>
    <t>Pumilio homolog 1 (Fragment)</t>
  </si>
  <si>
    <t>40S ribosomal protein S2 (Fragment)</t>
  </si>
  <si>
    <t>Sphingomyelin phosphodiesterase (Fragment)</t>
  </si>
  <si>
    <t>Remodeling and spacing factor 1 (Fragment)</t>
  </si>
  <si>
    <t>Ragulator complex protein LAMTOR1 (Fragment)</t>
  </si>
  <si>
    <t>Pre-mRNA-processing factor 40 homolog A (Fragment)</t>
  </si>
  <si>
    <t>Oligoribonuclease, mitochondrial (Fragment)</t>
  </si>
  <si>
    <t>Rho GDP-dissociation inhibitor 2 (Fragment)</t>
  </si>
  <si>
    <t>Ethanolamine kinase 1 (Fragment)</t>
  </si>
  <si>
    <t>Rab-3A-interacting protein (Fragment)</t>
  </si>
  <si>
    <t>Nidogen-2 (Fragment)</t>
  </si>
  <si>
    <t>Electron transfer flavoprotein subunit alpha, mitochondrial (Fragment)</t>
  </si>
  <si>
    <t>POU domain, class 2, transcription factor 1</t>
  </si>
  <si>
    <t>Transient receptor potential cation channel subfamily M member 7</t>
  </si>
  <si>
    <t>Small kinetochore-associated protein (Fragment)</t>
  </si>
  <si>
    <t>Ankyrin repeat domain-containing protein 17 (Fragment)</t>
  </si>
  <si>
    <t>Zinc finger protein 592</t>
  </si>
  <si>
    <t>Interferon regulatory factor 9</t>
  </si>
  <si>
    <t>Regulator of microtubule dynamics protein 3 (Fragment)</t>
  </si>
  <si>
    <t>GMP reductase 2</t>
  </si>
  <si>
    <t>SH2 domain-containing adapter protein F (Fragment)</t>
  </si>
  <si>
    <t>Uncharacterized protein C15orf57 (Fragment)</t>
  </si>
  <si>
    <t>WD repeat-containing protein 61 (Fragment)</t>
  </si>
  <si>
    <t>Ras-related protein Rab-8B (Fragment)</t>
  </si>
  <si>
    <t>Bloom syndrome protein</t>
  </si>
  <si>
    <t>Aflatoxin B1 aldehyde reductase member 2 (Fragment)</t>
  </si>
  <si>
    <t>Nucleolar protein 3 (Fragment)</t>
  </si>
  <si>
    <t>Cleavage and polyadenylation-specificity factor subunit 5 (Fragment)</t>
  </si>
  <si>
    <t>Calcium-regulated heat stable protein 1 (Fragment)</t>
  </si>
  <si>
    <t>Mannose-6-phosphate isomerase</t>
  </si>
  <si>
    <t>Microtubule-actin cross-linking factor 1, isoforms 1/2/3/5</t>
  </si>
  <si>
    <t>Codanin-1 (Fragment)</t>
  </si>
  <si>
    <t>cAMP-regulated phosphoprotein 19</t>
  </si>
  <si>
    <t>RING finger protein 166 (Fragment)</t>
  </si>
  <si>
    <t>Enhancer of mRNA-decapping protein 3 (Fragment)</t>
  </si>
  <si>
    <t>Conserved oligomeric Golgi complex subunit 8</t>
  </si>
  <si>
    <t>HCG2044799</t>
  </si>
  <si>
    <t>Calpain-15 (Fragment)</t>
  </si>
  <si>
    <t>WD repeat-containing protein 59 (Fragment)</t>
  </si>
  <si>
    <t>Zinc finger FYVE domain-containing protein 19</t>
  </si>
  <si>
    <t>Cytochrome b-c1 complex subunit 2, mitochondrial</t>
  </si>
  <si>
    <t>Ubiquitin domain-containing protein UBFD1</t>
  </si>
  <si>
    <t>Phosphopantothenoylcysteine decarboxylase</t>
  </si>
  <si>
    <t>Peroxisomal coenzyme A diphosphatase NUDT7</t>
  </si>
  <si>
    <t>4-aminobutyrate aminotransferase, mitochondrial (Fragment)</t>
  </si>
  <si>
    <t>Eukaryotic translation initiation factor 3 subunit C</t>
  </si>
  <si>
    <t>Probable glutamate--tRNA ligase, mitochondrial</t>
  </si>
  <si>
    <t>[3-methyl-2-oxobutanoate dehydrogenase [lipoamide]] kinase, mitochondrial (Fragment)</t>
  </si>
  <si>
    <t>ADP-ribosylation factor-like protein 2-binding protein</t>
  </si>
  <si>
    <t>DAN domain family member 5 (Fragment)</t>
  </si>
  <si>
    <t>NADH dehydrogenase [ubiquinone] 1 beta subcomplex subunit 10 (Fragment)</t>
  </si>
  <si>
    <t>Serine/threonine-protein phosphatase 6 regulatory subunit 3</t>
  </si>
  <si>
    <t>Transmembrane protein 209</t>
  </si>
  <si>
    <t>Endostatin (Fragment)</t>
  </si>
  <si>
    <t>NADH dehydrogenase [ubiquinone] 1 alpha subcomplex subunit 5 (Fragment)</t>
  </si>
  <si>
    <t>Tropomyosin 1 (Alpha), isoform CRA_m</t>
  </si>
  <si>
    <t>Nuclear receptor subfamily 4 group A member 2 (Fragment)</t>
  </si>
  <si>
    <t>Thioredoxin (Fragment)</t>
  </si>
  <si>
    <t>MKI67 FHA domain-interacting nucleolar phosphoprotein (Fragment)</t>
  </si>
  <si>
    <t>Zinc finger protein ZPR1 (Fragment)</t>
  </si>
  <si>
    <t>Non-homologous end-joining factor 1 (Fragment)</t>
  </si>
  <si>
    <t>Late secretory pathway protein AVL9 homolog (Fragment)</t>
  </si>
  <si>
    <t>Gamma-secretase C-terminal fragment 59 (Fragment)</t>
  </si>
  <si>
    <t>Dual-specificity protein phosphatase 22 (Fragment)</t>
  </si>
  <si>
    <t>Zinc finger MYM-type protein 4 (Fragment)</t>
  </si>
  <si>
    <t>Chromosome 6 open reading frame 107, isoform CRA_b</t>
  </si>
  <si>
    <t>Coiled-coil and C2 domain-containing protein 1B (Fragment)</t>
  </si>
  <si>
    <t>Carbohydrate-responsive element-binding protein (Fragment)</t>
  </si>
  <si>
    <t>Nucleolar protein 7 (Fragment)</t>
  </si>
  <si>
    <t>Ecto-ADP-ribosyltransferase 4 (Fragment)</t>
  </si>
  <si>
    <t>Grancalcin (Fragment)</t>
  </si>
  <si>
    <t>Serologically defined colon cancer antigen 3 (Fragment)</t>
  </si>
  <si>
    <t>Protein FAM134A (Fragment)</t>
  </si>
  <si>
    <t>CWF19-like protein 2 (Fragment)</t>
  </si>
  <si>
    <t>Glucosamine (N-acetyl)-6-sulfatase (Sanfilippo disease IIID), isoform CRA_b</t>
  </si>
  <si>
    <t>Autophagy-related protein 2 homolog A (Fragment)</t>
  </si>
  <si>
    <t>BUD13 homolog (Fragment)</t>
  </si>
  <si>
    <t>Muscleblind-like protein 1 (Fragment)</t>
  </si>
  <si>
    <t>Poly [ADP-ribose] polymerase 14 (Fragment)</t>
  </si>
  <si>
    <t>Isoamyl acetate-hydrolyzing esterase 1 homolog (Fragment)</t>
  </si>
  <si>
    <t>Transcription factor SOX-5</t>
  </si>
  <si>
    <t>ATP-dependent RNA helicase DDX19A</t>
  </si>
  <si>
    <t>Diphthamide biosynthesis protein 1 (Fragment)</t>
  </si>
  <si>
    <t>Golgi SNAP receptor complex member 2</t>
  </si>
  <si>
    <t>Clustered mitochondria protein homolog</t>
  </si>
  <si>
    <t>Protein capicua homolog</t>
  </si>
  <si>
    <t>Protein FAM195B</t>
  </si>
  <si>
    <t>Eukaryotic translation initiation factor 5A-1 (Fragment)</t>
  </si>
  <si>
    <t>Nuclear distribution protein nudE homolog 1</t>
  </si>
  <si>
    <t>40S ribosomal protein S15a</t>
  </si>
  <si>
    <t>Myosin light chain 4 (Fragment)</t>
  </si>
  <si>
    <t>Sperm-associated antigen 7</t>
  </si>
  <si>
    <t>NF-kappa-B inhibitor beta (Fragment)</t>
  </si>
  <si>
    <t>G protein pathway suppressor 2 (Fragment)</t>
  </si>
  <si>
    <t>Uncharacterized protein (Fragment)</t>
  </si>
  <si>
    <t>Epididymal secretory protein E1</t>
  </si>
  <si>
    <t>26S proteasome non-ATPase regulatory subunit 9</t>
  </si>
  <si>
    <t>TBC1 domain family member 8B</t>
  </si>
  <si>
    <t>Serine/threonine-protein phosphatase 6 regulatory ankyrin repeat subunit B</t>
  </si>
  <si>
    <t>Transcription initiation factor IIA beta chain</t>
  </si>
  <si>
    <t>Protein SAAL1</t>
  </si>
  <si>
    <t>INO80 complex subunit E</t>
  </si>
  <si>
    <t>Copper chaperone for superoxide dismutase</t>
  </si>
  <si>
    <t>Protein transport protein Sec16A</t>
  </si>
  <si>
    <t>BRCA1-associated protein</t>
  </si>
  <si>
    <t>Serine/arginine-rich-splicing factor 2 (Fragment)</t>
  </si>
  <si>
    <t>Signal-induced proliferation-associated 1-like protein 1</t>
  </si>
  <si>
    <t>Deoxynucleotidyltransferase terminal-interacting protein 2</t>
  </si>
  <si>
    <t>WASH complex subunit FAM21C</t>
  </si>
  <si>
    <t>Protein FAM83H (Fragment)</t>
  </si>
  <si>
    <t>Sulfurtransferase</t>
  </si>
  <si>
    <t>COP9 signalosome complex subunit 7b</t>
  </si>
  <si>
    <t>F-box only protein 6 (Fragment)</t>
  </si>
  <si>
    <t>Glucosylceramidase</t>
  </si>
  <si>
    <t>BRISC and BRCA1-A complex member 1</t>
  </si>
  <si>
    <t>Beta-Ala-His dipeptidase</t>
  </si>
  <si>
    <t>Ubiquitin carboxyl-terminal hydrolase CYLD</t>
  </si>
  <si>
    <t>Chromobox protein homolog 1 (Fragment)</t>
  </si>
  <si>
    <t>Myelin basic protein (Fragment)</t>
  </si>
  <si>
    <t>ADP-ribosylation factor-binding protein GGA3</t>
  </si>
  <si>
    <t>Male-specific lethal 1 homolog</t>
  </si>
  <si>
    <t>Hematological and neurological-expressed 1 protein</t>
  </si>
  <si>
    <t>60S ribosomal protein L26 (Fragment)</t>
  </si>
  <si>
    <t>Eukaryotic initiation factor 4A-I (Fragment)</t>
  </si>
  <si>
    <t>SWI/SNF-related matrix-associated actin-dependent regulator of chromatin subfamily E member 1 (Fragment)</t>
  </si>
  <si>
    <t>Protein SCO1 homolog, mitochondrial</t>
  </si>
  <si>
    <t>Small nuclear ribonucleoprotein-associated protein N (Fragment)</t>
  </si>
  <si>
    <t>von Willebrand factor A domain-containing protein 1 (Fragment)</t>
  </si>
  <si>
    <t>Pre-mRNA-splicing factor CWC25 homolog</t>
  </si>
  <si>
    <t>ATP-dependent DNA helicase Q5 (Fragment)</t>
  </si>
  <si>
    <t>Trafficking protein particle complex subunit 8</t>
  </si>
  <si>
    <t>60S ribosomal protein L17 (Fragment)</t>
  </si>
  <si>
    <t>Ribosomal protein L19</t>
  </si>
  <si>
    <t>Fatty aldehyde dehydrogenase</t>
  </si>
  <si>
    <t>HCG1996301</t>
  </si>
  <si>
    <t>Phosphatidylcholine-sterol acyltransferase (Fragment)</t>
  </si>
  <si>
    <t>Ribosomal L1 domain-containing protein 1 (Fragment)</t>
  </si>
  <si>
    <t>H/ACA ribonucleoprotein complex subunit 2</t>
  </si>
  <si>
    <t>Kinesin-like protein KIF16B</t>
  </si>
  <si>
    <t>Protein Njmu-R1</t>
  </si>
  <si>
    <t>G-protein-coupled receptor family C group 5 member C</t>
  </si>
  <si>
    <t>Putative hydroxypyruvate isomerase (Fragment)</t>
  </si>
  <si>
    <t>RWD domain containing 4A</t>
  </si>
  <si>
    <t>Methyl-CpG binding domain protein 3, isoform CRA_b</t>
  </si>
  <si>
    <t>Mothers against decapentaplegic homolog 4</t>
  </si>
  <si>
    <t>Hexosaminidase D (Fragment)</t>
  </si>
  <si>
    <t>Syntaxin-10 (Fragment)</t>
  </si>
  <si>
    <t>Calreticulin (Fragment)</t>
  </si>
  <si>
    <t>HCG27535</t>
  </si>
  <si>
    <t>Alpha-actinin-4 (Fragment)</t>
  </si>
  <si>
    <t>Phenylalanine--tRNA ligase alpha subunit (Fragment)</t>
  </si>
  <si>
    <t>Histone H3 (Fragment)</t>
  </si>
  <si>
    <t>N-acetylglutamate synthase long form (Fragment)</t>
  </si>
  <si>
    <t>Lon protease homolog, mitochondrial</t>
  </si>
  <si>
    <t>Hsp90 co-chaperone Cdc37 (Fragment)</t>
  </si>
  <si>
    <t>Glucosidase 2 subunit beta</t>
  </si>
  <si>
    <t>Katanin p60 ATPase-containing subunit A-like 2 (Fragment)</t>
  </si>
  <si>
    <t>Transmembrane protein 205 (Fragment)</t>
  </si>
  <si>
    <t>PDZ domain-containing protein GIPC1 (Fragment)</t>
  </si>
  <si>
    <t>Keratin, type I cytoskeletal 19 (Fragment)</t>
  </si>
  <si>
    <t>Transcription elongation factor 1 homolog</t>
  </si>
  <si>
    <t>Uncharacterized protein C18orf8</t>
  </si>
  <si>
    <t>Proteasome assembly chaperone 2</t>
  </si>
  <si>
    <t>Probable proline dehydrogenase 2</t>
  </si>
  <si>
    <t>Cactin (Fragment)</t>
  </si>
  <si>
    <t>Calpain small subunit 1 (Fragment)</t>
  </si>
  <si>
    <t>Programmed cell death protein 2-like</t>
  </si>
  <si>
    <t>Beclin-1 (Fragment)</t>
  </si>
  <si>
    <t>Truncated apolipoprotein C-I (Fragment)</t>
  </si>
  <si>
    <t>Eukaryotic translation initiation factor 3 subunit K</t>
  </si>
  <si>
    <t>UV excision repair protein RAD23 homolog A</t>
  </si>
  <si>
    <t>Serine--tRNA ligase, mitochondrial</t>
  </si>
  <si>
    <t>Paf1, RNA polymerase II associated factor, homolog (S. cerevisiae), isoform CRA_c</t>
  </si>
  <si>
    <t>rRNA 2-O-methyltransferase fibrillarin (Fragment)</t>
  </si>
  <si>
    <t>Bifunctional polynucleotide phosphatase/kinase</t>
  </si>
  <si>
    <t>Protein SMG9 (Fragment)</t>
  </si>
  <si>
    <t>Vesicle transport protein USE1</t>
  </si>
  <si>
    <t>KxDL motif-containing protein 1 (Fragment)</t>
  </si>
  <si>
    <t>40S ribosomal protein S5 (Fragment)</t>
  </si>
  <si>
    <t>40S ribosomal protein S16</t>
  </si>
  <si>
    <t>40S ribosomal protein S19 (Fragment)</t>
  </si>
  <si>
    <t>Prenylated Rab acceptor protein 1</t>
  </si>
  <si>
    <t>Pyroglutamyl-peptidase 1 (Fragment)</t>
  </si>
  <si>
    <t>Muscleblind-like 2 (Drosophila), isoform CRA_b</t>
  </si>
  <si>
    <t>Proto-oncogene c-Rel</t>
  </si>
  <si>
    <t>RELA protein</t>
  </si>
  <si>
    <t>DNA polymerase delta subunit 3</t>
  </si>
  <si>
    <t>Peptidyl-prolyl cis-trans isomerase A</t>
  </si>
  <si>
    <t>Tubulin epsilon chain (Fragment)</t>
  </si>
  <si>
    <t>cAMP-dependent protein kinase inhibitor gamma</t>
  </si>
  <si>
    <t>Filamin-A</t>
  </si>
  <si>
    <t>Heterogeneous nuclear ribonucleoprotein L-like</t>
  </si>
  <si>
    <t>Tubulin beta chain</t>
  </si>
  <si>
    <t>Rho-related GTP-binding protein RhoC (Fragment)</t>
  </si>
  <si>
    <t>High mobility group nucleosome-binding domain-containing protein 5 (Fragment)</t>
  </si>
  <si>
    <t>Glucocorticoid modulatory element binding protein 2, isoform CRA_a</t>
  </si>
  <si>
    <t>Double-stranded RNA-binding protein Staufen homolog 1</t>
  </si>
  <si>
    <t>Kinetochore-associated protein DSN1 homolog (Fragment)</t>
  </si>
  <si>
    <t>Mortality factor 4-like protein 2 (Fragment)</t>
  </si>
  <si>
    <t>Peroxisomal biogenesis factor 19 (Fragment)</t>
  </si>
  <si>
    <t>RNA-binding protein Raly (Fragment)</t>
  </si>
  <si>
    <t>Proteasome inhibitor PI31 subunit</t>
  </si>
  <si>
    <t>Advanced glycosylation end product-specific receptor (Fragment)</t>
  </si>
  <si>
    <t>Graves disease carrier protein</t>
  </si>
  <si>
    <t>SH3 domain-binding glutamic acid-rich-like protein 3</t>
  </si>
  <si>
    <t>Cyclin-dependent kinases regulatory subunit 1</t>
  </si>
  <si>
    <t>CREB-regulated transcription coactivator 2</t>
  </si>
  <si>
    <t>Nuclear transcription factor Y subunit gamma (Fragment)</t>
  </si>
  <si>
    <t>Chaperone activity of bc1 complex-like, mitochondrial</t>
  </si>
  <si>
    <t>Inter-alpha-trypsin inhibitor heavy chain H2</t>
  </si>
  <si>
    <t>WD repeat-containing protein 96</t>
  </si>
  <si>
    <t>Protein argonaute-1</t>
  </si>
  <si>
    <t>Mitochondrial nucleoid factor 1</t>
  </si>
  <si>
    <t>Calcium-binding protein 39-like (Fragment)</t>
  </si>
  <si>
    <t>Transcription initiation factor TFIID subunit 4 (Fragment)</t>
  </si>
  <si>
    <t>Protein LSM14 homolog B (Fragment)</t>
  </si>
  <si>
    <t>RNA-binding protein 34 (Fragment)</t>
  </si>
  <si>
    <t>mRNA-capping enzyme</t>
  </si>
  <si>
    <t>Pogo transposable element with KRAB domain (Fragment)</t>
  </si>
  <si>
    <t>Pleckstrin homology domain-containing family A member 6</t>
  </si>
  <si>
    <t>Dynein light chain Tctex-type 1</t>
  </si>
  <si>
    <t>Tropomyosin 3, isoform CRA_b</t>
  </si>
  <si>
    <t>Glycerol-3-phosphate acyltransferase 1, mitochondrial</t>
  </si>
  <si>
    <t>Ras-related GTP-binding protein B (Fragment)</t>
  </si>
  <si>
    <t>Nicotinamide riboside kinase 1</t>
  </si>
  <si>
    <t>6-phosphofructo-2-kinase/fructose-2, 6-biphosphatase 4 splice isoform 3</t>
  </si>
  <si>
    <t>Em:AP000351.3 protein</t>
  </si>
  <si>
    <t>THO complex subunit 3</t>
  </si>
  <si>
    <t>Cohesin subunit SA-1</t>
  </si>
  <si>
    <t>CENPC1 protein</t>
  </si>
  <si>
    <t>Casein kinase 1, alpha 1, isoform CRA_g</t>
  </si>
  <si>
    <t>RPS6KB1 protein</t>
  </si>
  <si>
    <t>TXNDC5 protein</t>
  </si>
  <si>
    <t>OSBPL6 protein</t>
  </si>
  <si>
    <t>WAS protein family, member 3, isoform CRA_a</t>
  </si>
  <si>
    <t>Focal adhesion kinase 1</t>
  </si>
  <si>
    <t>TOM1-like protein 1</t>
  </si>
  <si>
    <t>Serine/threonine-protein kinase MST4</t>
  </si>
  <si>
    <t>MTMR1 protein</t>
  </si>
  <si>
    <t>40S ribosomal protein S21</t>
  </si>
  <si>
    <t>Galectin-9</t>
  </si>
  <si>
    <t>Long-chain fatty acid transport protein 4</t>
  </si>
  <si>
    <t>Unconventional myosin-Vb</t>
  </si>
  <si>
    <t>Cadherin 1, type 1, E-cadherin (Epithelial), isoform CRA_c</t>
  </si>
  <si>
    <t>Motile sperm domain-containing protein 2</t>
  </si>
  <si>
    <t>26S proteasome non-ATPase regulatory subunit 8</t>
  </si>
  <si>
    <t>Ragulator complex protein LAMTOR5</t>
  </si>
  <si>
    <t>Polycomb complex protein BMI-1</t>
  </si>
  <si>
    <t>YTH domain family protein 3</t>
  </si>
  <si>
    <t>V-type proton ATPase subunit d 1</t>
  </si>
  <si>
    <t>Protein S100-A6 (Fragment)</t>
  </si>
  <si>
    <t>DENN domain-containing protein 4C</t>
  </si>
  <si>
    <t>26S protease regulatory subunit 6A</t>
  </si>
  <si>
    <t>Exosome complex component CSL4</t>
  </si>
  <si>
    <t>norm_FC_TMT126_H.sapiens_hepatocytes_P013190</t>
  </si>
  <si>
    <t>norm_FC_TMT127L_H.sapiens_hepatocytes_P013190</t>
  </si>
  <si>
    <t>norm_FC_TMT127H_H.sapiens_hepatocytes_P013190</t>
  </si>
  <si>
    <t>norm_FC_TMT128L_H.sapiens_hepatocytes_P013190</t>
  </si>
  <si>
    <t>norm_FC_TMT128H_H.sapiens_hepatocytes_P013190</t>
  </si>
  <si>
    <t>norm_FC_TMT129L_H.sapiens_hepatocytes_P013190</t>
  </si>
  <si>
    <t>norm_FC_TMT129H_H.sapiens_hepatocytes_P013190</t>
  </si>
  <si>
    <t>norm_FC_TMT130L_H.sapiens_hepatocytes_P013190</t>
  </si>
  <si>
    <t>norm_FC_TMT130H_H.sapiens_hepatocytes_P013190</t>
  </si>
  <si>
    <t>norm_FC_TMT131L_H.sapiens_hepatocytes_P013190</t>
  </si>
  <si>
    <t>a_H.sapiens_hepatocytes_P013190</t>
  </si>
  <si>
    <t>b_H.sapiens_hepatocytes_P013190</t>
  </si>
  <si>
    <t>meltPoint_H.sapiens_hepatocytes_P013190</t>
  </si>
  <si>
    <t>inflPoint_H.sapiens_hepatocytes_P013190</t>
  </si>
  <si>
    <t>slope_H.sapiens_hepatocytes_P013190</t>
  </si>
  <si>
    <t>plateau_H.sapiens_hepatocytes_P013190</t>
  </si>
  <si>
    <t>R_sq_H.sapiens_hepatocytes_P013190</t>
  </si>
  <si>
    <t>protein_identified_in_H.sapiens_hepatocytes_P013190</t>
  </si>
  <si>
    <t>model_converged_H.sapiens_hepatocytes_P013190</t>
  </si>
  <si>
    <t>sufficient_data_for_fit_H.sapiens_hepatocytes_P013190</t>
  </si>
  <si>
    <t>numSpec_H.sapiens_hepatocytes_P013190</t>
  </si>
  <si>
    <t>Proteinname_H.sapiens_hepatocytes_P013190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</si>
</sst>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37"/>
  <sheetViews>
    <sheetView tabSelected="1" workbookViewId="0">
      <selection sqref="A1:XFD1"/>
    </sheetView>
  </sheetViews>
  <sheetFormatPr defaultRowHeight="15" x14ac:dyDescent="0.25"/>
  <sheetData>
    <row r="1" spans="1:28" s="2" customFormat="1" ht="105" x14ac:dyDescent="0.25">
      <c r="A1" s="1" t="s">
        <v>0</v>
      </c>
      <c r="B1" s="1" t="s">
        <v>23541</v>
      </c>
      <c r="C1" s="1" t="s">
        <v>23542</v>
      </c>
      <c r="D1" s="1" t="s">
        <v>23543</v>
      </c>
      <c r="E1" s="1" t="s">
        <v>23544</v>
      </c>
      <c r="F1" s="1" t="s">
        <v>23545</v>
      </c>
      <c r="G1" s="1" t="s">
        <v>23546</v>
      </c>
      <c r="H1" s="1" t="s">
        <v>23547</v>
      </c>
      <c r="I1" s="1" t="s">
        <v>23548</v>
      </c>
      <c r="J1" s="1" t="s">
        <v>23549</v>
      </c>
      <c r="K1" s="1" t="s">
        <v>23550</v>
      </c>
      <c r="L1" s="1" t="s">
        <v>23551</v>
      </c>
      <c r="M1" s="1" t="s">
        <v>23552</v>
      </c>
      <c r="N1" s="1" t="s">
        <v>23553</v>
      </c>
      <c r="O1" s="1" t="s">
        <v>23554</v>
      </c>
      <c r="P1" s="1" t="s">
        <v>23555</v>
      </c>
      <c r="Q1" s="1" t="s">
        <v>23556</v>
      </c>
      <c r="R1" s="1" t="s">
        <v>23557</v>
      </c>
      <c r="S1" s="1" t="s">
        <v>1</v>
      </c>
      <c r="T1" s="1" t="s">
        <v>23558</v>
      </c>
      <c r="U1" s="1" t="s">
        <v>23559</v>
      </c>
      <c r="V1" s="1" t="s">
        <v>23560</v>
      </c>
      <c r="W1" s="1" t="s">
        <v>23561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23562</v>
      </c>
    </row>
    <row r="2" spans="1:28" x14ac:dyDescent="0.25">
      <c r="A2" t="s">
        <v>6</v>
      </c>
      <c r="B2">
        <v>0.99904790336628502</v>
      </c>
      <c r="C2">
        <v>0.96222239525083397</v>
      </c>
      <c r="D2">
        <v>0.932563594501437</v>
      </c>
      <c r="E2">
        <v>0.44985905807836402</v>
      </c>
      <c r="F2">
        <v>0.20437448622290699</v>
      </c>
      <c r="G2">
        <v>0.10543402480599801</v>
      </c>
      <c r="H2">
        <v>6.25310992648241E-2</v>
      </c>
      <c r="I2">
        <v>4.86797737389979E-2</v>
      </c>
      <c r="J2">
        <v>4.2297507473323399E-2</v>
      </c>
      <c r="K2">
        <v>3.5860939841157603E-2</v>
      </c>
      <c r="L2">
        <v>1375.49415418168</v>
      </c>
      <c r="M2">
        <v>27.746123333414399</v>
      </c>
      <c r="N2">
        <v>49.776201406565498</v>
      </c>
      <c r="O2">
        <v>49.318905927591103</v>
      </c>
      <c r="P2">
        <v>-0.13316178252719901</v>
      </c>
      <c r="Q2">
        <v>5.3224744283590399E-2</v>
      </c>
      <c r="R2">
        <v>0.99775647367313403</v>
      </c>
      <c r="S2" t="s">
        <v>4742</v>
      </c>
      <c r="T2" t="s">
        <v>9478</v>
      </c>
      <c r="U2" t="s">
        <v>9478</v>
      </c>
      <c r="V2" t="s">
        <v>9478</v>
      </c>
      <c r="W2">
        <v>25</v>
      </c>
      <c r="X2" t="s">
        <v>9480</v>
      </c>
      <c r="Y2">
        <v>0.36219922022697748</v>
      </c>
      <c r="Z2" t="str">
        <f>HYPERLINK("Melting_Curves/meltCurve_sp_A0AVT1_UBA6_HUMAN_.pdf", "Melting_Curves/meltCurve_sp_A0AVT1_UBA6_HUMAN_.pdf")</f>
        <v>Melting_Curves/meltCurve_sp_A0AVT1_UBA6_HUMAN_.pdf</v>
      </c>
      <c r="AA2" t="s">
        <v>14216</v>
      </c>
      <c r="AB2" t="s">
        <v>18837</v>
      </c>
    </row>
    <row r="3" spans="1:28" x14ac:dyDescent="0.25">
      <c r="A3" t="s">
        <v>7</v>
      </c>
      <c r="B3">
        <v>0.99904790336628502</v>
      </c>
      <c r="C3">
        <v>0.99907055625607399</v>
      </c>
      <c r="D3">
        <v>1.0210214111663101</v>
      </c>
      <c r="E3">
        <v>0.90052647510767403</v>
      </c>
      <c r="F3">
        <v>0.720481071667043</v>
      </c>
      <c r="G3">
        <v>0.44020110344845897</v>
      </c>
      <c r="H3">
        <v>0.34470028801874403</v>
      </c>
      <c r="I3">
        <v>0.28453476649190601</v>
      </c>
      <c r="J3">
        <v>0.25815214449901103</v>
      </c>
      <c r="K3">
        <v>0.22394778113956501</v>
      </c>
      <c r="L3">
        <v>1139.18497774456</v>
      </c>
      <c r="M3">
        <v>20.9342388782384</v>
      </c>
      <c r="N3">
        <v>56.206599241464502</v>
      </c>
      <c r="O3">
        <v>53.928049390933602</v>
      </c>
      <c r="P3">
        <v>-7.3444410693725301E-2</v>
      </c>
      <c r="Q3">
        <v>0.243229007571622</v>
      </c>
      <c r="R3">
        <v>0.99684383985773795</v>
      </c>
      <c r="S3" t="s">
        <v>4743</v>
      </c>
      <c r="T3" t="s">
        <v>9478</v>
      </c>
      <c r="U3" t="s">
        <v>9478</v>
      </c>
      <c r="V3" t="s">
        <v>9478</v>
      </c>
      <c r="W3">
        <v>5</v>
      </c>
      <c r="X3" t="s">
        <v>9481</v>
      </c>
      <c r="Y3">
        <v>0.61641014778179259</v>
      </c>
      <c r="Z3" t="str">
        <f>HYPERLINK("Melting_Curves/meltCurve_sp_A0JNW5_UH1BL_HUMAN_.pdf", "Melting_Curves/meltCurve_sp_A0JNW5_UH1BL_HUMAN_.pdf")</f>
        <v>Melting_Curves/meltCurve_sp_A0JNW5_UH1BL_HUMAN_.pdf</v>
      </c>
      <c r="AA3" t="s">
        <v>14217</v>
      </c>
      <c r="AB3" t="s">
        <v>18838</v>
      </c>
    </row>
    <row r="4" spans="1:28" x14ac:dyDescent="0.25">
      <c r="A4" t="s">
        <v>8</v>
      </c>
      <c r="B4">
        <v>0.99904790336628502</v>
      </c>
      <c r="C4">
        <v>1.0456846130431501</v>
      </c>
      <c r="D4">
        <v>1.0583667808720001</v>
      </c>
      <c r="E4">
        <v>0.94555772600239096</v>
      </c>
      <c r="F4">
        <v>0.782025762493753</v>
      </c>
      <c r="G4">
        <v>0.52526558414973101</v>
      </c>
      <c r="H4">
        <v>0.40661105755333898</v>
      </c>
      <c r="I4">
        <v>0.34891404641732399</v>
      </c>
      <c r="J4">
        <v>0.37173139061846</v>
      </c>
      <c r="K4">
        <v>0.340119705659857</v>
      </c>
      <c r="L4">
        <v>1360.42167133048</v>
      </c>
      <c r="M4">
        <v>24.901496932150401</v>
      </c>
      <c r="N4">
        <v>57.397007966622503</v>
      </c>
      <c r="O4">
        <v>54.283450059180304</v>
      </c>
      <c r="P4">
        <v>-7.4621158771937604E-2</v>
      </c>
      <c r="Q4">
        <v>0.349334124773029</v>
      </c>
      <c r="R4">
        <v>0.99166925541610695</v>
      </c>
      <c r="S4" t="s">
        <v>4744</v>
      </c>
      <c r="T4" t="s">
        <v>9478</v>
      </c>
      <c r="U4" t="s">
        <v>9478</v>
      </c>
      <c r="V4" t="s">
        <v>9478</v>
      </c>
      <c r="W4">
        <v>39</v>
      </c>
      <c r="X4" t="s">
        <v>9482</v>
      </c>
      <c r="Y4">
        <v>0.67275541092289137</v>
      </c>
      <c r="Z4" t="str">
        <f>HYPERLINK("Melting_Curves/meltCurve_sp_A0MZ66_SHOT1_HUMAN_.pdf", "Melting_Curves/meltCurve_sp_A0MZ66_SHOT1_HUMAN_.pdf")</f>
        <v>Melting_Curves/meltCurve_sp_A0MZ66_SHOT1_HUMAN_.pdf</v>
      </c>
      <c r="AA4" t="s">
        <v>14218</v>
      </c>
      <c r="AB4" t="s">
        <v>18839</v>
      </c>
    </row>
    <row r="5" spans="1:28" x14ac:dyDescent="0.25">
      <c r="A5" t="s">
        <v>9</v>
      </c>
      <c r="B5">
        <v>0.99904790336628502</v>
      </c>
      <c r="C5">
        <v>1.1236673725919899</v>
      </c>
      <c r="D5">
        <v>0.73888183768745197</v>
      </c>
      <c r="E5">
        <v>0.34227854048282802</v>
      </c>
      <c r="F5">
        <v>0.188337797308199</v>
      </c>
      <c r="G5">
        <v>7.0149986777606102E-2</v>
      </c>
      <c r="H5">
        <v>1.9858897121337898E-2</v>
      </c>
      <c r="I5">
        <v>0</v>
      </c>
      <c r="J5">
        <v>1.2687325632149001E-2</v>
      </c>
      <c r="K5">
        <v>2.8995676614157102E-2</v>
      </c>
      <c r="L5">
        <v>1146.7961747848301</v>
      </c>
      <c r="M5">
        <v>23.6060698875547</v>
      </c>
      <c r="N5">
        <v>48.678804507889502</v>
      </c>
      <c r="O5">
        <v>48.235963314354201</v>
      </c>
      <c r="P5">
        <v>-0.119502857157262</v>
      </c>
      <c r="Q5">
        <v>2.3261772292977299E-2</v>
      </c>
      <c r="R5">
        <v>0.98038714361826396</v>
      </c>
      <c r="S5" t="s">
        <v>4745</v>
      </c>
      <c r="T5" t="s">
        <v>9478</v>
      </c>
      <c r="U5" t="s">
        <v>9478</v>
      </c>
      <c r="V5" t="s">
        <v>9478</v>
      </c>
      <c r="W5">
        <v>3</v>
      </c>
      <c r="X5" t="s">
        <v>9483</v>
      </c>
      <c r="Y5">
        <v>0.31236245706420651</v>
      </c>
      <c r="Z5" t="str">
        <f>HYPERLINK("Melting_Curves/meltCurve_sp_A1L0T0_ILVBL_HUMAN_.pdf", "Melting_Curves/meltCurve_sp_A1L0T0_ILVBL_HUMAN_.pdf")</f>
        <v>Melting_Curves/meltCurve_sp_A1L0T0_ILVBL_HUMAN_.pdf</v>
      </c>
      <c r="AA5" t="s">
        <v>14219</v>
      </c>
      <c r="AB5" t="s">
        <v>18840</v>
      </c>
    </row>
    <row r="6" spans="1:28" x14ac:dyDescent="0.25">
      <c r="A6" t="s">
        <v>10</v>
      </c>
      <c r="B6">
        <v>0.99904790336628502</v>
      </c>
      <c r="C6">
        <v>0.99946114194285596</v>
      </c>
      <c r="D6">
        <v>0.91715729705677895</v>
      </c>
      <c r="E6">
        <v>0.86780359151170605</v>
      </c>
      <c r="F6">
        <v>0.79445215061626095</v>
      </c>
      <c r="G6">
        <v>0.61365572795248402</v>
      </c>
      <c r="H6">
        <v>0.53754565295331003</v>
      </c>
      <c r="I6">
        <v>0.47413337701986502</v>
      </c>
      <c r="J6">
        <v>0.52478875837052497</v>
      </c>
      <c r="K6">
        <v>0.51938478438950897</v>
      </c>
      <c r="L6">
        <v>847.40632272540802</v>
      </c>
      <c r="M6">
        <v>15.8337929908765</v>
      </c>
      <c r="N6">
        <v>67.753114059193905</v>
      </c>
      <c r="O6">
        <v>52.686997643684798</v>
      </c>
      <c r="P6">
        <v>-3.8918156227164803E-2</v>
      </c>
      <c r="Q6">
        <v>0.48204115716493201</v>
      </c>
      <c r="R6">
        <v>0.98354326889536703</v>
      </c>
      <c r="S6" t="s">
        <v>4746</v>
      </c>
      <c r="T6" t="s">
        <v>9478</v>
      </c>
      <c r="U6" t="s">
        <v>9478</v>
      </c>
      <c r="V6" t="s">
        <v>9478</v>
      </c>
      <c r="W6">
        <v>7</v>
      </c>
      <c r="X6" t="s">
        <v>9484</v>
      </c>
      <c r="Y6">
        <v>0.72557052618724394</v>
      </c>
      <c r="Z6" t="str">
        <f>HYPERLINK("Melting_Curves/meltCurve_sp_A1L170_CA226_HUMAN_.pdf", "Melting_Curves/meltCurve_sp_A1L170_CA226_HUMAN_.pdf")</f>
        <v>Melting_Curves/meltCurve_sp_A1L170_CA226_HUMAN_.pdf</v>
      </c>
      <c r="AA6" t="s">
        <v>14220</v>
      </c>
      <c r="AB6" t="s">
        <v>18841</v>
      </c>
    </row>
    <row r="7" spans="1:28" x14ac:dyDescent="0.25">
      <c r="A7" t="s">
        <v>11</v>
      </c>
      <c r="B7">
        <v>0.99904790336628502</v>
      </c>
      <c r="C7">
        <v>1.1546814006233199</v>
      </c>
      <c r="D7">
        <v>1.0220853474736999</v>
      </c>
      <c r="E7">
        <v>0.92200100375210303</v>
      </c>
      <c r="F7">
        <v>1.0373583919516001</v>
      </c>
      <c r="G7">
        <v>0.94615157431937102</v>
      </c>
      <c r="H7">
        <v>0.97321941264273204</v>
      </c>
      <c r="I7">
        <v>1.1806156923948501</v>
      </c>
      <c r="J7">
        <v>1.26867271232797</v>
      </c>
      <c r="K7">
        <v>1.2494783160188101</v>
      </c>
      <c r="L7">
        <v>15000</v>
      </c>
      <c r="M7">
        <v>235.20871657837199</v>
      </c>
      <c r="O7">
        <v>63.768536353045597</v>
      </c>
      <c r="P7">
        <v>0.23890030864153899</v>
      </c>
      <c r="Q7">
        <v>1.2590775241886201</v>
      </c>
      <c r="R7">
        <v>0.75518864391465301</v>
      </c>
      <c r="S7" t="s">
        <v>4747</v>
      </c>
      <c r="T7" t="s">
        <v>9478</v>
      </c>
      <c r="U7" t="s">
        <v>9478</v>
      </c>
      <c r="V7" t="s">
        <v>9478</v>
      </c>
      <c r="W7">
        <v>3</v>
      </c>
      <c r="X7" t="s">
        <v>9485</v>
      </c>
      <c r="Y7">
        <v>1.053741832068299</v>
      </c>
      <c r="Z7" t="str">
        <f>HYPERLINK("Melting_Curves/meltCurve_sp_A1L188_CQ089_HUMAN_.pdf", "Melting_Curves/meltCurve_sp_A1L188_CQ089_HUMAN_.pdf")</f>
        <v>Melting_Curves/meltCurve_sp_A1L188_CQ089_HUMAN_.pdf</v>
      </c>
      <c r="AA7" t="s">
        <v>14221</v>
      </c>
      <c r="AB7" t="s">
        <v>18842</v>
      </c>
    </row>
    <row r="8" spans="1:28" x14ac:dyDescent="0.25">
      <c r="A8" t="s">
        <v>12</v>
      </c>
      <c r="B8">
        <v>0.99904790336628502</v>
      </c>
      <c r="C8">
        <v>1.01382659205671</v>
      </c>
      <c r="D8">
        <v>1.0080749965910201</v>
      </c>
      <c r="E8">
        <v>0.90735918246254799</v>
      </c>
      <c r="F8">
        <v>0.75372125344255503</v>
      </c>
      <c r="G8">
        <v>0.41592934941466098</v>
      </c>
      <c r="H8">
        <v>0.262331604300448</v>
      </c>
      <c r="I8">
        <v>0.199984491746246</v>
      </c>
      <c r="J8">
        <v>0.23114543319094899</v>
      </c>
      <c r="K8">
        <v>0.19736547043042599</v>
      </c>
      <c r="L8">
        <v>1314.6621848961399</v>
      </c>
      <c r="M8">
        <v>24.038383121191099</v>
      </c>
      <c r="N8">
        <v>55.861677865841799</v>
      </c>
      <c r="O8">
        <v>54.315858380642503</v>
      </c>
      <c r="P8">
        <v>-8.8737398038069598E-2</v>
      </c>
      <c r="Q8">
        <v>0.19798733397614801</v>
      </c>
      <c r="R8">
        <v>0.99845138171940895</v>
      </c>
      <c r="S8" t="s">
        <v>4748</v>
      </c>
      <c r="T8" t="s">
        <v>9478</v>
      </c>
      <c r="U8" t="s">
        <v>9478</v>
      </c>
      <c r="V8" t="s">
        <v>9478</v>
      </c>
      <c r="W8">
        <v>1</v>
      </c>
      <c r="X8" t="s">
        <v>9486</v>
      </c>
      <c r="Y8">
        <v>0.59866493132123133</v>
      </c>
      <c r="Z8" t="str">
        <f>HYPERLINK("Melting_Curves/meltCurve_sp_A1X283_SPD2B_HUMAN_.pdf", "Melting_Curves/meltCurve_sp_A1X283_SPD2B_HUMAN_.pdf")</f>
        <v>Melting_Curves/meltCurve_sp_A1X283_SPD2B_HUMAN_.pdf</v>
      </c>
      <c r="AA8" t="s">
        <v>14222</v>
      </c>
      <c r="AB8" t="s">
        <v>18843</v>
      </c>
    </row>
    <row r="9" spans="1:28" x14ac:dyDescent="0.25">
      <c r="A9" t="s">
        <v>13</v>
      </c>
      <c r="B9">
        <v>0.99904790336628502</v>
      </c>
      <c r="C9">
        <v>1.1452543769836001</v>
      </c>
      <c r="D9">
        <v>0.90898707540500101</v>
      </c>
      <c r="E9">
        <v>0.89407640055513504</v>
      </c>
      <c r="F9">
        <v>0.47870588847319701</v>
      </c>
      <c r="G9">
        <v>0.20117071587765201</v>
      </c>
      <c r="H9">
        <v>0.10584897277989599</v>
      </c>
      <c r="I9">
        <v>8.20957264230711E-2</v>
      </c>
      <c r="J9">
        <v>7.4129339370962999E-2</v>
      </c>
      <c r="K9">
        <v>7.5665975343167505E-2</v>
      </c>
      <c r="L9">
        <v>1618.5310863643199</v>
      </c>
      <c r="M9">
        <v>30.6914082875237</v>
      </c>
      <c r="N9">
        <v>53.0552233916451</v>
      </c>
      <c r="O9">
        <v>52.513273746379603</v>
      </c>
      <c r="P9">
        <v>-0.133782874088166</v>
      </c>
      <c r="Q9">
        <v>8.4390680451862196E-2</v>
      </c>
      <c r="R9">
        <v>0.982169682149858</v>
      </c>
      <c r="S9" t="s">
        <v>4749</v>
      </c>
      <c r="T9" t="s">
        <v>9478</v>
      </c>
      <c r="U9" t="s">
        <v>9478</v>
      </c>
      <c r="V9" t="s">
        <v>9478</v>
      </c>
      <c r="W9">
        <v>3</v>
      </c>
      <c r="X9" t="s">
        <v>9487</v>
      </c>
      <c r="Y9">
        <v>0.47874229161439541</v>
      </c>
      <c r="Z9" t="str">
        <f>HYPERLINK("Melting_Curves/meltCurve_sp_A1Z1Q3_2_MACD2_HUMAN_.pdf", "Melting_Curves/meltCurve_sp_A1Z1Q3_2_MACD2_HUMAN_.pdf")</f>
        <v>Melting_Curves/meltCurve_sp_A1Z1Q3_2_MACD2_HUMAN_.pdf</v>
      </c>
      <c r="AA9" t="s">
        <v>14223</v>
      </c>
      <c r="AB9" t="s">
        <v>18844</v>
      </c>
    </row>
    <row r="10" spans="1:28" x14ac:dyDescent="0.25">
      <c r="A10" t="s">
        <v>14</v>
      </c>
      <c r="B10">
        <v>0.99904790336628502</v>
      </c>
      <c r="C10">
        <v>0.94231665362713801</v>
      </c>
      <c r="D10">
        <v>0.93922334947882802</v>
      </c>
      <c r="E10">
        <v>0.64417452307953404</v>
      </c>
      <c r="F10">
        <v>0.334030836768619</v>
      </c>
      <c r="G10">
        <v>0.207953484899842</v>
      </c>
      <c r="H10">
        <v>0.11821132772509201</v>
      </c>
      <c r="I10">
        <v>9.1881782160830802E-2</v>
      </c>
      <c r="J10">
        <v>7.4435642236569399E-2</v>
      </c>
      <c r="K10">
        <v>6.3343485489325196E-2</v>
      </c>
      <c r="L10">
        <v>1072.4801823999701</v>
      </c>
      <c r="M10">
        <v>21.025066084568099</v>
      </c>
      <c r="N10">
        <v>51.427873662747601</v>
      </c>
      <c r="O10">
        <v>50.5548709011914</v>
      </c>
      <c r="P10">
        <v>-9.5802921706458294E-2</v>
      </c>
      <c r="Q10">
        <v>7.8590290170080804E-2</v>
      </c>
      <c r="R10">
        <v>0.99621849005789598</v>
      </c>
      <c r="S10" t="s">
        <v>4750</v>
      </c>
      <c r="T10" t="s">
        <v>9478</v>
      </c>
      <c r="U10" t="s">
        <v>9478</v>
      </c>
      <c r="V10" t="s">
        <v>9478</v>
      </c>
      <c r="W10">
        <v>4</v>
      </c>
      <c r="X10" t="s">
        <v>9488</v>
      </c>
      <c r="Y10">
        <v>0.42837559148679483</v>
      </c>
      <c r="Z10" t="str">
        <f>HYPERLINK("Melting_Curves/meltCurve_sp_A2RUC4_TYW5_HUMAN_.pdf", "Melting_Curves/meltCurve_sp_A2RUC4_TYW5_HUMAN_.pdf")</f>
        <v>Melting_Curves/meltCurve_sp_A2RUC4_TYW5_HUMAN_.pdf</v>
      </c>
      <c r="AA10" t="s">
        <v>14224</v>
      </c>
      <c r="AB10" t="s">
        <v>18845</v>
      </c>
    </row>
    <row r="11" spans="1:28" x14ac:dyDescent="0.25">
      <c r="A11" t="s">
        <v>15</v>
      </c>
      <c r="B11">
        <v>0.99904790336628502</v>
      </c>
      <c r="C11">
        <v>1.0191588055312799</v>
      </c>
      <c r="D11">
        <v>1.03369810629375</v>
      </c>
      <c r="E11">
        <v>0.98933208829364605</v>
      </c>
      <c r="F11">
        <v>0.76695433950777403</v>
      </c>
      <c r="G11">
        <v>0.72362625437866102</v>
      </c>
      <c r="H11">
        <v>0.44236738550544102</v>
      </c>
      <c r="I11">
        <v>0.34169234934697801</v>
      </c>
      <c r="J11">
        <v>0.24956337697698899</v>
      </c>
      <c r="K11">
        <v>0.173190594102307</v>
      </c>
      <c r="L11">
        <v>807.94142495941696</v>
      </c>
      <c r="M11">
        <v>13.549235865984899</v>
      </c>
      <c r="N11">
        <v>60.305495562543598</v>
      </c>
      <c r="O11">
        <v>58.376071511367499</v>
      </c>
      <c r="P11">
        <v>-5.39485900030394E-2</v>
      </c>
      <c r="Q11">
        <v>7.0402714223159704E-2</v>
      </c>
      <c r="R11">
        <v>0.98418960725611804</v>
      </c>
      <c r="S11" t="s">
        <v>4751</v>
      </c>
      <c r="T11" t="s">
        <v>9478</v>
      </c>
      <c r="U11" t="s">
        <v>9478</v>
      </c>
      <c r="V11" t="s">
        <v>9478</v>
      </c>
      <c r="W11">
        <v>8</v>
      </c>
      <c r="X11" t="s">
        <v>9489</v>
      </c>
      <c r="Y11">
        <v>0.68515850835814263</v>
      </c>
      <c r="Z11" t="str">
        <f>HYPERLINK("Melting_Curves/meltCurve_sp_A2VDF0_2_FUCM_HUMAN_.pdf", "Melting_Curves/meltCurve_sp_A2VDF0_2_FUCM_HUMAN_.pdf")</f>
        <v>Melting_Curves/meltCurve_sp_A2VDF0_2_FUCM_HUMAN_.pdf</v>
      </c>
      <c r="AA11" t="s">
        <v>14225</v>
      </c>
      <c r="AB11" t="s">
        <v>18846</v>
      </c>
    </row>
    <row r="12" spans="1:28" x14ac:dyDescent="0.25">
      <c r="A12" t="s">
        <v>16</v>
      </c>
      <c r="B12">
        <v>0.99904790336628502</v>
      </c>
      <c r="C12">
        <v>0.87526156248332099</v>
      </c>
      <c r="D12">
        <v>0.61231262169689304</v>
      </c>
      <c r="E12">
        <v>0.24600588488140299</v>
      </c>
      <c r="F12">
        <v>0.135068111611817</v>
      </c>
      <c r="G12">
        <v>8.8122596388028301E-2</v>
      </c>
      <c r="H12">
        <v>5.8317038501922901E-2</v>
      </c>
      <c r="I12">
        <v>3.8409347324589102E-2</v>
      </c>
      <c r="J12">
        <v>3.1900911632262503E-2</v>
      </c>
      <c r="K12">
        <v>2.51956617692107E-2</v>
      </c>
      <c r="L12">
        <v>953.597823597907</v>
      </c>
      <c r="M12">
        <v>20.3263561424071</v>
      </c>
      <c r="N12">
        <v>47.109716436755598</v>
      </c>
      <c r="O12">
        <v>46.467347548709</v>
      </c>
      <c r="P12">
        <v>-0.104941289520485</v>
      </c>
      <c r="Q12">
        <v>4.0419353160063197E-2</v>
      </c>
      <c r="R12">
        <v>0.99851618991805802</v>
      </c>
      <c r="S12" t="s">
        <v>4752</v>
      </c>
      <c r="T12" t="s">
        <v>9478</v>
      </c>
      <c r="U12" t="s">
        <v>9478</v>
      </c>
      <c r="V12" t="s">
        <v>9478</v>
      </c>
      <c r="W12">
        <v>45</v>
      </c>
      <c r="X12" t="s">
        <v>9490</v>
      </c>
      <c r="Y12">
        <v>0.2751819852535578</v>
      </c>
      <c r="Z12" t="str">
        <f>HYPERLINK("Melting_Curves/meltCurve_sp_A3KMH1_3_VWA8_HUMAN_.pdf", "Melting_Curves/meltCurve_sp_A3KMH1_3_VWA8_HUMAN_.pdf")</f>
        <v>Melting_Curves/meltCurve_sp_A3KMH1_3_VWA8_HUMAN_.pdf</v>
      </c>
      <c r="AA12" t="s">
        <v>14226</v>
      </c>
      <c r="AB12" t="s">
        <v>18847</v>
      </c>
    </row>
    <row r="13" spans="1:28" x14ac:dyDescent="0.25">
      <c r="A13" t="s">
        <v>17</v>
      </c>
      <c r="B13">
        <v>0.99904790336628502</v>
      </c>
      <c r="C13">
        <v>0.918790209932835</v>
      </c>
      <c r="D13">
        <v>0.95171194127243097</v>
      </c>
      <c r="E13">
        <v>0.73971255298225203</v>
      </c>
      <c r="F13">
        <v>0.47482779044392298</v>
      </c>
      <c r="G13">
        <v>0.277026369905157</v>
      </c>
      <c r="H13">
        <v>0.20481658033680999</v>
      </c>
      <c r="I13">
        <v>0.20309944375046801</v>
      </c>
      <c r="J13">
        <v>0.208644853433363</v>
      </c>
      <c r="K13">
        <v>0.189295700339731</v>
      </c>
      <c r="L13">
        <v>1136.5712500187501</v>
      </c>
      <c r="M13">
        <v>22.0331915362489</v>
      </c>
      <c r="N13">
        <v>52.727375498034597</v>
      </c>
      <c r="O13">
        <v>51.165219487667997</v>
      </c>
      <c r="P13">
        <v>-8.7219624979088597E-2</v>
      </c>
      <c r="Q13">
        <v>0.18985648014982801</v>
      </c>
      <c r="R13">
        <v>0.99484575485656801</v>
      </c>
      <c r="S13" t="s">
        <v>4753</v>
      </c>
      <c r="T13" t="s">
        <v>9478</v>
      </c>
      <c r="U13" t="s">
        <v>9478</v>
      </c>
      <c r="V13" t="s">
        <v>9478</v>
      </c>
      <c r="W13">
        <v>4</v>
      </c>
      <c r="X13" t="s">
        <v>9491</v>
      </c>
      <c r="Y13">
        <v>0.51207468358154973</v>
      </c>
      <c r="Z13" t="str">
        <f>HYPERLINK("Melting_Curves/meltCurve_sp_A3KN83_3_SBNO1_HUMAN_.pdf", "Melting_Curves/meltCurve_sp_A3KN83_3_SBNO1_HUMAN_.pdf")</f>
        <v>Melting_Curves/meltCurve_sp_A3KN83_3_SBNO1_HUMAN_.pdf</v>
      </c>
      <c r="AA13" t="s">
        <v>14227</v>
      </c>
      <c r="AB13" t="s">
        <v>18848</v>
      </c>
    </row>
    <row r="14" spans="1:28" x14ac:dyDescent="0.25">
      <c r="A14" t="s">
        <v>18</v>
      </c>
      <c r="B14">
        <v>0.99904790336628502</v>
      </c>
      <c r="C14">
        <v>1.02490384571292</v>
      </c>
      <c r="D14">
        <v>1.0090349993154299</v>
      </c>
      <c r="E14">
        <v>1.00820403545264</v>
      </c>
      <c r="F14">
        <v>0.865589405239654</v>
      </c>
      <c r="G14">
        <v>0.71493721666063603</v>
      </c>
      <c r="H14">
        <v>0.50856298605191796</v>
      </c>
      <c r="I14">
        <v>0.40449034784499599</v>
      </c>
      <c r="J14">
        <v>0.18051294526693001</v>
      </c>
      <c r="K14">
        <v>7.1557230674836797E-2</v>
      </c>
      <c r="L14">
        <v>911.96092090325999</v>
      </c>
      <c r="M14">
        <v>14.945338806026401</v>
      </c>
      <c r="N14">
        <v>61.0197555947071</v>
      </c>
      <c r="O14">
        <v>59.958557098952703</v>
      </c>
      <c r="P14">
        <v>-6.2321687551211903E-2</v>
      </c>
      <c r="Q14">
        <v>0</v>
      </c>
      <c r="R14">
        <v>0.98794994370966605</v>
      </c>
      <c r="S14" t="s">
        <v>4754</v>
      </c>
      <c r="T14" t="s">
        <v>9478</v>
      </c>
      <c r="U14" t="s">
        <v>9478</v>
      </c>
      <c r="V14" t="s">
        <v>9478</v>
      </c>
      <c r="W14">
        <v>3</v>
      </c>
      <c r="X14" t="s">
        <v>9492</v>
      </c>
      <c r="Y14">
        <v>0.70296576980666681</v>
      </c>
      <c r="Z14" t="str">
        <f>HYPERLINK("Melting_Curves/meltCurve_sp_A4D126_2_ISPD_HUMAN_.pdf", "Melting_Curves/meltCurve_sp_A4D126_2_ISPD_HUMAN_.pdf")</f>
        <v>Melting_Curves/meltCurve_sp_A4D126_2_ISPD_HUMAN_.pdf</v>
      </c>
      <c r="AA14" t="s">
        <v>14228</v>
      </c>
      <c r="AB14" t="s">
        <v>18849</v>
      </c>
    </row>
    <row r="15" spans="1:28" x14ac:dyDescent="0.25">
      <c r="A15" t="s">
        <v>19</v>
      </c>
      <c r="B15">
        <v>0.99904790336628502</v>
      </c>
      <c r="C15">
        <v>0.937426631576049</v>
      </c>
      <c r="D15">
        <v>1.0219350889322001</v>
      </c>
      <c r="E15">
        <v>0.63185661566768803</v>
      </c>
      <c r="F15">
        <v>0.46812816211327601</v>
      </c>
      <c r="G15">
        <v>0.411668568434226</v>
      </c>
      <c r="H15">
        <v>0.240601768683811</v>
      </c>
      <c r="I15">
        <v>0.24040349771397099</v>
      </c>
      <c r="J15">
        <v>0.22279590750452999</v>
      </c>
      <c r="K15">
        <v>0.20585953889702699</v>
      </c>
      <c r="L15">
        <v>959.72156041379196</v>
      </c>
      <c r="M15">
        <v>18.7821706800156</v>
      </c>
      <c r="N15">
        <v>52.774025350759402</v>
      </c>
      <c r="O15">
        <v>50.528813892334703</v>
      </c>
      <c r="P15">
        <v>-7.2051823993579595E-2</v>
      </c>
      <c r="Q15">
        <v>0.22468152968376301</v>
      </c>
      <c r="R15">
        <v>0.97419086311885705</v>
      </c>
      <c r="S15" t="s">
        <v>4755</v>
      </c>
      <c r="T15" t="s">
        <v>9478</v>
      </c>
      <c r="U15" t="s">
        <v>9478</v>
      </c>
      <c r="V15" t="s">
        <v>9478</v>
      </c>
      <c r="W15">
        <v>3</v>
      </c>
      <c r="X15" t="s">
        <v>9493</v>
      </c>
      <c r="Y15">
        <v>0.5235662993872684</v>
      </c>
      <c r="Z15" t="str">
        <f>HYPERLINK("Melting_Curves/meltCurve_sp_A4D1P6_2_WDR91_HUMAN_.pdf", "Melting_Curves/meltCurve_sp_A4D1P6_2_WDR91_HUMAN_.pdf")</f>
        <v>Melting_Curves/meltCurve_sp_A4D1P6_2_WDR91_HUMAN_.pdf</v>
      </c>
      <c r="AA15" t="s">
        <v>14229</v>
      </c>
      <c r="AB15" t="s">
        <v>18850</v>
      </c>
    </row>
    <row r="16" spans="1:28" x14ac:dyDescent="0.25">
      <c r="A16" t="s">
        <v>20</v>
      </c>
      <c r="B16">
        <v>0.99904790336628502</v>
      </c>
      <c r="C16">
        <v>1.03540689583134</v>
      </c>
      <c r="D16">
        <v>1.0409242147865101</v>
      </c>
      <c r="E16">
        <v>0.66731513773260698</v>
      </c>
      <c r="F16">
        <v>0.28722217246709703</v>
      </c>
      <c r="G16">
        <v>0.124118498823154</v>
      </c>
      <c r="H16">
        <v>4.2796437760905297E-2</v>
      </c>
      <c r="I16">
        <v>2.9211798627532499E-2</v>
      </c>
      <c r="J16">
        <v>1.3359898927627701E-2</v>
      </c>
      <c r="K16">
        <v>2.1830933683925101E-2</v>
      </c>
      <c r="L16">
        <v>1543.4166043263599</v>
      </c>
      <c r="M16">
        <v>30.143367385552601</v>
      </c>
      <c r="N16">
        <v>51.322587696389398</v>
      </c>
      <c r="O16">
        <v>50.978760899984898</v>
      </c>
      <c r="P16">
        <v>-0.14279219849573399</v>
      </c>
      <c r="Q16">
        <v>3.4039872333615599E-2</v>
      </c>
      <c r="R16">
        <v>0.99478914463286405</v>
      </c>
      <c r="S16" t="s">
        <v>4756</v>
      </c>
      <c r="T16" t="s">
        <v>9478</v>
      </c>
      <c r="U16" t="s">
        <v>9478</v>
      </c>
      <c r="V16" t="s">
        <v>9478</v>
      </c>
      <c r="W16">
        <v>1</v>
      </c>
      <c r="X16" t="s">
        <v>9494</v>
      </c>
      <c r="Y16">
        <v>0.4007821491548928</v>
      </c>
      <c r="Z16" t="str">
        <f>HYPERLINK("Melting_Curves/meltCurve_sp_A5PLN9_2_TPC13_HUMAN_.pdf", "Melting_Curves/meltCurve_sp_A5PLN9_2_TPC13_HUMAN_.pdf")</f>
        <v>Melting_Curves/meltCurve_sp_A5PLN9_2_TPC13_HUMAN_.pdf</v>
      </c>
      <c r="AA16" t="s">
        <v>14230</v>
      </c>
      <c r="AB16" t="s">
        <v>18851</v>
      </c>
    </row>
    <row r="17" spans="1:28" x14ac:dyDescent="0.25">
      <c r="A17" t="s">
        <v>21</v>
      </c>
      <c r="B17">
        <v>0.99904790336628502</v>
      </c>
      <c r="C17">
        <v>1.1176925434082601</v>
      </c>
      <c r="D17">
        <v>1.09620564472271</v>
      </c>
      <c r="E17">
        <v>0.90602375887435305</v>
      </c>
      <c r="F17">
        <v>0.492165762336705</v>
      </c>
      <c r="G17">
        <v>0.18947810574235499</v>
      </c>
      <c r="H17">
        <v>0.11257404265620399</v>
      </c>
      <c r="I17">
        <v>7.7764709747408206E-2</v>
      </c>
      <c r="J17">
        <v>5.7890902124907002E-2</v>
      </c>
      <c r="K17">
        <v>6.1235550081031501E-2</v>
      </c>
      <c r="L17">
        <v>1841.6900899948901</v>
      </c>
      <c r="M17">
        <v>34.864739746952303</v>
      </c>
      <c r="N17">
        <v>53.096187955729597</v>
      </c>
      <c r="O17">
        <v>52.650979119315899</v>
      </c>
      <c r="P17">
        <v>-0.151993415483619</v>
      </c>
      <c r="Q17">
        <v>8.1871994232360107E-2</v>
      </c>
      <c r="R17">
        <v>0.98557293231513399</v>
      </c>
      <c r="S17" t="s">
        <v>4757</v>
      </c>
      <c r="T17" t="s">
        <v>9478</v>
      </c>
      <c r="U17" t="s">
        <v>9478</v>
      </c>
      <c r="V17" t="s">
        <v>9478</v>
      </c>
      <c r="W17">
        <v>30</v>
      </c>
      <c r="X17" t="s">
        <v>9495</v>
      </c>
      <c r="Y17">
        <v>0.47874659089837029</v>
      </c>
      <c r="Z17" t="str">
        <f>HYPERLINK("Melting_Curves/meltCurve_sp_A5YKK6_2_CNOT1_HUMAN_.pdf", "Melting_Curves/meltCurve_sp_A5YKK6_2_CNOT1_HUMAN_.pdf")</f>
        <v>Melting_Curves/meltCurve_sp_A5YKK6_2_CNOT1_HUMAN_.pdf</v>
      </c>
      <c r="AA17" t="s">
        <v>14231</v>
      </c>
      <c r="AB17" t="s">
        <v>18852</v>
      </c>
    </row>
    <row r="18" spans="1:28" x14ac:dyDescent="0.25">
      <c r="A18" t="s">
        <v>22</v>
      </c>
      <c r="B18">
        <v>0.99904790336628502</v>
      </c>
      <c r="C18">
        <v>0.95022723369414297</v>
      </c>
      <c r="D18">
        <v>0.79923665374081798</v>
      </c>
      <c r="E18">
        <v>0.79817830264049205</v>
      </c>
      <c r="F18">
        <v>0.71744860726366899</v>
      </c>
      <c r="G18">
        <v>0.61481787735842597</v>
      </c>
      <c r="H18">
        <v>0.51071887995913501</v>
      </c>
      <c r="I18">
        <v>0.327362530018939</v>
      </c>
      <c r="J18">
        <v>0.36778757248144101</v>
      </c>
      <c r="K18">
        <v>0.14485245643928499</v>
      </c>
      <c r="L18">
        <v>438.30433299386101</v>
      </c>
      <c r="M18">
        <v>7.3725802602374797</v>
      </c>
      <c r="N18">
        <v>59.450601793919901</v>
      </c>
      <c r="O18">
        <v>55.546293782590098</v>
      </c>
      <c r="P18">
        <v>-3.3232975341536498E-2</v>
      </c>
      <c r="Q18">
        <v>0</v>
      </c>
      <c r="R18">
        <v>0.95587234855558201</v>
      </c>
      <c r="S18" t="s">
        <v>4758</v>
      </c>
      <c r="T18" t="s">
        <v>9478</v>
      </c>
      <c r="U18" t="s">
        <v>9478</v>
      </c>
      <c r="V18" t="s">
        <v>9478</v>
      </c>
      <c r="W18">
        <v>3</v>
      </c>
      <c r="X18" t="s">
        <v>9496</v>
      </c>
      <c r="Y18">
        <v>0.63423708142096813</v>
      </c>
      <c r="Z18" t="str">
        <f>HYPERLINK("Melting_Curves/meltCurve_sp_A5YM69_ARG35_HUMAN_.pdf", "Melting_Curves/meltCurve_sp_A5YM69_ARG35_HUMAN_.pdf")</f>
        <v>Melting_Curves/meltCurve_sp_A5YM69_ARG35_HUMAN_.pdf</v>
      </c>
      <c r="AA18" t="s">
        <v>14232</v>
      </c>
      <c r="AB18" t="s">
        <v>18853</v>
      </c>
    </row>
    <row r="19" spans="1:28" x14ac:dyDescent="0.25">
      <c r="A19" t="s">
        <v>23</v>
      </c>
      <c r="B19">
        <v>0.99904790336628502</v>
      </c>
      <c r="C19">
        <v>0.85599256617541797</v>
      </c>
      <c r="D19">
        <v>0.93821117549191102</v>
      </c>
      <c r="E19">
        <v>0.98071692920668796</v>
      </c>
      <c r="F19">
        <v>0.70126417713038702</v>
      </c>
      <c r="G19">
        <v>0.56299312472816598</v>
      </c>
      <c r="H19">
        <v>0.512187053332128</v>
      </c>
      <c r="I19">
        <v>0.38108967796400001</v>
      </c>
      <c r="J19">
        <v>0.42774831214616899</v>
      </c>
      <c r="K19">
        <v>0.56587180433627404</v>
      </c>
      <c r="L19">
        <v>1785.83168179977</v>
      </c>
      <c r="M19">
        <v>33.7452093260735</v>
      </c>
      <c r="N19">
        <v>58.230239591484199</v>
      </c>
      <c r="O19">
        <v>52.736230990251698</v>
      </c>
      <c r="P19">
        <v>-8.3674223671860698E-2</v>
      </c>
      <c r="Q19">
        <v>0.476945585944344</v>
      </c>
      <c r="R19">
        <v>0.90014335691286596</v>
      </c>
      <c r="S19" t="s">
        <v>4759</v>
      </c>
      <c r="T19" t="s">
        <v>9478</v>
      </c>
      <c r="U19" t="s">
        <v>9478</v>
      </c>
      <c r="V19" t="s">
        <v>9478</v>
      </c>
      <c r="W19">
        <v>2</v>
      </c>
      <c r="X19" t="s">
        <v>9497</v>
      </c>
      <c r="Y19">
        <v>0.70491127036817358</v>
      </c>
      <c r="Z19" t="str">
        <f>HYPERLINK("Melting_Curves/meltCurve_sp_A6ND36_2_FA83G_HUMAN_.pdf", "Melting_Curves/meltCurve_sp_A6ND36_2_FA83G_HUMAN_.pdf")</f>
        <v>Melting_Curves/meltCurve_sp_A6ND36_2_FA83G_HUMAN_.pdf</v>
      </c>
      <c r="AA19" t="s">
        <v>14233</v>
      </c>
      <c r="AB19" t="s">
        <v>18854</v>
      </c>
    </row>
    <row r="20" spans="1:28" x14ac:dyDescent="0.25">
      <c r="A20" t="s">
        <v>24</v>
      </c>
      <c r="B20">
        <v>0.99904790336628502</v>
      </c>
      <c r="C20">
        <v>1.00613991773987</v>
      </c>
      <c r="D20">
        <v>0.99182839307496495</v>
      </c>
      <c r="E20">
        <v>0.95199201605836303</v>
      </c>
      <c r="F20">
        <v>0.92044371857069696</v>
      </c>
      <c r="G20">
        <v>0.74249578343550804</v>
      </c>
      <c r="H20">
        <v>0.61036139376799803</v>
      </c>
      <c r="I20">
        <v>0.58801892120815702</v>
      </c>
      <c r="J20">
        <v>0.55522182664079101</v>
      </c>
      <c r="K20">
        <v>0.46029439087715202</v>
      </c>
      <c r="L20">
        <v>912.87649617277498</v>
      </c>
      <c r="M20">
        <v>15.8077047735761</v>
      </c>
      <c r="N20">
        <v>69.811164114548106</v>
      </c>
      <c r="O20">
        <v>56.848349147655</v>
      </c>
      <c r="P20">
        <v>-3.7025445679383401E-2</v>
      </c>
      <c r="Q20">
        <v>0.46743378796549101</v>
      </c>
      <c r="R20">
        <v>0.98858467330011501</v>
      </c>
      <c r="S20" t="s">
        <v>4760</v>
      </c>
      <c r="T20" t="s">
        <v>9478</v>
      </c>
      <c r="U20" t="s">
        <v>9478</v>
      </c>
      <c r="V20" t="s">
        <v>9478</v>
      </c>
      <c r="W20">
        <v>14</v>
      </c>
      <c r="X20" t="s">
        <v>9498</v>
      </c>
      <c r="Y20">
        <v>0.78986979826807258</v>
      </c>
      <c r="Z20" t="str">
        <f>HYPERLINK("Melting_Curves/meltCurve_sp_A6ND91_ASPD_HUMAN_.pdf", "Melting_Curves/meltCurve_sp_A6ND91_ASPD_HUMAN_.pdf")</f>
        <v>Melting_Curves/meltCurve_sp_A6ND91_ASPD_HUMAN_.pdf</v>
      </c>
      <c r="AA20" t="s">
        <v>14234</v>
      </c>
      <c r="AB20" t="s">
        <v>18855</v>
      </c>
    </row>
    <row r="21" spans="1:28" x14ac:dyDescent="0.25">
      <c r="A21" t="s">
        <v>25</v>
      </c>
      <c r="B21">
        <v>0.99904790336628502</v>
      </c>
      <c r="C21">
        <v>1.07023017806155</v>
      </c>
      <c r="D21">
        <v>1.03856040136676</v>
      </c>
      <c r="E21">
        <v>0.99647636194817901</v>
      </c>
      <c r="F21">
        <v>1.0185043436226899</v>
      </c>
      <c r="G21">
        <v>0.76430859821139296</v>
      </c>
      <c r="H21">
        <v>0.72007663775083197</v>
      </c>
      <c r="I21">
        <v>0.74761063748740297</v>
      </c>
      <c r="J21">
        <v>0.805553660636809</v>
      </c>
      <c r="K21">
        <v>0.83553364493676896</v>
      </c>
      <c r="L21">
        <v>7255.2635508924304</v>
      </c>
      <c r="M21">
        <v>131.832474643745</v>
      </c>
      <c r="O21">
        <v>55.021317615441902</v>
      </c>
      <c r="P21">
        <v>-0.13519738282836899</v>
      </c>
      <c r="Q21">
        <v>0.77429731494134002</v>
      </c>
      <c r="R21">
        <v>0.90879195469332097</v>
      </c>
      <c r="S21" t="s">
        <v>4761</v>
      </c>
      <c r="T21" t="s">
        <v>9478</v>
      </c>
      <c r="U21" t="s">
        <v>9478</v>
      </c>
      <c r="V21" t="s">
        <v>9478</v>
      </c>
      <c r="W21">
        <v>37</v>
      </c>
      <c r="X21" t="s">
        <v>9499</v>
      </c>
      <c r="Y21">
        <v>0.88748261442722642</v>
      </c>
      <c r="Z21" t="str">
        <f>HYPERLINK("Melting_Curves/meltCurve_sp_A6NDB9_PALM3_HUMAN_.pdf", "Melting_Curves/meltCurve_sp_A6NDB9_PALM3_HUMAN_.pdf")</f>
        <v>Melting_Curves/meltCurve_sp_A6NDB9_PALM3_HUMAN_.pdf</v>
      </c>
      <c r="AA21" t="s">
        <v>14235</v>
      </c>
      <c r="AB21" t="s">
        <v>18856</v>
      </c>
    </row>
    <row r="22" spans="1:28" x14ac:dyDescent="0.25">
      <c r="A22" t="s">
        <v>26</v>
      </c>
      <c r="B22">
        <v>0.99904790336628502</v>
      </c>
      <c r="C22">
        <v>0.94945592679143198</v>
      </c>
      <c r="D22">
        <v>0.96741377382044202</v>
      </c>
      <c r="E22">
        <v>0.96705625566366304</v>
      </c>
      <c r="F22">
        <v>0.90723192859709201</v>
      </c>
      <c r="G22">
        <v>0.77895998463955096</v>
      </c>
      <c r="H22">
        <v>0.61365253135799203</v>
      </c>
      <c r="I22">
        <v>0.38901149535184298</v>
      </c>
      <c r="J22">
        <v>0.107043629897216</v>
      </c>
      <c r="K22">
        <v>9.7297843275208101E-2</v>
      </c>
      <c r="L22">
        <v>1133.06804260012</v>
      </c>
      <c r="M22">
        <v>18.3376610758535</v>
      </c>
      <c r="N22">
        <v>61.789127605867698</v>
      </c>
      <c r="O22">
        <v>61.068377622012299</v>
      </c>
      <c r="P22">
        <v>-7.50736414481252E-2</v>
      </c>
      <c r="Q22">
        <v>0</v>
      </c>
      <c r="R22">
        <v>0.98237321372091901</v>
      </c>
      <c r="S22" t="s">
        <v>4762</v>
      </c>
      <c r="T22" t="s">
        <v>9478</v>
      </c>
      <c r="U22" t="s">
        <v>9478</v>
      </c>
      <c r="V22" t="s">
        <v>9478</v>
      </c>
      <c r="W22">
        <v>9</v>
      </c>
      <c r="X22" t="s">
        <v>9500</v>
      </c>
      <c r="Y22">
        <v>0.72897265124623034</v>
      </c>
      <c r="Z22" t="str">
        <f>HYPERLINK("Melting_Curves/meltCurve_sp_A6NDG6_PGP_HUMAN_.pdf", "Melting_Curves/meltCurve_sp_A6NDG6_PGP_HUMAN_.pdf")</f>
        <v>Melting_Curves/meltCurve_sp_A6NDG6_PGP_HUMAN_.pdf</v>
      </c>
      <c r="AA22" t="s">
        <v>14236</v>
      </c>
      <c r="AB22" t="s">
        <v>18857</v>
      </c>
    </row>
    <row r="23" spans="1:28" x14ac:dyDescent="0.25">
      <c r="A23" t="s">
        <v>27</v>
      </c>
      <c r="B23">
        <v>0.99904790336628502</v>
      </c>
      <c r="C23">
        <v>0.90346707397130699</v>
      </c>
      <c r="D23">
        <v>0.88802194667965295</v>
      </c>
      <c r="E23">
        <v>0.79454198792841801</v>
      </c>
      <c r="F23">
        <v>0.37108230644236301</v>
      </c>
      <c r="G23">
        <v>5.9916019681404503E-2</v>
      </c>
      <c r="H23">
        <v>3.8401512599104903E-2</v>
      </c>
      <c r="I23">
        <v>1.71328992347691E-2</v>
      </c>
      <c r="J23">
        <v>1.17394062592306E-2</v>
      </c>
      <c r="K23">
        <v>8.3287004512467393E-3</v>
      </c>
      <c r="L23">
        <v>1529.6714370766199</v>
      </c>
      <c r="M23">
        <v>29.3946759073321</v>
      </c>
      <c r="N23">
        <v>52.0727836461351</v>
      </c>
      <c r="O23">
        <v>51.800005058268603</v>
      </c>
      <c r="P23">
        <v>-0.14052980833207801</v>
      </c>
      <c r="Q23">
        <v>9.4270885369503402E-3</v>
      </c>
      <c r="R23">
        <v>0.98905954988307199</v>
      </c>
      <c r="S23" t="s">
        <v>4763</v>
      </c>
      <c r="T23" t="s">
        <v>9478</v>
      </c>
      <c r="U23" t="s">
        <v>9478</v>
      </c>
      <c r="V23" t="s">
        <v>9478</v>
      </c>
      <c r="W23">
        <v>2</v>
      </c>
      <c r="X23" t="s">
        <v>9501</v>
      </c>
      <c r="Y23">
        <v>0.41353984295074281</v>
      </c>
      <c r="Z23" t="str">
        <f>HYPERLINK("Melting_Curves/meltCurve_sp_A6NDU8_CE051_HUMAN_.pdf", "Melting_Curves/meltCurve_sp_A6NDU8_CE051_HUMAN_.pdf")</f>
        <v>Melting_Curves/meltCurve_sp_A6NDU8_CE051_HUMAN_.pdf</v>
      </c>
      <c r="AA23" t="s">
        <v>14237</v>
      </c>
      <c r="AB23" t="s">
        <v>18858</v>
      </c>
    </row>
    <row r="24" spans="1:28" x14ac:dyDescent="0.25">
      <c r="A24" t="s">
        <v>28</v>
      </c>
      <c r="B24">
        <v>0.99904790336628502</v>
      </c>
      <c r="C24">
        <v>0.98083986361489395</v>
      </c>
      <c r="D24">
        <v>1.0533507097575601</v>
      </c>
      <c r="E24">
        <v>1.01412810125839</v>
      </c>
      <c r="F24">
        <v>0.85204432557083898</v>
      </c>
      <c r="G24">
        <v>0.29049173021625202</v>
      </c>
      <c r="H24">
        <v>0.180294966722125</v>
      </c>
      <c r="I24">
        <v>0.137920806184058</v>
      </c>
      <c r="J24">
        <v>0.12770103614212999</v>
      </c>
      <c r="K24">
        <v>8.9735579701816004E-2</v>
      </c>
      <c r="L24">
        <v>2294.1986358438498</v>
      </c>
      <c r="M24">
        <v>41.685887336088499</v>
      </c>
      <c r="N24">
        <v>55.4297004340388</v>
      </c>
      <c r="O24">
        <v>54.909179102239598</v>
      </c>
      <c r="P24">
        <v>-0.16544290792071201</v>
      </c>
      <c r="Q24">
        <v>0.12830755371189301</v>
      </c>
      <c r="R24">
        <v>0.99592636536332901</v>
      </c>
      <c r="S24" t="s">
        <v>4764</v>
      </c>
      <c r="T24" t="s">
        <v>9478</v>
      </c>
      <c r="U24" t="s">
        <v>9478</v>
      </c>
      <c r="V24" t="s">
        <v>9478</v>
      </c>
      <c r="W24">
        <v>7</v>
      </c>
      <c r="X24" t="s">
        <v>9502</v>
      </c>
      <c r="Y24">
        <v>0.56822487822653422</v>
      </c>
      <c r="Z24" t="str">
        <f>HYPERLINK("Melting_Curves/meltCurve_sp_A6NED2_RCCD1_HUMAN_.pdf", "Melting_Curves/meltCurve_sp_A6NED2_RCCD1_HUMAN_.pdf")</f>
        <v>Melting_Curves/meltCurve_sp_A6NED2_RCCD1_HUMAN_.pdf</v>
      </c>
      <c r="AA24" t="s">
        <v>14238</v>
      </c>
      <c r="AB24" t="s">
        <v>18859</v>
      </c>
    </row>
    <row r="25" spans="1:28" x14ac:dyDescent="0.25">
      <c r="A25" t="s">
        <v>29</v>
      </c>
      <c r="B25">
        <v>0.99904790336628502</v>
      </c>
      <c r="C25">
        <v>0.92557672597888996</v>
      </c>
      <c r="D25">
        <v>0.91846654048082099</v>
      </c>
      <c r="E25">
        <v>0.82694584403816895</v>
      </c>
      <c r="F25">
        <v>0.71861198225871203</v>
      </c>
      <c r="G25">
        <v>0.56894805073371801</v>
      </c>
      <c r="H25">
        <v>0.45781075815508099</v>
      </c>
      <c r="I25">
        <v>0.37999019508232201</v>
      </c>
      <c r="J25">
        <v>0.45924566618128898</v>
      </c>
      <c r="K25">
        <v>0.47438982923988299</v>
      </c>
      <c r="L25">
        <v>756.61437466961104</v>
      </c>
      <c r="M25">
        <v>14.3196034869522</v>
      </c>
      <c r="N25">
        <v>59.865152970122701</v>
      </c>
      <c r="O25">
        <v>51.839244636616201</v>
      </c>
      <c r="P25">
        <v>-4.0962952658470698E-2</v>
      </c>
      <c r="Q25">
        <v>0.406902216937158</v>
      </c>
      <c r="R25">
        <v>0.97350549412046306</v>
      </c>
      <c r="S25" t="s">
        <v>4765</v>
      </c>
      <c r="T25" t="s">
        <v>9478</v>
      </c>
      <c r="U25" t="s">
        <v>9478</v>
      </c>
      <c r="V25" t="s">
        <v>9478</v>
      </c>
      <c r="W25">
        <v>3</v>
      </c>
      <c r="X25" t="s">
        <v>9503</v>
      </c>
      <c r="Y25">
        <v>0.67440538427082675</v>
      </c>
      <c r="Z25" t="str">
        <f>HYPERLINK("Melting_Curves/meltCurve_sp_A6NEL2_SWAHB_HUMAN_.pdf", "Melting_Curves/meltCurve_sp_A6NEL2_SWAHB_HUMAN_.pdf")</f>
        <v>Melting_Curves/meltCurve_sp_A6NEL2_SWAHB_HUMAN_.pdf</v>
      </c>
      <c r="AA25" t="s">
        <v>14239</v>
      </c>
      <c r="AB25" t="s">
        <v>18860</v>
      </c>
    </row>
    <row r="26" spans="1:28" x14ac:dyDescent="0.25">
      <c r="A26" t="s">
        <v>30</v>
      </c>
      <c r="B26">
        <v>0.99904790336628502</v>
      </c>
      <c r="C26">
        <v>1.847362709674</v>
      </c>
      <c r="D26">
        <v>1.2760601297779499</v>
      </c>
      <c r="E26">
        <v>1.1686415309195499</v>
      </c>
      <c r="F26">
        <v>0.83783601577544797</v>
      </c>
      <c r="G26">
        <v>0.694633724930101</v>
      </c>
      <c r="H26">
        <v>0.22080034264986201</v>
      </c>
      <c r="I26">
        <v>0.55222387686574204</v>
      </c>
      <c r="J26">
        <v>0.29871130498374399</v>
      </c>
      <c r="K26">
        <v>0.31646595814724199</v>
      </c>
      <c r="L26">
        <v>2136.43998471432</v>
      </c>
      <c r="M26">
        <v>37.674864647962799</v>
      </c>
      <c r="N26">
        <v>58.489431715380803</v>
      </c>
      <c r="O26">
        <v>56.548235908621997</v>
      </c>
      <c r="P26">
        <v>-0.109705067073558</v>
      </c>
      <c r="Q26">
        <v>0.34135264416293798</v>
      </c>
      <c r="R26">
        <v>0.61846347180681804</v>
      </c>
      <c r="S26" t="s">
        <v>4766</v>
      </c>
      <c r="T26" t="s">
        <v>9478</v>
      </c>
      <c r="U26" t="s">
        <v>9478</v>
      </c>
      <c r="V26" t="s">
        <v>9478</v>
      </c>
      <c r="W26">
        <v>1</v>
      </c>
      <c r="X26" t="s">
        <v>9504</v>
      </c>
      <c r="Y26">
        <v>0.71103221395364069</v>
      </c>
      <c r="Z26" t="str">
        <f>HYPERLINK("Melting_Curves/meltCurve_sp_A6NFY7_SDHF1_HUMAN_.pdf", "Melting_Curves/meltCurve_sp_A6NFY7_SDHF1_HUMAN_.pdf")</f>
        <v>Melting_Curves/meltCurve_sp_A6NFY7_SDHF1_HUMAN_.pdf</v>
      </c>
      <c r="AA26" t="s">
        <v>14240</v>
      </c>
      <c r="AB26" t="s">
        <v>18861</v>
      </c>
    </row>
    <row r="27" spans="1:28" x14ac:dyDescent="0.25">
      <c r="A27" t="s">
        <v>31</v>
      </c>
      <c r="B27">
        <v>0.99904790336628502</v>
      </c>
      <c r="C27">
        <v>0.96360441502743999</v>
      </c>
      <c r="D27">
        <v>0.93317998147551295</v>
      </c>
      <c r="E27">
        <v>0.66507039867990603</v>
      </c>
      <c r="F27">
        <v>0.38621126436932202</v>
      </c>
      <c r="G27">
        <v>0.19805989732107199</v>
      </c>
      <c r="H27">
        <v>5.99378412324056E-2</v>
      </c>
      <c r="I27">
        <v>4.4238205371209198E-2</v>
      </c>
      <c r="J27">
        <v>1.7137096720176499E-2</v>
      </c>
      <c r="K27">
        <v>2.1765762831978001E-2</v>
      </c>
      <c r="L27">
        <v>952.49949380175997</v>
      </c>
      <c r="M27">
        <v>18.381849915709299</v>
      </c>
      <c r="N27">
        <v>51.8854686622144</v>
      </c>
      <c r="O27">
        <v>51.215805860933798</v>
      </c>
      <c r="P27">
        <v>-8.8662327214806796E-2</v>
      </c>
      <c r="Q27">
        <v>1.1915271334370901E-2</v>
      </c>
      <c r="R27">
        <v>0.99862588303247901</v>
      </c>
      <c r="S27" t="s">
        <v>4767</v>
      </c>
      <c r="T27" t="s">
        <v>9478</v>
      </c>
      <c r="U27" t="s">
        <v>9478</v>
      </c>
      <c r="V27" t="s">
        <v>9478</v>
      </c>
      <c r="W27">
        <v>2</v>
      </c>
      <c r="X27" t="s">
        <v>9505</v>
      </c>
      <c r="Y27">
        <v>0.41702895347020491</v>
      </c>
      <c r="Z27" t="str">
        <f>HYPERLINK("Melting_Curves/meltCurve_sp_A6NHQ2_FBLL1_HUMAN_.pdf", "Melting_Curves/meltCurve_sp_A6NHQ2_FBLL1_HUMAN_.pdf")</f>
        <v>Melting_Curves/meltCurve_sp_A6NHQ2_FBLL1_HUMAN_.pdf</v>
      </c>
      <c r="AA27" t="s">
        <v>14241</v>
      </c>
      <c r="AB27" t="s">
        <v>18862</v>
      </c>
    </row>
    <row r="28" spans="1:28" x14ac:dyDescent="0.25">
      <c r="A28" t="s">
        <v>32</v>
      </c>
      <c r="B28">
        <v>0.99904790336628502</v>
      </c>
      <c r="C28">
        <v>1.0295802345579601</v>
      </c>
      <c r="D28">
        <v>0.98506384334812902</v>
      </c>
      <c r="E28">
        <v>0.79478960242242302</v>
      </c>
      <c r="F28">
        <v>0.50694587800782398</v>
      </c>
      <c r="G28">
        <v>0.28718020393988702</v>
      </c>
      <c r="H28">
        <v>0.17578945595804399</v>
      </c>
      <c r="I28">
        <v>0.122210016466458</v>
      </c>
      <c r="J28">
        <v>8.6586214159092401E-2</v>
      </c>
      <c r="K28">
        <v>6.7588582468133707E-2</v>
      </c>
      <c r="L28">
        <v>1042.16601930141</v>
      </c>
      <c r="M28">
        <v>19.669117230142799</v>
      </c>
      <c r="N28">
        <v>53.486567835843402</v>
      </c>
      <c r="O28">
        <v>52.446321418378503</v>
      </c>
      <c r="P28">
        <v>-8.5863631395276405E-2</v>
      </c>
      <c r="Q28">
        <v>8.4234438966393099E-2</v>
      </c>
      <c r="R28">
        <v>0.99631736397821202</v>
      </c>
      <c r="S28" t="s">
        <v>4768</v>
      </c>
      <c r="T28" t="s">
        <v>9478</v>
      </c>
      <c r="U28" t="s">
        <v>9478</v>
      </c>
      <c r="V28" t="s">
        <v>9478</v>
      </c>
      <c r="W28">
        <v>3</v>
      </c>
      <c r="X28" t="s">
        <v>9506</v>
      </c>
      <c r="Y28">
        <v>0.49356426635739059</v>
      </c>
      <c r="Z28" t="str">
        <f>HYPERLINK("Melting_Curves/meltCurve_sp_A6NIH7_U119B_HUMAN_.pdf", "Melting_Curves/meltCurve_sp_A6NIH7_U119B_HUMAN_.pdf")</f>
        <v>Melting_Curves/meltCurve_sp_A6NIH7_U119B_HUMAN_.pdf</v>
      </c>
      <c r="AA28" t="s">
        <v>14242</v>
      </c>
      <c r="AB28" t="s">
        <v>18863</v>
      </c>
    </row>
    <row r="29" spans="1:28" x14ac:dyDescent="0.25">
      <c r="A29" t="s">
        <v>33</v>
      </c>
      <c r="B29">
        <v>0.99904790336628502</v>
      </c>
      <c r="C29">
        <v>0.91109159855797195</v>
      </c>
      <c r="D29">
        <v>0.90386532165850797</v>
      </c>
      <c r="E29">
        <v>0.90041182906477002</v>
      </c>
      <c r="F29">
        <v>0.90981362848569203</v>
      </c>
      <c r="G29">
        <v>0.80233697390329595</v>
      </c>
      <c r="H29">
        <v>0.63937104951239399</v>
      </c>
      <c r="I29">
        <v>0.63027526385244403</v>
      </c>
      <c r="J29">
        <v>0.54403667587545301</v>
      </c>
      <c r="K29">
        <v>0.41311822216876798</v>
      </c>
      <c r="L29">
        <v>446.10957699733399</v>
      </c>
      <c r="M29">
        <v>6.5687626520655904</v>
      </c>
      <c r="N29">
        <v>67.913791471992695</v>
      </c>
      <c r="O29">
        <v>62.445111112195001</v>
      </c>
      <c r="P29">
        <v>-2.63596255796937E-2</v>
      </c>
      <c r="Q29">
        <v>0</v>
      </c>
      <c r="R29">
        <v>0.95676860464108804</v>
      </c>
      <c r="S29" t="s">
        <v>4769</v>
      </c>
      <c r="T29" t="s">
        <v>9478</v>
      </c>
      <c r="U29" t="s">
        <v>9478</v>
      </c>
      <c r="V29" t="s">
        <v>9478</v>
      </c>
      <c r="W29">
        <v>10</v>
      </c>
      <c r="X29" t="s">
        <v>9507</v>
      </c>
      <c r="Y29">
        <v>0.78480541995086706</v>
      </c>
      <c r="Z29" t="str">
        <f>HYPERLINK("Melting_Curves/meltCurve_sp_A6NK44_GLOD5_HUMAN_.pdf", "Melting_Curves/meltCurve_sp_A6NK44_GLOD5_HUMAN_.pdf")</f>
        <v>Melting_Curves/meltCurve_sp_A6NK44_GLOD5_HUMAN_.pdf</v>
      </c>
      <c r="AA29" t="s">
        <v>14243</v>
      </c>
      <c r="AB29" t="s">
        <v>18864</v>
      </c>
    </row>
    <row r="30" spans="1:28" x14ac:dyDescent="0.25">
      <c r="A30" t="s">
        <v>34</v>
      </c>
      <c r="B30">
        <v>0.99904790336628502</v>
      </c>
      <c r="C30">
        <v>1.14706841477812</v>
      </c>
      <c r="D30">
        <v>1.0274938232638799</v>
      </c>
      <c r="E30">
        <v>1.0075856135160901</v>
      </c>
      <c r="F30">
        <v>0.99347363430945101</v>
      </c>
      <c r="G30">
        <v>0.47758271644825301</v>
      </c>
      <c r="H30">
        <v>0.30667145483467101</v>
      </c>
      <c r="I30">
        <v>0.23078207749955701</v>
      </c>
      <c r="J30">
        <v>0.19428961634080699</v>
      </c>
      <c r="K30">
        <v>0.16307957592433001</v>
      </c>
      <c r="L30">
        <v>2734.1077776178799</v>
      </c>
      <c r="M30">
        <v>48.5845904411295</v>
      </c>
      <c r="N30">
        <v>56.939767849135997</v>
      </c>
      <c r="O30">
        <v>56.180110365843703</v>
      </c>
      <c r="P30">
        <v>-0.16941441768523999</v>
      </c>
      <c r="Q30">
        <v>0.21640079671314599</v>
      </c>
      <c r="R30">
        <v>0.97879484842268505</v>
      </c>
      <c r="S30" t="s">
        <v>4770</v>
      </c>
      <c r="T30" t="s">
        <v>9478</v>
      </c>
      <c r="U30" t="s">
        <v>9478</v>
      </c>
      <c r="V30" t="s">
        <v>9478</v>
      </c>
      <c r="W30">
        <v>3</v>
      </c>
      <c r="X30" t="s">
        <v>9508</v>
      </c>
      <c r="Y30">
        <v>0.64356593120802463</v>
      </c>
      <c r="Z30" t="str">
        <f>HYPERLINK("Melting_Curves/meltCurve_sp_A6NK58_LIPT2_HUMAN_.pdf", "Melting_Curves/meltCurve_sp_A6NK58_LIPT2_HUMAN_.pdf")</f>
        <v>Melting_Curves/meltCurve_sp_A6NK58_LIPT2_HUMAN_.pdf</v>
      </c>
      <c r="AA30" t="s">
        <v>14244</v>
      </c>
      <c r="AB30" t="s">
        <v>18865</v>
      </c>
    </row>
    <row r="31" spans="1:28" x14ac:dyDescent="0.25">
      <c r="A31" t="s">
        <v>35</v>
      </c>
      <c r="B31">
        <v>0.99904790336628502</v>
      </c>
      <c r="C31">
        <v>1.0815975602788099</v>
      </c>
      <c r="D31">
        <v>1.0047487382385401</v>
      </c>
      <c r="E31">
        <v>0.91796803755355605</v>
      </c>
      <c r="F31">
        <v>0.90098508533601795</v>
      </c>
      <c r="G31">
        <v>0.64255092710273698</v>
      </c>
      <c r="H31">
        <v>0.55287962014019998</v>
      </c>
      <c r="I31">
        <v>0.52027671739945203</v>
      </c>
      <c r="J31">
        <v>0.52193426445494295</v>
      </c>
      <c r="K31">
        <v>0.48946618584484097</v>
      </c>
      <c r="L31">
        <v>1366.20287703845</v>
      </c>
      <c r="M31">
        <v>24.735882593743501</v>
      </c>
      <c r="O31">
        <v>54.874434499607702</v>
      </c>
      <c r="P31">
        <v>-5.6129602527240301E-2</v>
      </c>
      <c r="Q31">
        <v>0.50193214495977501</v>
      </c>
      <c r="R31">
        <v>0.97889583744965303</v>
      </c>
      <c r="S31" t="s">
        <v>4771</v>
      </c>
      <c r="T31" t="s">
        <v>9478</v>
      </c>
      <c r="U31" t="s">
        <v>9478</v>
      </c>
      <c r="V31" t="s">
        <v>9478</v>
      </c>
      <c r="W31">
        <v>8</v>
      </c>
      <c r="X31" t="s">
        <v>9509</v>
      </c>
      <c r="Y31">
        <v>0.75949995570739426</v>
      </c>
      <c r="Z31" t="str">
        <f>HYPERLINK("Melting_Curves/meltCurve_sp_A6NKD9_CC85C_HUMAN_.pdf", "Melting_Curves/meltCurve_sp_A6NKD9_CC85C_HUMAN_.pdf")</f>
        <v>Melting_Curves/meltCurve_sp_A6NKD9_CC85C_HUMAN_.pdf</v>
      </c>
      <c r="AA31" t="s">
        <v>14245</v>
      </c>
      <c r="AB31" t="s">
        <v>18866</v>
      </c>
    </row>
    <row r="32" spans="1:28" x14ac:dyDescent="0.25">
      <c r="A32" t="s">
        <v>36</v>
      </c>
      <c r="B32">
        <v>0.99904790336628502</v>
      </c>
      <c r="C32">
        <v>1.2164451504415601</v>
      </c>
      <c r="D32">
        <v>1.12427322973585</v>
      </c>
      <c r="E32">
        <v>1.0338299653430101</v>
      </c>
      <c r="F32">
        <v>1.12804781164903</v>
      </c>
      <c r="G32">
        <v>0.87748540335579495</v>
      </c>
      <c r="H32">
        <v>0.75976421996584698</v>
      </c>
      <c r="I32">
        <v>0.676156252577085</v>
      </c>
      <c r="J32">
        <v>0.73842590545643805</v>
      </c>
      <c r="K32">
        <v>0.73603445580900095</v>
      </c>
      <c r="L32">
        <v>6547.2819692307603</v>
      </c>
      <c r="M32">
        <v>114.660162347867</v>
      </c>
      <c r="O32">
        <v>57.0842646008023</v>
      </c>
      <c r="P32">
        <v>-0.13682077426602901</v>
      </c>
      <c r="Q32">
        <v>0.72753176820073295</v>
      </c>
      <c r="R32">
        <v>0.75742219399681598</v>
      </c>
      <c r="S32" t="s">
        <v>4772</v>
      </c>
      <c r="T32" t="s">
        <v>9478</v>
      </c>
      <c r="U32" t="s">
        <v>9478</v>
      </c>
      <c r="V32" t="s">
        <v>9478</v>
      </c>
      <c r="W32">
        <v>2</v>
      </c>
      <c r="X32" t="s">
        <v>9510</v>
      </c>
      <c r="Y32">
        <v>0.88298336218461781</v>
      </c>
      <c r="Z32" t="str">
        <f>HYPERLINK("Melting_Curves/meltCurve_sp_A6NKN8_PC4L1_HUMAN_.pdf", "Melting_Curves/meltCurve_sp_A6NKN8_PC4L1_HUMAN_.pdf")</f>
        <v>Melting_Curves/meltCurve_sp_A6NKN8_PC4L1_HUMAN_.pdf</v>
      </c>
      <c r="AA32" t="s">
        <v>14246</v>
      </c>
      <c r="AB32" t="s">
        <v>18867</v>
      </c>
    </row>
    <row r="33" spans="1:28" x14ac:dyDescent="0.25">
      <c r="A33" t="s">
        <v>37</v>
      </c>
      <c r="B33">
        <v>0.99904790336628502</v>
      </c>
      <c r="C33">
        <v>0.97803364435418405</v>
      </c>
      <c r="D33">
        <v>0.96971910463797295</v>
      </c>
      <c r="E33">
        <v>0.93130842072236297</v>
      </c>
      <c r="F33">
        <v>0.88653693686800605</v>
      </c>
      <c r="G33">
        <v>0.60296200648723597</v>
      </c>
      <c r="H33">
        <v>0.38944352536826798</v>
      </c>
      <c r="I33">
        <v>0.27224805281634301</v>
      </c>
      <c r="J33">
        <v>0.28631141394769299</v>
      </c>
      <c r="K33">
        <v>0.228726257055343</v>
      </c>
      <c r="L33">
        <v>1178.64841268446</v>
      </c>
      <c r="M33">
        <v>20.686010253649801</v>
      </c>
      <c r="N33">
        <v>58.658537263696999</v>
      </c>
      <c r="O33">
        <v>56.4535804279109</v>
      </c>
      <c r="P33">
        <v>-7.1128624066668894E-2</v>
      </c>
      <c r="Q33">
        <v>0.22356199790926501</v>
      </c>
      <c r="R33">
        <v>0.99597885545854603</v>
      </c>
      <c r="S33" t="s">
        <v>4773</v>
      </c>
      <c r="T33" t="s">
        <v>9478</v>
      </c>
      <c r="U33" t="s">
        <v>9478</v>
      </c>
      <c r="V33" t="s">
        <v>9478</v>
      </c>
      <c r="W33">
        <v>10</v>
      </c>
      <c r="X33" t="s">
        <v>9511</v>
      </c>
      <c r="Y33">
        <v>0.67210899722903172</v>
      </c>
      <c r="Z33" t="str">
        <f>HYPERLINK("Melting_Curves/meltCurve_sp_A6NLP5_TTC36_HUMAN_.pdf", "Melting_Curves/meltCurve_sp_A6NLP5_TTC36_HUMAN_.pdf")</f>
        <v>Melting_Curves/meltCurve_sp_A6NLP5_TTC36_HUMAN_.pdf</v>
      </c>
      <c r="AA33" t="s">
        <v>14247</v>
      </c>
      <c r="AB33" t="s">
        <v>18868</v>
      </c>
    </row>
    <row r="34" spans="1:28" x14ac:dyDescent="0.25">
      <c r="A34" t="s">
        <v>38</v>
      </c>
      <c r="B34">
        <v>0.99904790336628502</v>
      </c>
      <c r="C34">
        <v>0.99134463471914902</v>
      </c>
      <c r="D34">
        <v>0.91353678805760496</v>
      </c>
      <c r="E34">
        <v>0.88098858578334505</v>
      </c>
      <c r="F34">
        <v>0.77236700708009198</v>
      </c>
      <c r="G34">
        <v>0.51052361588311301</v>
      </c>
      <c r="H34">
        <v>0.26127346776830701</v>
      </c>
      <c r="I34">
        <v>0.17066148504491199</v>
      </c>
      <c r="J34">
        <v>0.15678786994223901</v>
      </c>
      <c r="K34">
        <v>0.15770121391928399</v>
      </c>
      <c r="L34">
        <v>946.28893172654898</v>
      </c>
      <c r="M34">
        <v>16.870031759248501</v>
      </c>
      <c r="N34">
        <v>56.839044713132097</v>
      </c>
      <c r="O34">
        <v>55.322478514335799</v>
      </c>
      <c r="P34">
        <v>-6.86671357981226E-2</v>
      </c>
      <c r="Q34">
        <v>9.9326995798493703E-2</v>
      </c>
      <c r="R34">
        <v>0.99397296995502404</v>
      </c>
      <c r="S34" t="s">
        <v>4774</v>
      </c>
      <c r="T34" t="s">
        <v>9478</v>
      </c>
      <c r="U34" t="s">
        <v>9478</v>
      </c>
      <c r="V34" t="s">
        <v>9478</v>
      </c>
      <c r="W34">
        <v>2</v>
      </c>
      <c r="X34" t="s">
        <v>9512</v>
      </c>
      <c r="Y34">
        <v>0.59665438133336723</v>
      </c>
      <c r="Z34" t="str">
        <f>HYPERLINK("Melting_Curves/meltCurve_sp_A8MSI8_LYRM9_HUMAN_.pdf", "Melting_Curves/meltCurve_sp_A8MSI8_LYRM9_HUMAN_.pdf")</f>
        <v>Melting_Curves/meltCurve_sp_A8MSI8_LYRM9_HUMAN_.pdf</v>
      </c>
      <c r="AA34" t="s">
        <v>14248</v>
      </c>
      <c r="AB34" t="s">
        <v>18869</v>
      </c>
    </row>
    <row r="35" spans="1:28" x14ac:dyDescent="0.25">
      <c r="A35" t="s">
        <v>39</v>
      </c>
      <c r="B35">
        <v>0.99904790336628502</v>
      </c>
      <c r="C35">
        <v>0.80808208885688504</v>
      </c>
      <c r="D35">
        <v>0.76249451414579505</v>
      </c>
      <c r="E35">
        <v>0.785998258074047</v>
      </c>
      <c r="F35">
        <v>0.70139719113626797</v>
      </c>
      <c r="G35">
        <v>0.44637448738361901</v>
      </c>
      <c r="H35">
        <v>9.2074489465631904E-2</v>
      </c>
      <c r="I35">
        <v>5.1507535788303999E-2</v>
      </c>
      <c r="J35">
        <v>1.5239094849460099E-2</v>
      </c>
      <c r="K35">
        <v>1.6175927627934201E-2</v>
      </c>
      <c r="L35">
        <v>794.02914347031003</v>
      </c>
      <c r="M35">
        <v>14.497767631043899</v>
      </c>
      <c r="N35">
        <v>54.769062648097297</v>
      </c>
      <c r="O35">
        <v>53.758659141154801</v>
      </c>
      <c r="P35">
        <v>-6.7428398872486903E-2</v>
      </c>
      <c r="Q35">
        <v>0</v>
      </c>
      <c r="R35">
        <v>0.93288248106730898</v>
      </c>
      <c r="S35" t="s">
        <v>4775</v>
      </c>
      <c r="T35" t="s">
        <v>9478</v>
      </c>
      <c r="U35" t="s">
        <v>9478</v>
      </c>
      <c r="V35" t="s">
        <v>9478</v>
      </c>
      <c r="W35">
        <v>8</v>
      </c>
      <c r="X35" t="s">
        <v>9513</v>
      </c>
      <c r="Y35">
        <v>0.51262803372458743</v>
      </c>
      <c r="Z35" t="str">
        <f>HYPERLINK("Melting_Curves/meltCurve_sp_A8MXV4_NUD19_HUMAN_.pdf", "Melting_Curves/meltCurve_sp_A8MXV4_NUD19_HUMAN_.pdf")</f>
        <v>Melting_Curves/meltCurve_sp_A8MXV4_NUD19_HUMAN_.pdf</v>
      </c>
      <c r="AA35" t="s">
        <v>14249</v>
      </c>
      <c r="AB35" t="s">
        <v>18870</v>
      </c>
    </row>
    <row r="36" spans="1:28" x14ac:dyDescent="0.25">
      <c r="A36" t="s">
        <v>40</v>
      </c>
      <c r="B36">
        <v>0.99904790336628502</v>
      </c>
      <c r="C36">
        <v>1.0975495598760101</v>
      </c>
      <c r="D36">
        <v>1.07097127353677</v>
      </c>
      <c r="E36">
        <v>0.85781046096196401</v>
      </c>
      <c r="F36">
        <v>0.58355982842674203</v>
      </c>
      <c r="G36">
        <v>0.40569017772729599</v>
      </c>
      <c r="H36">
        <v>0.238730440720094</v>
      </c>
      <c r="I36">
        <v>0.13468581289756401</v>
      </c>
      <c r="J36">
        <v>7.9683767502049793E-2</v>
      </c>
      <c r="K36">
        <v>6.84883179282956E-2</v>
      </c>
      <c r="L36">
        <v>943.16036567262097</v>
      </c>
      <c r="M36">
        <v>17.243786045474899</v>
      </c>
      <c r="N36">
        <v>55.127918369274099</v>
      </c>
      <c r="O36">
        <v>53.975968194233502</v>
      </c>
      <c r="P36">
        <v>-7.4822040441038296E-2</v>
      </c>
      <c r="Q36">
        <v>6.3232139691349304E-2</v>
      </c>
      <c r="R36">
        <v>0.98059119946513995</v>
      </c>
      <c r="S36" t="s">
        <v>4776</v>
      </c>
      <c r="T36" t="s">
        <v>9478</v>
      </c>
      <c r="U36" t="s">
        <v>9478</v>
      </c>
      <c r="V36" t="s">
        <v>9478</v>
      </c>
      <c r="W36">
        <v>3</v>
      </c>
      <c r="X36" t="s">
        <v>9514</v>
      </c>
      <c r="Y36">
        <v>0.5376568017087896</v>
      </c>
      <c r="Z36" t="str">
        <f>HYPERLINK("Melting_Curves/meltCurve_sp_B1AJZ9_4_FHAD1_HUMAN_.pdf", "Melting_Curves/meltCurve_sp_B1AJZ9_4_FHAD1_HUMAN_.pdf")</f>
        <v>Melting_Curves/meltCurve_sp_B1AJZ9_4_FHAD1_HUMAN_.pdf</v>
      </c>
      <c r="AA36" t="s">
        <v>14250</v>
      </c>
      <c r="AB36" t="s">
        <v>18871</v>
      </c>
    </row>
    <row r="37" spans="1:28" x14ac:dyDescent="0.25">
      <c r="A37" t="s">
        <v>41</v>
      </c>
      <c r="B37">
        <v>0.99904790336628502</v>
      </c>
      <c r="C37">
        <v>1.0259608892204399</v>
      </c>
      <c r="D37">
        <v>1.00311522044612</v>
      </c>
      <c r="E37">
        <v>1.0188178885152199</v>
      </c>
      <c r="F37">
        <v>1.1134202648801701</v>
      </c>
      <c r="G37">
        <v>0.74367044359697299</v>
      </c>
      <c r="H37">
        <v>0.78886943720026204</v>
      </c>
      <c r="I37">
        <v>0.95744122642872997</v>
      </c>
      <c r="J37">
        <v>1.07142269429804</v>
      </c>
      <c r="K37">
        <v>1.1226607036849401</v>
      </c>
      <c r="L37">
        <v>15000</v>
      </c>
      <c r="M37">
        <v>224.21234316786601</v>
      </c>
      <c r="O37">
        <v>66.895520137019702</v>
      </c>
      <c r="P37">
        <v>0.102786744087283</v>
      </c>
      <c r="Q37">
        <v>1.12266898502051</v>
      </c>
      <c r="R37">
        <v>0.12333665131254901</v>
      </c>
      <c r="S37" t="s">
        <v>4777</v>
      </c>
      <c r="T37" t="s">
        <v>9478</v>
      </c>
      <c r="U37" t="s">
        <v>9478</v>
      </c>
      <c r="V37" t="s">
        <v>9478</v>
      </c>
      <c r="W37">
        <v>4</v>
      </c>
      <c r="X37" t="s">
        <v>9515</v>
      </c>
      <c r="Y37">
        <v>1.012654411542137</v>
      </c>
      <c r="Z37" t="str">
        <f>HYPERLINK("Melting_Curves/meltCurve_sp_B1AK53_ESPN_HUMAN_.pdf", "Melting_Curves/meltCurve_sp_B1AK53_ESPN_HUMAN_.pdf")</f>
        <v>Melting_Curves/meltCurve_sp_B1AK53_ESPN_HUMAN_.pdf</v>
      </c>
      <c r="AA37" t="s">
        <v>14251</v>
      </c>
      <c r="AB37" t="s">
        <v>18872</v>
      </c>
    </row>
    <row r="38" spans="1:28" x14ac:dyDescent="0.25">
      <c r="A38" t="s">
        <v>42</v>
      </c>
      <c r="B38">
        <v>0.99904790336628502</v>
      </c>
      <c r="C38">
        <v>0.94918727368121802</v>
      </c>
      <c r="D38">
        <v>0.86021549559773602</v>
      </c>
      <c r="E38">
        <v>0.69354549833196699</v>
      </c>
      <c r="F38">
        <v>0.69099048024819798</v>
      </c>
      <c r="G38">
        <v>0.48593172530656098</v>
      </c>
      <c r="H38">
        <v>0.39365510654769997</v>
      </c>
      <c r="I38">
        <v>0.27851380122873998</v>
      </c>
      <c r="J38">
        <v>0.336098283208765</v>
      </c>
      <c r="K38">
        <v>0.40456636603512303</v>
      </c>
      <c r="L38">
        <v>611.27294585826803</v>
      </c>
      <c r="M38">
        <v>11.7100116311177</v>
      </c>
      <c r="N38">
        <v>56.477660533577698</v>
      </c>
      <c r="O38">
        <v>50.7482709277403</v>
      </c>
      <c r="P38">
        <v>-4.0737519645940301E-2</v>
      </c>
      <c r="Q38">
        <v>0.29400208384107701</v>
      </c>
      <c r="R38">
        <v>0.96522009729996505</v>
      </c>
      <c r="S38" t="s">
        <v>4778</v>
      </c>
      <c r="T38" t="s">
        <v>9478</v>
      </c>
      <c r="U38" t="s">
        <v>9478</v>
      </c>
      <c r="V38" t="s">
        <v>9478</v>
      </c>
      <c r="W38">
        <v>3</v>
      </c>
      <c r="X38" t="s">
        <v>9516</v>
      </c>
      <c r="Y38">
        <v>0.60309672080778109</v>
      </c>
      <c r="Z38" t="str">
        <f>HYPERLINK("Melting_Curves/meltCurve_sp_B7ZBB8_PP13G_HUMAN_.pdf", "Melting_Curves/meltCurve_sp_B7ZBB8_PP13G_HUMAN_.pdf")</f>
        <v>Melting_Curves/meltCurve_sp_B7ZBB8_PP13G_HUMAN_.pdf</v>
      </c>
      <c r="AA38" t="s">
        <v>14252</v>
      </c>
      <c r="AB38" t="s">
        <v>18873</v>
      </c>
    </row>
    <row r="39" spans="1:28" x14ac:dyDescent="0.25">
      <c r="A39" t="s">
        <v>43</v>
      </c>
      <c r="B39">
        <v>0.99904790336628502</v>
      </c>
      <c r="C39">
        <v>0.67640932468771198</v>
      </c>
      <c r="D39">
        <v>0.80826063643358503</v>
      </c>
      <c r="E39">
        <v>0.857334833605918</v>
      </c>
      <c r="F39">
        <v>0.92507253601108996</v>
      </c>
      <c r="G39">
        <v>0.536167066996318</v>
      </c>
      <c r="H39">
        <v>0.42712052736446898</v>
      </c>
      <c r="I39">
        <v>0.437637373612912</v>
      </c>
      <c r="J39">
        <v>0.30420564608448603</v>
      </c>
      <c r="K39">
        <v>0.110618483136302</v>
      </c>
      <c r="L39">
        <v>488.34326265755601</v>
      </c>
      <c r="M39">
        <v>8.1866230248990792</v>
      </c>
      <c r="N39">
        <v>59.651367898089497</v>
      </c>
      <c r="O39">
        <v>56.409164548214598</v>
      </c>
      <c r="P39">
        <v>-3.6319970946630302E-2</v>
      </c>
      <c r="Q39">
        <v>0</v>
      </c>
      <c r="R39">
        <v>0.79969615127202598</v>
      </c>
      <c r="S39" t="s">
        <v>4779</v>
      </c>
      <c r="T39" t="s">
        <v>9478</v>
      </c>
      <c r="U39" t="s">
        <v>9478</v>
      </c>
      <c r="V39" t="s">
        <v>9478</v>
      </c>
      <c r="W39">
        <v>3</v>
      </c>
      <c r="X39" t="s">
        <v>9517</v>
      </c>
      <c r="Y39">
        <v>0.64461146884259457</v>
      </c>
      <c r="Z39" t="str">
        <f>HYPERLINK("Melting_Curves/meltCurve_sp_B9A064_IGLL5_HUMAN_.pdf", "Melting_Curves/meltCurve_sp_B9A064_IGLL5_HUMAN_.pdf")</f>
        <v>Melting_Curves/meltCurve_sp_B9A064_IGLL5_HUMAN_.pdf</v>
      </c>
      <c r="AA39" t="s">
        <v>14253</v>
      </c>
      <c r="AB39" t="s">
        <v>18874</v>
      </c>
    </row>
    <row r="40" spans="1:28" x14ac:dyDescent="0.25">
      <c r="A40" t="s">
        <v>44</v>
      </c>
      <c r="B40">
        <v>0.99904790336628502</v>
      </c>
      <c r="C40">
        <v>0.96488096636818199</v>
      </c>
      <c r="D40">
        <v>0.93514945953779804</v>
      </c>
      <c r="E40">
        <v>0.80931764739116596</v>
      </c>
      <c r="F40">
        <v>0.632510136948369</v>
      </c>
      <c r="G40">
        <v>0.46012409949539301</v>
      </c>
      <c r="H40">
        <v>0.384292171194968</v>
      </c>
      <c r="I40">
        <v>0.32346401762057703</v>
      </c>
      <c r="J40">
        <v>0.31840898266388601</v>
      </c>
      <c r="K40">
        <v>0.25418919435910797</v>
      </c>
      <c r="L40">
        <v>759.24381466432703</v>
      </c>
      <c r="M40">
        <v>14.2312528028037</v>
      </c>
      <c r="N40">
        <v>56.225708096426601</v>
      </c>
      <c r="O40">
        <v>52.330187875321499</v>
      </c>
      <c r="P40">
        <v>-5.0418951945060499E-2</v>
      </c>
      <c r="Q40">
        <v>0.25850357322906398</v>
      </c>
      <c r="R40">
        <v>0.99694732963602795</v>
      </c>
      <c r="S40" t="s">
        <v>4780</v>
      </c>
      <c r="T40" t="s">
        <v>9478</v>
      </c>
      <c r="U40" t="s">
        <v>9478</v>
      </c>
      <c r="V40" t="s">
        <v>9478</v>
      </c>
      <c r="W40">
        <v>8</v>
      </c>
      <c r="X40" t="s">
        <v>9518</v>
      </c>
      <c r="Y40">
        <v>0.60531149511345617</v>
      </c>
      <c r="Z40" t="str">
        <f>HYPERLINK("Melting_Curves/meltCurve_sp_C4AMC7_WASH3_HUMAN_.pdf", "Melting_Curves/meltCurve_sp_C4AMC7_WASH3_HUMAN_.pdf")</f>
        <v>Melting_Curves/meltCurve_sp_C4AMC7_WASH3_HUMAN_.pdf</v>
      </c>
      <c r="AA40" t="s">
        <v>14254</v>
      </c>
      <c r="AB40" t="s">
        <v>18875</v>
      </c>
    </row>
    <row r="41" spans="1:28" x14ac:dyDescent="0.25">
      <c r="A41" t="s">
        <v>45</v>
      </c>
      <c r="B41">
        <v>0.99904790336628502</v>
      </c>
      <c r="C41">
        <v>0.80494413985147595</v>
      </c>
      <c r="D41">
        <v>1.03923686654477</v>
      </c>
      <c r="E41">
        <v>0.75095919987322002</v>
      </c>
      <c r="F41">
        <v>0.75787345158643304</v>
      </c>
      <c r="G41">
        <v>0.59180480917181899</v>
      </c>
      <c r="H41">
        <v>0.516094192789324</v>
      </c>
      <c r="I41">
        <v>0.48182047312288701</v>
      </c>
      <c r="J41">
        <v>0.47949250500510099</v>
      </c>
      <c r="K41">
        <v>0.44699665216509399</v>
      </c>
      <c r="L41">
        <v>557.06364896343496</v>
      </c>
      <c r="M41">
        <v>10.3819839413332</v>
      </c>
      <c r="N41">
        <v>63.145598783232799</v>
      </c>
      <c r="O41">
        <v>51.780526678068803</v>
      </c>
      <c r="P41">
        <v>-3.0341295790466901E-2</v>
      </c>
      <c r="Q41">
        <v>0.394941626510046</v>
      </c>
      <c r="R41">
        <v>0.89086284224240397</v>
      </c>
      <c r="S41" t="s">
        <v>4781</v>
      </c>
      <c r="T41" t="s">
        <v>9478</v>
      </c>
      <c r="U41" t="s">
        <v>9478</v>
      </c>
      <c r="V41" t="s">
        <v>9478</v>
      </c>
      <c r="W41">
        <v>1</v>
      </c>
      <c r="X41" t="s">
        <v>9519</v>
      </c>
      <c r="Y41">
        <v>0.6889565874375807</v>
      </c>
      <c r="Z41" t="str">
        <f>HYPERLINK("Melting_Curves/meltCurve_sp_F8WCM5_INSR2_HUMAN_.pdf", "Melting_Curves/meltCurve_sp_F8WCM5_INSR2_HUMAN_.pdf")</f>
        <v>Melting_Curves/meltCurve_sp_F8WCM5_INSR2_HUMAN_.pdf</v>
      </c>
      <c r="AA41" t="s">
        <v>14255</v>
      </c>
      <c r="AB41" t="s">
        <v>18876</v>
      </c>
    </row>
    <row r="42" spans="1:28" x14ac:dyDescent="0.25">
      <c r="A42" t="s">
        <v>46</v>
      </c>
      <c r="B42">
        <v>0.99904790336628502</v>
      </c>
      <c r="C42">
        <v>0.94986377017878698</v>
      </c>
      <c r="D42">
        <v>0.86844304012808204</v>
      </c>
      <c r="E42">
        <v>0.71183340700438202</v>
      </c>
      <c r="F42">
        <v>0.331426507095684</v>
      </c>
      <c r="G42">
        <v>0.16688739437275499</v>
      </c>
      <c r="H42">
        <v>0.11518091591117301</v>
      </c>
      <c r="I42">
        <v>8.15255071766261E-2</v>
      </c>
      <c r="J42">
        <v>5.7013189498213802E-2</v>
      </c>
      <c r="K42">
        <v>2.58466364407672E-2</v>
      </c>
      <c r="L42">
        <v>1016.479703247</v>
      </c>
      <c r="M42">
        <v>19.791403532262201</v>
      </c>
      <c r="N42">
        <v>51.6225658772629</v>
      </c>
      <c r="O42">
        <v>50.843930423175401</v>
      </c>
      <c r="P42">
        <v>-9.2652298707838504E-2</v>
      </c>
      <c r="Q42">
        <v>4.79407109465491E-2</v>
      </c>
      <c r="R42">
        <v>0.992311146426052</v>
      </c>
      <c r="S42" t="s">
        <v>4782</v>
      </c>
      <c r="T42" t="s">
        <v>9478</v>
      </c>
      <c r="U42" t="s">
        <v>9478</v>
      </c>
      <c r="V42" t="s">
        <v>9478</v>
      </c>
      <c r="W42">
        <v>6</v>
      </c>
      <c r="X42" t="s">
        <v>9520</v>
      </c>
      <c r="Y42">
        <v>0.42190398402313889</v>
      </c>
      <c r="Z42" t="str">
        <f>HYPERLINK("Melting_Curves/meltCurve_sp_O00116_ADAS_HUMAN_.pdf", "Melting_Curves/meltCurve_sp_O00116_ADAS_HUMAN_.pdf")</f>
        <v>Melting_Curves/meltCurve_sp_O00116_ADAS_HUMAN_.pdf</v>
      </c>
      <c r="AA42" t="s">
        <v>14256</v>
      </c>
      <c r="AB42" t="s">
        <v>18877</v>
      </c>
    </row>
    <row r="43" spans="1:28" x14ac:dyDescent="0.25">
      <c r="A43" t="s">
        <v>47</v>
      </c>
      <c r="B43">
        <v>0.99904790336628502</v>
      </c>
      <c r="C43">
        <v>0.95452554632448094</v>
      </c>
      <c r="D43">
        <v>0.99083914861493105</v>
      </c>
      <c r="E43">
        <v>0.94937598060871597</v>
      </c>
      <c r="F43">
        <v>0.95570859815305598</v>
      </c>
      <c r="G43">
        <v>0.694633838954266</v>
      </c>
      <c r="H43">
        <v>0.62869303760241702</v>
      </c>
      <c r="I43">
        <v>0.456222684163681</v>
      </c>
      <c r="J43">
        <v>0.41647861716360302</v>
      </c>
      <c r="K43">
        <v>0.41311703904279601</v>
      </c>
      <c r="L43">
        <v>1002.52720059737</v>
      </c>
      <c r="M43">
        <v>17.165641618065301</v>
      </c>
      <c r="N43">
        <v>63.280411181588299</v>
      </c>
      <c r="O43">
        <v>57.627790243840302</v>
      </c>
      <c r="P43">
        <v>-4.7153089011885599E-2</v>
      </c>
      <c r="Q43">
        <v>0.36683597358018</v>
      </c>
      <c r="R43">
        <v>0.97935187208462604</v>
      </c>
      <c r="S43" t="s">
        <v>4783</v>
      </c>
      <c r="T43" t="s">
        <v>9478</v>
      </c>
      <c r="U43" t="s">
        <v>9478</v>
      </c>
      <c r="V43" t="s">
        <v>9478</v>
      </c>
      <c r="W43">
        <v>2</v>
      </c>
      <c r="X43" t="s">
        <v>9521</v>
      </c>
      <c r="Y43">
        <v>0.76283188615254027</v>
      </c>
      <c r="Z43" t="str">
        <f>HYPERLINK("Melting_Curves/meltCurve_sp_O00124_3_UBXN8_HUMAN_.pdf", "Melting_Curves/meltCurve_sp_O00124_3_UBXN8_HUMAN_.pdf")</f>
        <v>Melting_Curves/meltCurve_sp_O00124_3_UBXN8_HUMAN_.pdf</v>
      </c>
      <c r="AA43" t="s">
        <v>14257</v>
      </c>
      <c r="AB43" t="s">
        <v>18878</v>
      </c>
    </row>
    <row r="44" spans="1:28" x14ac:dyDescent="0.25">
      <c r="A44" t="s">
        <v>48</v>
      </c>
      <c r="B44">
        <v>0.99904790336628502</v>
      </c>
      <c r="C44">
        <v>0.86811993693551603</v>
      </c>
      <c r="D44">
        <v>0.84096372909154504</v>
      </c>
      <c r="E44">
        <v>0.69428991384100802</v>
      </c>
      <c r="F44">
        <v>0.68709933555136005</v>
      </c>
      <c r="G44">
        <v>0.34398303831960497</v>
      </c>
      <c r="H44">
        <v>0.31899532094030397</v>
      </c>
      <c r="I44">
        <v>0.235941087194659</v>
      </c>
      <c r="J44">
        <v>0.212271889879175</v>
      </c>
      <c r="K44">
        <v>0.292273045096202</v>
      </c>
      <c r="L44">
        <v>569.23941695154599</v>
      </c>
      <c r="M44">
        <v>10.7821307505129</v>
      </c>
      <c r="N44">
        <v>54.807742409261301</v>
      </c>
      <c r="O44">
        <v>51.075922057074898</v>
      </c>
      <c r="P44">
        <v>-4.4162263312477197E-2</v>
      </c>
      <c r="Q44">
        <v>0.163502374479083</v>
      </c>
      <c r="R44">
        <v>0.95934659346141204</v>
      </c>
      <c r="S44" t="s">
        <v>4784</v>
      </c>
      <c r="T44" t="s">
        <v>9478</v>
      </c>
      <c r="U44" t="s">
        <v>9478</v>
      </c>
      <c r="V44" t="s">
        <v>9478</v>
      </c>
      <c r="W44">
        <v>1</v>
      </c>
      <c r="X44" t="s">
        <v>9522</v>
      </c>
      <c r="Y44">
        <v>0.5474461473836375</v>
      </c>
      <c r="Z44" t="str">
        <f>HYPERLINK("Melting_Curves/meltCurve_sp_O00139_2_KIF2A_HUMAN_.pdf", "Melting_Curves/meltCurve_sp_O00139_2_KIF2A_HUMAN_.pdf")</f>
        <v>Melting_Curves/meltCurve_sp_O00139_2_KIF2A_HUMAN_.pdf</v>
      </c>
      <c r="AA44" t="s">
        <v>14258</v>
      </c>
      <c r="AB44" t="s">
        <v>18879</v>
      </c>
    </row>
    <row r="45" spans="1:28" x14ac:dyDescent="0.25">
      <c r="A45" t="s">
        <v>49</v>
      </c>
      <c r="B45">
        <v>0.99904790336628502</v>
      </c>
      <c r="C45">
        <v>0.97363523057658696</v>
      </c>
      <c r="D45">
        <v>0.96701326912229801</v>
      </c>
      <c r="E45">
        <v>0.92177856194799102</v>
      </c>
      <c r="F45">
        <v>0.83648030565224196</v>
      </c>
      <c r="G45">
        <v>0.53201366156241103</v>
      </c>
      <c r="H45">
        <v>0.23382674616909699</v>
      </c>
      <c r="I45">
        <v>0.137833723268182</v>
      </c>
      <c r="J45">
        <v>7.9367150899175495E-2</v>
      </c>
      <c r="K45">
        <v>5.3455093639489498E-2</v>
      </c>
      <c r="L45">
        <v>1104.0644321095101</v>
      </c>
      <c r="M45">
        <v>19.312471354446402</v>
      </c>
      <c r="N45">
        <v>57.312963843602297</v>
      </c>
      <c r="O45">
        <v>56.566094448626401</v>
      </c>
      <c r="P45">
        <v>-8.3328561392491104E-2</v>
      </c>
      <c r="Q45">
        <v>2.3761378228785299E-2</v>
      </c>
      <c r="R45">
        <v>0.99867016929282804</v>
      </c>
      <c r="S45" t="s">
        <v>4785</v>
      </c>
      <c r="T45" t="s">
        <v>9478</v>
      </c>
      <c r="U45" t="s">
        <v>9478</v>
      </c>
      <c r="V45" t="s">
        <v>9478</v>
      </c>
      <c r="W45">
        <v>12</v>
      </c>
      <c r="X45" t="s">
        <v>9523</v>
      </c>
      <c r="Y45">
        <v>0.59473745126164979</v>
      </c>
      <c r="Z45" t="str">
        <f>HYPERLINK("Melting_Curves/meltCurve_sp_O00142_KITM_HUMAN_.pdf", "Melting_Curves/meltCurve_sp_O00142_KITM_HUMAN_.pdf")</f>
        <v>Melting_Curves/meltCurve_sp_O00142_KITM_HUMAN_.pdf</v>
      </c>
      <c r="AA45" t="s">
        <v>14259</v>
      </c>
      <c r="AB45" t="s">
        <v>18880</v>
      </c>
    </row>
    <row r="46" spans="1:28" x14ac:dyDescent="0.25">
      <c r="A46" t="s">
        <v>50</v>
      </c>
      <c r="B46">
        <v>0.99904790336628502</v>
      </c>
      <c r="C46">
        <v>0.85690090062915103</v>
      </c>
      <c r="D46">
        <v>0.74291208396552799</v>
      </c>
      <c r="E46">
        <v>0.58499054028379205</v>
      </c>
      <c r="F46">
        <v>0.46116790078263797</v>
      </c>
      <c r="G46">
        <v>0.40498078331887</v>
      </c>
      <c r="H46">
        <v>0.22651822965342899</v>
      </c>
      <c r="I46">
        <v>0.20483343658577999</v>
      </c>
      <c r="J46">
        <v>0.177374752905746</v>
      </c>
      <c r="K46">
        <v>0.19758408675740899</v>
      </c>
      <c r="L46">
        <v>495.10039732919302</v>
      </c>
      <c r="M46">
        <v>9.7555103371752896</v>
      </c>
      <c r="N46">
        <v>52.181856688702702</v>
      </c>
      <c r="O46">
        <v>48.756102788029999</v>
      </c>
      <c r="P46">
        <v>-4.4174692093892E-2</v>
      </c>
      <c r="Q46">
        <v>0.117366520549507</v>
      </c>
      <c r="R46">
        <v>0.98718475160641295</v>
      </c>
      <c r="S46" t="s">
        <v>4786</v>
      </c>
      <c r="T46" t="s">
        <v>9478</v>
      </c>
      <c r="U46" t="s">
        <v>9478</v>
      </c>
      <c r="V46" t="s">
        <v>9478</v>
      </c>
      <c r="W46">
        <v>9</v>
      </c>
      <c r="X46" t="s">
        <v>9524</v>
      </c>
      <c r="Y46">
        <v>0.47235456578724799</v>
      </c>
      <c r="Z46" t="str">
        <f>HYPERLINK("Melting_Curves/meltCurve_sp_O00148_DX39A_HUMAN_.pdf", "Melting_Curves/meltCurve_sp_O00148_DX39A_HUMAN_.pdf")</f>
        <v>Melting_Curves/meltCurve_sp_O00148_DX39A_HUMAN_.pdf</v>
      </c>
      <c r="AA46" t="s">
        <v>14260</v>
      </c>
      <c r="AB46" t="s">
        <v>18881</v>
      </c>
    </row>
    <row r="47" spans="1:28" x14ac:dyDescent="0.25">
      <c r="A47" t="s">
        <v>51</v>
      </c>
      <c r="B47">
        <v>0.99904790336628502</v>
      </c>
      <c r="C47">
        <v>1.01918268911281</v>
      </c>
      <c r="D47">
        <v>0.99260797031086001</v>
      </c>
      <c r="E47">
        <v>0.93068259019221999</v>
      </c>
      <c r="F47">
        <v>0.88922562743949596</v>
      </c>
      <c r="G47">
        <v>0.71628763796577799</v>
      </c>
      <c r="H47">
        <v>0.62936437996577299</v>
      </c>
      <c r="I47">
        <v>0.58810938125721701</v>
      </c>
      <c r="J47">
        <v>0.68107907643700905</v>
      </c>
      <c r="K47">
        <v>0.65853771718190601</v>
      </c>
      <c r="L47">
        <v>1441.2171097933899</v>
      </c>
      <c r="M47">
        <v>26.579071834254801</v>
      </c>
      <c r="O47">
        <v>53.919602764412801</v>
      </c>
      <c r="P47">
        <v>-4.5079237651995299E-2</v>
      </c>
      <c r="Q47">
        <v>0.63420410588214404</v>
      </c>
      <c r="R47">
        <v>0.97081995256142795</v>
      </c>
      <c r="S47" t="s">
        <v>4787</v>
      </c>
      <c r="T47" t="s">
        <v>9478</v>
      </c>
      <c r="U47" t="s">
        <v>9478</v>
      </c>
      <c r="V47" t="s">
        <v>9478</v>
      </c>
      <c r="W47">
        <v>20</v>
      </c>
      <c r="X47" t="s">
        <v>9525</v>
      </c>
      <c r="Y47">
        <v>0.8106647099129084</v>
      </c>
      <c r="Z47" t="str">
        <f>HYPERLINK("Melting_Curves/meltCurve_sp_O00151_PDLI1_HUMAN_.pdf", "Melting_Curves/meltCurve_sp_O00151_PDLI1_HUMAN_.pdf")</f>
        <v>Melting_Curves/meltCurve_sp_O00151_PDLI1_HUMAN_.pdf</v>
      </c>
      <c r="AA47" t="s">
        <v>14261</v>
      </c>
      <c r="AB47" t="s">
        <v>18882</v>
      </c>
    </row>
    <row r="48" spans="1:28" x14ac:dyDescent="0.25">
      <c r="A48" t="s">
        <v>52</v>
      </c>
      <c r="B48">
        <v>0.99904790336628502</v>
      </c>
      <c r="C48">
        <v>0.86916865272697597</v>
      </c>
      <c r="D48">
        <v>0.75149650602235296</v>
      </c>
      <c r="E48">
        <v>0.65139943804162304</v>
      </c>
      <c r="F48">
        <v>0.58374819919135001</v>
      </c>
      <c r="G48">
        <v>0.42928383884272803</v>
      </c>
      <c r="H48">
        <v>0.296861146501259</v>
      </c>
      <c r="I48">
        <v>0.13600202760646399</v>
      </c>
      <c r="J48">
        <v>6.1528321239712497E-2</v>
      </c>
      <c r="K48">
        <v>3.8388207109099397E-2</v>
      </c>
      <c r="L48">
        <v>500.80162725216502</v>
      </c>
      <c r="M48">
        <v>9.3287739071167604</v>
      </c>
      <c r="N48">
        <v>53.683541763071197</v>
      </c>
      <c r="O48">
        <v>51.389845442329801</v>
      </c>
      <c r="P48">
        <v>-4.5411144886765203E-2</v>
      </c>
      <c r="Q48">
        <v>0</v>
      </c>
      <c r="R48">
        <v>0.97167702998787397</v>
      </c>
      <c r="S48" t="s">
        <v>4788</v>
      </c>
      <c r="T48" t="s">
        <v>9478</v>
      </c>
      <c r="U48" t="s">
        <v>9478</v>
      </c>
      <c r="V48" t="s">
        <v>9478</v>
      </c>
      <c r="W48">
        <v>7</v>
      </c>
      <c r="X48" t="s">
        <v>9526</v>
      </c>
      <c r="Y48">
        <v>0.48922425968462357</v>
      </c>
      <c r="Z48" t="str">
        <f>HYPERLINK("Melting_Curves/meltCurve_sp_O00154_6_BACH_HUMAN_.pdf", "Melting_Curves/meltCurve_sp_O00154_6_BACH_HUMAN_.pdf")</f>
        <v>Melting_Curves/meltCurve_sp_O00154_6_BACH_HUMAN_.pdf</v>
      </c>
      <c r="AA48" t="s">
        <v>14262</v>
      </c>
      <c r="AB48" t="s">
        <v>18883</v>
      </c>
    </row>
    <row r="49" spans="1:28" x14ac:dyDescent="0.25">
      <c r="A49" t="s">
        <v>53</v>
      </c>
      <c r="B49">
        <v>0.99904790336628502</v>
      </c>
      <c r="C49">
        <v>0.88051461845635604</v>
      </c>
      <c r="D49">
        <v>1.03652655140242</v>
      </c>
      <c r="E49">
        <v>0.78579518756331901</v>
      </c>
      <c r="F49">
        <v>0.72168662156014296</v>
      </c>
      <c r="G49">
        <v>0.49522874425207603</v>
      </c>
      <c r="H49">
        <v>0.44322292836212102</v>
      </c>
      <c r="I49">
        <v>0.41581013509697901</v>
      </c>
      <c r="J49">
        <v>0.51625475867793003</v>
      </c>
      <c r="K49">
        <v>0.44116323952190001</v>
      </c>
      <c r="L49">
        <v>1096.6522473744999</v>
      </c>
      <c r="M49">
        <v>21.053177409489599</v>
      </c>
      <c r="N49">
        <v>58.055455479674599</v>
      </c>
      <c r="O49">
        <v>51.626495781321303</v>
      </c>
      <c r="P49">
        <v>-5.6834722131291697E-2</v>
      </c>
      <c r="Q49">
        <v>0.442535521281061</v>
      </c>
      <c r="R49">
        <v>0.94277801981934195</v>
      </c>
      <c r="S49" t="s">
        <v>4789</v>
      </c>
      <c r="T49" t="s">
        <v>9478</v>
      </c>
      <c r="U49" t="s">
        <v>9478</v>
      </c>
      <c r="V49" t="s">
        <v>9478</v>
      </c>
      <c r="W49">
        <v>4</v>
      </c>
      <c r="X49" t="s">
        <v>9527</v>
      </c>
      <c r="Y49">
        <v>0.67421664335120146</v>
      </c>
      <c r="Z49" t="str">
        <f>HYPERLINK("Melting_Curves/meltCurve_sp_O00161_SNP23_HUMAN_.pdf", "Melting_Curves/meltCurve_sp_O00161_SNP23_HUMAN_.pdf")</f>
        <v>Melting_Curves/meltCurve_sp_O00161_SNP23_HUMAN_.pdf</v>
      </c>
      <c r="AA49" t="s">
        <v>14263</v>
      </c>
      <c r="AB49" t="s">
        <v>18884</v>
      </c>
    </row>
    <row r="50" spans="1:28" x14ac:dyDescent="0.25">
      <c r="A50" t="s">
        <v>54</v>
      </c>
      <c r="B50">
        <v>0.99904790336628502</v>
      </c>
      <c r="C50">
        <v>0.89975066228779699</v>
      </c>
      <c r="D50">
        <v>0.89652599589377202</v>
      </c>
      <c r="E50">
        <v>0.85177282649138597</v>
      </c>
      <c r="F50">
        <v>0.706803824003996</v>
      </c>
      <c r="G50">
        <v>0.33765884951493902</v>
      </c>
      <c r="H50">
        <v>0.18664359726039501</v>
      </c>
      <c r="I50">
        <v>0.14806771828902801</v>
      </c>
      <c r="J50">
        <v>0.107792607081998</v>
      </c>
      <c r="K50">
        <v>0.103098326245771</v>
      </c>
      <c r="L50">
        <v>985.06085925221305</v>
      </c>
      <c r="M50">
        <v>18.042910467516801</v>
      </c>
      <c r="N50">
        <v>55.104679295326399</v>
      </c>
      <c r="O50">
        <v>53.938056488393201</v>
      </c>
      <c r="P50">
        <v>-7.7210094973611101E-2</v>
      </c>
      <c r="Q50">
        <v>7.6787747169747803E-2</v>
      </c>
      <c r="R50">
        <v>0.98633600679213695</v>
      </c>
      <c r="S50" t="s">
        <v>4790</v>
      </c>
      <c r="T50" t="s">
        <v>9478</v>
      </c>
      <c r="U50" t="s">
        <v>9478</v>
      </c>
      <c r="V50" t="s">
        <v>9478</v>
      </c>
      <c r="W50">
        <v>13</v>
      </c>
      <c r="X50" t="s">
        <v>9528</v>
      </c>
      <c r="Y50">
        <v>0.54039627881876762</v>
      </c>
      <c r="Z50" t="str">
        <f>HYPERLINK("Melting_Curves/meltCurve_sp_O00170_AIP_HUMAN_.pdf", "Melting_Curves/meltCurve_sp_O00170_AIP_HUMAN_.pdf")</f>
        <v>Melting_Curves/meltCurve_sp_O00170_AIP_HUMAN_.pdf</v>
      </c>
      <c r="AA50" t="s">
        <v>14264</v>
      </c>
      <c r="AB50" t="s">
        <v>18885</v>
      </c>
    </row>
    <row r="51" spans="1:28" x14ac:dyDescent="0.25">
      <c r="A51" t="s">
        <v>55</v>
      </c>
      <c r="B51">
        <v>0.99904790336628502</v>
      </c>
      <c r="C51">
        <v>0.90538599288259303</v>
      </c>
      <c r="D51">
        <v>0.809229049889998</v>
      </c>
      <c r="E51">
        <v>0.65518405286042103</v>
      </c>
      <c r="F51">
        <v>0.33421373183339698</v>
      </c>
      <c r="G51">
        <v>0.184138190756827</v>
      </c>
      <c r="H51">
        <v>9.4479264216052905E-2</v>
      </c>
      <c r="I51">
        <v>7.9047325261689394E-2</v>
      </c>
      <c r="J51">
        <v>8.2341980556858804E-2</v>
      </c>
      <c r="K51">
        <v>8.4005972589110203E-2</v>
      </c>
      <c r="L51">
        <v>801.67977796306695</v>
      </c>
      <c r="M51">
        <v>15.788632740049501</v>
      </c>
      <c r="N51">
        <v>51.116908838876903</v>
      </c>
      <c r="O51">
        <v>49.982141514625198</v>
      </c>
      <c r="P51">
        <v>-7.50285721350476E-2</v>
      </c>
      <c r="Q51">
        <v>5.0005442749563402E-2</v>
      </c>
      <c r="R51">
        <v>0.99121924926161298</v>
      </c>
      <c r="S51" t="s">
        <v>4791</v>
      </c>
      <c r="T51" t="s">
        <v>9478</v>
      </c>
      <c r="U51" t="s">
        <v>9478</v>
      </c>
      <c r="V51" t="s">
        <v>9478</v>
      </c>
      <c r="W51">
        <v>5</v>
      </c>
      <c r="X51" t="s">
        <v>9529</v>
      </c>
      <c r="Y51">
        <v>0.41149346125851122</v>
      </c>
      <c r="Z51" t="str">
        <f>HYPERLINK("Melting_Curves/meltCurve_sp_O00178_GTPB1_HUMAN_.pdf", "Melting_Curves/meltCurve_sp_O00178_GTPB1_HUMAN_.pdf")</f>
        <v>Melting_Curves/meltCurve_sp_O00178_GTPB1_HUMAN_.pdf</v>
      </c>
      <c r="AA51" t="s">
        <v>14265</v>
      </c>
      <c r="AB51" t="s">
        <v>18886</v>
      </c>
    </row>
    <row r="52" spans="1:28" x14ac:dyDescent="0.25">
      <c r="A52" t="s">
        <v>56</v>
      </c>
      <c r="B52">
        <v>0.99904790336628502</v>
      </c>
      <c r="C52">
        <v>0.93116224176932905</v>
      </c>
      <c r="D52">
        <v>0.83980571018835504</v>
      </c>
      <c r="E52">
        <v>0.68826021974016705</v>
      </c>
      <c r="F52">
        <v>0.34969220174323001</v>
      </c>
      <c r="G52">
        <v>0.14967773216653699</v>
      </c>
      <c r="H52">
        <v>9.7504044747831697E-2</v>
      </c>
      <c r="I52">
        <v>6.2844427142532397E-2</v>
      </c>
      <c r="J52">
        <v>6.16008347932918E-2</v>
      </c>
      <c r="K52">
        <v>3.9798173874970699E-2</v>
      </c>
      <c r="L52">
        <v>908.16676793829504</v>
      </c>
      <c r="M52">
        <v>17.7135699880182</v>
      </c>
      <c r="N52">
        <v>51.471819414757697</v>
      </c>
      <c r="O52">
        <v>50.629522364017198</v>
      </c>
      <c r="P52">
        <v>-8.4530375054637397E-2</v>
      </c>
      <c r="Q52">
        <v>3.3620710818166498E-2</v>
      </c>
      <c r="R52">
        <v>0.99311266034256196</v>
      </c>
      <c r="S52" t="s">
        <v>4792</v>
      </c>
      <c r="T52" t="s">
        <v>9478</v>
      </c>
      <c r="U52" t="s">
        <v>9478</v>
      </c>
      <c r="V52" t="s">
        <v>9478</v>
      </c>
      <c r="W52">
        <v>5</v>
      </c>
      <c r="X52" t="s">
        <v>9530</v>
      </c>
      <c r="Y52">
        <v>0.4133418797623799</v>
      </c>
      <c r="Z52" t="str">
        <f>HYPERLINK("Melting_Curves/meltCurve_sp_O00214_LEG8_HUMAN_.pdf", "Melting_Curves/meltCurve_sp_O00214_LEG8_HUMAN_.pdf")</f>
        <v>Melting_Curves/meltCurve_sp_O00214_LEG8_HUMAN_.pdf</v>
      </c>
      <c r="AA52" t="s">
        <v>14266</v>
      </c>
      <c r="AB52" t="s">
        <v>18887</v>
      </c>
    </row>
    <row r="53" spans="1:28" x14ac:dyDescent="0.25">
      <c r="A53" t="s">
        <v>57</v>
      </c>
      <c r="B53">
        <v>0.99904790336628502</v>
      </c>
      <c r="C53">
        <v>1.0380015989479501</v>
      </c>
      <c r="D53">
        <v>0.93775763116636601</v>
      </c>
      <c r="E53">
        <v>0.62108956637065305</v>
      </c>
      <c r="F53">
        <v>0.28577008625513001</v>
      </c>
      <c r="G53">
        <v>8.4734820174254905E-2</v>
      </c>
      <c r="H53">
        <v>3.7826612376301499E-2</v>
      </c>
      <c r="I53">
        <v>2.2893746121922898E-2</v>
      </c>
      <c r="J53">
        <v>1.8366144334483501E-2</v>
      </c>
      <c r="K53">
        <v>1.3893290141640299E-2</v>
      </c>
      <c r="L53">
        <v>1295.1281630394301</v>
      </c>
      <c r="M53">
        <v>25.424200271035001</v>
      </c>
      <c r="N53">
        <v>51.016151782541201</v>
      </c>
      <c r="O53">
        <v>50.628744151887197</v>
      </c>
      <c r="P53">
        <v>-0.123229309563608</v>
      </c>
      <c r="Q53">
        <v>1.8436512876669E-2</v>
      </c>
      <c r="R53">
        <v>0.99874397272990501</v>
      </c>
      <c r="S53" t="s">
        <v>4793</v>
      </c>
      <c r="T53" t="s">
        <v>9478</v>
      </c>
      <c r="U53" t="s">
        <v>9478</v>
      </c>
      <c r="V53" t="s">
        <v>9478</v>
      </c>
      <c r="W53">
        <v>11</v>
      </c>
      <c r="X53" t="s">
        <v>9531</v>
      </c>
      <c r="Y53">
        <v>0.38497738348866878</v>
      </c>
      <c r="Z53" t="str">
        <f>HYPERLINK("Melting_Curves/meltCurve_sp_O00231_PSD11_HUMAN_.pdf", "Melting_Curves/meltCurve_sp_O00231_PSD11_HUMAN_.pdf")</f>
        <v>Melting_Curves/meltCurve_sp_O00231_PSD11_HUMAN_.pdf</v>
      </c>
      <c r="AA53" t="s">
        <v>14267</v>
      </c>
      <c r="AB53" t="s">
        <v>18888</v>
      </c>
    </row>
    <row r="54" spans="1:28" x14ac:dyDescent="0.25">
      <c r="A54" t="s">
        <v>58</v>
      </c>
      <c r="B54">
        <v>0.99904790336628502</v>
      </c>
      <c r="C54">
        <v>0.92027150105272604</v>
      </c>
      <c r="D54">
        <v>0.84984250386021098</v>
      </c>
      <c r="E54">
        <v>0.60319219233580301</v>
      </c>
      <c r="F54">
        <v>0.30471135507705999</v>
      </c>
      <c r="G54">
        <v>0.13626498897381301</v>
      </c>
      <c r="H54">
        <v>8.7342644938403893E-2</v>
      </c>
      <c r="I54">
        <v>4.6769398453393299E-2</v>
      </c>
      <c r="J54">
        <v>4.0431222874557998E-2</v>
      </c>
      <c r="K54">
        <v>2.88969011675775E-2</v>
      </c>
      <c r="L54">
        <v>886.77799900121602</v>
      </c>
      <c r="M54">
        <v>17.5052599891436</v>
      </c>
      <c r="N54">
        <v>50.799189367923297</v>
      </c>
      <c r="O54">
        <v>50.010582739429402</v>
      </c>
      <c r="P54">
        <v>-8.5431822991367007E-2</v>
      </c>
      <c r="Q54">
        <v>2.3776875045799398E-2</v>
      </c>
      <c r="R54">
        <v>0.99715279783870203</v>
      </c>
      <c r="S54" t="s">
        <v>4794</v>
      </c>
      <c r="T54" t="s">
        <v>9478</v>
      </c>
      <c r="U54" t="s">
        <v>9478</v>
      </c>
      <c r="V54" t="s">
        <v>9478</v>
      </c>
      <c r="W54">
        <v>15</v>
      </c>
      <c r="X54" t="s">
        <v>9532</v>
      </c>
      <c r="Y54">
        <v>0.38796708448412082</v>
      </c>
      <c r="Z54" t="str">
        <f>HYPERLINK("Melting_Curves/meltCurve_sp_O00232_PSD12_HUMAN_.pdf", "Melting_Curves/meltCurve_sp_O00232_PSD12_HUMAN_.pdf")</f>
        <v>Melting_Curves/meltCurve_sp_O00232_PSD12_HUMAN_.pdf</v>
      </c>
      <c r="AA54" t="s">
        <v>14268</v>
      </c>
      <c r="AB54" t="s">
        <v>18889</v>
      </c>
    </row>
    <row r="55" spans="1:28" x14ac:dyDescent="0.25">
      <c r="A55" t="s">
        <v>59</v>
      </c>
      <c r="B55">
        <v>0.99904790336628502</v>
      </c>
      <c r="C55">
        <v>0.96266925203422504</v>
      </c>
      <c r="D55">
        <v>0.92070155214977301</v>
      </c>
      <c r="E55">
        <v>0.92943805129968604</v>
      </c>
      <c r="F55">
        <v>0.909061647948607</v>
      </c>
      <c r="G55">
        <v>0.71467888091596199</v>
      </c>
      <c r="H55">
        <v>0.59655352077949397</v>
      </c>
      <c r="I55">
        <v>0.54848698946840302</v>
      </c>
      <c r="J55">
        <v>0.601696798908955</v>
      </c>
      <c r="K55">
        <v>0.657806175024087</v>
      </c>
      <c r="L55">
        <v>1458.5305663341701</v>
      </c>
      <c r="M55">
        <v>26.5420241889937</v>
      </c>
      <c r="O55">
        <v>54.6426533782383</v>
      </c>
      <c r="P55">
        <v>-4.9368534119961997E-2</v>
      </c>
      <c r="Q55">
        <v>0.59345993100073702</v>
      </c>
      <c r="R55">
        <v>0.93828511175328799</v>
      </c>
      <c r="S55" t="s">
        <v>4795</v>
      </c>
      <c r="T55" t="s">
        <v>9478</v>
      </c>
      <c r="U55" t="s">
        <v>9478</v>
      </c>
      <c r="V55" t="s">
        <v>9478</v>
      </c>
      <c r="W55">
        <v>6</v>
      </c>
      <c r="X55" t="s">
        <v>9533</v>
      </c>
      <c r="Y55">
        <v>0.79945747329830019</v>
      </c>
      <c r="Z55" t="str">
        <f>HYPERLINK("Melting_Curves/meltCurve_sp_O00244_ATOX1_HUMAN_.pdf", "Melting_Curves/meltCurve_sp_O00244_ATOX1_HUMAN_.pdf")</f>
        <v>Melting_Curves/meltCurve_sp_O00244_ATOX1_HUMAN_.pdf</v>
      </c>
      <c r="AA55" t="s">
        <v>14269</v>
      </c>
      <c r="AB55" t="s">
        <v>18890</v>
      </c>
    </row>
    <row r="56" spans="1:28" x14ac:dyDescent="0.25">
      <c r="A56" t="s">
        <v>60</v>
      </c>
      <c r="B56">
        <v>0.99904790336628502</v>
      </c>
      <c r="C56">
        <v>1.1070441827151201</v>
      </c>
      <c r="D56">
        <v>1.5453669857444401</v>
      </c>
      <c r="E56">
        <v>0.76357706924678204</v>
      </c>
      <c r="F56">
        <v>0.55939060747314295</v>
      </c>
      <c r="G56">
        <v>0.46849687776328203</v>
      </c>
      <c r="H56">
        <v>0.25009518548843701</v>
      </c>
      <c r="I56">
        <v>0.468788180410601</v>
      </c>
      <c r="J56">
        <v>0.27272125581489098</v>
      </c>
      <c r="K56">
        <v>0.27377319004328599</v>
      </c>
      <c r="L56">
        <v>1792.57182091104</v>
      </c>
      <c r="M56">
        <v>34.654926291875597</v>
      </c>
      <c r="N56">
        <v>53.487732146587803</v>
      </c>
      <c r="O56">
        <v>51.554994858041098</v>
      </c>
      <c r="P56">
        <v>-0.11086452374913899</v>
      </c>
      <c r="Q56">
        <v>0.34028447477607898</v>
      </c>
      <c r="R56">
        <v>0.77665621792301398</v>
      </c>
      <c r="S56" t="s">
        <v>4796</v>
      </c>
      <c r="T56" t="s">
        <v>9478</v>
      </c>
      <c r="U56" t="s">
        <v>9478</v>
      </c>
      <c r="V56" t="s">
        <v>9478</v>
      </c>
      <c r="W56">
        <v>1</v>
      </c>
      <c r="X56" t="s">
        <v>9534</v>
      </c>
      <c r="Y56">
        <v>0.6012981639503906</v>
      </c>
      <c r="Z56" t="str">
        <f>HYPERLINK("Melting_Curves/meltCurve_sp_O00257_CBX4_HUMAN_.pdf", "Melting_Curves/meltCurve_sp_O00257_CBX4_HUMAN_.pdf")</f>
        <v>Melting_Curves/meltCurve_sp_O00257_CBX4_HUMAN_.pdf</v>
      </c>
      <c r="AA56" t="s">
        <v>14270</v>
      </c>
      <c r="AB56" t="s">
        <v>18891</v>
      </c>
    </row>
    <row r="57" spans="1:28" x14ac:dyDescent="0.25">
      <c r="A57" t="s">
        <v>61</v>
      </c>
      <c r="B57">
        <v>0.99904790336628502</v>
      </c>
      <c r="C57">
        <v>0.91978612966236195</v>
      </c>
      <c r="D57">
        <v>0.76116869161247602</v>
      </c>
      <c r="E57">
        <v>0.57600013360915003</v>
      </c>
      <c r="F57">
        <v>0.38253673521627701</v>
      </c>
      <c r="G57">
        <v>0.26890720212309199</v>
      </c>
      <c r="H57">
        <v>0.18900352329370701</v>
      </c>
      <c r="I57">
        <v>0.13493181288540701</v>
      </c>
      <c r="J57">
        <v>0.12873812488973699</v>
      </c>
      <c r="K57">
        <v>0.14730080253745201</v>
      </c>
      <c r="L57">
        <v>665.69970576904996</v>
      </c>
      <c r="M57">
        <v>13.3066322321235</v>
      </c>
      <c r="N57">
        <v>50.974180554349203</v>
      </c>
      <c r="O57">
        <v>48.938304840727199</v>
      </c>
      <c r="P57">
        <v>-6.05454249689285E-2</v>
      </c>
      <c r="Q57">
        <v>0.109462871846597</v>
      </c>
      <c r="R57">
        <v>0.99679952931816895</v>
      </c>
      <c r="S57" t="s">
        <v>4797</v>
      </c>
      <c r="T57" t="s">
        <v>9478</v>
      </c>
      <c r="U57" t="s">
        <v>9478</v>
      </c>
      <c r="V57" t="s">
        <v>9478</v>
      </c>
      <c r="W57">
        <v>4</v>
      </c>
      <c r="X57" t="s">
        <v>9535</v>
      </c>
      <c r="Y57">
        <v>0.4331883176821506</v>
      </c>
      <c r="Z57" t="str">
        <f>HYPERLINK("Melting_Curves/meltCurve_sp_O00264_PGRC1_HUMAN_.pdf", "Melting_Curves/meltCurve_sp_O00264_PGRC1_HUMAN_.pdf")</f>
        <v>Melting_Curves/meltCurve_sp_O00264_PGRC1_HUMAN_.pdf</v>
      </c>
      <c r="AA57" t="s">
        <v>14271</v>
      </c>
      <c r="AB57" t="s">
        <v>18892</v>
      </c>
    </row>
    <row r="58" spans="1:28" x14ac:dyDescent="0.25">
      <c r="A58" t="s">
        <v>62</v>
      </c>
      <c r="B58">
        <v>0.99904790336628502</v>
      </c>
      <c r="C58">
        <v>0.95336706316915998</v>
      </c>
      <c r="D58">
        <v>0.94497188600220206</v>
      </c>
      <c r="E58">
        <v>0.83390150149377795</v>
      </c>
      <c r="F58">
        <v>0.59910429789842801</v>
      </c>
      <c r="G58">
        <v>0.37053474383166102</v>
      </c>
      <c r="H58">
        <v>0.27960413593328698</v>
      </c>
      <c r="I58">
        <v>0.25818605645897102</v>
      </c>
      <c r="J58">
        <v>0.242007722048696</v>
      </c>
      <c r="K58">
        <v>0.22897568130183199</v>
      </c>
      <c r="L58">
        <v>1062.2522055419099</v>
      </c>
      <c r="M58">
        <v>20.087451305359899</v>
      </c>
      <c r="N58">
        <v>54.5425310441912</v>
      </c>
      <c r="O58">
        <v>52.365670850003902</v>
      </c>
      <c r="P58">
        <v>-7.3959547591242097E-2</v>
      </c>
      <c r="Q58">
        <v>0.228808716091421</v>
      </c>
      <c r="R58">
        <v>0.99758365696516504</v>
      </c>
      <c r="S58" t="s">
        <v>4798</v>
      </c>
      <c r="T58" t="s">
        <v>9478</v>
      </c>
      <c r="U58" t="s">
        <v>9478</v>
      </c>
      <c r="V58" t="s">
        <v>9478</v>
      </c>
      <c r="W58">
        <v>22</v>
      </c>
      <c r="X58" t="s">
        <v>9536</v>
      </c>
      <c r="Y58">
        <v>0.5704802485675341</v>
      </c>
      <c r="Z58" t="str">
        <f>HYPERLINK("Melting_Curves/meltCurve_sp_O00267_2_SPT5H_HUMAN_.pdf", "Melting_Curves/meltCurve_sp_O00267_2_SPT5H_HUMAN_.pdf")</f>
        <v>Melting_Curves/meltCurve_sp_O00267_2_SPT5H_HUMAN_.pdf</v>
      </c>
      <c r="AA58" t="s">
        <v>14272</v>
      </c>
      <c r="AB58" t="s">
        <v>18893</v>
      </c>
    </row>
    <row r="59" spans="1:28" x14ac:dyDescent="0.25">
      <c r="A59" t="s">
        <v>63</v>
      </c>
      <c r="B59">
        <v>0.99904790336628502</v>
      </c>
      <c r="C59">
        <v>0.97222064515856998</v>
      </c>
      <c r="D59">
        <v>0.96547009034582398</v>
      </c>
      <c r="E59">
        <v>0.95166215880834604</v>
      </c>
      <c r="F59">
        <v>0.97047909651878095</v>
      </c>
      <c r="G59">
        <v>0.75118981500370696</v>
      </c>
      <c r="H59">
        <v>0.60406098374571904</v>
      </c>
      <c r="I59">
        <v>0.66887909463221396</v>
      </c>
      <c r="J59">
        <v>0.69407700490360003</v>
      </c>
      <c r="K59">
        <v>0.64656045197791201</v>
      </c>
      <c r="L59">
        <v>2732.4419513695898</v>
      </c>
      <c r="M59">
        <v>48.964881870013002</v>
      </c>
      <c r="O59">
        <v>55.711272624862403</v>
      </c>
      <c r="P59">
        <v>-7.62093829882938E-2</v>
      </c>
      <c r="Q59">
        <v>0.65316221548551801</v>
      </c>
      <c r="R59">
        <v>0.96128668878895096</v>
      </c>
      <c r="S59" t="s">
        <v>4799</v>
      </c>
      <c r="T59" t="s">
        <v>9478</v>
      </c>
      <c r="U59" t="s">
        <v>9478</v>
      </c>
      <c r="V59" t="s">
        <v>9478</v>
      </c>
      <c r="W59">
        <v>15</v>
      </c>
      <c r="X59" t="s">
        <v>9537</v>
      </c>
      <c r="Y59">
        <v>0.83676708633331676</v>
      </c>
      <c r="Z59" t="str">
        <f>HYPERLINK("Melting_Curves/meltCurve_sp_O00273_DFFA_HUMAN_.pdf", "Melting_Curves/meltCurve_sp_O00273_DFFA_HUMAN_.pdf")</f>
        <v>Melting_Curves/meltCurve_sp_O00273_DFFA_HUMAN_.pdf</v>
      </c>
      <c r="AA59" t="s">
        <v>14273</v>
      </c>
      <c r="AB59" t="s">
        <v>18894</v>
      </c>
    </row>
    <row r="60" spans="1:28" x14ac:dyDescent="0.25">
      <c r="A60" t="s">
        <v>64</v>
      </c>
      <c r="B60">
        <v>0.99904790336628502</v>
      </c>
      <c r="C60">
        <v>1.0068279739182699</v>
      </c>
      <c r="D60">
        <v>1.01741133199645</v>
      </c>
      <c r="E60">
        <v>0.8152334315659</v>
      </c>
      <c r="F60">
        <v>0.56143942149269599</v>
      </c>
      <c r="G60">
        <v>0.33189835730561201</v>
      </c>
      <c r="H60">
        <v>0.18714540563968099</v>
      </c>
      <c r="I60">
        <v>0.15963184998583399</v>
      </c>
      <c r="J60">
        <v>0.14005311319817099</v>
      </c>
      <c r="K60">
        <v>0.13654428576088901</v>
      </c>
      <c r="L60">
        <v>1112.8143222577301</v>
      </c>
      <c r="M60">
        <v>20.928326452103001</v>
      </c>
      <c r="N60">
        <v>53.983677818190799</v>
      </c>
      <c r="O60">
        <v>52.694300901083402</v>
      </c>
      <c r="P60">
        <v>-8.5899754799604697E-2</v>
      </c>
      <c r="Q60">
        <v>0.13489414731261101</v>
      </c>
      <c r="R60">
        <v>0.99722139386087905</v>
      </c>
      <c r="S60" t="s">
        <v>4800</v>
      </c>
      <c r="T60" t="s">
        <v>9478</v>
      </c>
      <c r="U60" t="s">
        <v>9478</v>
      </c>
      <c r="V60" t="s">
        <v>9478</v>
      </c>
      <c r="W60">
        <v>4</v>
      </c>
      <c r="X60" t="s">
        <v>9538</v>
      </c>
      <c r="Y60">
        <v>0.52574353407184859</v>
      </c>
      <c r="Z60" t="str">
        <f>HYPERLINK("Melting_Curves/meltCurve_sp_O00291_HIP1_HUMAN_.pdf", "Melting_Curves/meltCurve_sp_O00291_HIP1_HUMAN_.pdf")</f>
        <v>Melting_Curves/meltCurve_sp_O00291_HIP1_HUMAN_.pdf</v>
      </c>
      <c r="AA60" t="s">
        <v>14274</v>
      </c>
      <c r="AB60" t="s">
        <v>18895</v>
      </c>
    </row>
    <row r="61" spans="1:28" x14ac:dyDescent="0.25">
      <c r="A61" t="s">
        <v>65</v>
      </c>
      <c r="B61">
        <v>0.99904790336628502</v>
      </c>
      <c r="C61">
        <v>0.97002461827973896</v>
      </c>
      <c r="D61">
        <v>0.87843565367938403</v>
      </c>
      <c r="E61">
        <v>0.84394281315546205</v>
      </c>
      <c r="F61">
        <v>0.67108616987335901</v>
      </c>
      <c r="G61">
        <v>0.18953094133494799</v>
      </c>
      <c r="H61">
        <v>7.8803348739859502E-2</v>
      </c>
      <c r="I61">
        <v>4.7842033930502299E-2</v>
      </c>
      <c r="J61">
        <v>3.9326296389988302E-2</v>
      </c>
      <c r="K61">
        <v>3.2197167028648999E-2</v>
      </c>
      <c r="L61">
        <v>1320.6764116325801</v>
      </c>
      <c r="M61">
        <v>24.4677833657883</v>
      </c>
      <c r="N61">
        <v>54.078794015127102</v>
      </c>
      <c r="O61">
        <v>53.619469532505903</v>
      </c>
      <c r="P61">
        <v>-0.11149364109994001</v>
      </c>
      <c r="Q61">
        <v>2.26917602112672E-2</v>
      </c>
      <c r="R61">
        <v>0.98909039513383501</v>
      </c>
      <c r="S61" t="s">
        <v>4801</v>
      </c>
      <c r="T61" t="s">
        <v>9478</v>
      </c>
      <c r="U61" t="s">
        <v>9478</v>
      </c>
      <c r="V61" t="s">
        <v>9478</v>
      </c>
      <c r="W61">
        <v>12</v>
      </c>
      <c r="X61" t="s">
        <v>9539</v>
      </c>
      <c r="Y61">
        <v>0.48739473359591712</v>
      </c>
      <c r="Z61" t="str">
        <f>HYPERLINK("Melting_Curves/meltCurve_sp_O00299_CLIC1_HUMAN_.pdf", "Melting_Curves/meltCurve_sp_O00299_CLIC1_HUMAN_.pdf")</f>
        <v>Melting_Curves/meltCurve_sp_O00299_CLIC1_HUMAN_.pdf</v>
      </c>
      <c r="AA61" t="s">
        <v>14275</v>
      </c>
      <c r="AB61" t="s">
        <v>18896</v>
      </c>
    </row>
    <row r="62" spans="1:28" x14ac:dyDescent="0.25">
      <c r="A62" t="s">
        <v>66</v>
      </c>
      <c r="B62">
        <v>0.99904790336628502</v>
      </c>
      <c r="C62">
        <v>1.0831123327208101</v>
      </c>
      <c r="D62">
        <v>1.1032746171147101</v>
      </c>
      <c r="E62">
        <v>1.02993263497325</v>
      </c>
      <c r="F62">
        <v>0.92246209225026998</v>
      </c>
      <c r="G62">
        <v>0.61866184244289302</v>
      </c>
      <c r="H62">
        <v>0.48273768872015699</v>
      </c>
      <c r="I62">
        <v>0.30398688494680198</v>
      </c>
      <c r="J62">
        <v>0.14231094225226701</v>
      </c>
      <c r="K62">
        <v>0.10256957606485401</v>
      </c>
      <c r="L62">
        <v>984.91889729547404</v>
      </c>
      <c r="M62">
        <v>16.445477671814199</v>
      </c>
      <c r="N62">
        <v>60.066190371661797</v>
      </c>
      <c r="O62">
        <v>59.025414291784202</v>
      </c>
      <c r="P62">
        <v>-6.8018448647354804E-2</v>
      </c>
      <c r="Q62">
        <v>2.35529420268763E-2</v>
      </c>
      <c r="R62">
        <v>0.97551517715868796</v>
      </c>
      <c r="S62" t="s">
        <v>4802</v>
      </c>
      <c r="T62" t="s">
        <v>9478</v>
      </c>
      <c r="U62" t="s">
        <v>9478</v>
      </c>
      <c r="V62" t="s">
        <v>9478</v>
      </c>
      <c r="W62">
        <v>2</v>
      </c>
      <c r="X62" t="s">
        <v>9540</v>
      </c>
      <c r="Y62">
        <v>0.67889701628985155</v>
      </c>
      <c r="Z62" t="str">
        <f>HYPERLINK("Melting_Curves/meltCurve_sp_O00399_DCTN6_HUMAN_.pdf", "Melting_Curves/meltCurve_sp_O00399_DCTN6_HUMAN_.pdf")</f>
        <v>Melting_Curves/meltCurve_sp_O00399_DCTN6_HUMAN_.pdf</v>
      </c>
      <c r="AA62" t="s">
        <v>14276</v>
      </c>
      <c r="AB62" t="s">
        <v>18897</v>
      </c>
    </row>
    <row r="63" spans="1:28" x14ac:dyDescent="0.25">
      <c r="A63" t="s">
        <v>67</v>
      </c>
      <c r="B63">
        <v>0.99904790336628502</v>
      </c>
      <c r="C63">
        <v>0.88387850734343698</v>
      </c>
      <c r="D63">
        <v>0.79683282338044004</v>
      </c>
      <c r="E63">
        <v>0.79136554642785295</v>
      </c>
      <c r="F63">
        <v>0.71563518390399306</v>
      </c>
      <c r="G63">
        <v>0.643909031570148</v>
      </c>
      <c r="H63">
        <v>0.58218841043916103</v>
      </c>
      <c r="I63">
        <v>0.78608230198181195</v>
      </c>
      <c r="J63">
        <v>0.98464258650999903</v>
      </c>
      <c r="K63">
        <v>1.0675626599197101</v>
      </c>
      <c r="L63">
        <v>3322.8072118423102</v>
      </c>
      <c r="M63">
        <v>77.732488761320695</v>
      </c>
      <c r="O63">
        <v>42.718430956722997</v>
      </c>
      <c r="P63">
        <v>-9.2837162967402506E-2</v>
      </c>
      <c r="Q63">
        <v>0.79592279006787403</v>
      </c>
      <c r="R63">
        <v>0.17970395801407299</v>
      </c>
      <c r="S63" t="s">
        <v>4803</v>
      </c>
      <c r="T63" t="s">
        <v>9478</v>
      </c>
      <c r="U63" t="s">
        <v>9478</v>
      </c>
      <c r="V63" t="s">
        <v>9478</v>
      </c>
      <c r="W63">
        <v>10</v>
      </c>
      <c r="X63" t="s">
        <v>9541</v>
      </c>
      <c r="Y63">
        <v>0.81478143575261586</v>
      </c>
      <c r="Z63" t="str">
        <f>HYPERLINK("Melting_Curves/meltCurve_sp_O00401_WASL_HUMAN_.pdf", "Melting_Curves/meltCurve_sp_O00401_WASL_HUMAN_.pdf")</f>
        <v>Melting_Curves/meltCurve_sp_O00401_WASL_HUMAN_.pdf</v>
      </c>
      <c r="AA63" t="s">
        <v>14277</v>
      </c>
      <c r="AB63" t="s">
        <v>18898</v>
      </c>
    </row>
    <row r="64" spans="1:28" x14ac:dyDescent="0.25">
      <c r="A64" t="s">
        <v>68</v>
      </c>
      <c r="B64">
        <v>0.99904790336628502</v>
      </c>
      <c r="C64">
        <v>0.995363997540611</v>
      </c>
      <c r="D64">
        <v>1.0634176922579199</v>
      </c>
      <c r="E64">
        <v>1.0210655485467199</v>
      </c>
      <c r="F64">
        <v>0.88817179490963705</v>
      </c>
      <c r="G64">
        <v>0.41761633549926802</v>
      </c>
      <c r="H64">
        <v>0.10811698727034499</v>
      </c>
      <c r="I64">
        <v>4.7411572002305599E-2</v>
      </c>
      <c r="J64">
        <v>3.0544923516179399E-2</v>
      </c>
      <c r="K64">
        <v>2.4476463383223498E-2</v>
      </c>
      <c r="L64">
        <v>1877.38679670498</v>
      </c>
      <c r="M64">
        <v>33.328419398212901</v>
      </c>
      <c r="N64">
        <v>56.429427941015703</v>
      </c>
      <c r="O64">
        <v>56.128269754806801</v>
      </c>
      <c r="P64">
        <v>-0.14421111380766199</v>
      </c>
      <c r="Q64">
        <v>2.8542519805037699E-2</v>
      </c>
      <c r="R64">
        <v>0.99725890966267505</v>
      </c>
      <c r="S64" t="s">
        <v>4804</v>
      </c>
      <c r="T64" t="s">
        <v>9478</v>
      </c>
      <c r="U64" t="s">
        <v>9478</v>
      </c>
      <c r="V64" t="s">
        <v>9478</v>
      </c>
      <c r="W64">
        <v>26</v>
      </c>
      <c r="X64" t="s">
        <v>9542</v>
      </c>
      <c r="Y64">
        <v>0.56267138566162211</v>
      </c>
      <c r="Z64" t="str">
        <f>HYPERLINK("Melting_Curves/meltCurve_sp_O00410_IPO5_HUMAN_.pdf", "Melting_Curves/meltCurve_sp_O00410_IPO5_HUMAN_.pdf")</f>
        <v>Melting_Curves/meltCurve_sp_O00410_IPO5_HUMAN_.pdf</v>
      </c>
      <c r="AA64" t="s">
        <v>14278</v>
      </c>
      <c r="AB64" t="s">
        <v>18899</v>
      </c>
    </row>
    <row r="65" spans="1:28" x14ac:dyDescent="0.25">
      <c r="A65" t="s">
        <v>69</v>
      </c>
      <c r="B65">
        <v>0.99904790336628502</v>
      </c>
      <c r="C65">
        <v>1.00280827876323</v>
      </c>
      <c r="D65">
        <v>1.04328896736646</v>
      </c>
      <c r="E65">
        <v>0.76514123463874295</v>
      </c>
      <c r="F65">
        <v>0.20203153851311201</v>
      </c>
      <c r="G65">
        <v>0.113659660271792</v>
      </c>
      <c r="H65">
        <v>7.2800696538642906E-2</v>
      </c>
      <c r="I65">
        <v>6.6368912118991999E-2</v>
      </c>
      <c r="J65">
        <v>6.3916989873939706E-2</v>
      </c>
      <c r="K65">
        <v>5.4218864325860101E-2</v>
      </c>
      <c r="L65">
        <v>2560.49684299196</v>
      </c>
      <c r="M65">
        <v>50.121724615854397</v>
      </c>
      <c r="N65">
        <v>51.246595778936303</v>
      </c>
      <c r="O65">
        <v>51.004444302378097</v>
      </c>
      <c r="P65">
        <v>-0.22777649753249299</v>
      </c>
      <c r="Q65">
        <v>7.2848831286157295E-2</v>
      </c>
      <c r="R65">
        <v>0.99783290369009903</v>
      </c>
      <c r="S65" t="s">
        <v>4805</v>
      </c>
      <c r="T65" t="s">
        <v>9478</v>
      </c>
      <c r="U65" t="s">
        <v>9478</v>
      </c>
      <c r="V65" t="s">
        <v>9478</v>
      </c>
      <c r="W65">
        <v>25</v>
      </c>
      <c r="X65" t="s">
        <v>9543</v>
      </c>
      <c r="Y65">
        <v>0.41752777845956829</v>
      </c>
      <c r="Z65" t="str">
        <f>HYPERLINK("Melting_Curves/meltCurve_sp_O00429_4_DNM1L_HUMAN_.pdf", "Melting_Curves/meltCurve_sp_O00429_4_DNM1L_HUMAN_.pdf")</f>
        <v>Melting_Curves/meltCurve_sp_O00429_4_DNM1L_HUMAN_.pdf</v>
      </c>
      <c r="AA65" t="s">
        <v>14279</v>
      </c>
      <c r="AB65" t="s">
        <v>18900</v>
      </c>
    </row>
    <row r="66" spans="1:28" x14ac:dyDescent="0.25">
      <c r="A66" t="s">
        <v>70</v>
      </c>
      <c r="B66">
        <v>0.99904790336628502</v>
      </c>
      <c r="C66">
        <v>1.15009467422748</v>
      </c>
      <c r="D66">
        <v>1.09701264325085</v>
      </c>
      <c r="E66">
        <v>0.920430060805143</v>
      </c>
      <c r="F66">
        <v>0.51806025121991395</v>
      </c>
      <c r="G66">
        <v>0.173639028794593</v>
      </c>
      <c r="H66">
        <v>0.125124267822597</v>
      </c>
      <c r="I66">
        <v>0.11729842328447</v>
      </c>
      <c r="J66">
        <v>6.7905005297007395E-2</v>
      </c>
      <c r="K66">
        <v>0.103101859886994</v>
      </c>
      <c r="L66">
        <v>2083.90032067026</v>
      </c>
      <c r="M66">
        <v>39.439757372893297</v>
      </c>
      <c r="N66">
        <v>53.158289763765303</v>
      </c>
      <c r="O66">
        <v>52.702259044169203</v>
      </c>
      <c r="P66">
        <v>-0.16727854336977699</v>
      </c>
      <c r="Q66">
        <v>0.10588313634727101</v>
      </c>
      <c r="R66">
        <v>0.982032690050057</v>
      </c>
      <c r="S66" t="s">
        <v>4806</v>
      </c>
      <c r="T66" t="s">
        <v>9478</v>
      </c>
      <c r="U66" t="s">
        <v>9478</v>
      </c>
      <c r="V66" t="s">
        <v>9478</v>
      </c>
      <c r="W66">
        <v>1</v>
      </c>
      <c r="X66" t="s">
        <v>9544</v>
      </c>
      <c r="Y66">
        <v>0.49184840113837541</v>
      </c>
      <c r="Z66" t="str">
        <f>HYPERLINK("Melting_Curves/meltCurve_sp_O00459_P85B_HUMAN_.pdf", "Melting_Curves/meltCurve_sp_O00459_P85B_HUMAN_.pdf")</f>
        <v>Melting_Curves/meltCurve_sp_O00459_P85B_HUMAN_.pdf</v>
      </c>
      <c r="AA66" t="s">
        <v>14280</v>
      </c>
      <c r="AB66" t="s">
        <v>18901</v>
      </c>
    </row>
    <row r="67" spans="1:28" x14ac:dyDescent="0.25">
      <c r="A67" t="s">
        <v>71</v>
      </c>
      <c r="B67">
        <v>0.99904790336628502</v>
      </c>
      <c r="C67">
        <v>0.94093620181692095</v>
      </c>
      <c r="D67">
        <v>0.923284358759631</v>
      </c>
      <c r="E67">
        <v>0.88641213775036598</v>
      </c>
      <c r="F67">
        <v>0.74016861231353803</v>
      </c>
      <c r="G67">
        <v>0.38060606225778498</v>
      </c>
      <c r="H67">
        <v>0.12775922709073201</v>
      </c>
      <c r="I67">
        <v>9.5466810756072995E-2</v>
      </c>
      <c r="J67">
        <v>7.3823783637948698E-2</v>
      </c>
      <c r="K67">
        <v>5.9633826145755797E-2</v>
      </c>
      <c r="L67">
        <v>1140.42588625128</v>
      </c>
      <c r="M67">
        <v>20.628431797855001</v>
      </c>
      <c r="N67">
        <v>55.498807511377002</v>
      </c>
      <c r="O67">
        <v>54.772504323786301</v>
      </c>
      <c r="P67">
        <v>-9.0547785946417506E-2</v>
      </c>
      <c r="Q67">
        <v>3.8339671884052302E-2</v>
      </c>
      <c r="R67">
        <v>0.99408634296814302</v>
      </c>
      <c r="S67" t="s">
        <v>4807</v>
      </c>
      <c r="T67" t="s">
        <v>9478</v>
      </c>
      <c r="U67" t="s">
        <v>9478</v>
      </c>
      <c r="V67" t="s">
        <v>9478</v>
      </c>
      <c r="W67">
        <v>10</v>
      </c>
      <c r="X67" t="s">
        <v>9545</v>
      </c>
      <c r="Y67">
        <v>0.54041300013283733</v>
      </c>
      <c r="Z67" t="str">
        <f>HYPERLINK("Melting_Curves/meltCurve_sp_O00462_MANBA_HUMAN_.pdf", "Melting_Curves/meltCurve_sp_O00462_MANBA_HUMAN_.pdf")</f>
        <v>Melting_Curves/meltCurve_sp_O00462_MANBA_HUMAN_.pdf</v>
      </c>
      <c r="AA67" t="s">
        <v>14281</v>
      </c>
      <c r="AB67" t="s">
        <v>18902</v>
      </c>
    </row>
    <row r="68" spans="1:28" x14ac:dyDescent="0.25">
      <c r="A68" t="s">
        <v>72</v>
      </c>
      <c r="B68">
        <v>0.99904790336628502</v>
      </c>
      <c r="C68">
        <v>0.94265792794342596</v>
      </c>
      <c r="D68">
        <v>1.0212200103879101</v>
      </c>
      <c r="E68">
        <v>0.83230167123432897</v>
      </c>
      <c r="F68">
        <v>0.73239011139055099</v>
      </c>
      <c r="G68">
        <v>0.538451311454196</v>
      </c>
      <c r="H68">
        <v>0.47561237737793099</v>
      </c>
      <c r="I68">
        <v>0.46294754456868897</v>
      </c>
      <c r="J68">
        <v>0.45263226574472198</v>
      </c>
      <c r="K68">
        <v>0.312902162267438</v>
      </c>
      <c r="L68">
        <v>803.33009654064699</v>
      </c>
      <c r="M68">
        <v>14.8875466807783</v>
      </c>
      <c r="N68">
        <v>59.303916126182301</v>
      </c>
      <c r="O68">
        <v>53.014350644113598</v>
      </c>
      <c r="P68">
        <v>-4.4284397382170798E-2</v>
      </c>
      <c r="Q68">
        <v>0.36928108682087202</v>
      </c>
      <c r="R68">
        <v>0.97145614089896803</v>
      </c>
      <c r="S68" t="s">
        <v>4808</v>
      </c>
      <c r="T68" t="s">
        <v>9478</v>
      </c>
      <c r="U68" t="s">
        <v>9478</v>
      </c>
      <c r="V68" t="s">
        <v>9478</v>
      </c>
      <c r="W68">
        <v>6</v>
      </c>
      <c r="X68" t="s">
        <v>9546</v>
      </c>
      <c r="Y68">
        <v>0.67586325768332634</v>
      </c>
      <c r="Z68" t="str">
        <f>HYPERLINK("Melting_Curves/meltCurve_sp_O00468_2_AGRIN_HUMAN_.pdf", "Melting_Curves/meltCurve_sp_O00468_2_AGRIN_HUMAN_.pdf")</f>
        <v>Melting_Curves/meltCurve_sp_O00468_2_AGRIN_HUMAN_.pdf</v>
      </c>
      <c r="AA68" t="s">
        <v>14282</v>
      </c>
      <c r="AB68" t="s">
        <v>18903</v>
      </c>
    </row>
    <row r="69" spans="1:28" x14ac:dyDescent="0.25">
      <c r="A69" t="s">
        <v>73</v>
      </c>
      <c r="B69">
        <v>0.99904790336628502</v>
      </c>
      <c r="C69">
        <v>1.0290206268084201</v>
      </c>
      <c r="D69">
        <v>0.94733151049284803</v>
      </c>
      <c r="E69">
        <v>0.58647980197619798</v>
      </c>
      <c r="F69">
        <v>0.23601168948696999</v>
      </c>
      <c r="G69">
        <v>0.124672997831153</v>
      </c>
      <c r="H69">
        <v>9.1854146577419402E-2</v>
      </c>
      <c r="I69">
        <v>5.9643176478099497E-2</v>
      </c>
      <c r="J69">
        <v>5.4355325444218998E-2</v>
      </c>
      <c r="K69">
        <v>3.13038218557979E-2</v>
      </c>
      <c r="L69">
        <v>1452.81890901526</v>
      </c>
      <c r="M69">
        <v>28.821110647509201</v>
      </c>
      <c r="N69">
        <v>50.641815654024299</v>
      </c>
      <c r="O69">
        <v>50.1673473233256</v>
      </c>
      <c r="P69">
        <v>-0.13468387438766199</v>
      </c>
      <c r="Q69">
        <v>6.22595281563895E-2</v>
      </c>
      <c r="R69">
        <v>0.99766303508139798</v>
      </c>
      <c r="S69" t="s">
        <v>4809</v>
      </c>
      <c r="T69" t="s">
        <v>9478</v>
      </c>
      <c r="U69" t="s">
        <v>9478</v>
      </c>
      <c r="V69" t="s">
        <v>9478</v>
      </c>
      <c r="W69">
        <v>11</v>
      </c>
      <c r="X69" t="s">
        <v>9547</v>
      </c>
      <c r="Y69">
        <v>0.39392741802190229</v>
      </c>
      <c r="Z69" t="str">
        <f>HYPERLINK("Melting_Curves/meltCurve_sp_O00471_EXOC5_HUMAN_.pdf", "Melting_Curves/meltCurve_sp_O00471_EXOC5_HUMAN_.pdf")</f>
        <v>Melting_Curves/meltCurve_sp_O00471_EXOC5_HUMAN_.pdf</v>
      </c>
      <c r="AA69" t="s">
        <v>14283</v>
      </c>
      <c r="AB69" t="s">
        <v>18904</v>
      </c>
    </row>
    <row r="70" spans="1:28" x14ac:dyDescent="0.25">
      <c r="A70" t="s">
        <v>74</v>
      </c>
      <c r="B70">
        <v>0.99904790336628502</v>
      </c>
      <c r="C70">
        <v>1.0010096162431901</v>
      </c>
      <c r="D70">
        <v>1.0511581698374599</v>
      </c>
      <c r="E70">
        <v>1.09715718857445</v>
      </c>
      <c r="F70">
        <v>1.3185732290083101</v>
      </c>
      <c r="G70">
        <v>0.95597190110415398</v>
      </c>
      <c r="H70">
        <v>0.99319455564924597</v>
      </c>
      <c r="I70">
        <v>1.16357336181384</v>
      </c>
      <c r="J70">
        <v>1.53384367896792</v>
      </c>
      <c r="K70">
        <v>1.7049213645441299</v>
      </c>
      <c r="L70">
        <v>15000</v>
      </c>
      <c r="M70">
        <v>233.65395976833301</v>
      </c>
      <c r="O70">
        <v>64.192794888327199</v>
      </c>
      <c r="P70">
        <v>0.45498477347671201</v>
      </c>
      <c r="Q70">
        <v>1.5</v>
      </c>
      <c r="R70">
        <v>0.73265659374521996</v>
      </c>
      <c r="S70" t="s">
        <v>4810</v>
      </c>
      <c r="T70" t="s">
        <v>9478</v>
      </c>
      <c r="U70" t="s">
        <v>9478</v>
      </c>
      <c r="V70" t="s">
        <v>9478</v>
      </c>
      <c r="W70">
        <v>1</v>
      </c>
      <c r="X70" t="s">
        <v>9548</v>
      </c>
      <c r="Y70">
        <v>1.096643846747182</v>
      </c>
      <c r="Z70" t="str">
        <f>HYPERLINK("Melting_Curves/meltCurve_sp_O00479_HMGN4_HUMAN_.pdf", "Melting_Curves/meltCurve_sp_O00479_HMGN4_HUMAN_.pdf")</f>
        <v>Melting_Curves/meltCurve_sp_O00479_HMGN4_HUMAN_.pdf</v>
      </c>
      <c r="AA70" t="s">
        <v>14284</v>
      </c>
      <c r="AB70" t="s">
        <v>18905</v>
      </c>
    </row>
    <row r="71" spans="1:28" x14ac:dyDescent="0.25">
      <c r="A71" t="s">
        <v>75</v>
      </c>
      <c r="B71">
        <v>0.99904790336628502</v>
      </c>
      <c r="C71">
        <v>0.98784952354927602</v>
      </c>
      <c r="D71">
        <v>0.89184338432072996</v>
      </c>
      <c r="E71">
        <v>0.56833323178859796</v>
      </c>
      <c r="F71">
        <v>0.23872446041987599</v>
      </c>
      <c r="G71">
        <v>6.3467582044034507E-2</v>
      </c>
      <c r="H71">
        <v>2.8671557560167201E-2</v>
      </c>
      <c r="I71">
        <v>1.8943527112051699E-2</v>
      </c>
      <c r="J71">
        <v>1.2734406991379101E-2</v>
      </c>
      <c r="K71">
        <v>1.09493041835088E-2</v>
      </c>
      <c r="L71">
        <v>1198.23853173677</v>
      </c>
      <c r="M71">
        <v>23.7592348183863</v>
      </c>
      <c r="N71">
        <v>50.472183654043199</v>
      </c>
      <c r="O71">
        <v>50.079345336904098</v>
      </c>
      <c r="P71">
        <v>-0.11751341457871101</v>
      </c>
      <c r="Q71">
        <v>9.2445744046627098E-3</v>
      </c>
      <c r="R71">
        <v>0.99964513223679297</v>
      </c>
      <c r="S71" t="s">
        <v>4811</v>
      </c>
      <c r="T71" t="s">
        <v>9478</v>
      </c>
      <c r="U71" t="s">
        <v>9478</v>
      </c>
      <c r="V71" t="s">
        <v>9478</v>
      </c>
      <c r="W71">
        <v>7</v>
      </c>
      <c r="X71" t="s">
        <v>9549</v>
      </c>
      <c r="Y71">
        <v>0.36362271319519002</v>
      </c>
      <c r="Z71" t="str">
        <f>HYPERLINK("Melting_Curves/meltCurve_sp_O00487_PSDE_HUMAN_.pdf", "Melting_Curves/meltCurve_sp_O00487_PSDE_HUMAN_.pdf")</f>
        <v>Melting_Curves/meltCurve_sp_O00487_PSDE_HUMAN_.pdf</v>
      </c>
      <c r="AA71" t="s">
        <v>14285</v>
      </c>
      <c r="AB71" t="s">
        <v>18906</v>
      </c>
    </row>
    <row r="72" spans="1:28" x14ac:dyDescent="0.25">
      <c r="A72" t="s">
        <v>76</v>
      </c>
      <c r="B72">
        <v>0.99904790336628502</v>
      </c>
      <c r="C72">
        <v>0.89382286986158999</v>
      </c>
      <c r="D72">
        <v>0.86773941257999998</v>
      </c>
      <c r="E72">
        <v>0.83105657950249401</v>
      </c>
      <c r="F72">
        <v>0.69901971084928705</v>
      </c>
      <c r="G72">
        <v>0.49519840795530201</v>
      </c>
      <c r="H72">
        <v>0.416247405137048</v>
      </c>
      <c r="I72">
        <v>0.46626848024525702</v>
      </c>
      <c r="J72">
        <v>0.47574544395594798</v>
      </c>
      <c r="K72">
        <v>0.41278989530986299</v>
      </c>
      <c r="L72">
        <v>657.79366891941197</v>
      </c>
      <c r="M72">
        <v>12.6212345138646</v>
      </c>
      <c r="N72">
        <v>59.365594412684203</v>
      </c>
      <c r="O72">
        <v>50.8615604594183</v>
      </c>
      <c r="P72">
        <v>-3.7670221659540898E-2</v>
      </c>
      <c r="Q72">
        <v>0.392900402364392</v>
      </c>
      <c r="R72">
        <v>0.95804912482481197</v>
      </c>
      <c r="S72" t="s">
        <v>4812</v>
      </c>
      <c r="T72" t="s">
        <v>9478</v>
      </c>
      <c r="U72" t="s">
        <v>9478</v>
      </c>
      <c r="V72" t="s">
        <v>9478</v>
      </c>
      <c r="W72">
        <v>19</v>
      </c>
      <c r="X72" t="s">
        <v>9550</v>
      </c>
      <c r="Y72">
        <v>0.65539511082360136</v>
      </c>
      <c r="Z72" t="str">
        <f>HYPERLINK("Melting_Curves/meltCurve_sp_O00499_6_BIN1_HUMAN_.pdf", "Melting_Curves/meltCurve_sp_O00499_6_BIN1_HUMAN_.pdf")</f>
        <v>Melting_Curves/meltCurve_sp_O00499_6_BIN1_HUMAN_.pdf</v>
      </c>
      <c r="AA72" t="s">
        <v>14286</v>
      </c>
      <c r="AB72" t="s">
        <v>18907</v>
      </c>
    </row>
    <row r="73" spans="1:28" x14ac:dyDescent="0.25">
      <c r="A73" t="s">
        <v>77</v>
      </c>
      <c r="B73">
        <v>0.99904790336628502</v>
      </c>
      <c r="C73">
        <v>1.0405034516655201</v>
      </c>
      <c r="D73">
        <v>1.05595908880705</v>
      </c>
      <c r="E73">
        <v>0.925877518179404</v>
      </c>
      <c r="F73">
        <v>0.718990490271045</v>
      </c>
      <c r="G73">
        <v>0.18568398369765499</v>
      </c>
      <c r="H73">
        <v>9.2903623321504994E-2</v>
      </c>
      <c r="I73">
        <v>5.2740536535769801E-2</v>
      </c>
      <c r="J73">
        <v>1.5820228571290101E-2</v>
      </c>
      <c r="K73">
        <v>1.65853496196787E-2</v>
      </c>
      <c r="L73">
        <v>1803.0954073544699</v>
      </c>
      <c r="M73">
        <v>33.185379506725504</v>
      </c>
      <c r="N73">
        <v>54.446209555071</v>
      </c>
      <c r="O73">
        <v>54.137867717150698</v>
      </c>
      <c r="P73">
        <v>-0.148181510841738</v>
      </c>
      <c r="Q73">
        <v>3.3044562163685801E-2</v>
      </c>
      <c r="R73">
        <v>0.99602035979882197</v>
      </c>
      <c r="S73" t="s">
        <v>4813</v>
      </c>
      <c r="T73" t="s">
        <v>9478</v>
      </c>
      <c r="U73" t="s">
        <v>9478</v>
      </c>
      <c r="V73" t="s">
        <v>9478</v>
      </c>
      <c r="W73">
        <v>5</v>
      </c>
      <c r="X73" t="s">
        <v>9551</v>
      </c>
      <c r="Y73">
        <v>0.50029960857709277</v>
      </c>
      <c r="Z73" t="str">
        <f>HYPERLINK("Melting_Curves/meltCurve_sp_O00505_IMA3_HUMAN_.pdf", "Melting_Curves/meltCurve_sp_O00505_IMA3_HUMAN_.pdf")</f>
        <v>Melting_Curves/meltCurve_sp_O00505_IMA3_HUMAN_.pdf</v>
      </c>
      <c r="AA73" t="s">
        <v>14287</v>
      </c>
      <c r="AB73" t="s">
        <v>18908</v>
      </c>
    </row>
    <row r="74" spans="1:28" x14ac:dyDescent="0.25">
      <c r="A74" t="s">
        <v>78</v>
      </c>
      <c r="B74">
        <v>0.99904790336628502</v>
      </c>
      <c r="C74">
        <v>0.87148854126403297</v>
      </c>
      <c r="D74">
        <v>0.70364579601821298</v>
      </c>
      <c r="E74">
        <v>0.43845983849793702</v>
      </c>
      <c r="F74">
        <v>0.30857988348394699</v>
      </c>
      <c r="G74">
        <v>0.61819698963305303</v>
      </c>
      <c r="H74">
        <v>0.17408301533162501</v>
      </c>
      <c r="I74">
        <v>0.134452788432432</v>
      </c>
      <c r="J74">
        <v>6.7580616375355798E-2</v>
      </c>
      <c r="K74">
        <v>0.322404757880704</v>
      </c>
      <c r="L74">
        <v>580.31690193577799</v>
      </c>
      <c r="M74">
        <v>12.026873810223901</v>
      </c>
      <c r="N74">
        <v>50.188115874093398</v>
      </c>
      <c r="O74">
        <v>46.975749948584003</v>
      </c>
      <c r="P74">
        <v>-5.2136798826470002E-2</v>
      </c>
      <c r="Q74">
        <v>0.18563040898526301</v>
      </c>
      <c r="R74">
        <v>0.81883409717885203</v>
      </c>
      <c r="S74" t="s">
        <v>4814</v>
      </c>
      <c r="T74" t="s">
        <v>9478</v>
      </c>
      <c r="U74" t="s">
        <v>9478</v>
      </c>
      <c r="V74" t="s">
        <v>9478</v>
      </c>
      <c r="W74">
        <v>6</v>
      </c>
      <c r="X74" t="s">
        <v>9552</v>
      </c>
      <c r="Y74">
        <v>0.44085439373140772</v>
      </c>
      <c r="Z74" t="str">
        <f>HYPERLINK("Melting_Curves/meltCurve_sp_O00506_STK25_HUMAN_.pdf", "Melting_Curves/meltCurve_sp_O00506_STK25_HUMAN_.pdf")</f>
        <v>Melting_Curves/meltCurve_sp_O00506_STK25_HUMAN_.pdf</v>
      </c>
      <c r="AA74" t="s">
        <v>14288</v>
      </c>
      <c r="AB74" t="s">
        <v>18909</v>
      </c>
    </row>
    <row r="75" spans="1:28" x14ac:dyDescent="0.25">
      <c r="A75" t="s">
        <v>79</v>
      </c>
      <c r="B75">
        <v>0.99904790336628502</v>
      </c>
      <c r="C75">
        <v>0.99287950280895498</v>
      </c>
      <c r="D75">
        <v>0.92945113827308301</v>
      </c>
      <c r="E75">
        <v>0.89049943298830503</v>
      </c>
      <c r="F75">
        <v>0.81954110515288003</v>
      </c>
      <c r="G75">
        <v>0.67954602810559805</v>
      </c>
      <c r="H75">
        <v>0.61255638051171302</v>
      </c>
      <c r="I75">
        <v>0.63467993848530402</v>
      </c>
      <c r="J75">
        <v>0.72059427675551702</v>
      </c>
      <c r="K75">
        <v>0.72907336941193102</v>
      </c>
      <c r="L75">
        <v>1123.2440231092801</v>
      </c>
      <c r="M75">
        <v>21.782270437318701</v>
      </c>
      <c r="O75">
        <v>51.138176736963302</v>
      </c>
      <c r="P75">
        <v>-3.5270566458195998E-2</v>
      </c>
      <c r="Q75">
        <v>0.668789286302926</v>
      </c>
      <c r="R75">
        <v>0.91545326907381197</v>
      </c>
      <c r="S75" t="s">
        <v>4815</v>
      </c>
      <c r="T75" t="s">
        <v>9478</v>
      </c>
      <c r="U75" t="s">
        <v>9478</v>
      </c>
      <c r="V75" t="s">
        <v>9478</v>
      </c>
      <c r="W75">
        <v>23</v>
      </c>
      <c r="X75" t="s">
        <v>9553</v>
      </c>
      <c r="Y75">
        <v>0.80041057607563404</v>
      </c>
      <c r="Z75" t="str">
        <f>HYPERLINK("Melting_Curves/meltCurve_sp_O00515_LAD1_HUMAN_.pdf", "Melting_Curves/meltCurve_sp_O00515_LAD1_HUMAN_.pdf")</f>
        <v>Melting_Curves/meltCurve_sp_O00515_LAD1_HUMAN_.pdf</v>
      </c>
      <c r="AA75" t="s">
        <v>14289</v>
      </c>
      <c r="AB75" t="s">
        <v>18910</v>
      </c>
    </row>
    <row r="76" spans="1:28" x14ac:dyDescent="0.25">
      <c r="A76" t="s">
        <v>80</v>
      </c>
      <c r="B76">
        <v>0.99904790336628502</v>
      </c>
      <c r="C76">
        <v>1.0061562039330401</v>
      </c>
      <c r="D76">
        <v>1.0569984166579101</v>
      </c>
      <c r="E76">
        <v>0.73718068838732498</v>
      </c>
      <c r="F76">
        <v>0.41069582781620501</v>
      </c>
      <c r="G76">
        <v>0.240331384749192</v>
      </c>
      <c r="H76">
        <v>0.112284303668124</v>
      </c>
      <c r="I76">
        <v>7.9632015129498704E-2</v>
      </c>
      <c r="J76">
        <v>8.1044726507322001E-2</v>
      </c>
      <c r="K76">
        <v>8.5964585300816798E-2</v>
      </c>
      <c r="L76">
        <v>1307.87173901439</v>
      </c>
      <c r="M76">
        <v>25.1785070570185</v>
      </c>
      <c r="N76">
        <v>52.363786154489397</v>
      </c>
      <c r="O76">
        <v>51.619635739365201</v>
      </c>
      <c r="P76">
        <v>-0.11079840616250899</v>
      </c>
      <c r="Q76">
        <v>9.1399882169993604E-2</v>
      </c>
      <c r="R76">
        <v>0.99168281904848099</v>
      </c>
      <c r="S76" t="s">
        <v>4816</v>
      </c>
      <c r="T76" t="s">
        <v>9478</v>
      </c>
      <c r="U76" t="s">
        <v>9478</v>
      </c>
      <c r="V76" t="s">
        <v>9478</v>
      </c>
      <c r="W76">
        <v>2</v>
      </c>
      <c r="X76" t="s">
        <v>9554</v>
      </c>
      <c r="Y76">
        <v>0.46132019665017199</v>
      </c>
      <c r="Z76" t="str">
        <f>HYPERLINK("Melting_Curves/meltCurve_sp_O00522_KRIT1_HUMAN_.pdf", "Melting_Curves/meltCurve_sp_O00522_KRIT1_HUMAN_.pdf")</f>
        <v>Melting_Curves/meltCurve_sp_O00522_KRIT1_HUMAN_.pdf</v>
      </c>
      <c r="AA76" t="s">
        <v>14290</v>
      </c>
      <c r="AB76" t="s">
        <v>18911</v>
      </c>
    </row>
    <row r="77" spans="1:28" x14ac:dyDescent="0.25">
      <c r="A77" t="s">
        <v>81</v>
      </c>
      <c r="B77">
        <v>0.99904790336628502</v>
      </c>
      <c r="C77">
        <v>0.61023260494200804</v>
      </c>
      <c r="D77">
        <v>0.75624504316732899</v>
      </c>
      <c r="E77">
        <v>0.87831455660705804</v>
      </c>
      <c r="F77">
        <v>0.73907353264900599</v>
      </c>
      <c r="G77">
        <v>0.80406283995884298</v>
      </c>
      <c r="H77">
        <v>0.44533021578447102</v>
      </c>
      <c r="I77">
        <v>0.331221507973464</v>
      </c>
      <c r="J77">
        <v>0.14431629184984299</v>
      </c>
      <c r="K77">
        <v>8.51646167308001E-2</v>
      </c>
      <c r="L77">
        <v>591.82718161194498</v>
      </c>
      <c r="M77">
        <v>9.9723131617289393</v>
      </c>
      <c r="N77">
        <v>59.347021465812901</v>
      </c>
      <c r="O77">
        <v>57.1085602347923</v>
      </c>
      <c r="P77">
        <v>-4.3676534568600198E-2</v>
      </c>
      <c r="Q77">
        <v>0</v>
      </c>
      <c r="R77">
        <v>0.73700645117784003</v>
      </c>
      <c r="S77" t="s">
        <v>4817</v>
      </c>
      <c r="T77" t="s">
        <v>9478</v>
      </c>
      <c r="U77" t="s">
        <v>9478</v>
      </c>
      <c r="V77" t="s">
        <v>9478</v>
      </c>
      <c r="W77">
        <v>4</v>
      </c>
      <c r="X77" t="s">
        <v>9555</v>
      </c>
      <c r="Y77">
        <v>0.64568780493841293</v>
      </c>
      <c r="Z77" t="str">
        <f>HYPERLINK("Melting_Curves/meltCurve_sp_O00534_VMA5A_HUMAN_.pdf", "Melting_Curves/meltCurve_sp_O00534_VMA5A_HUMAN_.pdf")</f>
        <v>Melting_Curves/meltCurve_sp_O00534_VMA5A_HUMAN_.pdf</v>
      </c>
      <c r="AA77" t="s">
        <v>14291</v>
      </c>
      <c r="AB77" t="s">
        <v>18912</v>
      </c>
    </row>
    <row r="78" spans="1:28" x14ac:dyDescent="0.25">
      <c r="A78" t="s">
        <v>82</v>
      </c>
      <c r="B78">
        <v>0.99904790336628502</v>
      </c>
      <c r="C78">
        <v>0.962177991985528</v>
      </c>
      <c r="D78">
        <v>0.97527314156349798</v>
      </c>
      <c r="E78">
        <v>0.80596112081058902</v>
      </c>
      <c r="F78">
        <v>0.54763155439268096</v>
      </c>
      <c r="G78">
        <v>0.34681643524872902</v>
      </c>
      <c r="H78">
        <v>0.242795928993921</v>
      </c>
      <c r="I78">
        <v>0.184147374838457</v>
      </c>
      <c r="J78">
        <v>0.16622138893014499</v>
      </c>
      <c r="K78">
        <v>0.117092561813311</v>
      </c>
      <c r="L78">
        <v>938.43722655622503</v>
      </c>
      <c r="M78">
        <v>17.650386348522101</v>
      </c>
      <c r="N78">
        <v>54.148853364712302</v>
      </c>
      <c r="O78">
        <v>52.499685154580199</v>
      </c>
      <c r="P78">
        <v>-7.2554686578085503E-2</v>
      </c>
      <c r="Q78">
        <v>0.136813200460944</v>
      </c>
      <c r="R78">
        <v>0.99622853506178</v>
      </c>
      <c r="S78" t="s">
        <v>4818</v>
      </c>
      <c r="T78" t="s">
        <v>9478</v>
      </c>
      <c r="U78" t="s">
        <v>9478</v>
      </c>
      <c r="V78" t="s">
        <v>9478</v>
      </c>
      <c r="W78">
        <v>4</v>
      </c>
      <c r="X78" t="s">
        <v>9556</v>
      </c>
      <c r="Y78">
        <v>0.53022515130035464</v>
      </c>
      <c r="Z78" t="str">
        <f>HYPERLINK("Melting_Curves/meltCurve_sp_O00566_MPP10_HUMAN_.pdf", "Melting_Curves/meltCurve_sp_O00566_MPP10_HUMAN_.pdf")</f>
        <v>Melting_Curves/meltCurve_sp_O00566_MPP10_HUMAN_.pdf</v>
      </c>
      <c r="AA78" t="s">
        <v>14292</v>
      </c>
      <c r="AB78" t="s">
        <v>18913</v>
      </c>
    </row>
    <row r="79" spans="1:28" x14ac:dyDescent="0.25">
      <c r="A79" t="s">
        <v>83</v>
      </c>
      <c r="B79">
        <v>0.99904790336628502</v>
      </c>
      <c r="C79">
        <v>0.98482649149197998</v>
      </c>
      <c r="D79">
        <v>0.92740153837495198</v>
      </c>
      <c r="E79">
        <v>0.90797346311122995</v>
      </c>
      <c r="F79">
        <v>0.79818089878737897</v>
      </c>
      <c r="G79">
        <v>0.57045155980720696</v>
      </c>
      <c r="H79">
        <v>0.452306582184059</v>
      </c>
      <c r="I79">
        <v>0.38496070884587502</v>
      </c>
      <c r="J79">
        <v>0.412341737155479</v>
      </c>
      <c r="K79">
        <v>0.46444469327055798</v>
      </c>
      <c r="L79">
        <v>1144.7675238807301</v>
      </c>
      <c r="M79">
        <v>21.068695941684101</v>
      </c>
      <c r="N79">
        <v>59.050041494171502</v>
      </c>
      <c r="O79">
        <v>53.852600672769903</v>
      </c>
      <c r="P79">
        <v>-5.7998523485685002E-2</v>
      </c>
      <c r="Q79">
        <v>0.407027655330708</v>
      </c>
      <c r="R79">
        <v>0.98460004627633502</v>
      </c>
      <c r="S79" t="s">
        <v>4819</v>
      </c>
      <c r="T79" t="s">
        <v>9478</v>
      </c>
      <c r="U79" t="s">
        <v>9478</v>
      </c>
      <c r="V79" t="s">
        <v>9478</v>
      </c>
      <c r="W79">
        <v>7</v>
      </c>
      <c r="X79" t="s">
        <v>9557</v>
      </c>
      <c r="Y79">
        <v>0.69774033923459489</v>
      </c>
      <c r="Z79" t="str">
        <f>HYPERLINK("Melting_Curves/meltCurve_sp_O00567_NOP56_HUMAN_.pdf", "Melting_Curves/meltCurve_sp_O00567_NOP56_HUMAN_.pdf")</f>
        <v>Melting_Curves/meltCurve_sp_O00567_NOP56_HUMAN_.pdf</v>
      </c>
      <c r="AA79" t="s">
        <v>14293</v>
      </c>
      <c r="AB79" t="s">
        <v>18914</v>
      </c>
    </row>
    <row r="80" spans="1:28" x14ac:dyDescent="0.25">
      <c r="A80" t="s">
        <v>84</v>
      </c>
      <c r="B80">
        <v>0.99904790336628502</v>
      </c>
      <c r="C80">
        <v>0.95434189189834695</v>
      </c>
      <c r="D80">
        <v>0.86908667293687003</v>
      </c>
      <c r="E80">
        <v>0.40887911440460301</v>
      </c>
      <c r="F80">
        <v>0.184386222214378</v>
      </c>
      <c r="G80">
        <v>0.117582286232382</v>
      </c>
      <c r="H80">
        <v>7.9415189728950397E-2</v>
      </c>
      <c r="I80">
        <v>5.7704289053728E-2</v>
      </c>
      <c r="J80">
        <v>4.6691094554282803E-2</v>
      </c>
      <c r="K80">
        <v>3.8611119706180003E-2</v>
      </c>
      <c r="L80">
        <v>1235.6484901527101</v>
      </c>
      <c r="M80">
        <v>25.1861864334419</v>
      </c>
      <c r="N80">
        <v>49.307010808748203</v>
      </c>
      <c r="O80">
        <v>48.754388673468704</v>
      </c>
      <c r="P80">
        <v>-0.121511717371707</v>
      </c>
      <c r="Q80">
        <v>5.9142180830654201E-2</v>
      </c>
      <c r="R80">
        <v>0.99819643301173699</v>
      </c>
      <c r="S80" t="s">
        <v>4820</v>
      </c>
      <c r="T80" t="s">
        <v>9478</v>
      </c>
      <c r="U80" t="s">
        <v>9478</v>
      </c>
      <c r="V80" t="s">
        <v>9478</v>
      </c>
      <c r="W80">
        <v>32</v>
      </c>
      <c r="X80" t="s">
        <v>9558</v>
      </c>
      <c r="Y80">
        <v>0.35151320784498452</v>
      </c>
      <c r="Z80" t="str">
        <f>HYPERLINK("Melting_Curves/meltCurve_sp_O00571_DDX3X_HUMAN_.pdf", "Melting_Curves/meltCurve_sp_O00571_DDX3X_HUMAN_.pdf")</f>
        <v>Melting_Curves/meltCurve_sp_O00571_DDX3X_HUMAN_.pdf</v>
      </c>
      <c r="AA80" t="s">
        <v>14294</v>
      </c>
      <c r="AB80" t="s">
        <v>18915</v>
      </c>
    </row>
    <row r="81" spans="1:28" x14ac:dyDescent="0.25">
      <c r="A81" t="s">
        <v>85</v>
      </c>
      <c r="B81">
        <v>0.99904790336628502</v>
      </c>
      <c r="C81">
        <v>0.95510839300008699</v>
      </c>
      <c r="D81">
        <v>0.824895179734637</v>
      </c>
      <c r="E81">
        <v>0.77218615367253896</v>
      </c>
      <c r="F81">
        <v>0.56028554639390404</v>
      </c>
      <c r="G81">
        <v>0.32509983677554499</v>
      </c>
      <c r="H81">
        <v>0.19044669276937301</v>
      </c>
      <c r="I81">
        <v>0.13119261140816499</v>
      </c>
      <c r="J81">
        <v>9.9185064554905403E-2</v>
      </c>
      <c r="K81">
        <v>7.3829127211005E-2</v>
      </c>
      <c r="L81">
        <v>658.71419192324902</v>
      </c>
      <c r="M81">
        <v>12.231123300474801</v>
      </c>
      <c r="N81">
        <v>53.9442287053973</v>
      </c>
      <c r="O81">
        <v>52.476638284698701</v>
      </c>
      <c r="P81">
        <v>-5.7702502044704902E-2</v>
      </c>
      <c r="Q81">
        <v>9.9501198021878096E-3</v>
      </c>
      <c r="R81">
        <v>0.99385738781716904</v>
      </c>
      <c r="S81" t="s">
        <v>4821</v>
      </c>
      <c r="T81" t="s">
        <v>9478</v>
      </c>
      <c r="U81" t="s">
        <v>9478</v>
      </c>
      <c r="V81" t="s">
        <v>9478</v>
      </c>
      <c r="W81">
        <v>8</v>
      </c>
      <c r="X81" t="s">
        <v>9559</v>
      </c>
      <c r="Y81">
        <v>0.4929395357037476</v>
      </c>
      <c r="Z81" t="str">
        <f>HYPERLINK("Melting_Curves/meltCurve_sp_O00625_PIR_HUMAN_.pdf", "Melting_Curves/meltCurve_sp_O00625_PIR_HUMAN_.pdf")</f>
        <v>Melting_Curves/meltCurve_sp_O00625_PIR_HUMAN_.pdf</v>
      </c>
      <c r="AA81" t="s">
        <v>14295</v>
      </c>
      <c r="AB81" t="s">
        <v>18916</v>
      </c>
    </row>
    <row r="82" spans="1:28" x14ac:dyDescent="0.25">
      <c r="A82" t="s">
        <v>86</v>
      </c>
      <c r="B82">
        <v>0.99904790336628502</v>
      </c>
      <c r="C82">
        <v>1.0464158148071601</v>
      </c>
      <c r="D82">
        <v>1.0743638503683901</v>
      </c>
      <c r="E82">
        <v>0.98101826303621198</v>
      </c>
      <c r="F82">
        <v>0.863508852460798</v>
      </c>
      <c r="G82">
        <v>0.50573318529580802</v>
      </c>
      <c r="H82">
        <v>0.17613093420395101</v>
      </c>
      <c r="I82">
        <v>0.15025046192097999</v>
      </c>
      <c r="J82">
        <v>0.148090460574066</v>
      </c>
      <c r="K82">
        <v>0.11279439940258899</v>
      </c>
      <c r="L82">
        <v>1647.5491438871099</v>
      </c>
      <c r="M82">
        <v>29.2259833643785</v>
      </c>
      <c r="N82">
        <v>56.898042966838801</v>
      </c>
      <c r="O82">
        <v>56.110813399732997</v>
      </c>
      <c r="P82">
        <v>-0.114819365942681</v>
      </c>
      <c r="Q82">
        <v>0.118242123446956</v>
      </c>
      <c r="R82">
        <v>0.99394964947670905</v>
      </c>
      <c r="S82" t="s">
        <v>4822</v>
      </c>
      <c r="T82" t="s">
        <v>9478</v>
      </c>
      <c r="U82" t="s">
        <v>9478</v>
      </c>
      <c r="V82" t="s">
        <v>9478</v>
      </c>
      <c r="W82">
        <v>6</v>
      </c>
      <c r="X82" t="s">
        <v>9560</v>
      </c>
      <c r="Y82">
        <v>0.60563405200204656</v>
      </c>
      <c r="Z82" t="str">
        <f>HYPERLINK("Melting_Curves/meltCurve_sp_O00629_IMA4_HUMAN_.pdf", "Melting_Curves/meltCurve_sp_O00629_IMA4_HUMAN_.pdf")</f>
        <v>Melting_Curves/meltCurve_sp_O00629_IMA4_HUMAN_.pdf</v>
      </c>
      <c r="AA82" t="s">
        <v>14296</v>
      </c>
      <c r="AB82" t="s">
        <v>18917</v>
      </c>
    </row>
    <row r="83" spans="1:28" x14ac:dyDescent="0.25">
      <c r="A83" t="s">
        <v>87</v>
      </c>
      <c r="B83">
        <v>0.99904790336628502</v>
      </c>
      <c r="C83">
        <v>0.93203161525201395</v>
      </c>
      <c r="D83">
        <v>0.82336783739768105</v>
      </c>
      <c r="E83">
        <v>0.41337959813851999</v>
      </c>
      <c r="F83">
        <v>0.30193719545301301</v>
      </c>
      <c r="G83">
        <v>0.19264830133654001</v>
      </c>
      <c r="H83">
        <v>0.139938599875401</v>
      </c>
      <c r="I83">
        <v>0.16804584417988899</v>
      </c>
      <c r="J83">
        <v>0.16660074035748401</v>
      </c>
      <c r="K83">
        <v>0.15405815613550899</v>
      </c>
      <c r="L83">
        <v>1058.6988569498001</v>
      </c>
      <c r="M83">
        <v>21.8418776200763</v>
      </c>
      <c r="N83">
        <v>49.323598633499898</v>
      </c>
      <c r="O83">
        <v>48.0702462146211</v>
      </c>
      <c r="P83">
        <v>-9.5736154464458698E-2</v>
      </c>
      <c r="Q83">
        <v>0.157223761935912</v>
      </c>
      <c r="R83">
        <v>0.99660381669892095</v>
      </c>
      <c r="S83" t="s">
        <v>4823</v>
      </c>
      <c r="T83" t="s">
        <v>9478</v>
      </c>
      <c r="U83" t="s">
        <v>9478</v>
      </c>
      <c r="V83" t="s">
        <v>9478</v>
      </c>
      <c r="W83">
        <v>2</v>
      </c>
      <c r="X83" t="s">
        <v>9561</v>
      </c>
      <c r="Y83">
        <v>0.40508171851456759</v>
      </c>
      <c r="Z83" t="str">
        <f>HYPERLINK("Melting_Curves/meltCurve_sp_O00635_TRI38_HUMAN_.pdf", "Melting_Curves/meltCurve_sp_O00635_TRI38_HUMAN_.pdf")</f>
        <v>Melting_Curves/meltCurve_sp_O00635_TRI38_HUMAN_.pdf</v>
      </c>
      <c r="AA83" t="s">
        <v>14297</v>
      </c>
      <c r="AB83" t="s">
        <v>18918</v>
      </c>
    </row>
    <row r="84" spans="1:28" x14ac:dyDescent="0.25">
      <c r="A84" t="s">
        <v>88</v>
      </c>
      <c r="B84">
        <v>0.99904790336628502</v>
      </c>
      <c r="C84">
        <v>1.0145698115231401</v>
      </c>
      <c r="D84">
        <v>0.78910815966749803</v>
      </c>
      <c r="E84">
        <v>0.75195632843635596</v>
      </c>
      <c r="F84">
        <v>0.57700282898945399</v>
      </c>
      <c r="G84">
        <v>0.47214359358686397</v>
      </c>
      <c r="H84">
        <v>0.40680873732520501</v>
      </c>
      <c r="I84">
        <v>0.342299345424811</v>
      </c>
      <c r="J84">
        <v>0.102943034102066</v>
      </c>
      <c r="K84">
        <v>6.5335881308387397E-2</v>
      </c>
      <c r="L84">
        <v>492.90317452875598</v>
      </c>
      <c r="M84">
        <v>8.7972112357277794</v>
      </c>
      <c r="N84">
        <v>56.029480401151297</v>
      </c>
      <c r="O84">
        <v>53.360633251433903</v>
      </c>
      <c r="P84">
        <v>-4.12484557488077E-2</v>
      </c>
      <c r="Q84">
        <v>0</v>
      </c>
      <c r="R84">
        <v>0.95573197094115703</v>
      </c>
      <c r="S84" t="s">
        <v>4824</v>
      </c>
      <c r="T84" t="s">
        <v>9478</v>
      </c>
      <c r="U84" t="s">
        <v>9478</v>
      </c>
      <c r="V84" t="s">
        <v>9478</v>
      </c>
      <c r="W84">
        <v>4</v>
      </c>
      <c r="X84" t="s">
        <v>9562</v>
      </c>
      <c r="Y84">
        <v>0.55478143589412499</v>
      </c>
      <c r="Z84" t="str">
        <f>HYPERLINK("Melting_Curves/meltCurve_sp_O00712_NFIB_HUMAN_.pdf", "Melting_Curves/meltCurve_sp_O00712_NFIB_HUMAN_.pdf")</f>
        <v>Melting_Curves/meltCurve_sp_O00712_NFIB_HUMAN_.pdf</v>
      </c>
      <c r="AA84" t="s">
        <v>14298</v>
      </c>
      <c r="AB84" t="s">
        <v>18919</v>
      </c>
    </row>
    <row r="85" spans="1:28" x14ac:dyDescent="0.25">
      <c r="A85" t="s">
        <v>89</v>
      </c>
      <c r="B85">
        <v>0.99904790336628502</v>
      </c>
      <c r="C85">
        <v>1.00881889337857</v>
      </c>
      <c r="D85">
        <v>1.02157695770417</v>
      </c>
      <c r="E85">
        <v>0.93919768169561102</v>
      </c>
      <c r="F85">
        <v>0.82750111158187001</v>
      </c>
      <c r="G85">
        <v>0.63290249255610298</v>
      </c>
      <c r="H85">
        <v>0.42888654037406698</v>
      </c>
      <c r="I85">
        <v>0.27905504723706098</v>
      </c>
      <c r="J85">
        <v>0.19219406968729499</v>
      </c>
      <c r="K85">
        <v>0.141202208385868</v>
      </c>
      <c r="L85">
        <v>843.88310051742098</v>
      </c>
      <c r="M85">
        <v>14.3139851441271</v>
      </c>
      <c r="N85">
        <v>59.402926787652198</v>
      </c>
      <c r="O85">
        <v>57.840287163710997</v>
      </c>
      <c r="P85">
        <v>-5.8711694128031101E-2</v>
      </c>
      <c r="Q85">
        <v>5.1140787994383603E-2</v>
      </c>
      <c r="R85">
        <v>0.99811862789884198</v>
      </c>
      <c r="S85" t="s">
        <v>4825</v>
      </c>
      <c r="T85" t="s">
        <v>9478</v>
      </c>
      <c r="U85" t="s">
        <v>9478</v>
      </c>
      <c r="V85" t="s">
        <v>9478</v>
      </c>
      <c r="W85">
        <v>11</v>
      </c>
      <c r="X85" t="s">
        <v>9563</v>
      </c>
      <c r="Y85">
        <v>0.66049257577155929</v>
      </c>
      <c r="Z85" t="str">
        <f>HYPERLINK("Melting_Curves/meltCurve_sp_O00743_PPP6_HUMAN_.pdf", "Melting_Curves/meltCurve_sp_O00743_PPP6_HUMAN_.pdf")</f>
        <v>Melting_Curves/meltCurve_sp_O00743_PPP6_HUMAN_.pdf</v>
      </c>
      <c r="AA85" t="s">
        <v>14299</v>
      </c>
      <c r="AB85" t="s">
        <v>18920</v>
      </c>
    </row>
    <row r="86" spans="1:28" x14ac:dyDescent="0.25">
      <c r="A86" t="s">
        <v>90</v>
      </c>
      <c r="B86">
        <v>0.99904790336628502</v>
      </c>
      <c r="C86">
        <v>0.93876499589468898</v>
      </c>
      <c r="D86">
        <v>0.94792887403392201</v>
      </c>
      <c r="E86">
        <v>0.88474555892320506</v>
      </c>
      <c r="F86">
        <v>0.64267665362717596</v>
      </c>
      <c r="G86">
        <v>0.202244721240705</v>
      </c>
      <c r="H86">
        <v>9.6957527399326907E-2</v>
      </c>
      <c r="I86">
        <v>6.5577725618496494E-2</v>
      </c>
      <c r="J86">
        <v>5.2001760652586902E-2</v>
      </c>
      <c r="K86">
        <v>4.0116265878565399E-2</v>
      </c>
      <c r="L86">
        <v>1454.2254566660599</v>
      </c>
      <c r="M86">
        <v>26.998030614893999</v>
      </c>
      <c r="N86">
        <v>54.057433777227999</v>
      </c>
      <c r="O86">
        <v>53.571212474287698</v>
      </c>
      <c r="P86">
        <v>-0.12019514604302001</v>
      </c>
      <c r="Q86">
        <v>4.6013985022407201E-2</v>
      </c>
      <c r="R86">
        <v>0.99610449496116604</v>
      </c>
      <c r="S86" t="s">
        <v>4826</v>
      </c>
      <c r="T86" t="s">
        <v>9478</v>
      </c>
      <c r="U86" t="s">
        <v>9478</v>
      </c>
      <c r="V86" t="s">
        <v>9478</v>
      </c>
      <c r="W86">
        <v>20</v>
      </c>
      <c r="X86" t="s">
        <v>9564</v>
      </c>
      <c r="Y86">
        <v>0.49453775491295471</v>
      </c>
      <c r="Z86" t="str">
        <f>HYPERLINK("Melting_Curves/meltCurve_sp_O00748_EST2_HUMAN_.pdf", "Melting_Curves/meltCurve_sp_O00748_EST2_HUMAN_.pdf")</f>
        <v>Melting_Curves/meltCurve_sp_O00748_EST2_HUMAN_.pdf</v>
      </c>
      <c r="AA86" t="s">
        <v>14300</v>
      </c>
      <c r="AB86" t="s">
        <v>18921</v>
      </c>
    </row>
    <row r="87" spans="1:28" x14ac:dyDescent="0.25">
      <c r="A87" t="s">
        <v>91</v>
      </c>
      <c r="B87">
        <v>0.99904790336628502</v>
      </c>
      <c r="C87">
        <v>0.99416150021634697</v>
      </c>
      <c r="D87">
        <v>1.0312149555715899</v>
      </c>
      <c r="E87">
        <v>1.0081220310074801</v>
      </c>
      <c r="F87">
        <v>0.87540349861206701</v>
      </c>
      <c r="G87">
        <v>0.78009207741974995</v>
      </c>
      <c r="H87">
        <v>0.59887323943741799</v>
      </c>
      <c r="I87">
        <v>0.53934294578800002</v>
      </c>
      <c r="J87">
        <v>0.51473816875273104</v>
      </c>
      <c r="K87">
        <v>0.44100287347081701</v>
      </c>
      <c r="L87">
        <v>995.30499294007905</v>
      </c>
      <c r="M87">
        <v>17.099098494189299</v>
      </c>
      <c r="N87">
        <v>66.037910229127107</v>
      </c>
      <c r="O87">
        <v>57.429396403030601</v>
      </c>
      <c r="P87">
        <v>-4.2121008115892901E-2</v>
      </c>
      <c r="Q87">
        <v>0.43416011769976398</v>
      </c>
      <c r="R87">
        <v>0.98807468577975199</v>
      </c>
      <c r="S87" t="s">
        <v>4827</v>
      </c>
      <c r="T87" t="s">
        <v>9478</v>
      </c>
      <c r="U87" t="s">
        <v>9478</v>
      </c>
      <c r="V87" t="s">
        <v>9478</v>
      </c>
      <c r="W87">
        <v>29</v>
      </c>
      <c r="X87" t="s">
        <v>9565</v>
      </c>
      <c r="Y87">
        <v>0.78459922231837254</v>
      </c>
      <c r="Z87" t="str">
        <f>HYPERLINK("Melting_Curves/meltCurve_sp_O00754_MA2B1_HUMAN_.pdf", "Melting_Curves/meltCurve_sp_O00754_MA2B1_HUMAN_.pdf")</f>
        <v>Melting_Curves/meltCurve_sp_O00754_MA2B1_HUMAN_.pdf</v>
      </c>
      <c r="AA87" t="s">
        <v>14301</v>
      </c>
      <c r="AB87" t="s">
        <v>18922</v>
      </c>
    </row>
    <row r="88" spans="1:28" x14ac:dyDescent="0.25">
      <c r="A88" t="s">
        <v>92</v>
      </c>
      <c r="B88">
        <v>0.99904790336628502</v>
      </c>
      <c r="C88">
        <v>0.75107786551218503</v>
      </c>
      <c r="D88">
        <v>0.846066454191293</v>
      </c>
      <c r="E88">
        <v>0.96625957809299101</v>
      </c>
      <c r="F88">
        <v>0.92035711718755997</v>
      </c>
      <c r="G88">
        <v>0.85448918628531101</v>
      </c>
      <c r="H88">
        <v>0.74603839078654899</v>
      </c>
      <c r="I88">
        <v>0.685383894911616</v>
      </c>
      <c r="J88">
        <v>0.390532184565346</v>
      </c>
      <c r="K88">
        <v>0.111671419966306</v>
      </c>
      <c r="L88">
        <v>1257.9930798022301</v>
      </c>
      <c r="M88">
        <v>19.3071247601723</v>
      </c>
      <c r="N88">
        <v>65.156953115404704</v>
      </c>
      <c r="O88">
        <v>64.469989028750604</v>
      </c>
      <c r="P88">
        <v>-7.4871425439924102E-2</v>
      </c>
      <c r="Q88">
        <v>0</v>
      </c>
      <c r="R88">
        <v>0.82720539926567005</v>
      </c>
      <c r="S88" t="s">
        <v>4828</v>
      </c>
      <c r="T88" t="s">
        <v>9478</v>
      </c>
      <c r="U88" t="s">
        <v>9478</v>
      </c>
      <c r="V88" t="s">
        <v>9478</v>
      </c>
      <c r="W88">
        <v>5</v>
      </c>
      <c r="X88" t="s">
        <v>9566</v>
      </c>
      <c r="Y88">
        <v>0.82381411706866525</v>
      </c>
      <c r="Z88" t="str">
        <f>HYPERLINK("Melting_Curves/meltCurve_sp_O00757_F16P2_HUMAN_.pdf", "Melting_Curves/meltCurve_sp_O00757_F16P2_HUMAN_.pdf")</f>
        <v>Melting_Curves/meltCurve_sp_O00757_F16P2_HUMAN_.pdf</v>
      </c>
      <c r="AA88" t="s">
        <v>14302</v>
      </c>
      <c r="AB88" t="s">
        <v>18923</v>
      </c>
    </row>
    <row r="89" spans="1:28" x14ac:dyDescent="0.25">
      <c r="A89" t="s">
        <v>93</v>
      </c>
      <c r="B89">
        <v>0.99904790336628502</v>
      </c>
      <c r="C89">
        <v>1.00502035989508</v>
      </c>
      <c r="D89">
        <v>0.87355349810050198</v>
      </c>
      <c r="E89">
        <v>0.33387199263433198</v>
      </c>
      <c r="F89">
        <v>0.17455847644936301</v>
      </c>
      <c r="G89">
        <v>0.108427066349141</v>
      </c>
      <c r="H89">
        <v>7.2834959858930098E-2</v>
      </c>
      <c r="I89">
        <v>5.0185890260904101E-2</v>
      </c>
      <c r="J89">
        <v>3.8865467312968797E-2</v>
      </c>
      <c r="K89">
        <v>2.95794066744045E-2</v>
      </c>
      <c r="L89">
        <v>1443.0251846328599</v>
      </c>
      <c r="M89">
        <v>29.627405103617399</v>
      </c>
      <c r="N89">
        <v>48.918387951860304</v>
      </c>
      <c r="O89">
        <v>48.485478806778097</v>
      </c>
      <c r="P89">
        <v>-0.14353591127734999</v>
      </c>
      <c r="Q89">
        <v>6.0415893493617E-2</v>
      </c>
      <c r="R89">
        <v>0.99652463744219999</v>
      </c>
      <c r="S89" t="s">
        <v>4829</v>
      </c>
      <c r="T89" t="s">
        <v>9478</v>
      </c>
      <c r="U89" t="s">
        <v>9478</v>
      </c>
      <c r="V89" t="s">
        <v>9478</v>
      </c>
      <c r="W89">
        <v>60</v>
      </c>
      <c r="X89" t="s">
        <v>9567</v>
      </c>
      <c r="Y89">
        <v>0.33892392052135167</v>
      </c>
      <c r="Z89" t="str">
        <f>HYPERLINK("Melting_Curves/meltCurve_sp_O00763_ACACB_HUMAN_.pdf", "Melting_Curves/meltCurve_sp_O00763_ACACB_HUMAN_.pdf")</f>
        <v>Melting_Curves/meltCurve_sp_O00763_ACACB_HUMAN_.pdf</v>
      </c>
      <c r="AA89" t="s">
        <v>14303</v>
      </c>
      <c r="AB89" t="s">
        <v>18924</v>
      </c>
    </row>
    <row r="90" spans="1:28" x14ac:dyDescent="0.25">
      <c r="A90" t="s">
        <v>94</v>
      </c>
      <c r="B90">
        <v>0.99904790336628502</v>
      </c>
      <c r="C90">
        <v>0.76276312886979603</v>
      </c>
      <c r="D90">
        <v>0.81427037903922295</v>
      </c>
      <c r="E90">
        <v>0.81270528957716304</v>
      </c>
      <c r="F90">
        <v>0.56903893933696104</v>
      </c>
      <c r="G90">
        <v>0.148872338109998</v>
      </c>
      <c r="H90">
        <v>8.35703495908173E-2</v>
      </c>
      <c r="I90">
        <v>5.4303287867608997E-2</v>
      </c>
      <c r="J90">
        <v>4.3057727277977902E-2</v>
      </c>
      <c r="K90">
        <v>3.4482271514806602E-2</v>
      </c>
      <c r="L90">
        <v>899.53984811200201</v>
      </c>
      <c r="M90">
        <v>16.9358362487561</v>
      </c>
      <c r="N90">
        <v>53.114584071343998</v>
      </c>
      <c r="O90">
        <v>52.390594065349198</v>
      </c>
      <c r="P90">
        <v>-8.0820282808589106E-2</v>
      </c>
      <c r="Q90">
        <v>0</v>
      </c>
      <c r="R90">
        <v>0.94269924752923995</v>
      </c>
      <c r="S90" t="s">
        <v>4830</v>
      </c>
      <c r="T90" t="s">
        <v>9478</v>
      </c>
      <c r="U90" t="s">
        <v>9478</v>
      </c>
      <c r="V90" t="s">
        <v>9478</v>
      </c>
      <c r="W90">
        <v>15</v>
      </c>
      <c r="X90" t="s">
        <v>9568</v>
      </c>
      <c r="Y90">
        <v>0.4551135500126533</v>
      </c>
      <c r="Z90" t="str">
        <f>HYPERLINK("Melting_Curves/meltCurve_sp_O00764_PDXK_HUMAN_.pdf", "Melting_Curves/meltCurve_sp_O00764_PDXK_HUMAN_.pdf")</f>
        <v>Melting_Curves/meltCurve_sp_O00764_PDXK_HUMAN_.pdf</v>
      </c>
      <c r="AA90" t="s">
        <v>14304</v>
      </c>
      <c r="AB90" t="s">
        <v>18925</v>
      </c>
    </row>
    <row r="91" spans="1:28" x14ac:dyDescent="0.25">
      <c r="A91" t="s">
        <v>95</v>
      </c>
      <c r="B91">
        <v>0.99904790336628502</v>
      </c>
      <c r="C91">
        <v>0.95345100298516705</v>
      </c>
      <c r="D91">
        <v>0.92752045712564102</v>
      </c>
      <c r="E91">
        <v>0.85931216147670897</v>
      </c>
      <c r="F91">
        <v>0.86130374535723897</v>
      </c>
      <c r="G91">
        <v>0.591995478463063</v>
      </c>
      <c r="H91">
        <v>0.49716514765469799</v>
      </c>
      <c r="I91">
        <v>0.44573042361014298</v>
      </c>
      <c r="J91">
        <v>0.45353963119829299</v>
      </c>
      <c r="K91">
        <v>0.48502901305278201</v>
      </c>
      <c r="L91">
        <v>945.75115844071001</v>
      </c>
      <c r="M91">
        <v>17.3198118668777</v>
      </c>
      <c r="N91">
        <v>61.735267008690101</v>
      </c>
      <c r="O91">
        <v>53.892814947968503</v>
      </c>
      <c r="P91">
        <v>-4.5609294000416203E-2</v>
      </c>
      <c r="Q91">
        <v>0.432355939781015</v>
      </c>
      <c r="R91">
        <v>0.96908865119569298</v>
      </c>
      <c r="S91" t="s">
        <v>4831</v>
      </c>
      <c r="T91" t="s">
        <v>9478</v>
      </c>
      <c r="U91" t="s">
        <v>9478</v>
      </c>
      <c r="V91" t="s">
        <v>9478</v>
      </c>
      <c r="W91">
        <v>12</v>
      </c>
      <c r="X91" t="s">
        <v>9569</v>
      </c>
      <c r="Y91">
        <v>0.71810560804416068</v>
      </c>
      <c r="Z91" t="str">
        <f>HYPERLINK("Melting_Curves/meltCurve_sp_O14497_ARI1A_HUMAN_.pdf", "Melting_Curves/meltCurve_sp_O14497_ARI1A_HUMAN_.pdf")</f>
        <v>Melting_Curves/meltCurve_sp_O14497_ARI1A_HUMAN_.pdf</v>
      </c>
      <c r="AA91" t="s">
        <v>14305</v>
      </c>
      <c r="AB91" t="s">
        <v>18926</v>
      </c>
    </row>
    <row r="92" spans="1:28" x14ac:dyDescent="0.25">
      <c r="A92" t="s">
        <v>96</v>
      </c>
      <c r="B92">
        <v>0.99904790336628502</v>
      </c>
      <c r="C92">
        <v>0.96860123788008501</v>
      </c>
      <c r="D92">
        <v>0.91314021011952096</v>
      </c>
      <c r="E92">
        <v>0.71766098144274104</v>
      </c>
      <c r="F92">
        <v>0.59237597714372803</v>
      </c>
      <c r="G92">
        <v>0.37021792616266103</v>
      </c>
      <c r="H92">
        <v>0.27005404172998199</v>
      </c>
      <c r="I92">
        <v>0.36634569249243099</v>
      </c>
      <c r="J92">
        <v>0.43816995769605299</v>
      </c>
      <c r="K92">
        <v>0.46705769363258198</v>
      </c>
      <c r="L92">
        <v>1119.9565376656799</v>
      </c>
      <c r="M92">
        <v>22.163471819880201</v>
      </c>
      <c r="N92">
        <v>53.927268713691298</v>
      </c>
      <c r="O92">
        <v>50.125657979993797</v>
      </c>
      <c r="P92">
        <v>-6.8961224185457207E-2</v>
      </c>
      <c r="Q92">
        <v>0.37615337451367498</v>
      </c>
      <c r="R92">
        <v>0.951025117392858</v>
      </c>
      <c r="S92" t="s">
        <v>4832</v>
      </c>
      <c r="T92" t="s">
        <v>9478</v>
      </c>
      <c r="U92" t="s">
        <v>9478</v>
      </c>
      <c r="V92" t="s">
        <v>9478</v>
      </c>
      <c r="W92">
        <v>1</v>
      </c>
      <c r="X92" t="s">
        <v>9570</v>
      </c>
      <c r="Y92">
        <v>0.60226730672309514</v>
      </c>
      <c r="Z92" t="str">
        <f>HYPERLINK("Melting_Curves/meltCurve_sp_O14519_2_CDKA1_HUMAN_.pdf", "Melting_Curves/meltCurve_sp_O14519_2_CDKA1_HUMAN_.pdf")</f>
        <v>Melting_Curves/meltCurve_sp_O14519_2_CDKA1_HUMAN_.pdf</v>
      </c>
      <c r="AA92" t="s">
        <v>14306</v>
      </c>
      <c r="AB92" t="s">
        <v>18927</v>
      </c>
    </row>
    <row r="93" spans="1:28" x14ac:dyDescent="0.25">
      <c r="A93" t="s">
        <v>97</v>
      </c>
      <c r="B93">
        <v>0.99904790336628502</v>
      </c>
      <c r="C93">
        <v>0.92941537426986298</v>
      </c>
      <c r="D93">
        <v>1.0100279408271999</v>
      </c>
      <c r="E93">
        <v>0.88778433155826197</v>
      </c>
      <c r="F93">
        <v>0.99930853827843003</v>
      </c>
      <c r="G93">
        <v>0.726525382239538</v>
      </c>
      <c r="H93">
        <v>0.73322602612846599</v>
      </c>
      <c r="I93">
        <v>0.75566376659872403</v>
      </c>
      <c r="J93">
        <v>0.784417185103502</v>
      </c>
      <c r="K93">
        <v>0.83902101557084696</v>
      </c>
      <c r="L93">
        <v>13553.768842232501</v>
      </c>
      <c r="M93">
        <v>250</v>
      </c>
      <c r="O93">
        <v>54.2116085074625</v>
      </c>
      <c r="P93">
        <v>-0.26773496211423398</v>
      </c>
      <c r="Q93">
        <v>0.76777052396276202</v>
      </c>
      <c r="R93">
        <v>0.77783791429524396</v>
      </c>
      <c r="S93" t="s">
        <v>4833</v>
      </c>
      <c r="T93" t="s">
        <v>9478</v>
      </c>
      <c r="U93" t="s">
        <v>9478</v>
      </c>
      <c r="V93" t="s">
        <v>9478</v>
      </c>
      <c r="W93">
        <v>4</v>
      </c>
      <c r="X93" t="s">
        <v>9571</v>
      </c>
      <c r="Y93">
        <v>0.87783126996951055</v>
      </c>
      <c r="Z93" t="str">
        <f>HYPERLINK("Melting_Curves/meltCurve_sp_O14545_TRAD1_HUMAN_.pdf", "Melting_Curves/meltCurve_sp_O14545_TRAD1_HUMAN_.pdf")</f>
        <v>Melting_Curves/meltCurve_sp_O14545_TRAD1_HUMAN_.pdf</v>
      </c>
      <c r="AA93" t="s">
        <v>14307</v>
      </c>
      <c r="AB93" t="s">
        <v>18928</v>
      </c>
    </row>
    <row r="94" spans="1:28" x14ac:dyDescent="0.25">
      <c r="A94" t="s">
        <v>98</v>
      </c>
      <c r="B94">
        <v>0.99904790336628502</v>
      </c>
      <c r="C94">
        <v>0.90449604254604199</v>
      </c>
      <c r="D94">
        <v>0.85027749046324597</v>
      </c>
      <c r="E94">
        <v>0.93734223251559901</v>
      </c>
      <c r="F94">
        <v>0.833281852310638</v>
      </c>
      <c r="G94">
        <v>0.86586921195580102</v>
      </c>
      <c r="H94">
        <v>0.72979152600839603</v>
      </c>
      <c r="I94">
        <v>0.69682338592361404</v>
      </c>
      <c r="J94">
        <v>0.62575370788268103</v>
      </c>
      <c r="K94">
        <v>0.52915072529368701</v>
      </c>
      <c r="L94">
        <v>326.928448688694</v>
      </c>
      <c r="M94">
        <v>4.37429094999999</v>
      </c>
      <c r="O94">
        <v>63.023413067116103</v>
      </c>
      <c r="P94">
        <v>-1.75185507003142E-2</v>
      </c>
      <c r="Q94">
        <v>0</v>
      </c>
      <c r="R94">
        <v>0.89222984482157097</v>
      </c>
      <c r="S94" t="s">
        <v>4834</v>
      </c>
      <c r="T94" t="s">
        <v>9478</v>
      </c>
      <c r="U94" t="s">
        <v>9478</v>
      </c>
      <c r="V94" t="s">
        <v>9478</v>
      </c>
      <c r="W94">
        <v>5</v>
      </c>
      <c r="X94" t="s">
        <v>9572</v>
      </c>
      <c r="Y94">
        <v>0.80943463021590245</v>
      </c>
      <c r="Z94" t="str">
        <f>HYPERLINK("Melting_Curves/meltCurve_sp_O14561_ACPM_HUMAN_.pdf", "Melting_Curves/meltCurve_sp_O14561_ACPM_HUMAN_.pdf")</f>
        <v>Melting_Curves/meltCurve_sp_O14561_ACPM_HUMAN_.pdf</v>
      </c>
      <c r="AA94" t="s">
        <v>14308</v>
      </c>
      <c r="AB94" t="s">
        <v>18929</v>
      </c>
    </row>
    <row r="95" spans="1:28" x14ac:dyDescent="0.25">
      <c r="A95" t="s">
        <v>99</v>
      </c>
      <c r="B95">
        <v>0.99904790336628502</v>
      </c>
      <c r="C95">
        <v>1.13296263695682</v>
      </c>
      <c r="D95">
        <v>1.2002960660050499</v>
      </c>
      <c r="E95">
        <v>1.2081594288424899</v>
      </c>
      <c r="F95">
        <v>0.66642268919737402</v>
      </c>
      <c r="G95">
        <v>0.23462375184209899</v>
      </c>
      <c r="H95">
        <v>0.13838804574046201</v>
      </c>
      <c r="I95">
        <v>9.2480039806206796E-2</v>
      </c>
      <c r="J95">
        <v>5.8265416282739999E-2</v>
      </c>
      <c r="K95">
        <v>5.1892433868985899E-2</v>
      </c>
      <c r="L95">
        <v>2551.8168744796899</v>
      </c>
      <c r="M95">
        <v>47.3754882933519</v>
      </c>
      <c r="N95">
        <v>54.1156087121647</v>
      </c>
      <c r="O95">
        <v>53.767922064243699</v>
      </c>
      <c r="P95">
        <v>-0.19847670262940201</v>
      </c>
      <c r="Q95">
        <v>9.8970960409779707E-2</v>
      </c>
      <c r="R95">
        <v>0.94762524131015002</v>
      </c>
      <c r="S95" t="s">
        <v>4835</v>
      </c>
      <c r="T95" t="s">
        <v>9478</v>
      </c>
      <c r="U95" t="s">
        <v>9478</v>
      </c>
      <c r="V95" t="s">
        <v>9478</v>
      </c>
      <c r="W95">
        <v>15</v>
      </c>
      <c r="X95" t="s">
        <v>9573</v>
      </c>
      <c r="Y95">
        <v>0.51774109173688321</v>
      </c>
      <c r="Z95" t="str">
        <f>HYPERLINK("Melting_Curves/meltCurve_sp_O14579_COPE_HUMAN_.pdf", "Melting_Curves/meltCurve_sp_O14579_COPE_HUMAN_.pdf")</f>
        <v>Melting_Curves/meltCurve_sp_O14579_COPE_HUMAN_.pdf</v>
      </c>
      <c r="AA95" t="s">
        <v>14309</v>
      </c>
      <c r="AB95" t="s">
        <v>18930</v>
      </c>
    </row>
    <row r="96" spans="1:28" x14ac:dyDescent="0.25">
      <c r="A96" t="s">
        <v>100</v>
      </c>
      <c r="B96">
        <v>0.99904790336628502</v>
      </c>
      <c r="C96">
        <v>1.0419336805692501</v>
      </c>
      <c r="D96">
        <v>1.06269776308257</v>
      </c>
      <c r="E96">
        <v>0.87095744427379496</v>
      </c>
      <c r="F96">
        <v>0.57982369766195796</v>
      </c>
      <c r="G96">
        <v>0.150622487439768</v>
      </c>
      <c r="H96">
        <v>7.6277795098793497E-2</v>
      </c>
      <c r="I96">
        <v>5.0847294902470197E-2</v>
      </c>
      <c r="J96">
        <v>2.91122822745449E-2</v>
      </c>
      <c r="K96">
        <v>2.0065443312284201E-2</v>
      </c>
      <c r="L96">
        <v>1600.1330623036099</v>
      </c>
      <c r="M96">
        <v>29.9625676282668</v>
      </c>
      <c r="N96">
        <v>53.530728423914901</v>
      </c>
      <c r="O96">
        <v>53.168209525801402</v>
      </c>
      <c r="P96">
        <v>-0.13607778894238701</v>
      </c>
      <c r="Q96">
        <v>3.4132840067592297E-2</v>
      </c>
      <c r="R96">
        <v>0.99590743836732798</v>
      </c>
      <c r="S96" t="s">
        <v>4836</v>
      </c>
      <c r="T96" t="s">
        <v>9478</v>
      </c>
      <c r="U96" t="s">
        <v>9478</v>
      </c>
      <c r="V96" t="s">
        <v>9478</v>
      </c>
      <c r="W96">
        <v>15</v>
      </c>
      <c r="X96" t="s">
        <v>9574</v>
      </c>
      <c r="Y96">
        <v>0.47200872185512582</v>
      </c>
      <c r="Z96" t="str">
        <f>HYPERLINK("Melting_Curves/meltCurve_sp_O14617_4_AP3D1_HUMAN_.pdf", "Melting_Curves/meltCurve_sp_O14617_4_AP3D1_HUMAN_.pdf")</f>
        <v>Melting_Curves/meltCurve_sp_O14617_4_AP3D1_HUMAN_.pdf</v>
      </c>
      <c r="AA96" t="s">
        <v>14310</v>
      </c>
      <c r="AB96" t="s">
        <v>18931</v>
      </c>
    </row>
    <row r="97" spans="1:28" x14ac:dyDescent="0.25">
      <c r="A97" t="s">
        <v>101</v>
      </c>
      <c r="B97">
        <v>0.99904790336628502</v>
      </c>
      <c r="C97">
        <v>1.12812213824528</v>
      </c>
      <c r="D97">
        <v>1.13414410980282</v>
      </c>
      <c r="E97">
        <v>1.0003067307695199</v>
      </c>
      <c r="F97">
        <v>0.80837252794317804</v>
      </c>
      <c r="G97">
        <v>0.64626438670485298</v>
      </c>
      <c r="H97">
        <v>0.54830805862286602</v>
      </c>
      <c r="I97">
        <v>0.53018704500395697</v>
      </c>
      <c r="J97">
        <v>0.51431253258887</v>
      </c>
      <c r="K97">
        <v>0.47334829235433401</v>
      </c>
      <c r="L97">
        <v>1443.3999462406</v>
      </c>
      <c r="M97">
        <v>26.436753499579201</v>
      </c>
      <c r="O97">
        <v>54.288701222677901</v>
      </c>
      <c r="P97">
        <v>-6.0054400005541603E-2</v>
      </c>
      <c r="Q97">
        <v>0.50671097622022998</v>
      </c>
      <c r="R97">
        <v>0.93707935647654805</v>
      </c>
      <c r="S97" t="s">
        <v>4837</v>
      </c>
      <c r="T97" t="s">
        <v>9478</v>
      </c>
      <c r="U97" t="s">
        <v>9478</v>
      </c>
      <c r="V97" t="s">
        <v>9478</v>
      </c>
      <c r="W97">
        <v>3</v>
      </c>
      <c r="X97" t="s">
        <v>9575</v>
      </c>
      <c r="Y97">
        <v>0.75087884933848292</v>
      </c>
      <c r="Z97" t="str">
        <f>HYPERLINK("Melting_Curves/meltCurve_sp_O14686_MLL2_HUMAN_.pdf", "Melting_Curves/meltCurve_sp_O14686_MLL2_HUMAN_.pdf")</f>
        <v>Melting_Curves/meltCurve_sp_O14686_MLL2_HUMAN_.pdf</v>
      </c>
      <c r="AA97" t="s">
        <v>14311</v>
      </c>
      <c r="AB97" t="s">
        <v>18932</v>
      </c>
    </row>
    <row r="98" spans="1:28" x14ac:dyDescent="0.25">
      <c r="A98" t="s">
        <v>102</v>
      </c>
      <c r="B98">
        <v>0.99904790336628502</v>
      </c>
      <c r="C98">
        <v>0.94699822292015201</v>
      </c>
      <c r="D98">
        <v>0.94040486493720798</v>
      </c>
      <c r="E98">
        <v>0.69066825275453703</v>
      </c>
      <c r="F98">
        <v>0.34152955451922201</v>
      </c>
      <c r="G98">
        <v>0.162129924375331</v>
      </c>
      <c r="H98">
        <v>8.1511830651745304E-2</v>
      </c>
      <c r="I98">
        <v>5.3791650376147901E-2</v>
      </c>
      <c r="J98">
        <v>4.3082990210726098E-2</v>
      </c>
      <c r="K98">
        <v>3.6677504964540301E-2</v>
      </c>
      <c r="L98">
        <v>1162.49187253583</v>
      </c>
      <c r="M98">
        <v>22.600487707904001</v>
      </c>
      <c r="N98">
        <v>51.649739399903098</v>
      </c>
      <c r="O98">
        <v>51.0389692353165</v>
      </c>
      <c r="P98">
        <v>-0.105775123637188</v>
      </c>
      <c r="Q98">
        <v>4.4526173294618603E-2</v>
      </c>
      <c r="R98">
        <v>0.99766311218584203</v>
      </c>
      <c r="S98" t="s">
        <v>4838</v>
      </c>
      <c r="T98" t="s">
        <v>9478</v>
      </c>
      <c r="U98" t="s">
        <v>9478</v>
      </c>
      <c r="V98" t="s">
        <v>9478</v>
      </c>
      <c r="W98">
        <v>5</v>
      </c>
      <c r="X98" t="s">
        <v>9576</v>
      </c>
      <c r="Y98">
        <v>0.41930749816962642</v>
      </c>
      <c r="Z98" t="str">
        <f>HYPERLINK("Melting_Curves/meltCurve_sp_O14732_2_IMPA2_HUMAN_.pdf", "Melting_Curves/meltCurve_sp_O14732_2_IMPA2_HUMAN_.pdf")</f>
        <v>Melting_Curves/meltCurve_sp_O14732_2_IMPA2_HUMAN_.pdf</v>
      </c>
      <c r="AA98" t="s">
        <v>14312</v>
      </c>
      <c r="AB98" t="s">
        <v>18933</v>
      </c>
    </row>
    <row r="99" spans="1:28" x14ac:dyDescent="0.25">
      <c r="A99" t="s">
        <v>103</v>
      </c>
      <c r="B99">
        <v>0.99904790336628502</v>
      </c>
      <c r="C99">
        <v>1.0252220443162601</v>
      </c>
      <c r="D99">
        <v>0.82551247364160096</v>
      </c>
      <c r="E99">
        <v>0.62965439645838905</v>
      </c>
      <c r="F99">
        <v>0.51118442573762102</v>
      </c>
      <c r="G99">
        <v>0.31313459947320799</v>
      </c>
      <c r="H99">
        <v>0.26603929815245098</v>
      </c>
      <c r="I99">
        <v>0.22246900147412699</v>
      </c>
      <c r="J99">
        <v>0.250102378109745</v>
      </c>
      <c r="K99">
        <v>0.25530498386759298</v>
      </c>
      <c r="L99">
        <v>815.72838858586795</v>
      </c>
      <c r="M99">
        <v>16.158114987921401</v>
      </c>
      <c r="N99">
        <v>52.436314083204699</v>
      </c>
      <c r="O99">
        <v>49.729876163509999</v>
      </c>
      <c r="P99">
        <v>-6.2874539041106695E-2</v>
      </c>
      <c r="Q99">
        <v>0.22602199389795799</v>
      </c>
      <c r="R99">
        <v>0.98941287463366401</v>
      </c>
      <c r="S99" t="s">
        <v>4839</v>
      </c>
      <c r="T99" t="s">
        <v>9478</v>
      </c>
      <c r="U99" t="s">
        <v>9478</v>
      </c>
      <c r="V99" t="s">
        <v>9478</v>
      </c>
      <c r="W99">
        <v>2</v>
      </c>
      <c r="X99" t="s">
        <v>9577</v>
      </c>
      <c r="Y99">
        <v>0.5124660842220462</v>
      </c>
      <c r="Z99" t="str">
        <f>HYPERLINK("Melting_Curves/meltCurve_sp_O14733_MP2K7_HUMAN_.pdf", "Melting_Curves/meltCurve_sp_O14733_MP2K7_HUMAN_.pdf")</f>
        <v>Melting_Curves/meltCurve_sp_O14733_MP2K7_HUMAN_.pdf</v>
      </c>
      <c r="AA99" t="s">
        <v>14313</v>
      </c>
      <c r="AB99" t="s">
        <v>18934</v>
      </c>
    </row>
    <row r="100" spans="1:28" x14ac:dyDescent="0.25">
      <c r="A100" t="s">
        <v>104</v>
      </c>
      <c r="B100">
        <v>0.99904790336628502</v>
      </c>
      <c r="C100">
        <v>0.87834054500177905</v>
      </c>
      <c r="D100">
        <v>0.827969778042139</v>
      </c>
      <c r="E100">
        <v>0.52525947189813604</v>
      </c>
      <c r="F100">
        <v>0.257777303862045</v>
      </c>
      <c r="G100">
        <v>0.10136380682969599</v>
      </c>
      <c r="H100">
        <v>5.0098951599498197E-2</v>
      </c>
      <c r="I100">
        <v>3.7287499370066E-2</v>
      </c>
      <c r="J100">
        <v>1.9897242759020699E-2</v>
      </c>
      <c r="K100">
        <v>2.52820386591814E-2</v>
      </c>
      <c r="L100">
        <v>852.17048203707498</v>
      </c>
      <c r="M100">
        <v>17.059847591965099</v>
      </c>
      <c r="N100">
        <v>49.9974504419312</v>
      </c>
      <c r="O100">
        <v>49.2806126852403</v>
      </c>
      <c r="P100">
        <v>-8.58809889565844E-2</v>
      </c>
      <c r="Q100">
        <v>7.7262317490066701E-3</v>
      </c>
      <c r="R100">
        <v>0.99579471653352603</v>
      </c>
      <c r="S100" t="s">
        <v>4840</v>
      </c>
      <c r="T100" t="s">
        <v>9478</v>
      </c>
      <c r="U100" t="s">
        <v>9478</v>
      </c>
      <c r="V100" t="s">
        <v>9478</v>
      </c>
      <c r="W100">
        <v>6</v>
      </c>
      <c r="X100" t="s">
        <v>9578</v>
      </c>
      <c r="Y100">
        <v>0.355627524940416</v>
      </c>
      <c r="Z100" t="str">
        <f>HYPERLINK("Melting_Curves/meltCurve_sp_O14734_ACOT8_HUMAN_.pdf", "Melting_Curves/meltCurve_sp_O14734_ACOT8_HUMAN_.pdf")</f>
        <v>Melting_Curves/meltCurve_sp_O14734_ACOT8_HUMAN_.pdf</v>
      </c>
      <c r="AA100" t="s">
        <v>14314</v>
      </c>
      <c r="AB100" t="s">
        <v>18935</v>
      </c>
    </row>
    <row r="101" spans="1:28" x14ac:dyDescent="0.25">
      <c r="A101" t="s">
        <v>105</v>
      </c>
      <c r="B101">
        <v>0.99904790336628502</v>
      </c>
      <c r="C101">
        <v>1.0857323157611001</v>
      </c>
      <c r="D101">
        <v>1.02747436561669</v>
      </c>
      <c r="E101">
        <v>1.0780763161131699</v>
      </c>
      <c r="F101">
        <v>1.3193430286825201</v>
      </c>
      <c r="G101">
        <v>0.95737618513851697</v>
      </c>
      <c r="H101">
        <v>0.94975584539364</v>
      </c>
      <c r="I101">
        <v>1.02493828213409</v>
      </c>
      <c r="J101">
        <v>1.0843139424166699</v>
      </c>
      <c r="K101">
        <v>1.04453662407728</v>
      </c>
      <c r="L101">
        <v>10286.994498268999</v>
      </c>
      <c r="M101">
        <v>250</v>
      </c>
      <c r="O101">
        <v>41.145344768325202</v>
      </c>
      <c r="P101">
        <v>9.6464885374534695E-2</v>
      </c>
      <c r="Q101">
        <v>1.06350529543573</v>
      </c>
      <c r="R101">
        <v>3.8269756245117498E-2</v>
      </c>
      <c r="S101" t="s">
        <v>4841</v>
      </c>
      <c r="T101" t="s">
        <v>9478</v>
      </c>
      <c r="U101" t="s">
        <v>9478</v>
      </c>
      <c r="V101" t="s">
        <v>9478</v>
      </c>
      <c r="W101">
        <v>7</v>
      </c>
      <c r="X101" t="s">
        <v>9579</v>
      </c>
      <c r="Y101">
        <v>1.0610703700399069</v>
      </c>
      <c r="Z101" t="str">
        <f>HYPERLINK("Melting_Curves/meltCurve_sp_O14737_PDCD5_HUMAN_.pdf", "Melting_Curves/meltCurve_sp_O14737_PDCD5_HUMAN_.pdf")</f>
        <v>Melting_Curves/meltCurve_sp_O14737_PDCD5_HUMAN_.pdf</v>
      </c>
      <c r="AA101" t="s">
        <v>14315</v>
      </c>
      <c r="AB101" t="s">
        <v>18936</v>
      </c>
    </row>
    <row r="102" spans="1:28" x14ac:dyDescent="0.25">
      <c r="A102" t="s">
        <v>106</v>
      </c>
      <c r="B102">
        <v>0.99904790336628502</v>
      </c>
      <c r="C102">
        <v>1.0638381915625299</v>
      </c>
      <c r="D102">
        <v>1.1219740637425299</v>
      </c>
      <c r="E102">
        <v>1.03115968042145</v>
      </c>
      <c r="F102">
        <v>0.48090653898202701</v>
      </c>
      <c r="G102">
        <v>0.15160501126859499</v>
      </c>
      <c r="H102">
        <v>8.4797770002045095E-2</v>
      </c>
      <c r="I102">
        <v>5.8037215218794902E-2</v>
      </c>
      <c r="J102">
        <v>4.7800899398827999E-2</v>
      </c>
      <c r="K102">
        <v>3.7789292769266999E-2</v>
      </c>
      <c r="L102">
        <v>13236.832557739801</v>
      </c>
      <c r="M102">
        <v>250</v>
      </c>
      <c r="N102">
        <v>52.9822879931247</v>
      </c>
      <c r="O102">
        <v>52.943942844226598</v>
      </c>
      <c r="P102">
        <v>-1.0907692376389</v>
      </c>
      <c r="Q102">
        <v>7.6006029852008106E-2</v>
      </c>
      <c r="R102">
        <v>0.98679560344533102</v>
      </c>
      <c r="S102" t="s">
        <v>4842</v>
      </c>
      <c r="T102" t="s">
        <v>9478</v>
      </c>
      <c r="U102" t="s">
        <v>9478</v>
      </c>
      <c r="V102" t="s">
        <v>9478</v>
      </c>
      <c r="W102">
        <v>9</v>
      </c>
      <c r="X102" t="s">
        <v>9580</v>
      </c>
      <c r="Y102">
        <v>0.4748670577439762</v>
      </c>
      <c r="Z102" t="str">
        <f>HYPERLINK("Melting_Curves/meltCurve_sp_O14744_ANM5_HUMAN_.pdf", "Melting_Curves/meltCurve_sp_O14744_ANM5_HUMAN_.pdf")</f>
        <v>Melting_Curves/meltCurve_sp_O14744_ANM5_HUMAN_.pdf</v>
      </c>
      <c r="AA102" t="s">
        <v>14316</v>
      </c>
      <c r="AB102" t="s">
        <v>18937</v>
      </c>
    </row>
    <row r="103" spans="1:28" x14ac:dyDescent="0.25">
      <c r="A103" t="s">
        <v>107</v>
      </c>
      <c r="B103">
        <v>0.99904790336628502</v>
      </c>
      <c r="C103">
        <v>1.0710669810253</v>
      </c>
      <c r="D103">
        <v>1.0294989277919699</v>
      </c>
      <c r="E103">
        <v>1.0062853811144099</v>
      </c>
      <c r="F103">
        <v>0.97782498460193101</v>
      </c>
      <c r="G103">
        <v>0.77696930070150405</v>
      </c>
      <c r="H103">
        <v>0.695176833936196</v>
      </c>
      <c r="I103">
        <v>0.68349553724879397</v>
      </c>
      <c r="J103">
        <v>0.71586284348266005</v>
      </c>
      <c r="K103">
        <v>0.66042095961103298</v>
      </c>
      <c r="L103">
        <v>2635.9431988422598</v>
      </c>
      <c r="M103">
        <v>47.147859377874902</v>
      </c>
      <c r="O103">
        <v>55.807702152513698</v>
      </c>
      <c r="P103">
        <v>-6.6118923002819394E-2</v>
      </c>
      <c r="Q103">
        <v>0.68694724124694695</v>
      </c>
      <c r="R103">
        <v>0.97029843664406101</v>
      </c>
      <c r="S103" t="s">
        <v>4843</v>
      </c>
      <c r="T103" t="s">
        <v>9478</v>
      </c>
      <c r="U103" t="s">
        <v>9478</v>
      </c>
      <c r="V103" t="s">
        <v>9478</v>
      </c>
      <c r="W103">
        <v>18</v>
      </c>
      <c r="X103" t="s">
        <v>9581</v>
      </c>
      <c r="Y103">
        <v>0.85381615480798934</v>
      </c>
      <c r="Z103" t="str">
        <f>HYPERLINK("Melting_Curves/meltCurve_sp_O14745_NHRF1_HUMAN_.pdf", "Melting_Curves/meltCurve_sp_O14745_NHRF1_HUMAN_.pdf")</f>
        <v>Melting_Curves/meltCurve_sp_O14745_NHRF1_HUMAN_.pdf</v>
      </c>
      <c r="AA103" t="s">
        <v>14317</v>
      </c>
      <c r="AB103" t="s">
        <v>18938</v>
      </c>
    </row>
    <row r="104" spans="1:28" x14ac:dyDescent="0.25">
      <c r="A104" t="s">
        <v>108</v>
      </c>
      <c r="B104">
        <v>0.99904790336628502</v>
      </c>
      <c r="C104">
        <v>1.15863515100575</v>
      </c>
      <c r="D104">
        <v>0.86864753955067298</v>
      </c>
      <c r="E104">
        <v>0.43474974053649101</v>
      </c>
      <c r="F104">
        <v>0.20504776385925</v>
      </c>
      <c r="G104">
        <v>9.9823789516064798E-2</v>
      </c>
      <c r="H104">
        <v>5.02808620569117E-2</v>
      </c>
      <c r="I104">
        <v>3.7077319116706697E-2</v>
      </c>
      <c r="J104">
        <v>3.4134549028106899E-2</v>
      </c>
      <c r="K104">
        <v>1.8811887453114799E-2</v>
      </c>
      <c r="L104">
        <v>1332.46327645222</v>
      </c>
      <c r="M104">
        <v>26.936151517578001</v>
      </c>
      <c r="N104">
        <v>49.633568317870697</v>
      </c>
      <c r="O104">
        <v>49.197235329535999</v>
      </c>
      <c r="P104">
        <v>-0.130980384392968</v>
      </c>
      <c r="Q104">
        <v>4.3098886378752803E-2</v>
      </c>
      <c r="R104">
        <v>0.98163806375624796</v>
      </c>
      <c r="S104" t="s">
        <v>4844</v>
      </c>
      <c r="T104" t="s">
        <v>9478</v>
      </c>
      <c r="U104" t="s">
        <v>9478</v>
      </c>
      <c r="V104" t="s">
        <v>9478</v>
      </c>
      <c r="W104">
        <v>8</v>
      </c>
      <c r="X104" t="s">
        <v>9582</v>
      </c>
      <c r="Y104">
        <v>0.35238965305634062</v>
      </c>
      <c r="Z104" t="str">
        <f>HYPERLINK("Melting_Curves/meltCurve_sp_O14756_H17B6_HUMAN_.pdf", "Melting_Curves/meltCurve_sp_O14756_H17B6_HUMAN_.pdf")</f>
        <v>Melting_Curves/meltCurve_sp_O14756_H17B6_HUMAN_.pdf</v>
      </c>
      <c r="AA104" t="s">
        <v>14318</v>
      </c>
      <c r="AB104" t="s">
        <v>18939</v>
      </c>
    </row>
    <row r="105" spans="1:28" x14ac:dyDescent="0.25">
      <c r="A105" t="s">
        <v>109</v>
      </c>
      <c r="B105">
        <v>0.99904790336628502</v>
      </c>
      <c r="C105">
        <v>1.07151282102829</v>
      </c>
      <c r="D105">
        <v>1.0002025738092599</v>
      </c>
      <c r="E105">
        <v>0.69639741484040096</v>
      </c>
      <c r="F105">
        <v>0.26386113152454699</v>
      </c>
      <c r="G105">
        <v>0.111588291234802</v>
      </c>
      <c r="H105">
        <v>6.43251525193866E-2</v>
      </c>
      <c r="I105">
        <v>5.5318773504325597E-2</v>
      </c>
      <c r="J105">
        <v>4.0877625722205199E-2</v>
      </c>
      <c r="K105">
        <v>4.0229195815640703E-2</v>
      </c>
      <c r="L105">
        <v>1758.8953838750799</v>
      </c>
      <c r="M105">
        <v>34.418852572307202</v>
      </c>
      <c r="N105">
        <v>51.277400905667598</v>
      </c>
      <c r="O105">
        <v>50.931092201041302</v>
      </c>
      <c r="P105">
        <v>-0.15960036487236501</v>
      </c>
      <c r="Q105">
        <v>5.5332845108436397E-2</v>
      </c>
      <c r="R105">
        <v>0.99611427071087699</v>
      </c>
      <c r="S105" t="s">
        <v>4845</v>
      </c>
      <c r="T105" t="s">
        <v>9478</v>
      </c>
      <c r="U105" t="s">
        <v>9478</v>
      </c>
      <c r="V105" t="s">
        <v>9478</v>
      </c>
      <c r="W105">
        <v>6</v>
      </c>
      <c r="X105" t="s">
        <v>9583</v>
      </c>
      <c r="Y105">
        <v>0.40945932616324271</v>
      </c>
      <c r="Z105" t="str">
        <f>HYPERLINK("Melting_Curves/meltCurve_sp_O14772_FPGT_HUMAN_.pdf", "Melting_Curves/meltCurve_sp_O14772_FPGT_HUMAN_.pdf")</f>
        <v>Melting_Curves/meltCurve_sp_O14772_FPGT_HUMAN_.pdf</v>
      </c>
      <c r="AA105" t="s">
        <v>14319</v>
      </c>
      <c r="AB105" t="s">
        <v>18940</v>
      </c>
    </row>
    <row r="106" spans="1:28" x14ac:dyDescent="0.25">
      <c r="A106" t="s">
        <v>110</v>
      </c>
      <c r="B106">
        <v>0.99904790336628502</v>
      </c>
      <c r="C106">
        <v>0.78558180497409402</v>
      </c>
      <c r="D106">
        <v>0.58707141256720596</v>
      </c>
      <c r="E106">
        <v>0.384546825006786</v>
      </c>
      <c r="F106">
        <v>0.25496439942752802</v>
      </c>
      <c r="G106">
        <v>0.126179752150059</v>
      </c>
      <c r="H106">
        <v>7.7893403118941801E-2</v>
      </c>
      <c r="I106">
        <v>6.1782765156807098E-2</v>
      </c>
      <c r="J106">
        <v>6.1067164353688502E-2</v>
      </c>
      <c r="K106">
        <v>5.4921057535326397E-2</v>
      </c>
      <c r="L106">
        <v>625.01110556115805</v>
      </c>
      <c r="M106">
        <v>13.161262530557201</v>
      </c>
      <c r="N106">
        <v>47.7756221337659</v>
      </c>
      <c r="O106">
        <v>46.432493244157797</v>
      </c>
      <c r="P106">
        <v>-6.8181177805351295E-2</v>
      </c>
      <c r="Q106">
        <v>3.7998398508548401E-2</v>
      </c>
      <c r="R106">
        <v>0.99209378810549098</v>
      </c>
      <c r="S106" t="s">
        <v>4846</v>
      </c>
      <c r="T106" t="s">
        <v>9478</v>
      </c>
      <c r="U106" t="s">
        <v>9478</v>
      </c>
      <c r="V106" t="s">
        <v>9478</v>
      </c>
      <c r="W106">
        <v>5</v>
      </c>
      <c r="X106" t="s">
        <v>9584</v>
      </c>
      <c r="Y106">
        <v>0.31098297775363198</v>
      </c>
      <c r="Z106" t="str">
        <f>HYPERLINK("Melting_Curves/meltCurve_sp_O14773_2_TPP1_HUMAN_.pdf", "Melting_Curves/meltCurve_sp_O14773_2_TPP1_HUMAN_.pdf")</f>
        <v>Melting_Curves/meltCurve_sp_O14773_2_TPP1_HUMAN_.pdf</v>
      </c>
      <c r="AA106" t="s">
        <v>14320</v>
      </c>
      <c r="AB106" t="s">
        <v>18941</v>
      </c>
    </row>
    <row r="107" spans="1:28" x14ac:dyDescent="0.25">
      <c r="A107" t="s">
        <v>111</v>
      </c>
      <c r="B107">
        <v>0.99904790336628502</v>
      </c>
      <c r="C107">
        <v>0.99396460626024397</v>
      </c>
      <c r="D107">
        <v>0.98060767914355096</v>
      </c>
      <c r="E107">
        <v>0.67237608927617398</v>
      </c>
      <c r="F107">
        <v>0.37110623928105901</v>
      </c>
      <c r="G107">
        <v>0.25668684767032901</v>
      </c>
      <c r="H107">
        <v>0.20062492061540799</v>
      </c>
      <c r="I107">
        <v>0.170737646342669</v>
      </c>
      <c r="J107">
        <v>0.159703306761454</v>
      </c>
      <c r="K107">
        <v>0.147940953871323</v>
      </c>
      <c r="L107">
        <v>1345.07071299272</v>
      </c>
      <c r="M107">
        <v>26.450494048190301</v>
      </c>
      <c r="N107">
        <v>51.679438113696598</v>
      </c>
      <c r="O107">
        <v>50.564403225969201</v>
      </c>
      <c r="P107">
        <v>-0.108210816975166</v>
      </c>
      <c r="Q107">
        <v>0.17255916196920601</v>
      </c>
      <c r="R107">
        <v>0.99706896447882298</v>
      </c>
      <c r="S107" t="s">
        <v>4847</v>
      </c>
      <c r="T107" t="s">
        <v>9478</v>
      </c>
      <c r="U107" t="s">
        <v>9478</v>
      </c>
      <c r="V107" t="s">
        <v>9478</v>
      </c>
      <c r="W107">
        <v>12</v>
      </c>
      <c r="X107" t="s">
        <v>9585</v>
      </c>
      <c r="Y107">
        <v>0.47855693841003177</v>
      </c>
      <c r="Z107" t="str">
        <f>HYPERLINK("Melting_Curves/meltCurve_sp_O14776_2_TCRG1_HUMAN_.pdf", "Melting_Curves/meltCurve_sp_O14776_2_TCRG1_HUMAN_.pdf")</f>
        <v>Melting_Curves/meltCurve_sp_O14776_2_TCRG1_HUMAN_.pdf</v>
      </c>
      <c r="AA107" t="s">
        <v>14321</v>
      </c>
      <c r="AB107" t="s">
        <v>18942</v>
      </c>
    </row>
    <row r="108" spans="1:28" x14ac:dyDescent="0.25">
      <c r="A108" t="s">
        <v>112</v>
      </c>
      <c r="B108">
        <v>0.99904790336628502</v>
      </c>
      <c r="C108">
        <v>0.86265839469437799</v>
      </c>
      <c r="D108">
        <v>0.94101349396948897</v>
      </c>
      <c r="E108">
        <v>0.71942279070916804</v>
      </c>
      <c r="F108">
        <v>0.29374111315726498</v>
      </c>
      <c r="G108">
        <v>0.10849967573569901</v>
      </c>
      <c r="H108">
        <v>4.7315656655942201E-2</v>
      </c>
      <c r="I108">
        <v>3.3519727218008603E-2</v>
      </c>
      <c r="J108">
        <v>2.5774888243170101E-2</v>
      </c>
      <c r="K108">
        <v>1.2943662226045699E-2</v>
      </c>
      <c r="L108">
        <v>1419.5736614816301</v>
      </c>
      <c r="M108">
        <v>27.6203398657284</v>
      </c>
      <c r="N108">
        <v>51.499784488780499</v>
      </c>
      <c r="O108">
        <v>51.128810036188199</v>
      </c>
      <c r="P108">
        <v>-0.131396411916615</v>
      </c>
      <c r="Q108">
        <v>2.70821860222492E-2</v>
      </c>
      <c r="R108">
        <v>0.987294419866099</v>
      </c>
      <c r="S108" t="s">
        <v>4848</v>
      </c>
      <c r="T108" t="s">
        <v>9478</v>
      </c>
      <c r="U108" t="s">
        <v>9478</v>
      </c>
      <c r="V108" t="s">
        <v>9478</v>
      </c>
      <c r="W108">
        <v>11</v>
      </c>
      <c r="X108" t="s">
        <v>9586</v>
      </c>
      <c r="Y108">
        <v>0.40391574694629873</v>
      </c>
      <c r="Z108" t="str">
        <f>HYPERLINK("Melting_Curves/meltCurve_sp_O14787_2_TNPO2_HUMAN_.pdf", "Melting_Curves/meltCurve_sp_O14787_2_TNPO2_HUMAN_.pdf")</f>
        <v>Melting_Curves/meltCurve_sp_O14787_2_TNPO2_HUMAN_.pdf</v>
      </c>
      <c r="AA108" t="s">
        <v>14322</v>
      </c>
      <c r="AB108" t="s">
        <v>18943</v>
      </c>
    </row>
    <row r="109" spans="1:28" x14ac:dyDescent="0.25">
      <c r="A109" t="s">
        <v>113</v>
      </c>
      <c r="B109">
        <v>0.99904790336628502</v>
      </c>
      <c r="C109">
        <v>1.0105395483559101</v>
      </c>
      <c r="D109">
        <v>1.0773191392332899</v>
      </c>
      <c r="E109">
        <v>1.05231510979933</v>
      </c>
      <c r="F109">
        <v>0.90196888275842302</v>
      </c>
      <c r="G109">
        <v>0.84533265697358495</v>
      </c>
      <c r="H109">
        <v>0.70145677273780604</v>
      </c>
      <c r="I109">
        <v>0.67210738629403199</v>
      </c>
      <c r="J109">
        <v>0.57131294367544805</v>
      </c>
      <c r="K109">
        <v>0.41061647775204402</v>
      </c>
      <c r="L109">
        <v>685.73326847268902</v>
      </c>
      <c r="M109">
        <v>10.3169107553405</v>
      </c>
      <c r="N109">
        <v>68.025901422450801</v>
      </c>
      <c r="O109">
        <v>64.115043158501194</v>
      </c>
      <c r="P109">
        <v>-3.6008343237161497E-2</v>
      </c>
      <c r="Q109">
        <v>0.1052824757453</v>
      </c>
      <c r="R109">
        <v>0.95423622616741099</v>
      </c>
      <c r="S109" t="s">
        <v>4849</v>
      </c>
      <c r="T109" t="s">
        <v>9478</v>
      </c>
      <c r="U109" t="s">
        <v>9478</v>
      </c>
      <c r="V109" t="s">
        <v>9478</v>
      </c>
      <c r="W109">
        <v>20</v>
      </c>
      <c r="X109" t="s">
        <v>9587</v>
      </c>
      <c r="Y109">
        <v>0.83087910425394762</v>
      </c>
      <c r="Z109" t="str">
        <f>HYPERLINK("Melting_Curves/meltCurve_sp_O14818_PSA7_HUMAN_.pdf", "Melting_Curves/meltCurve_sp_O14818_PSA7_HUMAN_.pdf")</f>
        <v>Melting_Curves/meltCurve_sp_O14818_PSA7_HUMAN_.pdf</v>
      </c>
      <c r="AA109" t="s">
        <v>14323</v>
      </c>
      <c r="AB109" t="s">
        <v>18944</v>
      </c>
    </row>
    <row r="110" spans="1:28" x14ac:dyDescent="0.25">
      <c r="A110" t="s">
        <v>114</v>
      </c>
      <c r="B110">
        <v>0.99904790336628502</v>
      </c>
      <c r="C110">
        <v>0.94278625398142202</v>
      </c>
      <c r="D110">
        <v>0.86749589447264897</v>
      </c>
      <c r="E110">
        <v>0.79453693869620201</v>
      </c>
      <c r="F110">
        <v>0.58372958746838899</v>
      </c>
      <c r="G110">
        <v>0.45164039522664701</v>
      </c>
      <c r="H110">
        <v>0.27904865350525598</v>
      </c>
      <c r="I110">
        <v>0.151762477434877</v>
      </c>
      <c r="J110">
        <v>0.15776796497128501</v>
      </c>
      <c r="K110">
        <v>0.13468673233140799</v>
      </c>
      <c r="L110">
        <v>600.67533356016099</v>
      </c>
      <c r="M110">
        <v>10.9207339186542</v>
      </c>
      <c r="N110">
        <v>55.302041087944502</v>
      </c>
      <c r="O110">
        <v>53.255330744916201</v>
      </c>
      <c r="P110">
        <v>-4.9814283546620097E-2</v>
      </c>
      <c r="Q110">
        <v>2.8652772840613901E-2</v>
      </c>
      <c r="R110">
        <v>0.99313108408683304</v>
      </c>
      <c r="S110" t="s">
        <v>4850</v>
      </c>
      <c r="T110" t="s">
        <v>9478</v>
      </c>
      <c r="U110" t="s">
        <v>9478</v>
      </c>
      <c r="V110" t="s">
        <v>9478</v>
      </c>
      <c r="W110">
        <v>2</v>
      </c>
      <c r="X110" t="s">
        <v>9588</v>
      </c>
      <c r="Y110">
        <v>0.53854861883058436</v>
      </c>
      <c r="Z110" t="str">
        <f>HYPERLINK("Melting_Curves/meltCurve_sp_O14828_SCAM3_HUMAN_.pdf", "Melting_Curves/meltCurve_sp_O14828_SCAM3_HUMAN_.pdf")</f>
        <v>Melting_Curves/meltCurve_sp_O14828_SCAM3_HUMAN_.pdf</v>
      </c>
      <c r="AA110" t="s">
        <v>14324</v>
      </c>
      <c r="AB110" t="s">
        <v>18945</v>
      </c>
    </row>
    <row r="111" spans="1:28" x14ac:dyDescent="0.25">
      <c r="A111" t="s">
        <v>115</v>
      </c>
      <c r="B111">
        <v>0.99904790336628502</v>
      </c>
      <c r="C111">
        <v>0.98207578757113501</v>
      </c>
      <c r="D111">
        <v>0.89656362279845203</v>
      </c>
      <c r="E111">
        <v>0.88891533212058405</v>
      </c>
      <c r="F111">
        <v>0.78859007905818301</v>
      </c>
      <c r="G111">
        <v>0.74843683397234395</v>
      </c>
      <c r="H111">
        <v>0.45178047811129302</v>
      </c>
      <c r="I111">
        <v>0.43038139572844802</v>
      </c>
      <c r="J111">
        <v>0.41926393809161799</v>
      </c>
      <c r="K111">
        <v>0.275630036573283</v>
      </c>
      <c r="L111">
        <v>515.88743068769702</v>
      </c>
      <c r="M111">
        <v>8.4101028518588308</v>
      </c>
      <c r="N111">
        <v>62.0770024968824</v>
      </c>
      <c r="O111">
        <v>58.167491842024702</v>
      </c>
      <c r="P111">
        <v>-3.4464046600941101E-2</v>
      </c>
      <c r="Q111">
        <v>4.74271527138522E-2</v>
      </c>
      <c r="R111">
        <v>0.96964471659804197</v>
      </c>
      <c r="S111" t="s">
        <v>4851</v>
      </c>
      <c r="T111" t="s">
        <v>9478</v>
      </c>
      <c r="U111" t="s">
        <v>9478</v>
      </c>
      <c r="V111" t="s">
        <v>9478</v>
      </c>
      <c r="W111">
        <v>15</v>
      </c>
      <c r="X111" t="s">
        <v>9589</v>
      </c>
      <c r="Y111">
        <v>0.70048548761342955</v>
      </c>
      <c r="Z111" t="str">
        <f>HYPERLINK("Melting_Curves/meltCurve_sp_O14832_2_PAHX_HUMAN_.pdf", "Melting_Curves/meltCurve_sp_O14832_2_PAHX_HUMAN_.pdf")</f>
        <v>Melting_Curves/meltCurve_sp_O14832_2_PAHX_HUMAN_.pdf</v>
      </c>
      <c r="AA111" t="s">
        <v>14325</v>
      </c>
      <c r="AB111" t="s">
        <v>18946</v>
      </c>
    </row>
    <row r="112" spans="1:28" x14ac:dyDescent="0.25">
      <c r="A112" t="s">
        <v>116</v>
      </c>
      <c r="B112">
        <v>0.99904790336628502</v>
      </c>
      <c r="C112">
        <v>0.98865248644891601</v>
      </c>
      <c r="D112">
        <v>0.86700076224298495</v>
      </c>
      <c r="E112">
        <v>0.55830327340979602</v>
      </c>
      <c r="F112">
        <v>0.378794395585627</v>
      </c>
      <c r="G112">
        <v>0.21820020964539899</v>
      </c>
      <c r="H112">
        <v>0.13626149410104399</v>
      </c>
      <c r="I112">
        <v>9.7924558333007894E-2</v>
      </c>
      <c r="J112">
        <v>7.0509408431038104E-2</v>
      </c>
      <c r="K112">
        <v>5.1563330969822498E-2</v>
      </c>
      <c r="L112">
        <v>826.89961806911901</v>
      </c>
      <c r="M112">
        <v>16.291838168480702</v>
      </c>
      <c r="N112">
        <v>51.174536628248198</v>
      </c>
      <c r="O112">
        <v>50.009228989996203</v>
      </c>
      <c r="P112">
        <v>-7.6363485407679205E-2</v>
      </c>
      <c r="Q112">
        <v>6.2450777086561403E-2</v>
      </c>
      <c r="R112">
        <v>0.99730100055204796</v>
      </c>
      <c r="S112" t="s">
        <v>4852</v>
      </c>
      <c r="T112" t="s">
        <v>9478</v>
      </c>
      <c r="U112" t="s">
        <v>9478</v>
      </c>
      <c r="V112" t="s">
        <v>9478</v>
      </c>
      <c r="W112">
        <v>18</v>
      </c>
      <c r="X112" t="s">
        <v>9590</v>
      </c>
      <c r="Y112">
        <v>0.41751601922526671</v>
      </c>
      <c r="Z112" t="str">
        <f>HYPERLINK("Melting_Curves/meltCurve_sp_O14832_PAHX_HUMAN_.pdf", "Melting_Curves/meltCurve_sp_O14832_PAHX_HUMAN_.pdf")</f>
        <v>Melting_Curves/meltCurve_sp_O14832_PAHX_HUMAN_.pdf</v>
      </c>
      <c r="AA112" t="s">
        <v>14325</v>
      </c>
      <c r="AB112" t="s">
        <v>18947</v>
      </c>
    </row>
    <row r="113" spans="1:28" x14ac:dyDescent="0.25">
      <c r="A113" t="s">
        <v>117</v>
      </c>
      <c r="B113">
        <v>0.99904790336628502</v>
      </c>
      <c r="C113">
        <v>1.03742456604427</v>
      </c>
      <c r="D113">
        <v>1.0895856024881201</v>
      </c>
      <c r="E113">
        <v>0.85690211318679899</v>
      </c>
      <c r="F113">
        <v>0.46178331529195299</v>
      </c>
      <c r="G113">
        <v>0.16083735925841799</v>
      </c>
      <c r="H113">
        <v>5.8221886100558999E-2</v>
      </c>
      <c r="I113">
        <v>4.5081559149312299E-2</v>
      </c>
      <c r="J113">
        <v>3.5096166270736501E-2</v>
      </c>
      <c r="K113">
        <v>3.0935471545920398E-2</v>
      </c>
      <c r="L113">
        <v>1661.0292801186099</v>
      </c>
      <c r="M113">
        <v>31.519220233263201</v>
      </c>
      <c r="N113">
        <v>52.853454658534098</v>
      </c>
      <c r="O113">
        <v>52.488162758962602</v>
      </c>
      <c r="P113">
        <v>-0.14351829259614399</v>
      </c>
      <c r="Q113">
        <v>4.4015536381013402E-2</v>
      </c>
      <c r="R113">
        <v>0.99327985867408397</v>
      </c>
      <c r="S113" t="s">
        <v>4853</v>
      </c>
      <c r="T113" t="s">
        <v>9478</v>
      </c>
      <c r="U113" t="s">
        <v>9478</v>
      </c>
      <c r="V113" t="s">
        <v>9478</v>
      </c>
      <c r="W113">
        <v>54</v>
      </c>
      <c r="X113" t="s">
        <v>9591</v>
      </c>
      <c r="Y113">
        <v>0.454281289642188</v>
      </c>
      <c r="Z113" t="str">
        <f>HYPERLINK("Melting_Curves/meltCurve_sp_O14841_OPLA_HUMAN_.pdf", "Melting_Curves/meltCurve_sp_O14841_OPLA_HUMAN_.pdf")</f>
        <v>Melting_Curves/meltCurve_sp_O14841_OPLA_HUMAN_.pdf</v>
      </c>
      <c r="AA113" t="s">
        <v>14326</v>
      </c>
      <c r="AB113" t="s">
        <v>18948</v>
      </c>
    </row>
    <row r="114" spans="1:28" x14ac:dyDescent="0.25">
      <c r="A114" t="s">
        <v>118</v>
      </c>
      <c r="B114">
        <v>0.99904790336628502</v>
      </c>
      <c r="C114">
        <v>0.965691414879703</v>
      </c>
      <c r="D114">
        <v>0.99628383013368704</v>
      </c>
      <c r="E114">
        <v>0.77199484759696602</v>
      </c>
      <c r="F114">
        <v>0.46707350271721298</v>
      </c>
      <c r="G114">
        <v>0.21348486618770099</v>
      </c>
      <c r="H114">
        <v>8.8760022291141993E-2</v>
      </c>
      <c r="I114">
        <v>5.0379996297175898E-2</v>
      </c>
      <c r="J114">
        <v>3.9859158626525899E-2</v>
      </c>
      <c r="K114">
        <v>3.0025411265595301E-2</v>
      </c>
      <c r="L114">
        <v>1133.0334862884899</v>
      </c>
      <c r="M114">
        <v>21.502507417936702</v>
      </c>
      <c r="N114">
        <v>52.862851339821503</v>
      </c>
      <c r="O114">
        <v>52.243675998540098</v>
      </c>
      <c r="P114">
        <v>-9.9464648357210098E-2</v>
      </c>
      <c r="Q114">
        <v>3.3364252298278101E-2</v>
      </c>
      <c r="R114">
        <v>0.99815272075299499</v>
      </c>
      <c r="S114" t="s">
        <v>4854</v>
      </c>
      <c r="T114" t="s">
        <v>9478</v>
      </c>
      <c r="U114" t="s">
        <v>9478</v>
      </c>
      <c r="V114" t="s">
        <v>9478</v>
      </c>
      <c r="W114">
        <v>12</v>
      </c>
      <c r="X114" t="s">
        <v>9592</v>
      </c>
      <c r="Y114">
        <v>0.45407832146012128</v>
      </c>
      <c r="Z114" t="str">
        <f>HYPERLINK("Melting_Curves/meltCurve_sp_O14879_IFIT3_HUMAN_.pdf", "Melting_Curves/meltCurve_sp_O14879_IFIT3_HUMAN_.pdf")</f>
        <v>Melting_Curves/meltCurve_sp_O14879_IFIT3_HUMAN_.pdf</v>
      </c>
      <c r="AA114" t="s">
        <v>14327</v>
      </c>
      <c r="AB114" t="s">
        <v>18949</v>
      </c>
    </row>
    <row r="115" spans="1:28" x14ac:dyDescent="0.25">
      <c r="A115" t="s">
        <v>119</v>
      </c>
      <c r="B115">
        <v>0.99904790336628502</v>
      </c>
      <c r="C115">
        <v>0.92559462335299503</v>
      </c>
      <c r="D115">
        <v>0.85729422975616498</v>
      </c>
      <c r="E115">
        <v>0.71356821794371506</v>
      </c>
      <c r="F115">
        <v>0.41575400975425802</v>
      </c>
      <c r="G115">
        <v>0.20015041004949499</v>
      </c>
      <c r="H115">
        <v>0.123247696609595</v>
      </c>
      <c r="I115">
        <v>9.9171695114263797E-2</v>
      </c>
      <c r="J115">
        <v>9.5883197297107398E-2</v>
      </c>
      <c r="K115">
        <v>9.10069049324677E-2</v>
      </c>
      <c r="L115">
        <v>892.15696111982299</v>
      </c>
      <c r="M115">
        <v>17.283820067516199</v>
      </c>
      <c r="N115">
        <v>52.0647549145407</v>
      </c>
      <c r="O115">
        <v>50.941915665400003</v>
      </c>
      <c r="P115">
        <v>-7.8980676261211996E-2</v>
      </c>
      <c r="Q115">
        <v>6.8910925163911702E-2</v>
      </c>
      <c r="R115">
        <v>0.99408629849053398</v>
      </c>
      <c r="S115" t="s">
        <v>4855</v>
      </c>
      <c r="T115" t="s">
        <v>9478</v>
      </c>
      <c r="U115" t="s">
        <v>9478</v>
      </c>
      <c r="V115" t="s">
        <v>9478</v>
      </c>
      <c r="W115">
        <v>8</v>
      </c>
      <c r="X115" t="s">
        <v>9593</v>
      </c>
      <c r="Y115">
        <v>0.44619506579552898</v>
      </c>
      <c r="Z115" t="str">
        <f>HYPERLINK("Melting_Curves/meltCurve_sp_O14896_IRF6_HUMAN_.pdf", "Melting_Curves/meltCurve_sp_O14896_IRF6_HUMAN_.pdf")</f>
        <v>Melting_Curves/meltCurve_sp_O14896_IRF6_HUMAN_.pdf</v>
      </c>
      <c r="AA115" t="s">
        <v>14328</v>
      </c>
      <c r="AB115" t="s">
        <v>18950</v>
      </c>
    </row>
    <row r="116" spans="1:28" x14ac:dyDescent="0.25">
      <c r="A116" t="s">
        <v>120</v>
      </c>
      <c r="B116">
        <v>0.99904790336628502</v>
      </c>
      <c r="C116">
        <v>0.77870276581635101</v>
      </c>
      <c r="D116">
        <v>0.83545052903081696</v>
      </c>
      <c r="E116">
        <v>0.69551605420449503</v>
      </c>
      <c r="F116">
        <v>0.47101964301704502</v>
      </c>
      <c r="G116">
        <v>0.339953943134648</v>
      </c>
      <c r="H116">
        <v>0.220394601063861</v>
      </c>
      <c r="I116">
        <v>8.3604790989939504E-2</v>
      </c>
      <c r="J116">
        <v>6.2524914859014194E-2</v>
      </c>
      <c r="K116">
        <v>5.1449852039689499E-2</v>
      </c>
      <c r="L116">
        <v>553.18063394968203</v>
      </c>
      <c r="M116">
        <v>10.486777536461499</v>
      </c>
      <c r="N116">
        <v>52.750294529727199</v>
      </c>
      <c r="O116">
        <v>50.940368751357703</v>
      </c>
      <c r="P116">
        <v>-5.1486804901724303E-2</v>
      </c>
      <c r="Q116">
        <v>0</v>
      </c>
      <c r="R116">
        <v>0.97382010348338799</v>
      </c>
      <c r="S116" t="s">
        <v>4856</v>
      </c>
      <c r="T116" t="s">
        <v>9478</v>
      </c>
      <c r="U116" t="s">
        <v>9478</v>
      </c>
      <c r="V116" t="s">
        <v>9478</v>
      </c>
      <c r="W116">
        <v>9</v>
      </c>
      <c r="X116" t="s">
        <v>9594</v>
      </c>
      <c r="Y116">
        <v>0.45858237425554638</v>
      </c>
      <c r="Z116" t="str">
        <f>HYPERLINK("Melting_Curves/meltCurve_sp_O14929_HAT1_HUMAN_.pdf", "Melting_Curves/meltCurve_sp_O14929_HAT1_HUMAN_.pdf")</f>
        <v>Melting_Curves/meltCurve_sp_O14929_HAT1_HUMAN_.pdf</v>
      </c>
      <c r="AA116" t="s">
        <v>14329</v>
      </c>
      <c r="AB116" t="s">
        <v>18951</v>
      </c>
    </row>
    <row r="117" spans="1:28" x14ac:dyDescent="0.25">
      <c r="A117" t="s">
        <v>121</v>
      </c>
      <c r="B117">
        <v>0.99904790336628502</v>
      </c>
      <c r="C117">
        <v>1.0584802355677501</v>
      </c>
      <c r="D117">
        <v>0.97878194400666196</v>
      </c>
      <c r="E117">
        <v>0.924368983417173</v>
      </c>
      <c r="F117">
        <v>0.65954138496905101</v>
      </c>
      <c r="G117">
        <v>0.25945575376805802</v>
      </c>
      <c r="H117">
        <v>0.102104635992233</v>
      </c>
      <c r="I117">
        <v>6.4021129357328593E-2</v>
      </c>
      <c r="J117">
        <v>3.9158914021674103E-2</v>
      </c>
      <c r="K117">
        <v>3.3512277895783801E-2</v>
      </c>
      <c r="L117">
        <v>1406.2014378645099</v>
      </c>
      <c r="M117">
        <v>25.886941573842201</v>
      </c>
      <c r="N117">
        <v>54.490785755768201</v>
      </c>
      <c r="O117">
        <v>53.999830258530999</v>
      </c>
      <c r="P117">
        <v>-0.115201909808748</v>
      </c>
      <c r="Q117">
        <v>3.87724004001119E-2</v>
      </c>
      <c r="R117">
        <v>0.99763407780300095</v>
      </c>
      <c r="S117" t="s">
        <v>4857</v>
      </c>
      <c r="T117" t="s">
        <v>9478</v>
      </c>
      <c r="U117" t="s">
        <v>9478</v>
      </c>
      <c r="V117" t="s">
        <v>9478</v>
      </c>
      <c r="W117">
        <v>7</v>
      </c>
      <c r="X117" t="s">
        <v>9595</v>
      </c>
      <c r="Y117">
        <v>0.50598140558184523</v>
      </c>
      <c r="Z117" t="str">
        <f>HYPERLINK("Melting_Curves/meltCurve_sp_O14933_UB2L6_HUMAN_.pdf", "Melting_Curves/meltCurve_sp_O14933_UB2L6_HUMAN_.pdf")</f>
        <v>Melting_Curves/meltCurve_sp_O14933_UB2L6_HUMAN_.pdf</v>
      </c>
      <c r="AA117" t="s">
        <v>14330</v>
      </c>
      <c r="AB117" t="s">
        <v>18952</v>
      </c>
    </row>
    <row r="118" spans="1:28" x14ac:dyDescent="0.25">
      <c r="A118" t="s">
        <v>122</v>
      </c>
      <c r="B118">
        <v>0.99904790336628502</v>
      </c>
      <c r="C118">
        <v>0.97529924402492396</v>
      </c>
      <c r="D118">
        <v>1.0057412522121201</v>
      </c>
      <c r="E118">
        <v>0.93093548998068099</v>
      </c>
      <c r="F118">
        <v>0.81045153901879097</v>
      </c>
      <c r="G118">
        <v>0.47051986618216202</v>
      </c>
      <c r="H118">
        <v>0.26984671739207899</v>
      </c>
      <c r="I118">
        <v>0.124535065861171</v>
      </c>
      <c r="J118">
        <v>0.15845224867260299</v>
      </c>
      <c r="K118">
        <v>9.9356382078928093E-2</v>
      </c>
      <c r="L118">
        <v>1177.89327822018</v>
      </c>
      <c r="M118">
        <v>20.957174080582</v>
      </c>
      <c r="N118">
        <v>56.790961716473397</v>
      </c>
      <c r="O118">
        <v>55.700533452090703</v>
      </c>
      <c r="P118">
        <v>-8.49156986276947E-2</v>
      </c>
      <c r="Q118">
        <v>9.7259641306343597E-2</v>
      </c>
      <c r="R118">
        <v>0.99694088129570302</v>
      </c>
      <c r="S118" t="s">
        <v>4858</v>
      </c>
      <c r="T118" t="s">
        <v>9478</v>
      </c>
      <c r="U118" t="s">
        <v>9478</v>
      </c>
      <c r="V118" t="s">
        <v>9478</v>
      </c>
      <c r="W118">
        <v>19</v>
      </c>
      <c r="X118" t="s">
        <v>9596</v>
      </c>
      <c r="Y118">
        <v>0.5956982830567894</v>
      </c>
      <c r="Z118" t="str">
        <f>HYPERLINK("Melting_Curves/meltCurve_sp_O14936_3_CSKP_HUMAN_.pdf", "Melting_Curves/meltCurve_sp_O14936_3_CSKP_HUMAN_.pdf")</f>
        <v>Melting_Curves/meltCurve_sp_O14936_3_CSKP_HUMAN_.pdf</v>
      </c>
      <c r="AA118" t="s">
        <v>14331</v>
      </c>
      <c r="AB118" t="s">
        <v>18953</v>
      </c>
    </row>
    <row r="119" spans="1:28" x14ac:dyDescent="0.25">
      <c r="A119" t="s">
        <v>123</v>
      </c>
      <c r="B119">
        <v>0.99904790336628502</v>
      </c>
      <c r="C119">
        <v>0.98186827274833899</v>
      </c>
      <c r="D119">
        <v>0.92100651560357405</v>
      </c>
      <c r="E119">
        <v>0.50714998620806495</v>
      </c>
      <c r="F119">
        <v>0.33758108640380002</v>
      </c>
      <c r="G119">
        <v>0.13927521765251599</v>
      </c>
      <c r="H119">
        <v>7.4653845788444598E-2</v>
      </c>
      <c r="I119">
        <v>0.18692161718379899</v>
      </c>
      <c r="J119">
        <v>0.17466987542045601</v>
      </c>
      <c r="K119">
        <v>0.120732299055523</v>
      </c>
      <c r="L119">
        <v>1239.12615838438</v>
      </c>
      <c r="M119">
        <v>24.916567176746302</v>
      </c>
      <c r="N119">
        <v>50.368005149579197</v>
      </c>
      <c r="O119">
        <v>49.414001317583903</v>
      </c>
      <c r="P119">
        <v>-0.109024849553437</v>
      </c>
      <c r="Q119">
        <v>0.13514885046474701</v>
      </c>
      <c r="R119">
        <v>0.98959866552182796</v>
      </c>
      <c r="S119" t="s">
        <v>4859</v>
      </c>
      <c r="T119" t="s">
        <v>9478</v>
      </c>
      <c r="U119" t="s">
        <v>9478</v>
      </c>
      <c r="V119" t="s">
        <v>9478</v>
      </c>
      <c r="W119">
        <v>1</v>
      </c>
      <c r="X119" t="s">
        <v>9597</v>
      </c>
      <c r="Y119">
        <v>0.42343988880443367</v>
      </c>
      <c r="Z119" t="str">
        <f>HYPERLINK("Melting_Curves/meltCurve_sp_O14949_QCR8_HUMAN_.pdf", "Melting_Curves/meltCurve_sp_O14949_QCR8_HUMAN_.pdf")</f>
        <v>Melting_Curves/meltCurve_sp_O14949_QCR8_HUMAN_.pdf</v>
      </c>
      <c r="AA119" t="s">
        <v>14332</v>
      </c>
      <c r="AB119" t="s">
        <v>18954</v>
      </c>
    </row>
    <row r="120" spans="1:28" x14ac:dyDescent="0.25">
      <c r="A120" t="s">
        <v>124</v>
      </c>
      <c r="B120">
        <v>0.99904790336628502</v>
      </c>
      <c r="C120">
        <v>0.90115937961415604</v>
      </c>
      <c r="D120">
        <v>0.89342515434097503</v>
      </c>
      <c r="E120">
        <v>0.86324229658471197</v>
      </c>
      <c r="F120">
        <v>0.70605779058947804</v>
      </c>
      <c r="G120">
        <v>0.48570792539143498</v>
      </c>
      <c r="H120">
        <v>0.34004578638999</v>
      </c>
      <c r="I120">
        <v>0.25414393887144199</v>
      </c>
      <c r="J120">
        <v>0.184121307678767</v>
      </c>
      <c r="K120">
        <v>0.14747439534152901</v>
      </c>
      <c r="L120">
        <v>599.65612871650205</v>
      </c>
      <c r="M120">
        <v>10.527534174415001</v>
      </c>
      <c r="N120">
        <v>57.166187941596903</v>
      </c>
      <c r="O120">
        <v>55.020616744578902</v>
      </c>
      <c r="P120">
        <v>-4.6965252590148297E-2</v>
      </c>
      <c r="Q120">
        <v>1.8563966657218701E-2</v>
      </c>
      <c r="R120">
        <v>0.99103502253110698</v>
      </c>
      <c r="S120" t="s">
        <v>4860</v>
      </c>
      <c r="T120" t="s">
        <v>9478</v>
      </c>
      <c r="U120" t="s">
        <v>9478</v>
      </c>
      <c r="V120" t="s">
        <v>9478</v>
      </c>
      <c r="W120">
        <v>13</v>
      </c>
      <c r="X120" t="s">
        <v>9598</v>
      </c>
      <c r="Y120">
        <v>0.58960335426977617</v>
      </c>
      <c r="Z120" t="str">
        <f>HYPERLINK("Melting_Curves/meltCurve_sp_O14964_HGS_HUMAN_.pdf", "Melting_Curves/meltCurve_sp_O14964_HGS_HUMAN_.pdf")</f>
        <v>Melting_Curves/meltCurve_sp_O14964_HGS_HUMAN_.pdf</v>
      </c>
      <c r="AA120" t="s">
        <v>14333</v>
      </c>
      <c r="AB120" t="s">
        <v>18955</v>
      </c>
    </row>
    <row r="121" spans="1:28" x14ac:dyDescent="0.25">
      <c r="A121" t="s">
        <v>125</v>
      </c>
      <c r="B121">
        <v>0.99904790336628502</v>
      </c>
      <c r="C121">
        <v>0.95571895497735004</v>
      </c>
      <c r="D121">
        <v>0.93826369340222204</v>
      </c>
      <c r="E121">
        <v>0.87205001356303302</v>
      </c>
      <c r="F121">
        <v>0.836183853599473</v>
      </c>
      <c r="G121">
        <v>0.62318964421843304</v>
      </c>
      <c r="H121">
        <v>0.54041181523285697</v>
      </c>
      <c r="I121">
        <v>0.53135203275059595</v>
      </c>
      <c r="J121">
        <v>0.55492555678364897</v>
      </c>
      <c r="K121">
        <v>0.51997646137859799</v>
      </c>
      <c r="L121">
        <v>879.55200839679196</v>
      </c>
      <c r="M121">
        <v>16.339723625472701</v>
      </c>
      <c r="O121">
        <v>53.042171231573398</v>
      </c>
      <c r="P121">
        <v>-3.81075346742498E-2</v>
      </c>
      <c r="Q121">
        <v>0.50521553302450095</v>
      </c>
      <c r="R121">
        <v>0.97816000398415104</v>
      </c>
      <c r="S121" t="s">
        <v>4861</v>
      </c>
      <c r="T121" t="s">
        <v>9478</v>
      </c>
      <c r="U121" t="s">
        <v>9478</v>
      </c>
      <c r="V121" t="s">
        <v>9478</v>
      </c>
      <c r="W121">
        <v>21</v>
      </c>
      <c r="X121" t="s">
        <v>9599</v>
      </c>
      <c r="Y121">
        <v>0.74244171753314514</v>
      </c>
      <c r="Z121" t="str">
        <f>HYPERLINK("Melting_Curves/meltCurve_sp_O14974_MYPT1_HUMAN_.pdf", "Melting_Curves/meltCurve_sp_O14974_MYPT1_HUMAN_.pdf")</f>
        <v>Melting_Curves/meltCurve_sp_O14974_MYPT1_HUMAN_.pdf</v>
      </c>
      <c r="AA121" t="s">
        <v>14334</v>
      </c>
      <c r="AB121" t="s">
        <v>18956</v>
      </c>
    </row>
    <row r="122" spans="1:28" x14ac:dyDescent="0.25">
      <c r="A122" t="s">
        <v>126</v>
      </c>
      <c r="B122">
        <v>0.99904790336628502</v>
      </c>
      <c r="C122">
        <v>1.0990624018911801</v>
      </c>
      <c r="D122">
        <v>0.84523586056070898</v>
      </c>
      <c r="E122">
        <v>0.44556684930670598</v>
      </c>
      <c r="F122">
        <v>0.24184325605259899</v>
      </c>
      <c r="G122">
        <v>9.8802043973119202E-2</v>
      </c>
      <c r="H122">
        <v>6.4343002619867695E-2</v>
      </c>
      <c r="I122">
        <v>5.4994772516554102E-2</v>
      </c>
      <c r="J122">
        <v>7.2118984129035404E-2</v>
      </c>
      <c r="K122">
        <v>4.8951721959582903E-2</v>
      </c>
      <c r="L122">
        <v>1208.8112997983501</v>
      </c>
      <c r="M122">
        <v>24.466914808879501</v>
      </c>
      <c r="N122">
        <v>49.670471836351801</v>
      </c>
      <c r="O122">
        <v>49.079458395119502</v>
      </c>
      <c r="P122">
        <v>-0.11701818400179299</v>
      </c>
      <c r="Q122">
        <v>6.1082279493193101E-2</v>
      </c>
      <c r="R122">
        <v>0.98959908139567498</v>
      </c>
      <c r="S122" t="s">
        <v>4862</v>
      </c>
      <c r="T122" t="s">
        <v>9478</v>
      </c>
      <c r="U122" t="s">
        <v>9478</v>
      </c>
      <c r="V122" t="s">
        <v>9478</v>
      </c>
      <c r="W122">
        <v>6</v>
      </c>
      <c r="X122" t="s">
        <v>9600</v>
      </c>
      <c r="Y122">
        <v>0.36418307319632037</v>
      </c>
      <c r="Z122" t="str">
        <f>HYPERLINK("Melting_Curves/meltCurve_sp_O14975_2_S27A2_HUMAN_.pdf", "Melting_Curves/meltCurve_sp_O14975_2_S27A2_HUMAN_.pdf")</f>
        <v>Melting_Curves/meltCurve_sp_O14975_2_S27A2_HUMAN_.pdf</v>
      </c>
      <c r="AA122" t="s">
        <v>14335</v>
      </c>
      <c r="AB122" t="s">
        <v>18957</v>
      </c>
    </row>
    <row r="123" spans="1:28" x14ac:dyDescent="0.25">
      <c r="A123" t="s">
        <v>127</v>
      </c>
      <c r="B123">
        <v>0.99904790336628502</v>
      </c>
      <c r="C123">
        <v>0.98748850440698999</v>
      </c>
      <c r="D123">
        <v>0.96176715471684604</v>
      </c>
      <c r="E123">
        <v>0.83859622333723505</v>
      </c>
      <c r="F123">
        <v>0.70521095368957798</v>
      </c>
      <c r="G123">
        <v>0.43762759907919402</v>
      </c>
      <c r="H123">
        <v>0.21267378482462801</v>
      </c>
      <c r="I123">
        <v>0.121891063458362</v>
      </c>
      <c r="J123">
        <v>0.11078826999043299</v>
      </c>
      <c r="K123">
        <v>9.4597795418611699E-2</v>
      </c>
      <c r="L123">
        <v>889.85618522360699</v>
      </c>
      <c r="M123">
        <v>16.040480371482602</v>
      </c>
      <c r="N123">
        <v>55.808372042226701</v>
      </c>
      <c r="O123">
        <v>54.634942036865297</v>
      </c>
      <c r="P123">
        <v>-7.0056886689583903E-2</v>
      </c>
      <c r="Q123">
        <v>4.5600875091284902E-2</v>
      </c>
      <c r="R123">
        <v>0.99857406912646796</v>
      </c>
      <c r="S123" t="s">
        <v>4863</v>
      </c>
      <c r="T123" t="s">
        <v>9478</v>
      </c>
      <c r="U123" t="s">
        <v>9478</v>
      </c>
      <c r="V123" t="s">
        <v>9478</v>
      </c>
      <c r="W123">
        <v>11</v>
      </c>
      <c r="X123" t="s">
        <v>9601</v>
      </c>
      <c r="Y123">
        <v>0.5544978413609708</v>
      </c>
      <c r="Z123" t="str">
        <f>HYPERLINK("Melting_Curves/meltCurve_sp_O14976_GAK_HUMAN_.pdf", "Melting_Curves/meltCurve_sp_O14976_GAK_HUMAN_.pdf")</f>
        <v>Melting_Curves/meltCurve_sp_O14976_GAK_HUMAN_.pdf</v>
      </c>
      <c r="AA123" t="s">
        <v>14336</v>
      </c>
      <c r="AB123" t="s">
        <v>18958</v>
      </c>
    </row>
    <row r="124" spans="1:28" x14ac:dyDescent="0.25">
      <c r="A124" t="s">
        <v>128</v>
      </c>
      <c r="B124">
        <v>0.99904790336628502</v>
      </c>
      <c r="C124">
        <v>0.97178316844746504</v>
      </c>
      <c r="D124">
        <v>0.97321599482129695</v>
      </c>
      <c r="E124">
        <v>0.90888437858028404</v>
      </c>
      <c r="F124">
        <v>0.84441894761410397</v>
      </c>
      <c r="G124">
        <v>0.59524681128272905</v>
      </c>
      <c r="H124">
        <v>0.54784064926618004</v>
      </c>
      <c r="I124">
        <v>0.47275004827264</v>
      </c>
      <c r="J124">
        <v>0.51033817198162801</v>
      </c>
      <c r="K124">
        <v>0.43752760030099802</v>
      </c>
      <c r="L124">
        <v>1068.6599753441899</v>
      </c>
      <c r="M124">
        <v>19.530806888370599</v>
      </c>
      <c r="N124">
        <v>62.733543643636303</v>
      </c>
      <c r="O124">
        <v>54.152695262821602</v>
      </c>
      <c r="P124">
        <v>-4.88002742508463E-2</v>
      </c>
      <c r="Q124">
        <v>0.45878904060123599</v>
      </c>
      <c r="R124">
        <v>0.98688824226208205</v>
      </c>
      <c r="S124" t="s">
        <v>4864</v>
      </c>
      <c r="T124" t="s">
        <v>9478</v>
      </c>
      <c r="U124" t="s">
        <v>9478</v>
      </c>
      <c r="V124" t="s">
        <v>9478</v>
      </c>
      <c r="W124">
        <v>7</v>
      </c>
      <c r="X124" t="s">
        <v>9602</v>
      </c>
      <c r="Y124">
        <v>0.73180433767190101</v>
      </c>
      <c r="Z124" t="str">
        <f>HYPERLINK("Melting_Curves/meltCurve_sp_O14979_3_HNRDL_HUMAN_.pdf", "Melting_Curves/meltCurve_sp_O14979_3_HNRDL_HUMAN_.pdf")</f>
        <v>Melting_Curves/meltCurve_sp_O14979_3_HNRDL_HUMAN_.pdf</v>
      </c>
      <c r="AA124" t="s">
        <v>14337</v>
      </c>
      <c r="AB124" t="s">
        <v>18959</v>
      </c>
    </row>
    <row r="125" spans="1:28" x14ac:dyDescent="0.25">
      <c r="A125" t="s">
        <v>129</v>
      </c>
      <c r="B125">
        <v>0.99904790336628502</v>
      </c>
      <c r="C125">
        <v>0.97526662482057402</v>
      </c>
      <c r="D125">
        <v>1.0263602211080101</v>
      </c>
      <c r="E125">
        <v>0.85001655793776998</v>
      </c>
      <c r="F125">
        <v>0.242662188341734</v>
      </c>
      <c r="G125">
        <v>0.12739140158840301</v>
      </c>
      <c r="H125">
        <v>7.2104225938990796E-2</v>
      </c>
      <c r="I125">
        <v>4.9297231507427701E-2</v>
      </c>
      <c r="J125">
        <v>4.1271643098358103E-2</v>
      </c>
      <c r="K125">
        <v>3.67559711364265E-2</v>
      </c>
      <c r="L125">
        <v>2688.3635240472199</v>
      </c>
      <c r="M125">
        <v>52.129599668905698</v>
      </c>
      <c r="N125">
        <v>51.704814293069802</v>
      </c>
      <c r="O125">
        <v>51.495041688537697</v>
      </c>
      <c r="P125">
        <v>-0.237084609121296</v>
      </c>
      <c r="Q125">
        <v>6.3206015448753303E-2</v>
      </c>
      <c r="R125">
        <v>0.99665722918148503</v>
      </c>
      <c r="S125" t="s">
        <v>4865</v>
      </c>
      <c r="T125" t="s">
        <v>9478</v>
      </c>
      <c r="U125" t="s">
        <v>9478</v>
      </c>
      <c r="V125" t="s">
        <v>9478</v>
      </c>
      <c r="W125">
        <v>29</v>
      </c>
      <c r="X125" t="s">
        <v>9603</v>
      </c>
      <c r="Y125">
        <v>0.42647975718175318</v>
      </c>
      <c r="Z125" t="str">
        <f>HYPERLINK("Melting_Curves/meltCurve_sp_O14980_XPO1_HUMAN_.pdf", "Melting_Curves/meltCurve_sp_O14980_XPO1_HUMAN_.pdf")</f>
        <v>Melting_Curves/meltCurve_sp_O14980_XPO1_HUMAN_.pdf</v>
      </c>
      <c r="AA125" t="s">
        <v>14338</v>
      </c>
      <c r="AB125" t="s">
        <v>18960</v>
      </c>
    </row>
    <row r="126" spans="1:28" x14ac:dyDescent="0.25">
      <c r="A126" t="s">
        <v>130</v>
      </c>
      <c r="B126">
        <v>0.99904790336628502</v>
      </c>
      <c r="C126">
        <v>0.85061129887529596</v>
      </c>
      <c r="D126">
        <v>0.81662616205096905</v>
      </c>
      <c r="E126">
        <v>0.47419440192664097</v>
      </c>
      <c r="F126">
        <v>0.22243972215381699</v>
      </c>
      <c r="G126">
        <v>9.7129180762138195E-2</v>
      </c>
      <c r="H126">
        <v>5.95967762991036E-2</v>
      </c>
      <c r="I126">
        <v>4.0872334286692097E-2</v>
      </c>
      <c r="J126">
        <v>2.7965295771990899E-2</v>
      </c>
      <c r="K126">
        <v>2.3695617718061598E-2</v>
      </c>
      <c r="L126">
        <v>845.28143274556101</v>
      </c>
      <c r="M126">
        <v>17.1140277659342</v>
      </c>
      <c r="N126">
        <v>49.481458172884999</v>
      </c>
      <c r="O126">
        <v>48.731572136462503</v>
      </c>
      <c r="P126">
        <v>-8.6452599642745098E-2</v>
      </c>
      <c r="Q126">
        <v>1.53767274475279E-2</v>
      </c>
      <c r="R126">
        <v>0.99333933327684598</v>
      </c>
      <c r="S126" t="s">
        <v>4866</v>
      </c>
      <c r="T126" t="s">
        <v>9478</v>
      </c>
      <c r="U126" t="s">
        <v>9478</v>
      </c>
      <c r="V126" t="s">
        <v>9478</v>
      </c>
      <c r="W126">
        <v>8</v>
      </c>
      <c r="X126" t="s">
        <v>9604</v>
      </c>
      <c r="Y126">
        <v>0.34228627271587941</v>
      </c>
      <c r="Z126" t="str">
        <f>HYPERLINK("Melting_Curves/meltCurve_sp_O14981_BTAF1_HUMAN_.pdf", "Melting_Curves/meltCurve_sp_O14981_BTAF1_HUMAN_.pdf")</f>
        <v>Melting_Curves/meltCurve_sp_O14981_BTAF1_HUMAN_.pdf</v>
      </c>
      <c r="AA126" t="s">
        <v>14339</v>
      </c>
      <c r="AB126" t="s">
        <v>18961</v>
      </c>
    </row>
    <row r="127" spans="1:28" x14ac:dyDescent="0.25">
      <c r="A127" t="s">
        <v>131</v>
      </c>
      <c r="B127">
        <v>0.99904790336628502</v>
      </c>
      <c r="C127">
        <v>0.79716811982904301</v>
      </c>
      <c r="D127">
        <v>0.92277279671900203</v>
      </c>
      <c r="E127">
        <v>0.69009130994545598</v>
      </c>
      <c r="F127">
        <v>0.69198444773683698</v>
      </c>
      <c r="G127">
        <v>0.54412235769085804</v>
      </c>
      <c r="H127">
        <v>0.45125092076958601</v>
      </c>
      <c r="I127">
        <v>0.44959865238472602</v>
      </c>
      <c r="J127">
        <v>0.49580157441552902</v>
      </c>
      <c r="K127">
        <v>0.32112182196128097</v>
      </c>
      <c r="L127">
        <v>392.12207875780803</v>
      </c>
      <c r="M127">
        <v>7.2616532047001598</v>
      </c>
      <c r="N127">
        <v>60.187472639452999</v>
      </c>
      <c r="O127">
        <v>50.355420608162497</v>
      </c>
      <c r="P127">
        <v>-2.6612564588367301E-2</v>
      </c>
      <c r="Q127">
        <v>0.26302213697964</v>
      </c>
      <c r="R127">
        <v>0.91553971777333298</v>
      </c>
      <c r="S127" t="s">
        <v>4867</v>
      </c>
      <c r="T127" t="s">
        <v>9478</v>
      </c>
      <c r="U127" t="s">
        <v>9478</v>
      </c>
      <c r="V127" t="s">
        <v>9478</v>
      </c>
      <c r="W127">
        <v>2</v>
      </c>
      <c r="X127" t="s">
        <v>9605</v>
      </c>
      <c r="Y127">
        <v>0.6329746747603916</v>
      </c>
      <c r="Z127" t="str">
        <f>HYPERLINK("Melting_Curves/meltCurve_sp_O15014_ZN609_HUMAN_.pdf", "Melting_Curves/meltCurve_sp_O15014_ZN609_HUMAN_.pdf")</f>
        <v>Melting_Curves/meltCurve_sp_O15014_ZN609_HUMAN_.pdf</v>
      </c>
      <c r="AA127" t="s">
        <v>14340</v>
      </c>
      <c r="AB127" t="s">
        <v>18962</v>
      </c>
    </row>
    <row r="128" spans="1:28" x14ac:dyDescent="0.25">
      <c r="A128" t="s">
        <v>132</v>
      </c>
      <c r="B128">
        <v>0.99904790336628502</v>
      </c>
      <c r="C128">
        <v>1.09361626008874</v>
      </c>
      <c r="D128">
        <v>1.0819883574367799</v>
      </c>
      <c r="E128">
        <v>0.77310822589923001</v>
      </c>
      <c r="F128">
        <v>0.366615168241193</v>
      </c>
      <c r="G128">
        <v>0.21833384476679199</v>
      </c>
      <c r="H128">
        <v>0.13803341001209701</v>
      </c>
      <c r="I128">
        <v>0.110399546483178</v>
      </c>
      <c r="J128">
        <v>9.6349267358972507E-2</v>
      </c>
      <c r="K128">
        <v>8.6430345924292495E-2</v>
      </c>
      <c r="L128">
        <v>1732.8690100763299</v>
      </c>
      <c r="M128">
        <v>33.557671050546098</v>
      </c>
      <c r="N128">
        <v>52.0595278764537</v>
      </c>
      <c r="O128">
        <v>51.456199530739198</v>
      </c>
      <c r="P128">
        <v>-0.14366586030254</v>
      </c>
      <c r="Q128">
        <v>0.11883426960976499</v>
      </c>
      <c r="R128">
        <v>0.98591844448965404</v>
      </c>
      <c r="S128" t="s">
        <v>4868</v>
      </c>
      <c r="T128" t="s">
        <v>9478</v>
      </c>
      <c r="U128" t="s">
        <v>9478</v>
      </c>
      <c r="V128" t="s">
        <v>9478</v>
      </c>
      <c r="W128">
        <v>81</v>
      </c>
      <c r="X128" t="s">
        <v>9606</v>
      </c>
      <c r="Y128">
        <v>0.46515841699162469</v>
      </c>
      <c r="Z128" t="str">
        <f>HYPERLINK("Melting_Curves/meltCurve_sp_O15020_SPTN2_HUMAN_.pdf", "Melting_Curves/meltCurve_sp_O15020_SPTN2_HUMAN_.pdf")</f>
        <v>Melting_Curves/meltCurve_sp_O15020_SPTN2_HUMAN_.pdf</v>
      </c>
      <c r="AA128" t="s">
        <v>14341</v>
      </c>
      <c r="AB128" t="s">
        <v>18963</v>
      </c>
    </row>
    <row r="129" spans="1:28" x14ac:dyDescent="0.25">
      <c r="A129" t="s">
        <v>133</v>
      </c>
      <c r="B129">
        <v>0.99904790336628502</v>
      </c>
      <c r="C129">
        <v>1.3044632635164599</v>
      </c>
      <c r="D129">
        <v>0.97484551301793598</v>
      </c>
      <c r="E129">
        <v>0.945614616779618</v>
      </c>
      <c r="F129">
        <v>1.18481233562112</v>
      </c>
      <c r="G129">
        <v>0.69037952066042696</v>
      </c>
      <c r="H129">
        <v>0.55924626720315496</v>
      </c>
      <c r="I129">
        <v>0.41407565016180498</v>
      </c>
      <c r="J129">
        <v>0.81276015942258995</v>
      </c>
      <c r="K129">
        <v>0.62348557868373999</v>
      </c>
      <c r="L129">
        <v>14178.285397805201</v>
      </c>
      <c r="M129">
        <v>250</v>
      </c>
      <c r="O129">
        <v>56.709520222480798</v>
      </c>
      <c r="P129">
        <v>-0.43820700838640098</v>
      </c>
      <c r="Q129">
        <v>0.602391908448765</v>
      </c>
      <c r="R129">
        <v>0.70421141154188505</v>
      </c>
      <c r="S129" t="s">
        <v>4869</v>
      </c>
      <c r="T129" t="s">
        <v>9478</v>
      </c>
      <c r="U129" t="s">
        <v>9478</v>
      </c>
      <c r="V129" t="s">
        <v>9478</v>
      </c>
      <c r="W129">
        <v>6</v>
      </c>
      <c r="X129" t="s">
        <v>9607</v>
      </c>
      <c r="Y129">
        <v>0.82394082704985439</v>
      </c>
      <c r="Z129" t="str">
        <f>HYPERLINK("Melting_Curves/meltCurve_sp_O15021_2_MAST4_HUMAN_.pdf", "Melting_Curves/meltCurve_sp_O15021_2_MAST4_HUMAN_.pdf")</f>
        <v>Melting_Curves/meltCurve_sp_O15021_2_MAST4_HUMAN_.pdf</v>
      </c>
      <c r="AA129" t="s">
        <v>14342</v>
      </c>
      <c r="AB129" t="s">
        <v>18964</v>
      </c>
    </row>
    <row r="130" spans="1:28" x14ac:dyDescent="0.25">
      <c r="A130" t="s">
        <v>134</v>
      </c>
      <c r="B130">
        <v>0.99904790336628502</v>
      </c>
      <c r="C130">
        <v>1.1360230226869801</v>
      </c>
      <c r="D130">
        <v>1.1398109047888201</v>
      </c>
      <c r="E130">
        <v>1.12586441011887</v>
      </c>
      <c r="F130">
        <v>1.2167692709868001</v>
      </c>
      <c r="G130">
        <v>0.71327771971623699</v>
      </c>
      <c r="H130">
        <v>0.38683118748149198</v>
      </c>
      <c r="I130">
        <v>0.33602538061908899</v>
      </c>
      <c r="J130">
        <v>0.38374217468918997</v>
      </c>
      <c r="K130">
        <v>0.286685228223101</v>
      </c>
      <c r="L130">
        <v>7999.06205017513</v>
      </c>
      <c r="M130">
        <v>140.09285577086101</v>
      </c>
      <c r="N130">
        <v>57.588568911151597</v>
      </c>
      <c r="O130">
        <v>57.086653607716201</v>
      </c>
      <c r="P130">
        <v>-0.39982677972053399</v>
      </c>
      <c r="Q130">
        <v>0.34829588947935303</v>
      </c>
      <c r="R130">
        <v>0.92151403207679705</v>
      </c>
      <c r="S130" t="s">
        <v>4870</v>
      </c>
      <c r="T130" t="s">
        <v>9478</v>
      </c>
      <c r="U130" t="s">
        <v>9478</v>
      </c>
      <c r="V130" t="s">
        <v>9478</v>
      </c>
      <c r="W130">
        <v>2</v>
      </c>
      <c r="X130" t="s">
        <v>9608</v>
      </c>
      <c r="Y130">
        <v>0.71993808252999825</v>
      </c>
      <c r="Z130" t="str">
        <f>HYPERLINK("Melting_Curves/meltCurve_sp_O15031_PLXB2_HUMAN_.pdf", "Melting_Curves/meltCurve_sp_O15031_PLXB2_HUMAN_.pdf")</f>
        <v>Melting_Curves/meltCurve_sp_O15031_PLXB2_HUMAN_.pdf</v>
      </c>
      <c r="AA130" t="s">
        <v>14343</v>
      </c>
      <c r="AB130" t="s">
        <v>18965</v>
      </c>
    </row>
    <row r="131" spans="1:28" x14ac:dyDescent="0.25">
      <c r="A131" t="s">
        <v>135</v>
      </c>
      <c r="B131">
        <v>0.99904790336628502</v>
      </c>
      <c r="C131">
        <v>0.69347325886639699</v>
      </c>
      <c r="D131">
        <v>0.76653011351451905</v>
      </c>
      <c r="E131">
        <v>0.63388030593365996</v>
      </c>
      <c r="F131">
        <v>0.566358753238976</v>
      </c>
      <c r="G131">
        <v>0.40467471235972102</v>
      </c>
      <c r="H131">
        <v>0.26638858969340301</v>
      </c>
      <c r="I131">
        <v>0.240060031737171</v>
      </c>
      <c r="J131">
        <v>0.239213073040316</v>
      </c>
      <c r="K131">
        <v>0.24898091878020501</v>
      </c>
      <c r="L131">
        <v>366.59471867438401</v>
      </c>
      <c r="M131">
        <v>7.0018866769446797</v>
      </c>
      <c r="N131">
        <v>53.508622238730297</v>
      </c>
      <c r="O131">
        <v>48.587725070017299</v>
      </c>
      <c r="P131">
        <v>-3.3568277269739502E-2</v>
      </c>
      <c r="Q131">
        <v>6.9970121800438295E-2</v>
      </c>
      <c r="R131">
        <v>0.939115955845507</v>
      </c>
      <c r="S131" t="s">
        <v>4871</v>
      </c>
      <c r="T131" t="s">
        <v>9478</v>
      </c>
      <c r="U131" t="s">
        <v>9478</v>
      </c>
      <c r="V131" t="s">
        <v>9478</v>
      </c>
      <c r="W131">
        <v>2</v>
      </c>
      <c r="X131" t="s">
        <v>9609</v>
      </c>
      <c r="Y131">
        <v>0.49904775066266788</v>
      </c>
      <c r="Z131" t="str">
        <f>HYPERLINK("Melting_Curves/meltCurve_sp_O15037_KHNYN_HUMAN_.pdf", "Melting_Curves/meltCurve_sp_O15037_KHNYN_HUMAN_.pdf")</f>
        <v>Melting_Curves/meltCurve_sp_O15037_KHNYN_HUMAN_.pdf</v>
      </c>
      <c r="AA131" t="s">
        <v>14344</v>
      </c>
      <c r="AB131" t="s">
        <v>18966</v>
      </c>
    </row>
    <row r="132" spans="1:28" x14ac:dyDescent="0.25">
      <c r="A132" t="s">
        <v>136</v>
      </c>
      <c r="B132">
        <v>0.99904790336628502</v>
      </c>
      <c r="C132">
        <v>1.0289511903445101</v>
      </c>
      <c r="D132">
        <v>0.996293674427848</v>
      </c>
      <c r="E132">
        <v>0.78741574769324196</v>
      </c>
      <c r="F132">
        <v>0.53079900826781001</v>
      </c>
      <c r="G132">
        <v>0.208506780760674</v>
      </c>
      <c r="H132">
        <v>7.3808586183472094E-2</v>
      </c>
      <c r="I132">
        <v>6.4203239159140404E-2</v>
      </c>
      <c r="J132">
        <v>7.7140167221141406E-2</v>
      </c>
      <c r="K132">
        <v>0</v>
      </c>
      <c r="L132">
        <v>1172.93867962897</v>
      </c>
      <c r="M132">
        <v>22.093272898840301</v>
      </c>
      <c r="N132">
        <v>53.251025273891997</v>
      </c>
      <c r="O132">
        <v>52.661100052609598</v>
      </c>
      <c r="P132">
        <v>-0.101503676987256</v>
      </c>
      <c r="Q132">
        <v>3.22525315326775E-2</v>
      </c>
      <c r="R132">
        <v>0.99712416419369798</v>
      </c>
      <c r="S132" t="s">
        <v>4872</v>
      </c>
      <c r="T132" t="s">
        <v>9478</v>
      </c>
      <c r="U132" t="s">
        <v>9478</v>
      </c>
      <c r="V132" t="s">
        <v>9478</v>
      </c>
      <c r="W132">
        <v>2</v>
      </c>
      <c r="X132" t="s">
        <v>9610</v>
      </c>
      <c r="Y132">
        <v>0.46570371149750911</v>
      </c>
      <c r="Z132" t="str">
        <f>HYPERLINK("Melting_Curves/meltCurve_sp_O15047_SET1A_HUMAN_.pdf", "Melting_Curves/meltCurve_sp_O15047_SET1A_HUMAN_.pdf")</f>
        <v>Melting_Curves/meltCurve_sp_O15047_SET1A_HUMAN_.pdf</v>
      </c>
      <c r="AA132" t="s">
        <v>14345</v>
      </c>
      <c r="AB132" t="s">
        <v>18967</v>
      </c>
    </row>
    <row r="133" spans="1:28" x14ac:dyDescent="0.25">
      <c r="A133" t="s">
        <v>137</v>
      </c>
      <c r="B133">
        <v>0.99904790336628502</v>
      </c>
      <c r="C133">
        <v>0.95155144296120697</v>
      </c>
      <c r="D133">
        <v>1.0321689204332301</v>
      </c>
      <c r="E133">
        <v>0.85214417714095403</v>
      </c>
      <c r="F133">
        <v>0.47203411176693799</v>
      </c>
      <c r="G133">
        <v>0.203910729421655</v>
      </c>
      <c r="H133">
        <v>6.4607142710900997E-2</v>
      </c>
      <c r="I133">
        <v>6.7928726903491707E-2</v>
      </c>
      <c r="J133">
        <v>6.4385489010140198E-2</v>
      </c>
      <c r="K133">
        <v>8.56880236203416E-2</v>
      </c>
      <c r="L133">
        <v>1540.5334796647301</v>
      </c>
      <c r="M133">
        <v>29.2454457307214</v>
      </c>
      <c r="N133">
        <v>52.955832238098502</v>
      </c>
      <c r="O133">
        <v>52.431569898255397</v>
      </c>
      <c r="P133">
        <v>-0.12946385911623201</v>
      </c>
      <c r="Q133">
        <v>7.1589643880141204E-2</v>
      </c>
      <c r="R133">
        <v>0.99550704572617899</v>
      </c>
      <c r="S133" t="s">
        <v>4873</v>
      </c>
      <c r="T133" t="s">
        <v>9478</v>
      </c>
      <c r="U133" t="s">
        <v>9478</v>
      </c>
      <c r="V133" t="s">
        <v>9478</v>
      </c>
      <c r="W133">
        <v>3</v>
      </c>
      <c r="X133" t="s">
        <v>9611</v>
      </c>
      <c r="Y133">
        <v>0.47017465295936162</v>
      </c>
      <c r="Z133" t="str">
        <f>HYPERLINK("Melting_Curves/meltCurve_sp_O15056_3_SYNJ2_HUMAN_.pdf", "Melting_Curves/meltCurve_sp_O15056_3_SYNJ2_HUMAN_.pdf")</f>
        <v>Melting_Curves/meltCurve_sp_O15056_3_SYNJ2_HUMAN_.pdf</v>
      </c>
      <c r="AA133" t="s">
        <v>14346</v>
      </c>
      <c r="AB133" t="s">
        <v>18968</v>
      </c>
    </row>
    <row r="134" spans="1:28" x14ac:dyDescent="0.25">
      <c r="A134" t="s">
        <v>138</v>
      </c>
      <c r="B134">
        <v>0.99904790336628502</v>
      </c>
      <c r="C134">
        <v>0.94584005607985</v>
      </c>
      <c r="D134">
        <v>0.85959553879531303</v>
      </c>
      <c r="E134">
        <v>0.32552641130953203</v>
      </c>
      <c r="F134">
        <v>0.13973330891288999</v>
      </c>
      <c r="G134">
        <v>8.5760775190579702E-2</v>
      </c>
      <c r="H134">
        <v>5.0994004444041299E-2</v>
      </c>
      <c r="I134">
        <v>3.7138924221002401E-2</v>
      </c>
      <c r="J134">
        <v>2.62515313054952E-2</v>
      </c>
      <c r="K134">
        <v>2.23484251816327E-2</v>
      </c>
      <c r="L134">
        <v>1374.06156845238</v>
      </c>
      <c r="M134">
        <v>28.263201179324501</v>
      </c>
      <c r="N134">
        <v>48.765301860479902</v>
      </c>
      <c r="O134">
        <v>48.3752065924687</v>
      </c>
      <c r="P134">
        <v>-0.14003424311166501</v>
      </c>
      <c r="Q134">
        <v>4.1279445185632598E-2</v>
      </c>
      <c r="R134">
        <v>0.99775949447443502</v>
      </c>
      <c r="S134" t="s">
        <v>4874</v>
      </c>
      <c r="T134" t="s">
        <v>9478</v>
      </c>
      <c r="U134" t="s">
        <v>9478</v>
      </c>
      <c r="V134" t="s">
        <v>9478</v>
      </c>
      <c r="W134">
        <v>27</v>
      </c>
      <c r="X134" t="s">
        <v>9612</v>
      </c>
      <c r="Y134">
        <v>0.32321520673585402</v>
      </c>
      <c r="Z134" t="str">
        <f>HYPERLINK("Melting_Curves/meltCurve_sp_O15067_PUR4_HUMAN_.pdf", "Melting_Curves/meltCurve_sp_O15067_PUR4_HUMAN_.pdf")</f>
        <v>Melting_Curves/meltCurve_sp_O15067_PUR4_HUMAN_.pdf</v>
      </c>
      <c r="AA134" t="s">
        <v>14347</v>
      </c>
      <c r="AB134" t="s">
        <v>18969</v>
      </c>
    </row>
    <row r="135" spans="1:28" x14ac:dyDescent="0.25">
      <c r="A135" t="s">
        <v>139</v>
      </c>
      <c r="B135">
        <v>0.99904790336628502</v>
      </c>
      <c r="C135">
        <v>1.03704597362135</v>
      </c>
      <c r="D135">
        <v>0.99039254150905798</v>
      </c>
      <c r="E135">
        <v>0.73366009028727697</v>
      </c>
      <c r="F135">
        <v>0.357232071780059</v>
      </c>
      <c r="G135">
        <v>0.129471216611004</v>
      </c>
      <c r="H135">
        <v>7.6099805525615002E-2</v>
      </c>
      <c r="I135">
        <v>4.7435552339320702E-2</v>
      </c>
      <c r="J135">
        <v>3.8441048658168601E-2</v>
      </c>
      <c r="K135">
        <v>3.27508549096606E-2</v>
      </c>
      <c r="L135">
        <v>1451.7681051351601</v>
      </c>
      <c r="M135">
        <v>28.0818902596519</v>
      </c>
      <c r="N135">
        <v>51.878668988018703</v>
      </c>
      <c r="O135">
        <v>51.437613733227799</v>
      </c>
      <c r="P135">
        <v>-0.13011716426004999</v>
      </c>
      <c r="Q135">
        <v>4.6665030443960198E-2</v>
      </c>
      <c r="R135">
        <v>0.99835100571521995</v>
      </c>
      <c r="S135" t="s">
        <v>4875</v>
      </c>
      <c r="T135" t="s">
        <v>9478</v>
      </c>
      <c r="U135" t="s">
        <v>9478</v>
      </c>
      <c r="V135" t="s">
        <v>9478</v>
      </c>
      <c r="W135">
        <v>7</v>
      </c>
      <c r="X135" t="s">
        <v>9613</v>
      </c>
      <c r="Y135">
        <v>0.42530194511545388</v>
      </c>
      <c r="Z135" t="str">
        <f>HYPERLINK("Melting_Curves/meltCurve_sp_O15084_ANR28_HUMAN_.pdf", "Melting_Curves/meltCurve_sp_O15084_ANR28_HUMAN_.pdf")</f>
        <v>Melting_Curves/meltCurve_sp_O15084_ANR28_HUMAN_.pdf</v>
      </c>
      <c r="AA135" t="s">
        <v>14348</v>
      </c>
      <c r="AB135" t="s">
        <v>18970</v>
      </c>
    </row>
    <row r="136" spans="1:28" x14ac:dyDescent="0.25">
      <c r="A136" t="s">
        <v>140</v>
      </c>
      <c r="B136">
        <v>0.99904790336628502</v>
      </c>
      <c r="C136">
        <v>0.92755182709588702</v>
      </c>
      <c r="D136">
        <v>0.918990012060106</v>
      </c>
      <c r="E136">
        <v>0.78330607685285902</v>
      </c>
      <c r="F136">
        <v>0.537466741307978</v>
      </c>
      <c r="G136">
        <v>0.28858290309628798</v>
      </c>
      <c r="H136">
        <v>0.21024557715408401</v>
      </c>
      <c r="I136">
        <v>0.19583454794094099</v>
      </c>
      <c r="J136">
        <v>0.20776730614941599</v>
      </c>
      <c r="K136">
        <v>0.20699979797065199</v>
      </c>
      <c r="L136">
        <v>1078.8235514633</v>
      </c>
      <c r="M136">
        <v>20.6691370735082</v>
      </c>
      <c r="N136">
        <v>53.395137160995503</v>
      </c>
      <c r="O136">
        <v>51.713690948447301</v>
      </c>
      <c r="P136">
        <v>-8.13570506559671E-2</v>
      </c>
      <c r="Q136">
        <v>0.18580962093551601</v>
      </c>
      <c r="R136">
        <v>0.99385663384555201</v>
      </c>
      <c r="S136" t="s">
        <v>4876</v>
      </c>
      <c r="T136" t="s">
        <v>9478</v>
      </c>
      <c r="U136" t="s">
        <v>9478</v>
      </c>
      <c r="V136" t="s">
        <v>9478</v>
      </c>
      <c r="W136">
        <v>5</v>
      </c>
      <c r="X136" t="s">
        <v>9614</v>
      </c>
      <c r="Y136">
        <v>0.52738925087020472</v>
      </c>
      <c r="Z136" t="str">
        <f>HYPERLINK("Melting_Curves/meltCurve_sp_O15085_ARHGB_HUMAN_.pdf", "Melting_Curves/meltCurve_sp_O15085_ARHGB_HUMAN_.pdf")</f>
        <v>Melting_Curves/meltCurve_sp_O15085_ARHGB_HUMAN_.pdf</v>
      </c>
      <c r="AA136" t="s">
        <v>14349</v>
      </c>
      <c r="AB136" t="s">
        <v>18971</v>
      </c>
    </row>
    <row r="137" spans="1:28" x14ac:dyDescent="0.25">
      <c r="A137" t="s">
        <v>141</v>
      </c>
      <c r="B137">
        <v>0.99904790336628502</v>
      </c>
      <c r="C137">
        <v>0.96520806936186798</v>
      </c>
      <c r="D137">
        <v>0.96252486007517601</v>
      </c>
      <c r="E137">
        <v>1.0092528890741601</v>
      </c>
      <c r="F137">
        <v>0.96161688349718799</v>
      </c>
      <c r="G137">
        <v>0.81317476383576204</v>
      </c>
      <c r="H137">
        <v>0.63277586742616698</v>
      </c>
      <c r="I137">
        <v>0.47828109748255998</v>
      </c>
      <c r="J137">
        <v>0.35657553330071401</v>
      </c>
      <c r="K137">
        <v>0.22339249457469099</v>
      </c>
      <c r="L137">
        <v>891.64206353141799</v>
      </c>
      <c r="M137">
        <v>14.112919762548501</v>
      </c>
      <c r="N137">
        <v>63.575188240783604</v>
      </c>
      <c r="O137">
        <v>61.9511960368392</v>
      </c>
      <c r="P137">
        <v>-5.4562076483295897E-2</v>
      </c>
      <c r="Q137">
        <v>4.2082465548163799E-2</v>
      </c>
      <c r="R137">
        <v>0.99434344709405997</v>
      </c>
      <c r="S137" t="s">
        <v>4877</v>
      </c>
      <c r="T137" t="s">
        <v>9478</v>
      </c>
      <c r="U137" t="s">
        <v>9478</v>
      </c>
      <c r="V137" t="s">
        <v>9478</v>
      </c>
      <c r="W137">
        <v>2</v>
      </c>
      <c r="X137" t="s">
        <v>9615</v>
      </c>
      <c r="Y137">
        <v>0.76974135975217683</v>
      </c>
      <c r="Z137" t="str">
        <f>HYPERLINK("Melting_Curves/meltCurve_sp_O15116_LSM1_HUMAN_.pdf", "Melting_Curves/meltCurve_sp_O15116_LSM1_HUMAN_.pdf")</f>
        <v>Melting_Curves/meltCurve_sp_O15116_LSM1_HUMAN_.pdf</v>
      </c>
      <c r="AA137" t="s">
        <v>14350</v>
      </c>
      <c r="AB137" t="s">
        <v>18972</v>
      </c>
    </row>
    <row r="138" spans="1:28" x14ac:dyDescent="0.25">
      <c r="A138" t="s">
        <v>142</v>
      </c>
      <c r="B138">
        <v>0.99904790336628502</v>
      </c>
      <c r="C138">
        <v>1.0178330275304699</v>
      </c>
      <c r="D138">
        <v>1.0863908053371301</v>
      </c>
      <c r="E138">
        <v>1.00485844790805</v>
      </c>
      <c r="F138">
        <v>0.82316010493746705</v>
      </c>
      <c r="G138">
        <v>0.440343921217072</v>
      </c>
      <c r="H138">
        <v>0.109601244638744</v>
      </c>
      <c r="I138">
        <v>6.6695928473620006E-2</v>
      </c>
      <c r="J138">
        <v>5.4417156013353597E-2</v>
      </c>
      <c r="K138">
        <v>5.2333081789673302E-2</v>
      </c>
      <c r="L138">
        <v>1599.3965231821701</v>
      </c>
      <c r="M138">
        <v>28.4759517714248</v>
      </c>
      <c r="N138">
        <v>56.332127852464701</v>
      </c>
      <c r="O138">
        <v>55.891761204891402</v>
      </c>
      <c r="P138">
        <v>-0.122259043053733</v>
      </c>
      <c r="Q138">
        <v>4.0141869342090901E-2</v>
      </c>
      <c r="R138">
        <v>0.99431862747265898</v>
      </c>
      <c r="S138" t="s">
        <v>4878</v>
      </c>
      <c r="T138" t="s">
        <v>9478</v>
      </c>
      <c r="U138" t="s">
        <v>9478</v>
      </c>
      <c r="V138" t="s">
        <v>9478</v>
      </c>
      <c r="W138">
        <v>18</v>
      </c>
      <c r="X138" t="s">
        <v>9616</v>
      </c>
      <c r="Y138">
        <v>0.5644284721101781</v>
      </c>
      <c r="Z138" t="str">
        <f>HYPERLINK("Melting_Curves/meltCurve_sp_O15143_ARC1B_HUMAN_.pdf", "Melting_Curves/meltCurve_sp_O15143_ARC1B_HUMAN_.pdf")</f>
        <v>Melting_Curves/meltCurve_sp_O15143_ARC1B_HUMAN_.pdf</v>
      </c>
      <c r="AA138" t="s">
        <v>14351</v>
      </c>
      <c r="AB138" t="s">
        <v>18973</v>
      </c>
    </row>
    <row r="139" spans="1:28" x14ac:dyDescent="0.25">
      <c r="A139" t="s">
        <v>143</v>
      </c>
      <c r="B139">
        <v>0.99904790336628502</v>
      </c>
      <c r="C139">
        <v>1.02862190697501</v>
      </c>
      <c r="D139">
        <v>1.09234310597914</v>
      </c>
      <c r="E139">
        <v>1.0351593703142199</v>
      </c>
      <c r="F139">
        <v>0.86964438412460099</v>
      </c>
      <c r="G139">
        <v>0.52520546883780905</v>
      </c>
      <c r="H139">
        <v>0.154652933187817</v>
      </c>
      <c r="I139">
        <v>6.9670024185430696E-2</v>
      </c>
      <c r="J139">
        <v>4.68124971753743E-2</v>
      </c>
      <c r="K139">
        <v>4.2709037567558499E-2</v>
      </c>
      <c r="L139">
        <v>1631.38310424933</v>
      </c>
      <c r="M139">
        <v>28.626892017675999</v>
      </c>
      <c r="N139">
        <v>57.123962620510099</v>
      </c>
      <c r="O139">
        <v>56.7118657948741</v>
      </c>
      <c r="P139">
        <v>-0.122033120022201</v>
      </c>
      <c r="Q139">
        <v>3.2983174124048401E-2</v>
      </c>
      <c r="R139">
        <v>0.99313293724464202</v>
      </c>
      <c r="S139" t="s">
        <v>4879</v>
      </c>
      <c r="T139" t="s">
        <v>9478</v>
      </c>
      <c r="U139" t="s">
        <v>9478</v>
      </c>
      <c r="V139" t="s">
        <v>9478</v>
      </c>
      <c r="W139">
        <v>19</v>
      </c>
      <c r="X139" t="s">
        <v>9617</v>
      </c>
      <c r="Y139">
        <v>0.58755072773955563</v>
      </c>
      <c r="Z139" t="str">
        <f>HYPERLINK("Melting_Curves/meltCurve_sp_O15144_ARPC2_HUMAN_.pdf", "Melting_Curves/meltCurve_sp_O15144_ARPC2_HUMAN_.pdf")</f>
        <v>Melting_Curves/meltCurve_sp_O15144_ARPC2_HUMAN_.pdf</v>
      </c>
      <c r="AA139" t="s">
        <v>14352</v>
      </c>
      <c r="AB139" t="s">
        <v>18974</v>
      </c>
    </row>
    <row r="140" spans="1:28" x14ac:dyDescent="0.25">
      <c r="A140" t="s">
        <v>144</v>
      </c>
      <c r="B140">
        <v>0.99904790336628502</v>
      </c>
      <c r="C140">
        <v>1.3363057194136001</v>
      </c>
      <c r="D140">
        <v>1.2971861379751499</v>
      </c>
      <c r="E140">
        <v>1.1451266912225799</v>
      </c>
      <c r="F140">
        <v>1.04042185861196</v>
      </c>
      <c r="G140">
        <v>0.59619350948959404</v>
      </c>
      <c r="H140">
        <v>0.249386513516487</v>
      </c>
      <c r="I140">
        <v>0.15376263798038001</v>
      </c>
      <c r="J140">
        <v>0.12975891079749499</v>
      </c>
      <c r="K140">
        <v>0.10454456757736701</v>
      </c>
      <c r="L140">
        <v>2362.4754976085601</v>
      </c>
      <c r="M140">
        <v>41.204044051388401</v>
      </c>
      <c r="N140">
        <v>57.7815690294441</v>
      </c>
      <c r="O140">
        <v>57.201476505050501</v>
      </c>
      <c r="P140">
        <v>-0.15557399748383799</v>
      </c>
      <c r="Q140">
        <v>0.136100101431225</v>
      </c>
      <c r="R140">
        <v>0.90166947911566897</v>
      </c>
      <c r="S140" t="s">
        <v>4880</v>
      </c>
      <c r="T140" t="s">
        <v>9478</v>
      </c>
      <c r="U140" t="s">
        <v>9478</v>
      </c>
      <c r="V140" t="s">
        <v>9478</v>
      </c>
      <c r="W140">
        <v>9</v>
      </c>
      <c r="X140" t="s">
        <v>9618</v>
      </c>
      <c r="Y140">
        <v>0.63850846725965671</v>
      </c>
      <c r="Z140" t="str">
        <f>HYPERLINK("Melting_Curves/meltCurve_sp_O15145_ARPC3_HUMAN_.pdf", "Melting_Curves/meltCurve_sp_O15145_ARPC3_HUMAN_.pdf")</f>
        <v>Melting_Curves/meltCurve_sp_O15145_ARPC3_HUMAN_.pdf</v>
      </c>
      <c r="AA140" t="s">
        <v>14353</v>
      </c>
      <c r="AB140" t="s">
        <v>18975</v>
      </c>
    </row>
    <row r="141" spans="1:28" x14ac:dyDescent="0.25">
      <c r="A141" t="s">
        <v>145</v>
      </c>
      <c r="B141">
        <v>0.99904790336628502</v>
      </c>
      <c r="C141">
        <v>1.1768165178958301</v>
      </c>
      <c r="D141">
        <v>0.98419932567871005</v>
      </c>
      <c r="E141">
        <v>0.99686836550283897</v>
      </c>
      <c r="F141">
        <v>1.0638037209620601</v>
      </c>
      <c r="G141">
        <v>0.72267064384370805</v>
      </c>
      <c r="H141">
        <v>0.51887713892073295</v>
      </c>
      <c r="I141">
        <v>0.47822397234318198</v>
      </c>
      <c r="J141">
        <v>0.44871395009150999</v>
      </c>
      <c r="K141">
        <v>0.29649129228270399</v>
      </c>
      <c r="L141">
        <v>1628.53826125301</v>
      </c>
      <c r="M141">
        <v>28.048641641500001</v>
      </c>
      <c r="N141">
        <v>61.256917781693097</v>
      </c>
      <c r="O141">
        <v>57.768491313403501</v>
      </c>
      <c r="P141">
        <v>-7.4741476403480903E-2</v>
      </c>
      <c r="Q141">
        <v>0.38426031069045602</v>
      </c>
      <c r="R141">
        <v>0.933617597821923</v>
      </c>
      <c r="S141" t="s">
        <v>4881</v>
      </c>
      <c r="T141" t="s">
        <v>9478</v>
      </c>
      <c r="U141" t="s">
        <v>9478</v>
      </c>
      <c r="V141" t="s">
        <v>9478</v>
      </c>
      <c r="W141">
        <v>3</v>
      </c>
      <c r="X141" t="s">
        <v>9619</v>
      </c>
      <c r="Y141">
        <v>0.75946953103825254</v>
      </c>
      <c r="Z141" t="str">
        <f>HYPERLINK("Melting_Curves/meltCurve_sp_O15156_ZBT7B_HUMAN_.pdf", "Melting_Curves/meltCurve_sp_O15156_ZBT7B_HUMAN_.pdf")</f>
        <v>Melting_Curves/meltCurve_sp_O15156_ZBT7B_HUMAN_.pdf</v>
      </c>
      <c r="AA141" t="s">
        <v>14354</v>
      </c>
      <c r="AB141" t="s">
        <v>18976</v>
      </c>
    </row>
    <row r="142" spans="1:28" x14ac:dyDescent="0.25">
      <c r="A142" t="s">
        <v>146</v>
      </c>
      <c r="B142">
        <v>0.99904790336628502</v>
      </c>
      <c r="C142">
        <v>0.83760693468323699</v>
      </c>
      <c r="D142">
        <v>0.78797793589682197</v>
      </c>
      <c r="E142">
        <v>0.59850654690715999</v>
      </c>
      <c r="F142">
        <v>0.490340843008158</v>
      </c>
      <c r="G142">
        <v>0.31850349063379901</v>
      </c>
      <c r="H142">
        <v>0.19143988059573</v>
      </c>
      <c r="I142">
        <v>0.14631039472280799</v>
      </c>
      <c r="J142">
        <v>0.14256586370565499</v>
      </c>
      <c r="K142">
        <v>0.13294957366396901</v>
      </c>
      <c r="L142">
        <v>514.21534733076498</v>
      </c>
      <c r="M142">
        <v>9.9518657260829695</v>
      </c>
      <c r="N142">
        <v>52.176219069840599</v>
      </c>
      <c r="O142">
        <v>49.713805988744298</v>
      </c>
      <c r="P142">
        <v>-4.7767467061048403E-2</v>
      </c>
      <c r="Q142">
        <v>4.5997322162210197E-2</v>
      </c>
      <c r="R142">
        <v>0.99221173390323003</v>
      </c>
      <c r="S142" t="s">
        <v>4882</v>
      </c>
      <c r="T142" t="s">
        <v>9478</v>
      </c>
      <c r="U142" t="s">
        <v>9478</v>
      </c>
      <c r="V142" t="s">
        <v>9478</v>
      </c>
      <c r="W142">
        <v>3</v>
      </c>
      <c r="X142" t="s">
        <v>9620</v>
      </c>
      <c r="Y142">
        <v>0.45468617156474</v>
      </c>
      <c r="Z142" t="str">
        <f>HYPERLINK("Melting_Curves/meltCurve_sp_O15164_2_TIF1A_HUMAN_.pdf", "Melting_Curves/meltCurve_sp_O15164_2_TIF1A_HUMAN_.pdf")</f>
        <v>Melting_Curves/meltCurve_sp_O15164_2_TIF1A_HUMAN_.pdf</v>
      </c>
      <c r="AA142" t="s">
        <v>14355</v>
      </c>
      <c r="AB142" t="s">
        <v>18977</v>
      </c>
    </row>
    <row r="143" spans="1:28" x14ac:dyDescent="0.25">
      <c r="A143" t="s">
        <v>147</v>
      </c>
      <c r="B143">
        <v>0.99904790336628502</v>
      </c>
      <c r="C143">
        <v>1.11216235882257</v>
      </c>
      <c r="D143">
        <v>0.88987376180475397</v>
      </c>
      <c r="E143">
        <v>0.72643351897025799</v>
      </c>
      <c r="F143">
        <v>0.58956636635530302</v>
      </c>
      <c r="G143">
        <v>0.44724259185029702</v>
      </c>
      <c r="H143">
        <v>0.35286484986745198</v>
      </c>
      <c r="I143">
        <v>0.37837455423108102</v>
      </c>
      <c r="J143">
        <v>0.38552821582795199</v>
      </c>
      <c r="K143">
        <v>0.37975403653656198</v>
      </c>
      <c r="L143">
        <v>998.63110353746504</v>
      </c>
      <c r="M143">
        <v>19.608513135038599</v>
      </c>
      <c r="N143">
        <v>54.629626643076698</v>
      </c>
      <c r="O143">
        <v>50.407631336801302</v>
      </c>
      <c r="P143">
        <v>-6.1506777570326299E-2</v>
      </c>
      <c r="Q143">
        <v>0.36756005524683899</v>
      </c>
      <c r="R143">
        <v>0.97235407492261905</v>
      </c>
      <c r="S143" t="s">
        <v>4883</v>
      </c>
      <c r="T143" t="s">
        <v>9478</v>
      </c>
      <c r="U143" t="s">
        <v>9478</v>
      </c>
      <c r="V143" t="s">
        <v>9478</v>
      </c>
      <c r="W143">
        <v>3</v>
      </c>
      <c r="X143" t="s">
        <v>9621</v>
      </c>
      <c r="Y143">
        <v>0.6070580318385036</v>
      </c>
      <c r="Z143" t="str">
        <f>HYPERLINK("Melting_Curves/meltCurve_sp_O15173_PGRC2_HUMAN_.pdf", "Melting_Curves/meltCurve_sp_O15173_PGRC2_HUMAN_.pdf")</f>
        <v>Melting_Curves/meltCurve_sp_O15173_PGRC2_HUMAN_.pdf</v>
      </c>
      <c r="AA143" t="s">
        <v>14356</v>
      </c>
      <c r="AB143" t="s">
        <v>18978</v>
      </c>
    </row>
    <row r="144" spans="1:28" x14ac:dyDescent="0.25">
      <c r="A144" t="s">
        <v>148</v>
      </c>
      <c r="B144">
        <v>0.99904790336628502</v>
      </c>
      <c r="C144">
        <v>0.91619221154610198</v>
      </c>
      <c r="D144">
        <v>0.95684496655846196</v>
      </c>
      <c r="E144">
        <v>0.87944236494465</v>
      </c>
      <c r="F144">
        <v>0.83183182090376095</v>
      </c>
      <c r="G144">
        <v>0.660628878536624</v>
      </c>
      <c r="H144">
        <v>0.410492045809074</v>
      </c>
      <c r="I144">
        <v>0.14430892966946601</v>
      </c>
      <c r="J144">
        <v>0.15790072346328099</v>
      </c>
      <c r="K144">
        <v>0.16374926154918101</v>
      </c>
      <c r="L144">
        <v>885.76608027358202</v>
      </c>
      <c r="M144">
        <v>15.1318305472799</v>
      </c>
      <c r="N144">
        <v>58.842063821072401</v>
      </c>
      <c r="O144">
        <v>57.542825211423498</v>
      </c>
      <c r="P144">
        <v>-6.3264581032211401E-2</v>
      </c>
      <c r="Q144">
        <v>3.7772135028451601E-2</v>
      </c>
      <c r="R144">
        <v>0.97736953781569902</v>
      </c>
      <c r="S144" t="s">
        <v>4884</v>
      </c>
      <c r="T144" t="s">
        <v>9478</v>
      </c>
      <c r="U144" t="s">
        <v>9478</v>
      </c>
      <c r="V144" t="s">
        <v>9478</v>
      </c>
      <c r="W144">
        <v>7</v>
      </c>
      <c r="X144" t="s">
        <v>9622</v>
      </c>
      <c r="Y144">
        <v>0.64380580264788867</v>
      </c>
      <c r="Z144" t="str">
        <f>HYPERLINK("Melting_Curves/meltCurve_sp_O15212_PFD6_HUMAN_.pdf", "Melting_Curves/meltCurve_sp_O15212_PFD6_HUMAN_.pdf")</f>
        <v>Melting_Curves/meltCurve_sp_O15212_PFD6_HUMAN_.pdf</v>
      </c>
      <c r="AA144" t="s">
        <v>14357</v>
      </c>
      <c r="AB144" t="s">
        <v>18979</v>
      </c>
    </row>
    <row r="145" spans="1:28" x14ac:dyDescent="0.25">
      <c r="A145" t="s">
        <v>149</v>
      </c>
      <c r="B145">
        <v>0.99904790336628502</v>
      </c>
      <c r="C145">
        <v>0.91481266689952301</v>
      </c>
      <c r="D145">
        <v>0.55081146780471302</v>
      </c>
      <c r="E145">
        <v>0.398068276446367</v>
      </c>
      <c r="F145">
        <v>0.29319023790286802</v>
      </c>
      <c r="G145">
        <v>0.17203410895518001</v>
      </c>
      <c r="H145">
        <v>9.5653090672059196E-2</v>
      </c>
      <c r="I145">
        <v>8.4914584829798995E-2</v>
      </c>
      <c r="J145">
        <v>0.101189602067579</v>
      </c>
      <c r="K145">
        <v>0.12782737354798099</v>
      </c>
      <c r="L145">
        <v>729.46688791617396</v>
      </c>
      <c r="M145">
        <v>15.4128814985425</v>
      </c>
      <c r="N145">
        <v>48.016506087173397</v>
      </c>
      <c r="O145">
        <v>46.553155842049797</v>
      </c>
      <c r="P145">
        <v>-7.4574919904331904E-2</v>
      </c>
      <c r="Q145">
        <v>9.9096105920310595E-2</v>
      </c>
      <c r="R145">
        <v>0.97920421104053201</v>
      </c>
      <c r="S145" t="s">
        <v>4885</v>
      </c>
      <c r="T145" t="s">
        <v>9478</v>
      </c>
      <c r="U145" t="s">
        <v>9478</v>
      </c>
      <c r="V145" t="s">
        <v>9478</v>
      </c>
      <c r="W145">
        <v>1</v>
      </c>
      <c r="X145" t="s">
        <v>9623</v>
      </c>
      <c r="Y145">
        <v>0.34187504846403932</v>
      </c>
      <c r="Z145" t="str">
        <f>HYPERLINK("Melting_Curves/meltCurve_sp_O15217_GSTA4_HUMAN_.pdf", "Melting_Curves/meltCurve_sp_O15217_GSTA4_HUMAN_.pdf")</f>
        <v>Melting_Curves/meltCurve_sp_O15217_GSTA4_HUMAN_.pdf</v>
      </c>
      <c r="AA145" t="s">
        <v>14358</v>
      </c>
      <c r="AB145" t="s">
        <v>18980</v>
      </c>
    </row>
    <row r="146" spans="1:28" x14ac:dyDescent="0.25">
      <c r="A146" t="s">
        <v>150</v>
      </c>
      <c r="B146">
        <v>0.99904790336628502</v>
      </c>
      <c r="C146">
        <v>1.21633215039242</v>
      </c>
      <c r="D146">
        <v>1.0430739751959901</v>
      </c>
      <c r="E146">
        <v>0.88625386885954105</v>
      </c>
      <c r="F146">
        <v>0.55121281824761903</v>
      </c>
      <c r="G146">
        <v>0.522771430306194</v>
      </c>
      <c r="H146">
        <v>0.24075475412698299</v>
      </c>
      <c r="I146">
        <v>0.28989380955962402</v>
      </c>
      <c r="J146">
        <v>0.23197241937688401</v>
      </c>
      <c r="K146">
        <v>0.17750683416601101</v>
      </c>
      <c r="L146">
        <v>1025.92707287085</v>
      </c>
      <c r="M146">
        <v>19.058156612629901</v>
      </c>
      <c r="N146">
        <v>55.431780645739998</v>
      </c>
      <c r="O146">
        <v>53.249213017160898</v>
      </c>
      <c r="P146">
        <v>-7.0546491613812295E-2</v>
      </c>
      <c r="Q146">
        <v>0.21159276513670799</v>
      </c>
      <c r="R146">
        <v>0.93664998511595399</v>
      </c>
      <c r="S146" t="s">
        <v>4886</v>
      </c>
      <c r="T146" t="s">
        <v>9478</v>
      </c>
      <c r="U146" t="s">
        <v>9478</v>
      </c>
      <c r="V146" t="s">
        <v>9478</v>
      </c>
      <c r="W146">
        <v>6</v>
      </c>
      <c r="X146" t="s">
        <v>9624</v>
      </c>
      <c r="Y146">
        <v>0.58668998079371704</v>
      </c>
      <c r="Z146" t="str">
        <f>HYPERLINK("Melting_Curves/meltCurve_sp_O15230_LAMA5_HUMAN_.pdf", "Melting_Curves/meltCurve_sp_O15230_LAMA5_HUMAN_.pdf")</f>
        <v>Melting_Curves/meltCurve_sp_O15230_LAMA5_HUMAN_.pdf</v>
      </c>
      <c r="AA146" t="s">
        <v>14359</v>
      </c>
      <c r="AB146" t="s">
        <v>18981</v>
      </c>
    </row>
    <row r="147" spans="1:28" x14ac:dyDescent="0.25">
      <c r="A147" t="s">
        <v>151</v>
      </c>
      <c r="B147">
        <v>0.99904790336628502</v>
      </c>
      <c r="C147">
        <v>1.5740818476404099</v>
      </c>
      <c r="D147">
        <v>1.3852346504936099</v>
      </c>
      <c r="E147">
        <v>1.5547609622238301</v>
      </c>
      <c r="F147">
        <v>1.92226469402073</v>
      </c>
      <c r="G147">
        <v>1.7036485329595701</v>
      </c>
      <c r="H147">
        <v>1.51137682697288</v>
      </c>
      <c r="I147">
        <v>1.9128561906888899</v>
      </c>
      <c r="J147">
        <v>1.8583332033341899</v>
      </c>
      <c r="K147">
        <v>1.8061053760625201</v>
      </c>
      <c r="L147">
        <v>10270.831646476399</v>
      </c>
      <c r="M147">
        <v>250</v>
      </c>
      <c r="O147">
        <v>41.080695355909199</v>
      </c>
      <c r="P147">
        <v>0.76069789262600696</v>
      </c>
      <c r="Q147">
        <v>1.5</v>
      </c>
      <c r="R147">
        <v>0.1364771768985</v>
      </c>
      <c r="S147" t="s">
        <v>4887</v>
      </c>
      <c r="T147" t="s">
        <v>9478</v>
      </c>
      <c r="U147" t="s">
        <v>9478</v>
      </c>
      <c r="V147" t="s">
        <v>9478</v>
      </c>
      <c r="W147">
        <v>4</v>
      </c>
      <c r="X147" t="s">
        <v>9625</v>
      </c>
      <c r="Y147">
        <v>1.481905553766663</v>
      </c>
      <c r="Z147" t="str">
        <f>HYPERLINK("Melting_Curves/meltCurve_sp_O15234_CASC3_HUMAN_.pdf", "Melting_Curves/meltCurve_sp_O15234_CASC3_HUMAN_.pdf")</f>
        <v>Melting_Curves/meltCurve_sp_O15234_CASC3_HUMAN_.pdf</v>
      </c>
      <c r="AA147" t="s">
        <v>14360</v>
      </c>
      <c r="AB147" t="s">
        <v>18982</v>
      </c>
    </row>
    <row r="148" spans="1:28" x14ac:dyDescent="0.25">
      <c r="A148" t="s">
        <v>152</v>
      </c>
      <c r="B148">
        <v>0.99904790336628502</v>
      </c>
      <c r="C148">
        <v>1.01050922108435</v>
      </c>
      <c r="D148">
        <v>0.92786004490308804</v>
      </c>
      <c r="E148">
        <v>0.72435012654764896</v>
      </c>
      <c r="F148">
        <v>0.36441116754052599</v>
      </c>
      <c r="G148">
        <v>0.183897195589448</v>
      </c>
      <c r="H148">
        <v>0.112083948907983</v>
      </c>
      <c r="I148">
        <v>8.7160586566265297E-2</v>
      </c>
      <c r="J148">
        <v>5.1518227768411799E-2</v>
      </c>
      <c r="K148">
        <v>5.8506859976117202E-2</v>
      </c>
      <c r="L148">
        <v>1203.4673553095599</v>
      </c>
      <c r="M148">
        <v>23.325954466668499</v>
      </c>
      <c r="N148">
        <v>51.9235790610973</v>
      </c>
      <c r="O148">
        <v>51.218777245799401</v>
      </c>
      <c r="P148">
        <v>-0.106011038914631</v>
      </c>
      <c r="Q148">
        <v>6.8906761039623204E-2</v>
      </c>
      <c r="R148">
        <v>0.99751978224995197</v>
      </c>
      <c r="S148" t="s">
        <v>4888</v>
      </c>
      <c r="T148" t="s">
        <v>9478</v>
      </c>
      <c r="U148" t="s">
        <v>9478</v>
      </c>
      <c r="V148" t="s">
        <v>9478</v>
      </c>
      <c r="W148">
        <v>2</v>
      </c>
      <c r="X148" t="s">
        <v>9626</v>
      </c>
      <c r="Y148">
        <v>0.43840295644832328</v>
      </c>
      <c r="Z148" t="str">
        <f>HYPERLINK("Melting_Curves/meltCurve_sp_O15247_CLIC2_HUMAN_.pdf", "Melting_Curves/meltCurve_sp_O15247_CLIC2_HUMAN_.pdf")</f>
        <v>Melting_Curves/meltCurve_sp_O15247_CLIC2_HUMAN_.pdf</v>
      </c>
      <c r="AA148" t="s">
        <v>14361</v>
      </c>
      <c r="AB148" t="s">
        <v>18983</v>
      </c>
    </row>
    <row r="149" spans="1:28" x14ac:dyDescent="0.25">
      <c r="A149" t="s">
        <v>153</v>
      </c>
      <c r="B149">
        <v>0.99904790336628502</v>
      </c>
      <c r="C149">
        <v>1.05370329213835</v>
      </c>
      <c r="D149">
        <v>1.06237889601869</v>
      </c>
      <c r="E149">
        <v>0.84161916274791504</v>
      </c>
      <c r="F149">
        <v>0.51774707530132302</v>
      </c>
      <c r="G149">
        <v>0.32400703851350199</v>
      </c>
      <c r="H149">
        <v>0.17779976101405301</v>
      </c>
      <c r="I149">
        <v>0.10927556779558199</v>
      </c>
      <c r="J149">
        <v>6.6857640426690498E-2</v>
      </c>
      <c r="K149">
        <v>4.6303828439029401E-2</v>
      </c>
      <c r="L149">
        <v>1082.4833159771199</v>
      </c>
      <c r="M149">
        <v>20.212275287472998</v>
      </c>
      <c r="N149">
        <v>53.956568340779697</v>
      </c>
      <c r="O149">
        <v>53.039745019621698</v>
      </c>
      <c r="P149">
        <v>-8.8630825328055607E-2</v>
      </c>
      <c r="Q149">
        <v>6.9711502496963604E-2</v>
      </c>
      <c r="R149">
        <v>0.98691963096554303</v>
      </c>
      <c r="S149" t="s">
        <v>4889</v>
      </c>
      <c r="T149" t="s">
        <v>9478</v>
      </c>
      <c r="U149" t="s">
        <v>9478</v>
      </c>
      <c r="V149" t="s">
        <v>9478</v>
      </c>
      <c r="W149">
        <v>23</v>
      </c>
      <c r="X149" t="s">
        <v>9627</v>
      </c>
      <c r="Y149">
        <v>0.50257073707933697</v>
      </c>
      <c r="Z149" t="str">
        <f>HYPERLINK("Melting_Curves/meltCurve_sp_O15254_ACOX3_HUMAN_.pdf", "Melting_Curves/meltCurve_sp_O15254_ACOX3_HUMAN_.pdf")</f>
        <v>Melting_Curves/meltCurve_sp_O15254_ACOX3_HUMAN_.pdf</v>
      </c>
      <c r="AA149" t="s">
        <v>14362</v>
      </c>
      <c r="AB149" t="s">
        <v>18984</v>
      </c>
    </row>
    <row r="150" spans="1:28" x14ac:dyDescent="0.25">
      <c r="A150" t="s">
        <v>154</v>
      </c>
      <c r="B150">
        <v>0.99904790336628502</v>
      </c>
      <c r="C150">
        <v>0.94520219637462499</v>
      </c>
      <c r="D150">
        <v>0.81635926040660201</v>
      </c>
      <c r="E150">
        <v>0.33746874991459103</v>
      </c>
      <c r="F150">
        <v>0.235510223675612</v>
      </c>
      <c r="G150">
        <v>0.14581653124987501</v>
      </c>
      <c r="H150">
        <v>9.3894082856355698E-2</v>
      </c>
      <c r="I150">
        <v>6.9431825625432306E-2</v>
      </c>
      <c r="J150">
        <v>6.3432962422502806E-2</v>
      </c>
      <c r="K150">
        <v>5.7243922516457602E-2</v>
      </c>
      <c r="L150">
        <v>1099.0089337136901</v>
      </c>
      <c r="M150">
        <v>22.683653919692699</v>
      </c>
      <c r="N150">
        <v>48.820009151112899</v>
      </c>
      <c r="O150">
        <v>48.077572744129</v>
      </c>
      <c r="P150">
        <v>-0.10862566971357999</v>
      </c>
      <c r="Q150">
        <v>7.9098482442375898E-2</v>
      </c>
      <c r="R150">
        <v>0.99467897149647999</v>
      </c>
      <c r="S150" t="s">
        <v>4890</v>
      </c>
      <c r="T150" t="s">
        <v>9478</v>
      </c>
      <c r="U150" t="s">
        <v>9478</v>
      </c>
      <c r="V150" t="s">
        <v>9478</v>
      </c>
      <c r="W150">
        <v>8</v>
      </c>
      <c r="X150" t="s">
        <v>9628</v>
      </c>
      <c r="Y150">
        <v>0.34844630119474468</v>
      </c>
      <c r="Z150" t="str">
        <f>HYPERLINK("Melting_Curves/meltCurve_sp_O15294_3_OGT1_HUMAN_.pdf", "Melting_Curves/meltCurve_sp_O15294_3_OGT1_HUMAN_.pdf")</f>
        <v>Melting_Curves/meltCurve_sp_O15294_3_OGT1_HUMAN_.pdf</v>
      </c>
      <c r="AA150" t="s">
        <v>14363</v>
      </c>
      <c r="AB150" t="s">
        <v>18985</v>
      </c>
    </row>
    <row r="151" spans="1:28" x14ac:dyDescent="0.25">
      <c r="A151" t="s">
        <v>155</v>
      </c>
      <c r="B151">
        <v>0.99904790336628502</v>
      </c>
      <c r="C151">
        <v>0.90106847142977597</v>
      </c>
      <c r="D151">
        <v>0.87919489122641203</v>
      </c>
      <c r="E151">
        <v>0.69823227303333102</v>
      </c>
      <c r="F151">
        <v>0.45625342578373701</v>
      </c>
      <c r="G151">
        <v>0.16186047083271701</v>
      </c>
      <c r="H151">
        <v>5.1963902247855E-2</v>
      </c>
      <c r="I151">
        <v>3.4831287249200399E-2</v>
      </c>
      <c r="J151">
        <v>2.9623410436562699E-2</v>
      </c>
      <c r="K151">
        <v>2.4572564805142499E-2</v>
      </c>
      <c r="L151">
        <v>893.19716604295502</v>
      </c>
      <c r="M151">
        <v>17.121582238377201</v>
      </c>
      <c r="N151">
        <v>52.167911993908703</v>
      </c>
      <c r="O151">
        <v>51.471856922085301</v>
      </c>
      <c r="P151">
        <v>-8.3164918191969306E-2</v>
      </c>
      <c r="Q151">
        <v>0</v>
      </c>
      <c r="R151">
        <v>0.99400247661145502</v>
      </c>
      <c r="S151" t="s">
        <v>4891</v>
      </c>
      <c r="T151" t="s">
        <v>9478</v>
      </c>
      <c r="U151" t="s">
        <v>9478</v>
      </c>
      <c r="V151" t="s">
        <v>9478</v>
      </c>
      <c r="W151">
        <v>13</v>
      </c>
      <c r="X151" t="s">
        <v>9629</v>
      </c>
      <c r="Y151">
        <v>0.42364110270625199</v>
      </c>
      <c r="Z151" t="str">
        <f>HYPERLINK("Melting_Curves/meltCurve_sp_O15305_PMM2_HUMAN_.pdf", "Melting_Curves/meltCurve_sp_O15305_PMM2_HUMAN_.pdf")</f>
        <v>Melting_Curves/meltCurve_sp_O15305_PMM2_HUMAN_.pdf</v>
      </c>
      <c r="AA151" t="s">
        <v>14364</v>
      </c>
      <c r="AB151" t="s">
        <v>18986</v>
      </c>
    </row>
    <row r="152" spans="1:28" x14ac:dyDescent="0.25">
      <c r="A152" t="s">
        <v>156</v>
      </c>
      <c r="B152">
        <v>0.99904790336628502</v>
      </c>
      <c r="C152">
        <v>0.89177779921827305</v>
      </c>
      <c r="D152">
        <v>0.80306675514014703</v>
      </c>
      <c r="E152">
        <v>0.66217686860979796</v>
      </c>
      <c r="F152">
        <v>0.56022684165074299</v>
      </c>
      <c r="G152">
        <v>0.39180868536257202</v>
      </c>
      <c r="H152">
        <v>0.32492129449096002</v>
      </c>
      <c r="I152">
        <v>0.32342587335693601</v>
      </c>
      <c r="J152">
        <v>0.34746779744081002</v>
      </c>
      <c r="K152">
        <v>0.31515156227959301</v>
      </c>
      <c r="L152">
        <v>606.668328178411</v>
      </c>
      <c r="M152">
        <v>12.100394252949201</v>
      </c>
      <c r="N152">
        <v>53.869238577885802</v>
      </c>
      <c r="O152">
        <v>48.825851835408699</v>
      </c>
      <c r="P152">
        <v>-4.4382276632839397E-2</v>
      </c>
      <c r="Q152">
        <v>0.28382608653529601</v>
      </c>
      <c r="R152">
        <v>0.99015867446516204</v>
      </c>
      <c r="S152" t="s">
        <v>4892</v>
      </c>
      <c r="T152" t="s">
        <v>9478</v>
      </c>
      <c r="U152" t="s">
        <v>9478</v>
      </c>
      <c r="V152" t="s">
        <v>9478</v>
      </c>
      <c r="W152">
        <v>17</v>
      </c>
      <c r="X152" t="s">
        <v>9630</v>
      </c>
      <c r="Y152">
        <v>0.55008106787212485</v>
      </c>
      <c r="Z152" t="str">
        <f>HYPERLINK("Melting_Curves/meltCurve_sp_O15355_PPM1G_HUMAN_.pdf", "Melting_Curves/meltCurve_sp_O15355_PPM1G_HUMAN_.pdf")</f>
        <v>Melting_Curves/meltCurve_sp_O15355_PPM1G_HUMAN_.pdf</v>
      </c>
      <c r="AA152" t="s">
        <v>14365</v>
      </c>
      <c r="AB152" t="s">
        <v>18987</v>
      </c>
    </row>
    <row r="153" spans="1:28" x14ac:dyDescent="0.25">
      <c r="A153" t="s">
        <v>157</v>
      </c>
      <c r="B153">
        <v>0.99904790336628502</v>
      </c>
      <c r="C153">
        <v>1.1521151548425199</v>
      </c>
      <c r="D153">
        <v>0.98252239632035798</v>
      </c>
      <c r="E153">
        <v>0.73851453330300498</v>
      </c>
      <c r="F153">
        <v>0.421013932498434</v>
      </c>
      <c r="G153">
        <v>0.174661482075993</v>
      </c>
      <c r="H153">
        <v>0.13082091497794099</v>
      </c>
      <c r="I153">
        <v>4.7243126125338E-2</v>
      </c>
      <c r="J153">
        <v>3.2862839868104898E-2</v>
      </c>
      <c r="K153">
        <v>0</v>
      </c>
      <c r="L153">
        <v>1205.7630918080899</v>
      </c>
      <c r="M153">
        <v>23.096306727501702</v>
      </c>
      <c r="N153">
        <v>52.392151918103202</v>
      </c>
      <c r="O153">
        <v>51.819241158815998</v>
      </c>
      <c r="P153">
        <v>-0.10703760505865199</v>
      </c>
      <c r="Q153">
        <v>3.9412614877255697E-2</v>
      </c>
      <c r="R153">
        <v>0.98318193346813898</v>
      </c>
      <c r="S153" t="s">
        <v>4893</v>
      </c>
      <c r="T153" t="s">
        <v>9478</v>
      </c>
      <c r="U153" t="s">
        <v>9478</v>
      </c>
      <c r="V153" t="s">
        <v>9478</v>
      </c>
      <c r="W153">
        <v>6</v>
      </c>
      <c r="X153" t="s">
        <v>9631</v>
      </c>
      <c r="Y153">
        <v>0.44044962829047563</v>
      </c>
      <c r="Z153" t="str">
        <f>HYPERLINK("Melting_Curves/meltCurve_sp_O15357_SHIP2_HUMAN_.pdf", "Melting_Curves/meltCurve_sp_O15357_SHIP2_HUMAN_.pdf")</f>
        <v>Melting_Curves/meltCurve_sp_O15357_SHIP2_HUMAN_.pdf</v>
      </c>
      <c r="AA153" t="s">
        <v>14366</v>
      </c>
      <c r="AB153" t="s">
        <v>18988</v>
      </c>
    </row>
    <row r="154" spans="1:28" x14ac:dyDescent="0.25">
      <c r="A154" t="s">
        <v>158</v>
      </c>
      <c r="B154">
        <v>0.99904790336628502</v>
      </c>
      <c r="C154">
        <v>1.08122075583667</v>
      </c>
      <c r="D154">
        <v>1.0292641893173</v>
      </c>
      <c r="E154">
        <v>0.73820063910373401</v>
      </c>
      <c r="F154">
        <v>0.59496571240599805</v>
      </c>
      <c r="G154">
        <v>0.29749332128672301</v>
      </c>
      <c r="H154">
        <v>0.185681029072086</v>
      </c>
      <c r="I154">
        <v>0.119942970133685</v>
      </c>
      <c r="J154">
        <v>8.1954482470311604E-2</v>
      </c>
      <c r="K154">
        <v>7.8272383501242507E-2</v>
      </c>
      <c r="L154">
        <v>976.26762923128297</v>
      </c>
      <c r="M154">
        <v>18.249394241898099</v>
      </c>
      <c r="N154">
        <v>53.965010370480996</v>
      </c>
      <c r="O154">
        <v>52.865952888599203</v>
      </c>
      <c r="P154">
        <v>-7.9973925528113707E-2</v>
      </c>
      <c r="Q154">
        <v>7.3350087562709207E-2</v>
      </c>
      <c r="R154">
        <v>0.98811760895274203</v>
      </c>
      <c r="S154" t="s">
        <v>4894</v>
      </c>
      <c r="T154" t="s">
        <v>9478</v>
      </c>
      <c r="U154" t="s">
        <v>9478</v>
      </c>
      <c r="V154" t="s">
        <v>9478</v>
      </c>
      <c r="W154">
        <v>4</v>
      </c>
      <c r="X154" t="s">
        <v>9632</v>
      </c>
      <c r="Y154">
        <v>0.50491437812548989</v>
      </c>
      <c r="Z154" t="str">
        <f>HYPERLINK("Melting_Curves/meltCurve_sp_O15372_EIF3H_HUMAN_.pdf", "Melting_Curves/meltCurve_sp_O15372_EIF3H_HUMAN_.pdf")</f>
        <v>Melting_Curves/meltCurve_sp_O15372_EIF3H_HUMAN_.pdf</v>
      </c>
      <c r="AA154" t="s">
        <v>14367</v>
      </c>
      <c r="AB154" t="s">
        <v>18989</v>
      </c>
    </row>
    <row r="155" spans="1:28" x14ac:dyDescent="0.25">
      <c r="A155" t="s">
        <v>159</v>
      </c>
      <c r="B155">
        <v>0.99904790336628502</v>
      </c>
      <c r="C155">
        <v>0.99298842482768201</v>
      </c>
      <c r="D155">
        <v>0.93321952464303704</v>
      </c>
      <c r="E155">
        <v>0.85537780227211002</v>
      </c>
      <c r="F155">
        <v>0.78062134707791897</v>
      </c>
      <c r="G155">
        <v>0.48190657980578799</v>
      </c>
      <c r="H155">
        <v>0.28799039555112599</v>
      </c>
      <c r="I155">
        <v>0.15836647445995899</v>
      </c>
      <c r="J155">
        <v>0.13547202959813801</v>
      </c>
      <c r="K155">
        <v>0.11485742723181799</v>
      </c>
      <c r="L155">
        <v>860.19873997179002</v>
      </c>
      <c r="M155">
        <v>15.2433203342399</v>
      </c>
      <c r="N155">
        <v>56.846045476089301</v>
      </c>
      <c r="O155">
        <v>55.486726400384903</v>
      </c>
      <c r="P155">
        <v>-6.5070972869082894E-2</v>
      </c>
      <c r="Q155">
        <v>5.2638749340563701E-2</v>
      </c>
      <c r="R155">
        <v>0.99623100746992299</v>
      </c>
      <c r="S155" t="s">
        <v>4895</v>
      </c>
      <c r="T155" t="s">
        <v>9478</v>
      </c>
      <c r="U155" t="s">
        <v>9478</v>
      </c>
      <c r="V155" t="s">
        <v>9478</v>
      </c>
      <c r="W155">
        <v>3</v>
      </c>
      <c r="X155" t="s">
        <v>9633</v>
      </c>
      <c r="Y155">
        <v>0.58739225989310029</v>
      </c>
      <c r="Z155" t="str">
        <f>HYPERLINK("Melting_Curves/meltCurve_sp_O15379_HDAC3_HUMAN_.pdf", "Melting_Curves/meltCurve_sp_O15379_HDAC3_HUMAN_.pdf")</f>
        <v>Melting_Curves/meltCurve_sp_O15379_HDAC3_HUMAN_.pdf</v>
      </c>
      <c r="AA155" t="s">
        <v>14368</v>
      </c>
      <c r="AB155" t="s">
        <v>18990</v>
      </c>
    </row>
    <row r="156" spans="1:28" x14ac:dyDescent="0.25">
      <c r="A156" t="s">
        <v>160</v>
      </c>
      <c r="B156">
        <v>0.99904790336628502</v>
      </c>
      <c r="C156">
        <v>0.86637341208832197</v>
      </c>
      <c r="D156">
        <v>0.906835693513101</v>
      </c>
      <c r="E156">
        <v>0.895338371149905</v>
      </c>
      <c r="F156">
        <v>0.82351977096681495</v>
      </c>
      <c r="G156">
        <v>0.68883811173684195</v>
      </c>
      <c r="H156">
        <v>0.35986783825874902</v>
      </c>
      <c r="I156">
        <v>0.22030340346173799</v>
      </c>
      <c r="J156">
        <v>0.11105567565456</v>
      </c>
      <c r="K156">
        <v>0.155393819852962</v>
      </c>
      <c r="L156">
        <v>828.31382575733005</v>
      </c>
      <c r="M156">
        <v>14.050520458000699</v>
      </c>
      <c r="N156">
        <v>58.952537088608501</v>
      </c>
      <c r="O156">
        <v>57.7968909022227</v>
      </c>
      <c r="P156">
        <v>-6.07833470764114E-2</v>
      </c>
      <c r="Q156">
        <v>0</v>
      </c>
      <c r="R156">
        <v>0.96873540060641194</v>
      </c>
      <c r="S156" t="s">
        <v>4896</v>
      </c>
      <c r="T156" t="s">
        <v>9478</v>
      </c>
      <c r="U156" t="s">
        <v>9478</v>
      </c>
      <c r="V156" t="s">
        <v>9478</v>
      </c>
      <c r="W156">
        <v>12</v>
      </c>
      <c r="X156" t="s">
        <v>9634</v>
      </c>
      <c r="Y156">
        <v>0.64197426513427125</v>
      </c>
      <c r="Z156" t="str">
        <f>HYPERLINK("Melting_Curves/meltCurve_sp_O15382_BCAT2_HUMAN_.pdf", "Melting_Curves/meltCurve_sp_O15382_BCAT2_HUMAN_.pdf")</f>
        <v>Melting_Curves/meltCurve_sp_O15382_BCAT2_HUMAN_.pdf</v>
      </c>
      <c r="AA156" t="s">
        <v>14369</v>
      </c>
      <c r="AB156" t="s">
        <v>18991</v>
      </c>
    </row>
    <row r="157" spans="1:28" x14ac:dyDescent="0.25">
      <c r="A157" t="s">
        <v>161</v>
      </c>
      <c r="B157">
        <v>0.99904790336628502</v>
      </c>
      <c r="C157">
        <v>1.03341063762036</v>
      </c>
      <c r="D157">
        <v>1.0221220354226499</v>
      </c>
      <c r="E157">
        <v>0.64408792596053499</v>
      </c>
      <c r="F157">
        <v>0.28319308281690903</v>
      </c>
      <c r="G157">
        <v>0.104503302097726</v>
      </c>
      <c r="H157">
        <v>4.7726654145863301E-2</v>
      </c>
      <c r="I157">
        <v>3.0560528110706701E-2</v>
      </c>
      <c r="J157">
        <v>2.7283549388506498E-2</v>
      </c>
      <c r="K157">
        <v>2.0339411693444699E-2</v>
      </c>
      <c r="L157">
        <v>1516.3203674021499</v>
      </c>
      <c r="M157">
        <v>29.7024056445537</v>
      </c>
      <c r="N157">
        <v>51.176486428445799</v>
      </c>
      <c r="O157">
        <v>50.820696729572497</v>
      </c>
      <c r="P157">
        <v>-0.14096106832702501</v>
      </c>
      <c r="Q157">
        <v>3.5271253017362898E-2</v>
      </c>
      <c r="R157">
        <v>0.99661781874487798</v>
      </c>
      <c r="S157" t="s">
        <v>4897</v>
      </c>
      <c r="T157" t="s">
        <v>9478</v>
      </c>
      <c r="U157" t="s">
        <v>9478</v>
      </c>
      <c r="V157" t="s">
        <v>9478</v>
      </c>
      <c r="W157">
        <v>4</v>
      </c>
      <c r="X157" t="s">
        <v>9635</v>
      </c>
      <c r="Y157">
        <v>0.39681963755935801</v>
      </c>
      <c r="Z157" t="str">
        <f>HYPERLINK("Melting_Curves/meltCurve_sp_O15397_IPO8_HUMAN_.pdf", "Melting_Curves/meltCurve_sp_O15397_IPO8_HUMAN_.pdf")</f>
        <v>Melting_Curves/meltCurve_sp_O15397_IPO8_HUMAN_.pdf</v>
      </c>
      <c r="AA157" t="s">
        <v>14370</v>
      </c>
      <c r="AB157" t="s">
        <v>18992</v>
      </c>
    </row>
    <row r="158" spans="1:28" x14ac:dyDescent="0.25">
      <c r="A158" t="s">
        <v>162</v>
      </c>
      <c r="B158">
        <v>0.99904790336628502</v>
      </c>
      <c r="C158">
        <v>0.95204766196683399</v>
      </c>
      <c r="D158">
        <v>0.85437678751784696</v>
      </c>
      <c r="E158">
        <v>0.87295520956295802</v>
      </c>
      <c r="F158">
        <v>0.81413940039449995</v>
      </c>
      <c r="G158">
        <v>0.70614515172825199</v>
      </c>
      <c r="H158">
        <v>0.55964575014964901</v>
      </c>
      <c r="I158">
        <v>0.53672615611959995</v>
      </c>
      <c r="J158">
        <v>0.546423087113724</v>
      </c>
      <c r="K158">
        <v>0.52743910825504703</v>
      </c>
      <c r="L158">
        <v>476.73254465584199</v>
      </c>
      <c r="M158">
        <v>8.5038106372799298</v>
      </c>
      <c r="O158">
        <v>53.218702153157103</v>
      </c>
      <c r="P158">
        <v>-2.3442656493767498E-2</v>
      </c>
      <c r="Q158">
        <v>0.413690372706631</v>
      </c>
      <c r="R158">
        <v>0.96284516874433101</v>
      </c>
      <c r="S158" t="s">
        <v>4898</v>
      </c>
      <c r="T158" t="s">
        <v>9478</v>
      </c>
      <c r="U158" t="s">
        <v>9478</v>
      </c>
      <c r="V158" t="s">
        <v>9478</v>
      </c>
      <c r="W158">
        <v>3</v>
      </c>
      <c r="X158" t="s">
        <v>9636</v>
      </c>
      <c r="Y158">
        <v>0.73929990686800484</v>
      </c>
      <c r="Z158" t="str">
        <f>HYPERLINK("Melting_Curves/meltCurve_sp_O15400_2_STX7_HUMAN_.pdf", "Melting_Curves/meltCurve_sp_O15400_2_STX7_HUMAN_.pdf")</f>
        <v>Melting_Curves/meltCurve_sp_O15400_2_STX7_HUMAN_.pdf</v>
      </c>
      <c r="AA158" t="s">
        <v>14371</v>
      </c>
      <c r="AB158" t="s">
        <v>18993</v>
      </c>
    </row>
    <row r="159" spans="1:28" x14ac:dyDescent="0.25">
      <c r="A159" t="s">
        <v>163</v>
      </c>
      <c r="B159">
        <v>0.99904790336628502</v>
      </c>
      <c r="C159">
        <v>0.98324828400197595</v>
      </c>
      <c r="D159">
        <v>0.91800975536427598</v>
      </c>
      <c r="E159">
        <v>0.93037902287198604</v>
      </c>
      <c r="F159">
        <v>0.84716947143152299</v>
      </c>
      <c r="G159">
        <v>0.64256167629022398</v>
      </c>
      <c r="H159">
        <v>0.52035395513994198</v>
      </c>
      <c r="I159">
        <v>0.406757466751065</v>
      </c>
      <c r="J159">
        <v>0.38013145461168801</v>
      </c>
      <c r="K159">
        <v>0.222379825204186</v>
      </c>
      <c r="L159">
        <v>585.05056405631103</v>
      </c>
      <c r="M159">
        <v>9.55922434185592</v>
      </c>
      <c r="N159">
        <v>61.617527332769299</v>
      </c>
      <c r="O159">
        <v>58.704017586196898</v>
      </c>
      <c r="P159">
        <v>-3.9463545164283298E-2</v>
      </c>
      <c r="Q159">
        <v>3.1163476197901298E-2</v>
      </c>
      <c r="R159">
        <v>0.98777106147485305</v>
      </c>
      <c r="S159" t="s">
        <v>4899</v>
      </c>
      <c r="T159" t="s">
        <v>9478</v>
      </c>
      <c r="U159" t="s">
        <v>9478</v>
      </c>
      <c r="V159" t="s">
        <v>9478</v>
      </c>
      <c r="W159">
        <v>1</v>
      </c>
      <c r="X159" t="s">
        <v>9637</v>
      </c>
      <c r="Y159">
        <v>0.69999486784382126</v>
      </c>
      <c r="Z159" t="str">
        <f>HYPERLINK("Melting_Curves/meltCurve_sp_O15467_CCL16_HUMAN_.pdf", "Melting_Curves/meltCurve_sp_O15467_CCL16_HUMAN_.pdf")</f>
        <v>Melting_Curves/meltCurve_sp_O15467_CCL16_HUMAN_.pdf</v>
      </c>
      <c r="AA159" t="s">
        <v>14372</v>
      </c>
      <c r="AB159" t="s">
        <v>18994</v>
      </c>
    </row>
    <row r="160" spans="1:28" x14ac:dyDescent="0.25">
      <c r="A160" t="s">
        <v>164</v>
      </c>
      <c r="B160">
        <v>0.99904790336628502</v>
      </c>
      <c r="C160">
        <v>1.16639988920865</v>
      </c>
      <c r="D160">
        <v>1.11549507084642</v>
      </c>
      <c r="E160">
        <v>1.06443098938154</v>
      </c>
      <c r="F160">
        <v>0.87924174880556205</v>
      </c>
      <c r="G160">
        <v>0.532842937865319</v>
      </c>
      <c r="H160">
        <v>0.35176786954331801</v>
      </c>
      <c r="I160">
        <v>0.258508820013721</v>
      </c>
      <c r="J160">
        <v>0.218258919944156</v>
      </c>
      <c r="K160">
        <v>0.18479934575583701</v>
      </c>
      <c r="L160">
        <v>1538.9525011010301</v>
      </c>
      <c r="M160">
        <v>27.2427984069536</v>
      </c>
      <c r="N160">
        <v>57.6729355763323</v>
      </c>
      <c r="O160">
        <v>56.188519054924299</v>
      </c>
      <c r="P160">
        <v>-9.5271680235172407E-2</v>
      </c>
      <c r="Q160">
        <v>0.214012995437424</v>
      </c>
      <c r="R160">
        <v>0.96413448207641905</v>
      </c>
      <c r="S160" t="s">
        <v>4900</v>
      </c>
      <c r="T160" t="s">
        <v>9478</v>
      </c>
      <c r="U160" t="s">
        <v>9478</v>
      </c>
      <c r="V160" t="s">
        <v>9478</v>
      </c>
      <c r="W160">
        <v>7</v>
      </c>
      <c r="X160" t="s">
        <v>9638</v>
      </c>
      <c r="Y160">
        <v>0.65225969344600609</v>
      </c>
      <c r="Z160" t="str">
        <f>HYPERLINK("Melting_Curves/meltCurve_sp_O15488_4_GLYG2_HUMAN_.pdf", "Melting_Curves/meltCurve_sp_O15488_4_GLYG2_HUMAN_.pdf")</f>
        <v>Melting_Curves/meltCurve_sp_O15488_4_GLYG2_HUMAN_.pdf</v>
      </c>
      <c r="AA160" t="s">
        <v>14373</v>
      </c>
      <c r="AB160" t="s">
        <v>18995</v>
      </c>
    </row>
    <row r="161" spans="1:28" x14ac:dyDescent="0.25">
      <c r="A161" t="s">
        <v>165</v>
      </c>
      <c r="B161">
        <v>0.99904790336628502</v>
      </c>
      <c r="C161">
        <v>1.0213595665038</v>
      </c>
      <c r="D161">
        <v>0.97019718851124004</v>
      </c>
      <c r="E161">
        <v>0.82384476804453599</v>
      </c>
      <c r="F161">
        <v>0.56793823001763</v>
      </c>
      <c r="G161">
        <v>0.35879621438507903</v>
      </c>
      <c r="H161">
        <v>0.242982677532394</v>
      </c>
      <c r="I161">
        <v>0.114129086370907</v>
      </c>
      <c r="J161">
        <v>5.8475209878793601E-2</v>
      </c>
      <c r="K161">
        <v>4.0769610019501898E-2</v>
      </c>
      <c r="L161">
        <v>808.13140024456902</v>
      </c>
      <c r="M161">
        <v>14.7967161082996</v>
      </c>
      <c r="N161">
        <v>54.739091848616198</v>
      </c>
      <c r="O161">
        <v>53.647140969323402</v>
      </c>
      <c r="P161">
        <v>-6.7829144984727294E-2</v>
      </c>
      <c r="Q161">
        <v>1.64163698637293E-2</v>
      </c>
      <c r="R161">
        <v>0.99415997461848804</v>
      </c>
      <c r="S161" t="s">
        <v>4901</v>
      </c>
      <c r="T161" t="s">
        <v>9478</v>
      </c>
      <c r="U161" t="s">
        <v>9478</v>
      </c>
      <c r="V161" t="s">
        <v>9478</v>
      </c>
      <c r="W161">
        <v>5</v>
      </c>
      <c r="X161" t="s">
        <v>9639</v>
      </c>
      <c r="Y161">
        <v>0.51537033022618672</v>
      </c>
      <c r="Z161" t="str">
        <f>HYPERLINK("Melting_Curves/meltCurve_sp_O15498_YKT6_HUMAN_.pdf", "Melting_Curves/meltCurve_sp_O15498_YKT6_HUMAN_.pdf")</f>
        <v>Melting_Curves/meltCurve_sp_O15498_YKT6_HUMAN_.pdf</v>
      </c>
      <c r="AA161" t="s">
        <v>14374</v>
      </c>
      <c r="AB161" t="s">
        <v>18996</v>
      </c>
    </row>
    <row r="162" spans="1:28" x14ac:dyDescent="0.25">
      <c r="A162" t="s">
        <v>166</v>
      </c>
      <c r="B162">
        <v>0.99904790336628502</v>
      </c>
      <c r="C162">
        <v>1.1160346243338199</v>
      </c>
      <c r="D162">
        <v>1.13778144770122</v>
      </c>
      <c r="E162">
        <v>1.0208532549225799</v>
      </c>
      <c r="F162">
        <v>0.82465295646894399</v>
      </c>
      <c r="G162">
        <v>0.47378000597061098</v>
      </c>
      <c r="H162">
        <v>0.188575129787353</v>
      </c>
      <c r="I162">
        <v>0.10911676033687701</v>
      </c>
      <c r="J162">
        <v>7.3884736310348503E-2</v>
      </c>
      <c r="K162">
        <v>6.2920585535793896E-2</v>
      </c>
      <c r="L162">
        <v>1466.5060283365999</v>
      </c>
      <c r="M162">
        <v>25.987270489844299</v>
      </c>
      <c r="N162">
        <v>56.726580979323103</v>
      </c>
      <c r="O162">
        <v>56.100711092001802</v>
      </c>
      <c r="P162">
        <v>-0.10849094319823201</v>
      </c>
      <c r="Q162">
        <v>6.3179710304215597E-2</v>
      </c>
      <c r="R162">
        <v>0.98087381541433505</v>
      </c>
      <c r="S162" t="s">
        <v>4902</v>
      </c>
      <c r="T162" t="s">
        <v>9478</v>
      </c>
      <c r="U162" t="s">
        <v>9478</v>
      </c>
      <c r="V162" t="s">
        <v>9478</v>
      </c>
      <c r="W162">
        <v>7</v>
      </c>
      <c r="X162" t="s">
        <v>9640</v>
      </c>
      <c r="Y162">
        <v>0.58431669161217115</v>
      </c>
      <c r="Z162" t="str">
        <f>HYPERLINK("Melting_Curves/meltCurve_sp_O15511_ARPC5_HUMAN_.pdf", "Melting_Curves/meltCurve_sp_O15511_ARPC5_HUMAN_.pdf")</f>
        <v>Melting_Curves/meltCurve_sp_O15511_ARPC5_HUMAN_.pdf</v>
      </c>
      <c r="AA162" t="s">
        <v>14375</v>
      </c>
      <c r="AB162" t="s">
        <v>18997</v>
      </c>
    </row>
    <row r="163" spans="1:28" x14ac:dyDescent="0.25">
      <c r="A163" t="s">
        <v>167</v>
      </c>
      <c r="B163">
        <v>0.99904790336628502</v>
      </c>
      <c r="C163">
        <v>0.96339551040500204</v>
      </c>
      <c r="D163">
        <v>1.10077017658862</v>
      </c>
      <c r="E163">
        <v>0.88457876729396101</v>
      </c>
      <c r="F163">
        <v>0.86510389310452296</v>
      </c>
      <c r="G163">
        <v>0.665305858114004</v>
      </c>
      <c r="H163">
        <v>0.42697211687287301</v>
      </c>
      <c r="I163">
        <v>0.31450233767292801</v>
      </c>
      <c r="J163">
        <v>0.18359634102127201</v>
      </c>
      <c r="K163">
        <v>0.17411590642803301</v>
      </c>
      <c r="L163">
        <v>879.78719473556203</v>
      </c>
      <c r="M163">
        <v>14.898251525770799</v>
      </c>
      <c r="N163">
        <v>59.726354223401799</v>
      </c>
      <c r="O163">
        <v>58.019733980171097</v>
      </c>
      <c r="P163">
        <v>-5.9238531417475503E-2</v>
      </c>
      <c r="Q163">
        <v>7.7301961262051799E-2</v>
      </c>
      <c r="R163">
        <v>0.983411402576859</v>
      </c>
      <c r="S163" t="s">
        <v>4903</v>
      </c>
      <c r="T163" t="s">
        <v>9478</v>
      </c>
      <c r="U163" t="s">
        <v>9478</v>
      </c>
      <c r="V163" t="s">
        <v>9478</v>
      </c>
      <c r="W163">
        <v>3</v>
      </c>
      <c r="X163" t="s">
        <v>9641</v>
      </c>
      <c r="Y163">
        <v>0.67278720659651958</v>
      </c>
      <c r="Z163" t="str">
        <f>HYPERLINK("Melting_Curves/meltCurve_sp_O15514_RPB4_HUMAN_.pdf", "Melting_Curves/meltCurve_sp_O15514_RPB4_HUMAN_.pdf")</f>
        <v>Melting_Curves/meltCurve_sp_O15514_RPB4_HUMAN_.pdf</v>
      </c>
      <c r="AA163" t="s">
        <v>14376</v>
      </c>
      <c r="AB163" t="s">
        <v>18998</v>
      </c>
    </row>
    <row r="164" spans="1:28" x14ac:dyDescent="0.25">
      <c r="A164" t="s">
        <v>168</v>
      </c>
      <c r="B164">
        <v>0.99904790336628502</v>
      </c>
      <c r="C164">
        <v>0.93452200161155996</v>
      </c>
      <c r="D164">
        <v>1.01423034817019</v>
      </c>
      <c r="E164">
        <v>0.89723232177774304</v>
      </c>
      <c r="F164">
        <v>1.00776978486925</v>
      </c>
      <c r="G164">
        <v>0.75328933335486703</v>
      </c>
      <c r="H164">
        <v>0.71928374073822798</v>
      </c>
      <c r="I164">
        <v>0.67004478263441103</v>
      </c>
      <c r="J164">
        <v>0.76444020869425</v>
      </c>
      <c r="K164">
        <v>0.77539877656915701</v>
      </c>
      <c r="L164">
        <v>14109.562580764299</v>
      </c>
      <c r="M164">
        <v>250</v>
      </c>
      <c r="O164">
        <v>56.434638332927101</v>
      </c>
      <c r="P164">
        <v>-0.29648028677728999</v>
      </c>
      <c r="Q164">
        <v>0.73229187469858004</v>
      </c>
      <c r="R164">
        <v>0.85778997389396705</v>
      </c>
      <c r="S164" t="s">
        <v>4904</v>
      </c>
      <c r="T164" t="s">
        <v>9478</v>
      </c>
      <c r="U164" t="s">
        <v>9478</v>
      </c>
      <c r="V164" t="s">
        <v>9478</v>
      </c>
      <c r="W164">
        <v>4</v>
      </c>
      <c r="X164" t="s">
        <v>9642</v>
      </c>
      <c r="Y164">
        <v>0.87900682996085844</v>
      </c>
      <c r="Z164" t="str">
        <f>HYPERLINK("Melting_Curves/meltCurve_sp_O15541_R113A_HUMAN_.pdf", "Melting_Curves/meltCurve_sp_O15541_R113A_HUMAN_.pdf")</f>
        <v>Melting_Curves/meltCurve_sp_O15541_R113A_HUMAN_.pdf</v>
      </c>
      <c r="AA164" t="s">
        <v>14377</v>
      </c>
      <c r="AB164" t="s">
        <v>18999</v>
      </c>
    </row>
    <row r="165" spans="1:28" x14ac:dyDescent="0.25">
      <c r="A165" t="s">
        <v>169</v>
      </c>
      <c r="B165">
        <v>0.99904790336628502</v>
      </c>
      <c r="C165">
        <v>0.94337326523471998</v>
      </c>
      <c r="D165">
        <v>0.888445029760074</v>
      </c>
      <c r="E165">
        <v>0.53271586237858604</v>
      </c>
      <c r="F165">
        <v>0.35575563273597799</v>
      </c>
      <c r="G165">
        <v>0.20341886577280699</v>
      </c>
      <c r="H165">
        <v>0.12509584687844999</v>
      </c>
      <c r="I165">
        <v>9.4676682148597702E-2</v>
      </c>
      <c r="J165">
        <v>8.7263160933855902E-2</v>
      </c>
      <c r="K165">
        <v>8.1963619725094403E-2</v>
      </c>
      <c r="L165">
        <v>893.09349925993297</v>
      </c>
      <c r="M165">
        <v>17.757087824449101</v>
      </c>
      <c r="N165">
        <v>50.807185193651797</v>
      </c>
      <c r="O165">
        <v>49.6701992420736</v>
      </c>
      <c r="P165">
        <v>-8.2055498654955705E-2</v>
      </c>
      <c r="Q165">
        <v>8.1944193398222398E-2</v>
      </c>
      <c r="R165">
        <v>0.99751686164115505</v>
      </c>
      <c r="S165" t="s">
        <v>4905</v>
      </c>
      <c r="T165" t="s">
        <v>9478</v>
      </c>
      <c r="U165" t="s">
        <v>9478</v>
      </c>
      <c r="V165" t="s">
        <v>9478</v>
      </c>
      <c r="W165">
        <v>21</v>
      </c>
      <c r="X165" t="s">
        <v>9643</v>
      </c>
      <c r="Y165">
        <v>0.41299019899154649</v>
      </c>
      <c r="Z165" t="str">
        <f>HYPERLINK("Melting_Curves/meltCurve_sp_O43143_DHX15_HUMAN_.pdf", "Melting_Curves/meltCurve_sp_O43143_DHX15_HUMAN_.pdf")</f>
        <v>Melting_Curves/meltCurve_sp_O43143_DHX15_HUMAN_.pdf</v>
      </c>
      <c r="AA165" t="s">
        <v>14378</v>
      </c>
      <c r="AB165" t="s">
        <v>19000</v>
      </c>
    </row>
    <row r="166" spans="1:28" x14ac:dyDescent="0.25">
      <c r="A166" t="s">
        <v>170</v>
      </c>
      <c r="B166">
        <v>0.99904790336628502</v>
      </c>
      <c r="C166">
        <v>0.97585767703550597</v>
      </c>
      <c r="D166">
        <v>1.0057809546176499</v>
      </c>
      <c r="E166">
        <v>0.90940986195293605</v>
      </c>
      <c r="F166">
        <v>0.71431932764869999</v>
      </c>
      <c r="G166">
        <v>0.368684375891911</v>
      </c>
      <c r="H166">
        <v>0.13520944831971701</v>
      </c>
      <c r="I166">
        <v>8.0551324264822005E-2</v>
      </c>
      <c r="J166">
        <v>6.8779624139582399E-2</v>
      </c>
      <c r="K166">
        <v>5.9551448744783402E-2</v>
      </c>
      <c r="L166">
        <v>1216.4423633568299</v>
      </c>
      <c r="M166">
        <v>22.064339681951701</v>
      </c>
      <c r="N166">
        <v>55.366879752917697</v>
      </c>
      <c r="O166">
        <v>54.684745530863403</v>
      </c>
      <c r="P166">
        <v>-9.63588274977277E-2</v>
      </c>
      <c r="Q166">
        <v>4.4750026800450197E-2</v>
      </c>
      <c r="R166">
        <v>0.99923626583316105</v>
      </c>
      <c r="S166" t="s">
        <v>4906</v>
      </c>
      <c r="T166" t="s">
        <v>9478</v>
      </c>
      <c r="U166" t="s">
        <v>9478</v>
      </c>
      <c r="V166" t="s">
        <v>9478</v>
      </c>
      <c r="W166">
        <v>9</v>
      </c>
      <c r="X166" t="s">
        <v>9644</v>
      </c>
      <c r="Y166">
        <v>0.53745508135327724</v>
      </c>
      <c r="Z166" t="str">
        <f>HYPERLINK("Melting_Curves/meltCurve_sp_O43148_MCES_HUMAN_.pdf", "Melting_Curves/meltCurve_sp_O43148_MCES_HUMAN_.pdf")</f>
        <v>Melting_Curves/meltCurve_sp_O43148_MCES_HUMAN_.pdf</v>
      </c>
      <c r="AA166" t="s">
        <v>14379</v>
      </c>
      <c r="AB166" t="s">
        <v>19001</v>
      </c>
    </row>
    <row r="167" spans="1:28" x14ac:dyDescent="0.25">
      <c r="A167" t="s">
        <v>171</v>
      </c>
      <c r="B167">
        <v>0.99904790336628502</v>
      </c>
      <c r="C167">
        <v>0.97443861357508899</v>
      </c>
      <c r="D167">
        <v>0.91295877870748898</v>
      </c>
      <c r="E167">
        <v>0.83612701396905997</v>
      </c>
      <c r="F167">
        <v>1.02363667319381</v>
      </c>
      <c r="G167">
        <v>0.74501614268211402</v>
      </c>
      <c r="H167">
        <v>0.64127125559164999</v>
      </c>
      <c r="I167">
        <v>0.63649700649083796</v>
      </c>
      <c r="J167">
        <v>0.72582875310967898</v>
      </c>
      <c r="K167">
        <v>0.59664446536011295</v>
      </c>
      <c r="L167">
        <v>640.96638939134698</v>
      </c>
      <c r="M167">
        <v>11.345980173433301</v>
      </c>
      <c r="O167">
        <v>54.823257618751498</v>
      </c>
      <c r="P167">
        <v>-2.1873635989407701E-2</v>
      </c>
      <c r="Q167">
        <v>0.57735694201987497</v>
      </c>
      <c r="R167">
        <v>0.785781072321314</v>
      </c>
      <c r="S167" t="s">
        <v>4907</v>
      </c>
      <c r="T167" t="s">
        <v>9478</v>
      </c>
      <c r="U167" t="s">
        <v>9478</v>
      </c>
      <c r="V167" t="s">
        <v>9478</v>
      </c>
      <c r="W167">
        <v>2</v>
      </c>
      <c r="X167" t="s">
        <v>9645</v>
      </c>
      <c r="Y167">
        <v>0.81766988542353403</v>
      </c>
      <c r="Z167" t="str">
        <f>HYPERLINK("Melting_Curves/meltCurve_sp_O43164_2_PJA2_HUMAN_.pdf", "Melting_Curves/meltCurve_sp_O43164_2_PJA2_HUMAN_.pdf")</f>
        <v>Melting_Curves/meltCurve_sp_O43164_2_PJA2_HUMAN_.pdf</v>
      </c>
      <c r="AA167" t="s">
        <v>14380</v>
      </c>
      <c r="AB167" t="s">
        <v>19002</v>
      </c>
    </row>
    <row r="168" spans="1:28" x14ac:dyDescent="0.25">
      <c r="A168" t="s">
        <v>172</v>
      </c>
      <c r="B168">
        <v>0.99904790336628502</v>
      </c>
      <c r="C168">
        <v>1.0510075347076999</v>
      </c>
      <c r="D168">
        <v>0.96299477924001797</v>
      </c>
      <c r="E168">
        <v>0.83800072010799098</v>
      </c>
      <c r="F168">
        <v>0.54869970311553395</v>
      </c>
      <c r="G168">
        <v>0.28278786847415799</v>
      </c>
      <c r="H168">
        <v>0.15259908890347701</v>
      </c>
      <c r="I168">
        <v>0.10751893631951601</v>
      </c>
      <c r="J168">
        <v>0.10062824633984301</v>
      </c>
      <c r="K168">
        <v>9.8168548239974299E-2</v>
      </c>
      <c r="L168">
        <v>1163.16490529823</v>
      </c>
      <c r="M168">
        <v>21.8501575593788</v>
      </c>
      <c r="N168">
        <v>53.744644591362302</v>
      </c>
      <c r="O168">
        <v>52.793835754110098</v>
      </c>
      <c r="P168">
        <v>-9.3767889340443403E-2</v>
      </c>
      <c r="Q168">
        <v>9.3781749612100507E-2</v>
      </c>
      <c r="R168">
        <v>0.99725251237572399</v>
      </c>
      <c r="S168" t="s">
        <v>4908</v>
      </c>
      <c r="T168" t="s">
        <v>9478</v>
      </c>
      <c r="U168" t="s">
        <v>9478</v>
      </c>
      <c r="V168" t="s">
        <v>9478</v>
      </c>
      <c r="W168">
        <v>4</v>
      </c>
      <c r="X168" t="s">
        <v>9646</v>
      </c>
      <c r="Y168">
        <v>0.50421104309380071</v>
      </c>
      <c r="Z168" t="str">
        <f>HYPERLINK("Melting_Curves/meltCurve_sp_O43172_2_PRP4_HUMAN_.pdf", "Melting_Curves/meltCurve_sp_O43172_2_PRP4_HUMAN_.pdf")</f>
        <v>Melting_Curves/meltCurve_sp_O43172_2_PRP4_HUMAN_.pdf</v>
      </c>
      <c r="AA168" t="s">
        <v>14381</v>
      </c>
      <c r="AB168" t="s">
        <v>19003</v>
      </c>
    </row>
    <row r="169" spans="1:28" x14ac:dyDescent="0.25">
      <c r="A169" t="s">
        <v>173</v>
      </c>
      <c r="B169">
        <v>0.99904790336628502</v>
      </c>
      <c r="C169">
        <v>1.01224857649273</v>
      </c>
      <c r="D169">
        <v>0.953743575518603</v>
      </c>
      <c r="E169">
        <v>0.57046555830983603</v>
      </c>
      <c r="F169">
        <v>0.34990790763575103</v>
      </c>
      <c r="G169">
        <v>0.14164247888256201</v>
      </c>
      <c r="H169">
        <v>4.95472239155203E-2</v>
      </c>
      <c r="I169">
        <v>3.4872084786040397E-2</v>
      </c>
      <c r="J169">
        <v>2.8916229081113E-2</v>
      </c>
      <c r="K169">
        <v>2.4396605089320601E-2</v>
      </c>
      <c r="L169">
        <v>1073.4036775990401</v>
      </c>
      <c r="M169">
        <v>21.051167588461102</v>
      </c>
      <c r="N169">
        <v>51.121946102553899</v>
      </c>
      <c r="O169">
        <v>50.536775649624403</v>
      </c>
      <c r="P169">
        <v>-0.101391452181036</v>
      </c>
      <c r="Q169">
        <v>2.63987262047445E-2</v>
      </c>
      <c r="R169">
        <v>0.99663438256469505</v>
      </c>
      <c r="S169" t="s">
        <v>4909</v>
      </c>
      <c r="T169" t="s">
        <v>9478</v>
      </c>
      <c r="U169" t="s">
        <v>9478</v>
      </c>
      <c r="V169" t="s">
        <v>9478</v>
      </c>
      <c r="W169">
        <v>32</v>
      </c>
      <c r="X169" t="s">
        <v>9647</v>
      </c>
      <c r="Y169">
        <v>0.39533883252529461</v>
      </c>
      <c r="Z169" t="str">
        <f>HYPERLINK("Melting_Curves/meltCurve_sp_O43175_SERA_HUMAN_.pdf", "Melting_Curves/meltCurve_sp_O43175_SERA_HUMAN_.pdf")</f>
        <v>Melting_Curves/meltCurve_sp_O43175_SERA_HUMAN_.pdf</v>
      </c>
      <c r="AA169" t="s">
        <v>14382</v>
      </c>
      <c r="AB169" t="s">
        <v>19004</v>
      </c>
    </row>
    <row r="170" spans="1:28" x14ac:dyDescent="0.25">
      <c r="A170" t="s">
        <v>174</v>
      </c>
      <c r="B170">
        <v>0.99904790336628502</v>
      </c>
      <c r="C170">
        <v>0.92664006795860798</v>
      </c>
      <c r="D170">
        <v>0.99991476605139795</v>
      </c>
      <c r="E170">
        <v>0.82019956087763002</v>
      </c>
      <c r="F170">
        <v>0.66326420961158805</v>
      </c>
      <c r="G170">
        <v>0.35505447681459501</v>
      </c>
      <c r="H170">
        <v>0.129132997618361</v>
      </c>
      <c r="I170">
        <v>8.5452217410348599E-2</v>
      </c>
      <c r="J170">
        <v>6.3985937906629903E-2</v>
      </c>
      <c r="K170">
        <v>6.1215036158411597E-2</v>
      </c>
      <c r="L170">
        <v>987.31924150281202</v>
      </c>
      <c r="M170">
        <v>18.058107299886</v>
      </c>
      <c r="N170">
        <v>54.840987441557502</v>
      </c>
      <c r="O170">
        <v>54.017285661331002</v>
      </c>
      <c r="P170">
        <v>-8.1351236463584595E-2</v>
      </c>
      <c r="Q170">
        <v>2.6661959573311599E-2</v>
      </c>
      <c r="R170">
        <v>0.99498206166741798</v>
      </c>
      <c r="S170" t="s">
        <v>4910</v>
      </c>
      <c r="T170" t="s">
        <v>9478</v>
      </c>
      <c r="U170" t="s">
        <v>9478</v>
      </c>
      <c r="V170" t="s">
        <v>9478</v>
      </c>
      <c r="W170">
        <v>6</v>
      </c>
      <c r="X170" t="s">
        <v>9648</v>
      </c>
      <c r="Y170">
        <v>0.51794912333142518</v>
      </c>
      <c r="Z170" t="str">
        <f>HYPERLINK("Melting_Curves/meltCurve_sp_O43236_5_SEPT4_HUMAN_.pdf", "Melting_Curves/meltCurve_sp_O43236_5_SEPT4_HUMAN_.pdf")</f>
        <v>Melting_Curves/meltCurve_sp_O43236_5_SEPT4_HUMAN_.pdf</v>
      </c>
      <c r="AA170" t="s">
        <v>14383</v>
      </c>
      <c r="AB170" t="s">
        <v>19005</v>
      </c>
    </row>
    <row r="171" spans="1:28" x14ac:dyDescent="0.25">
      <c r="A171" t="s">
        <v>175</v>
      </c>
      <c r="B171">
        <v>0.99904790336628502</v>
      </c>
      <c r="C171">
        <v>1.0406737717472401</v>
      </c>
      <c r="D171">
        <v>1.0102307787042499</v>
      </c>
      <c r="E171">
        <v>0.826846634724407</v>
      </c>
      <c r="F171">
        <v>0.62217369291014402</v>
      </c>
      <c r="G171">
        <v>0.43130358393447699</v>
      </c>
      <c r="H171">
        <v>0.35275649604197701</v>
      </c>
      <c r="I171">
        <v>0.31083161265643899</v>
      </c>
      <c r="J171">
        <v>0.33118825038781602</v>
      </c>
      <c r="K171">
        <v>0.36363814524021598</v>
      </c>
      <c r="L171">
        <v>1270.28266215912</v>
      </c>
      <c r="M171">
        <v>24.2433299536041</v>
      </c>
      <c r="N171">
        <v>54.894103190340502</v>
      </c>
      <c r="O171">
        <v>52.044593509918499</v>
      </c>
      <c r="P171">
        <v>-7.7557886682302596E-2</v>
      </c>
      <c r="Q171">
        <v>0.33401766980389402</v>
      </c>
      <c r="R171">
        <v>0.99398979116977704</v>
      </c>
      <c r="S171" t="s">
        <v>4911</v>
      </c>
      <c r="T171" t="s">
        <v>9478</v>
      </c>
      <c r="U171" t="s">
        <v>9478</v>
      </c>
      <c r="V171" t="s">
        <v>9478</v>
      </c>
      <c r="W171">
        <v>8</v>
      </c>
      <c r="X171" t="s">
        <v>9649</v>
      </c>
      <c r="Y171">
        <v>0.61569732472836591</v>
      </c>
      <c r="Z171" t="str">
        <f>HYPERLINK("Melting_Curves/meltCurve_sp_O43237_DC1L2_HUMAN_.pdf", "Melting_Curves/meltCurve_sp_O43237_DC1L2_HUMAN_.pdf")</f>
        <v>Melting_Curves/meltCurve_sp_O43237_DC1L2_HUMAN_.pdf</v>
      </c>
      <c r="AA171" t="s">
        <v>14384</v>
      </c>
      <c r="AB171" t="s">
        <v>19006</v>
      </c>
    </row>
    <row r="172" spans="1:28" x14ac:dyDescent="0.25">
      <c r="A172" t="s">
        <v>176</v>
      </c>
      <c r="B172">
        <v>0.99904790336628502</v>
      </c>
      <c r="C172">
        <v>0.995262204897709</v>
      </c>
      <c r="D172">
        <v>0.87626284392212195</v>
      </c>
      <c r="E172">
        <v>0.59269172773119305</v>
      </c>
      <c r="F172">
        <v>0.29226984308136</v>
      </c>
      <c r="G172">
        <v>0.125603425972031</v>
      </c>
      <c r="H172">
        <v>6.3307740692052403E-2</v>
      </c>
      <c r="I172">
        <v>3.8252148573360199E-2</v>
      </c>
      <c r="J172">
        <v>3.0703744801529199E-2</v>
      </c>
      <c r="K172">
        <v>2.44235504766405E-2</v>
      </c>
      <c r="L172">
        <v>1038.4784774515799</v>
      </c>
      <c r="M172">
        <v>20.496256553645999</v>
      </c>
      <c r="N172">
        <v>50.8010577058376</v>
      </c>
      <c r="O172">
        <v>50.191827879600801</v>
      </c>
      <c r="P172">
        <v>-9.9399923966799003E-2</v>
      </c>
      <c r="Q172">
        <v>2.63750906626616E-2</v>
      </c>
      <c r="R172">
        <v>0.99926261681776996</v>
      </c>
      <c r="S172" t="s">
        <v>4912</v>
      </c>
      <c r="T172" t="s">
        <v>9478</v>
      </c>
      <c r="U172" t="s">
        <v>9478</v>
      </c>
      <c r="V172" t="s">
        <v>9478</v>
      </c>
      <c r="W172">
        <v>21</v>
      </c>
      <c r="X172" t="s">
        <v>9650</v>
      </c>
      <c r="Y172">
        <v>0.38546492416432498</v>
      </c>
      <c r="Z172" t="str">
        <f>HYPERLINK("Melting_Curves/meltCurve_sp_O43242_PSMD3_HUMAN_.pdf", "Melting_Curves/meltCurve_sp_O43242_PSMD3_HUMAN_.pdf")</f>
        <v>Melting_Curves/meltCurve_sp_O43242_PSMD3_HUMAN_.pdf</v>
      </c>
      <c r="AA172" t="s">
        <v>14385</v>
      </c>
      <c r="AB172" t="s">
        <v>19007</v>
      </c>
    </row>
    <row r="173" spans="1:28" x14ac:dyDescent="0.25">
      <c r="A173" t="s">
        <v>177</v>
      </c>
      <c r="B173">
        <v>0.99904790336628502</v>
      </c>
      <c r="C173">
        <v>1.0388143768356399</v>
      </c>
      <c r="D173">
        <v>1.0386252124228901</v>
      </c>
      <c r="E173">
        <v>0.72954503678813298</v>
      </c>
      <c r="F173">
        <v>0.37888000510315101</v>
      </c>
      <c r="G173">
        <v>0.17156022850442201</v>
      </c>
      <c r="H173">
        <v>0.13456314732083999</v>
      </c>
      <c r="I173">
        <v>0.10795104782507201</v>
      </c>
      <c r="J173">
        <v>0.111219604419262</v>
      </c>
      <c r="K173">
        <v>0.114883326802489</v>
      </c>
      <c r="L173">
        <v>1592.4912307057</v>
      </c>
      <c r="M173">
        <v>30.945644962091301</v>
      </c>
      <c r="N173">
        <v>51.911737383213897</v>
      </c>
      <c r="O173">
        <v>51.247449802910303</v>
      </c>
      <c r="P173">
        <v>-0.1331746711157</v>
      </c>
      <c r="Q173">
        <v>0.11783089467900899</v>
      </c>
      <c r="R173">
        <v>0.996187764055397</v>
      </c>
      <c r="S173" t="s">
        <v>4913</v>
      </c>
      <c r="T173" t="s">
        <v>9478</v>
      </c>
      <c r="U173" t="s">
        <v>9478</v>
      </c>
      <c r="V173" t="s">
        <v>9478</v>
      </c>
      <c r="W173">
        <v>10</v>
      </c>
      <c r="X173" t="s">
        <v>9651</v>
      </c>
      <c r="Y173">
        <v>0.46009912132070419</v>
      </c>
      <c r="Z173" t="str">
        <f>HYPERLINK("Melting_Curves/meltCurve_sp_O43252_PAPS1_HUMAN_.pdf", "Melting_Curves/meltCurve_sp_O43252_PAPS1_HUMAN_.pdf")</f>
        <v>Melting_Curves/meltCurve_sp_O43252_PAPS1_HUMAN_.pdf</v>
      </c>
      <c r="AA173" t="s">
        <v>14386</v>
      </c>
      <c r="AB173" t="s">
        <v>19008</v>
      </c>
    </row>
    <row r="174" spans="1:28" x14ac:dyDescent="0.25">
      <c r="A174" t="s">
        <v>178</v>
      </c>
      <c r="B174">
        <v>0.99904790336628502</v>
      </c>
      <c r="C174">
        <v>1.2136826253408</v>
      </c>
      <c r="D174">
        <v>1.26021433770599</v>
      </c>
      <c r="E174">
        <v>0.99652261746273296</v>
      </c>
      <c r="F174">
        <v>0.83536447856391505</v>
      </c>
      <c r="G174">
        <v>0.58474754503186999</v>
      </c>
      <c r="H174">
        <v>0.38790437518582099</v>
      </c>
      <c r="I174">
        <v>0.22786996508573901</v>
      </c>
      <c r="J174">
        <v>0.14138009688821401</v>
      </c>
      <c r="K174">
        <v>6.2176687782253798E-2</v>
      </c>
      <c r="L174">
        <v>1039.00601171363</v>
      </c>
      <c r="M174">
        <v>17.7809631768089</v>
      </c>
      <c r="N174">
        <v>58.7396098314168</v>
      </c>
      <c r="O174">
        <v>57.709552414851402</v>
      </c>
      <c r="P174">
        <v>-7.36244949018241E-2</v>
      </c>
      <c r="Q174">
        <v>4.4232509902523802E-2</v>
      </c>
      <c r="R174">
        <v>0.93108211224338799</v>
      </c>
      <c r="S174" t="s">
        <v>4914</v>
      </c>
      <c r="T174" t="s">
        <v>9478</v>
      </c>
      <c r="U174" t="s">
        <v>9478</v>
      </c>
      <c r="V174" t="s">
        <v>9478</v>
      </c>
      <c r="W174">
        <v>5</v>
      </c>
      <c r="X174" t="s">
        <v>9652</v>
      </c>
      <c r="Y174">
        <v>0.64272034497039299</v>
      </c>
      <c r="Z174" t="str">
        <f>HYPERLINK("Melting_Curves/meltCurve_sp_O43264_ZW10_HUMAN_.pdf", "Melting_Curves/meltCurve_sp_O43264_ZW10_HUMAN_.pdf")</f>
        <v>Melting_Curves/meltCurve_sp_O43264_ZW10_HUMAN_.pdf</v>
      </c>
      <c r="AA174" t="s">
        <v>14387</v>
      </c>
      <c r="AB174" t="s">
        <v>19009</v>
      </c>
    </row>
    <row r="175" spans="1:28" x14ac:dyDescent="0.25">
      <c r="A175" t="s">
        <v>179</v>
      </c>
      <c r="B175">
        <v>0.99904790336628502</v>
      </c>
      <c r="C175">
        <v>1.0565865557624401</v>
      </c>
      <c r="D175">
        <v>1.0167277330723601</v>
      </c>
      <c r="E175">
        <v>0.892728032887665</v>
      </c>
      <c r="F175">
        <v>0.85260526081587895</v>
      </c>
      <c r="G175">
        <v>0.56077617226299403</v>
      </c>
      <c r="H175">
        <v>0.50876119426216804</v>
      </c>
      <c r="I175">
        <v>0.42331376078789501</v>
      </c>
      <c r="J175">
        <v>0.46649305390771201</v>
      </c>
      <c r="K175">
        <v>0.48261271950551599</v>
      </c>
      <c r="L175">
        <v>1404.90691191378</v>
      </c>
      <c r="M175">
        <v>25.8321889670225</v>
      </c>
      <c r="N175">
        <v>60.014707784904203</v>
      </c>
      <c r="O175">
        <v>54.063098630806003</v>
      </c>
      <c r="P175">
        <v>-6.5023790128517597E-2</v>
      </c>
      <c r="Q175">
        <v>0.45566404469692301</v>
      </c>
      <c r="R175">
        <v>0.98060524778271196</v>
      </c>
      <c r="S175" t="s">
        <v>4915</v>
      </c>
      <c r="T175" t="s">
        <v>9478</v>
      </c>
      <c r="U175" t="s">
        <v>9478</v>
      </c>
      <c r="V175" t="s">
        <v>9478</v>
      </c>
      <c r="W175">
        <v>8</v>
      </c>
      <c r="X175" t="s">
        <v>9653</v>
      </c>
      <c r="Y175">
        <v>0.72144002528684836</v>
      </c>
      <c r="Z175" t="str">
        <f>HYPERLINK("Melting_Curves/meltCurve_sp_O43290_SNUT1_HUMAN_.pdf", "Melting_Curves/meltCurve_sp_O43290_SNUT1_HUMAN_.pdf")</f>
        <v>Melting_Curves/meltCurve_sp_O43290_SNUT1_HUMAN_.pdf</v>
      </c>
      <c r="AA175" t="s">
        <v>14388</v>
      </c>
      <c r="AB175" t="s">
        <v>19010</v>
      </c>
    </row>
    <row r="176" spans="1:28" x14ac:dyDescent="0.25">
      <c r="A176" t="s">
        <v>180</v>
      </c>
      <c r="B176">
        <v>0.99904790336628502</v>
      </c>
      <c r="C176">
        <v>1.2654289502204401</v>
      </c>
      <c r="D176">
        <v>1.1490273254256</v>
      </c>
      <c r="E176">
        <v>1.06757424610249</v>
      </c>
      <c r="F176">
        <v>1.00882591624101</v>
      </c>
      <c r="G176">
        <v>0.52259726961779496</v>
      </c>
      <c r="H176">
        <v>0.49273076930702198</v>
      </c>
      <c r="I176">
        <v>0.42571953926899703</v>
      </c>
      <c r="J176">
        <v>0.21302600209196301</v>
      </c>
      <c r="K176">
        <v>8.8956742536079894E-2</v>
      </c>
      <c r="L176">
        <v>969.42157657509301</v>
      </c>
      <c r="M176">
        <v>16.224189852338402</v>
      </c>
      <c r="N176">
        <v>60.378982262664103</v>
      </c>
      <c r="O176">
        <v>58.8659658365019</v>
      </c>
      <c r="P176">
        <v>-6.3563245812230704E-2</v>
      </c>
      <c r="Q176">
        <v>7.7566482331035205E-2</v>
      </c>
      <c r="R176">
        <v>0.89155882132575703</v>
      </c>
      <c r="S176" t="s">
        <v>4916</v>
      </c>
      <c r="T176" t="s">
        <v>9478</v>
      </c>
      <c r="U176" t="s">
        <v>9478</v>
      </c>
      <c r="V176" t="s">
        <v>9478</v>
      </c>
      <c r="W176">
        <v>1</v>
      </c>
      <c r="X176" t="s">
        <v>9654</v>
      </c>
      <c r="Y176">
        <v>0.69273081007053039</v>
      </c>
      <c r="Z176" t="str">
        <f>HYPERLINK("Melting_Curves/meltCurve_sp_O43310_CTIF_HUMAN_.pdf", "Melting_Curves/meltCurve_sp_O43310_CTIF_HUMAN_.pdf")</f>
        <v>Melting_Curves/meltCurve_sp_O43310_CTIF_HUMAN_.pdf</v>
      </c>
      <c r="AA176" t="s">
        <v>14389</v>
      </c>
      <c r="AB176" t="s">
        <v>19011</v>
      </c>
    </row>
    <row r="177" spans="1:28" x14ac:dyDescent="0.25">
      <c r="A177" t="s">
        <v>181</v>
      </c>
      <c r="B177">
        <v>0.99904790336628502</v>
      </c>
      <c r="C177">
        <v>0.91755670685997204</v>
      </c>
      <c r="D177">
        <v>0.901150872513512</v>
      </c>
      <c r="E177">
        <v>0.84709033295727199</v>
      </c>
      <c r="F177">
        <v>0.78170572184331</v>
      </c>
      <c r="G177">
        <v>0.46355401395163998</v>
      </c>
      <c r="H177">
        <v>0.36089685326872201</v>
      </c>
      <c r="I177">
        <v>0.30389526483106799</v>
      </c>
      <c r="J177">
        <v>0.32961412774208698</v>
      </c>
      <c r="K177">
        <v>0.37911045134633298</v>
      </c>
      <c r="L177">
        <v>1035.68387992212</v>
      </c>
      <c r="M177">
        <v>19.193228156277101</v>
      </c>
      <c r="N177">
        <v>56.861813200082103</v>
      </c>
      <c r="O177">
        <v>53.385374885951599</v>
      </c>
      <c r="P177">
        <v>-6.1823110101452701E-2</v>
      </c>
      <c r="Q177">
        <v>0.31219018311922198</v>
      </c>
      <c r="R177">
        <v>0.96777135363399402</v>
      </c>
      <c r="S177" t="s">
        <v>4917</v>
      </c>
      <c r="T177" t="s">
        <v>9478</v>
      </c>
      <c r="U177" t="s">
        <v>9478</v>
      </c>
      <c r="V177" t="s">
        <v>9478</v>
      </c>
      <c r="W177">
        <v>7</v>
      </c>
      <c r="X177" t="s">
        <v>9655</v>
      </c>
      <c r="Y177">
        <v>0.64225887770141332</v>
      </c>
      <c r="Z177" t="str">
        <f>HYPERLINK("Melting_Curves/meltCurve_sp_O43312_4_MTSS1_HUMAN_.pdf", "Melting_Curves/meltCurve_sp_O43312_4_MTSS1_HUMAN_.pdf")</f>
        <v>Melting_Curves/meltCurve_sp_O43312_4_MTSS1_HUMAN_.pdf</v>
      </c>
      <c r="AA177" t="s">
        <v>14390</v>
      </c>
      <c r="AB177" t="s">
        <v>19012</v>
      </c>
    </row>
    <row r="178" spans="1:28" x14ac:dyDescent="0.25">
      <c r="A178" t="s">
        <v>182</v>
      </c>
      <c r="B178">
        <v>0.99904790336628502</v>
      </c>
      <c r="C178">
        <v>0.98526462931607495</v>
      </c>
      <c r="D178">
        <v>0.75587787483145796</v>
      </c>
      <c r="E178">
        <v>0.45552425371413202</v>
      </c>
      <c r="F178">
        <v>0.26703832691231</v>
      </c>
      <c r="G178">
        <v>0.19982551324255801</v>
      </c>
      <c r="H178">
        <v>0.15909533422959299</v>
      </c>
      <c r="I178">
        <v>0.13208285551105101</v>
      </c>
      <c r="J178">
        <v>0.13049485437827599</v>
      </c>
      <c r="K178">
        <v>0.12906826590982301</v>
      </c>
      <c r="L178">
        <v>958.24044240842295</v>
      </c>
      <c r="M178">
        <v>19.735006062132399</v>
      </c>
      <c r="N178">
        <v>49.339892794877997</v>
      </c>
      <c r="O178">
        <v>48.0650523781175</v>
      </c>
      <c r="P178">
        <v>-8.8827327510644899E-2</v>
      </c>
      <c r="Q178">
        <v>0.13466578240207799</v>
      </c>
      <c r="R178">
        <v>0.99675105734182801</v>
      </c>
      <c r="S178" t="s">
        <v>4918</v>
      </c>
      <c r="T178" t="s">
        <v>9478</v>
      </c>
      <c r="U178" t="s">
        <v>9478</v>
      </c>
      <c r="V178" t="s">
        <v>9478</v>
      </c>
      <c r="W178">
        <v>10</v>
      </c>
      <c r="X178" t="s">
        <v>9656</v>
      </c>
      <c r="Y178">
        <v>0.39396437724436129</v>
      </c>
      <c r="Z178" t="str">
        <f>HYPERLINK("Melting_Curves/meltCurve_sp_O43314_2_VIP2_HUMAN_.pdf", "Melting_Curves/meltCurve_sp_O43314_2_VIP2_HUMAN_.pdf")</f>
        <v>Melting_Curves/meltCurve_sp_O43314_2_VIP2_HUMAN_.pdf</v>
      </c>
      <c r="AA178" t="s">
        <v>14391</v>
      </c>
      <c r="AB178" t="s">
        <v>19013</v>
      </c>
    </row>
    <row r="179" spans="1:28" x14ac:dyDescent="0.25">
      <c r="A179" t="s">
        <v>183</v>
      </c>
      <c r="B179">
        <v>0.99904790336628502</v>
      </c>
      <c r="C179">
        <v>1.03600505300116</v>
      </c>
      <c r="D179">
        <v>1.02058248115934</v>
      </c>
      <c r="E179">
        <v>0.84372874004554599</v>
      </c>
      <c r="F179">
        <v>0.71784760278661497</v>
      </c>
      <c r="G179">
        <v>0.44746167353533001</v>
      </c>
      <c r="H179">
        <v>0.357780747739669</v>
      </c>
      <c r="I179">
        <v>0.32891337329218201</v>
      </c>
      <c r="J179">
        <v>0.342930244045695</v>
      </c>
      <c r="K179">
        <v>0.33738196149090199</v>
      </c>
      <c r="L179">
        <v>1211.0690614668199</v>
      </c>
      <c r="M179">
        <v>22.673397945248499</v>
      </c>
      <c r="N179">
        <v>56.0180377346692</v>
      </c>
      <c r="O179">
        <v>53.003368749587999</v>
      </c>
      <c r="P179">
        <v>-7.2107685523739098E-2</v>
      </c>
      <c r="Q179">
        <v>0.32575186639145298</v>
      </c>
      <c r="R179">
        <v>0.99376595114644095</v>
      </c>
      <c r="S179" t="s">
        <v>4919</v>
      </c>
      <c r="T179" t="s">
        <v>9478</v>
      </c>
      <c r="U179" t="s">
        <v>9478</v>
      </c>
      <c r="V179" t="s">
        <v>9478</v>
      </c>
      <c r="W179">
        <v>8</v>
      </c>
      <c r="X179" t="s">
        <v>9657</v>
      </c>
      <c r="Y179">
        <v>0.63465867255791164</v>
      </c>
      <c r="Z179" t="str">
        <f>HYPERLINK("Melting_Curves/meltCurve_sp_O43318_2_M3K7_HUMAN_.pdf", "Melting_Curves/meltCurve_sp_O43318_2_M3K7_HUMAN_.pdf")</f>
        <v>Melting_Curves/meltCurve_sp_O43318_2_M3K7_HUMAN_.pdf</v>
      </c>
      <c r="AA179" t="s">
        <v>14392</v>
      </c>
      <c r="AB179" t="s">
        <v>19014</v>
      </c>
    </row>
    <row r="180" spans="1:28" x14ac:dyDescent="0.25">
      <c r="A180" t="s">
        <v>184</v>
      </c>
      <c r="B180">
        <v>0.99904790336628502</v>
      </c>
      <c r="C180">
        <v>0.97612439067351298</v>
      </c>
      <c r="D180">
        <v>0.92475556597783803</v>
      </c>
      <c r="E180">
        <v>0.82562368082014503</v>
      </c>
      <c r="F180">
        <v>0.708718074755463</v>
      </c>
      <c r="G180">
        <v>0.29582025711729398</v>
      </c>
      <c r="H180">
        <v>8.9959658861287095E-2</v>
      </c>
      <c r="I180">
        <v>4.1907913794724E-2</v>
      </c>
      <c r="J180">
        <v>3.0028542314847698E-2</v>
      </c>
      <c r="K180">
        <v>2.6200104758230199E-2</v>
      </c>
      <c r="L180">
        <v>1102.07052929254</v>
      </c>
      <c r="M180">
        <v>20.138988717021501</v>
      </c>
      <c r="N180">
        <v>54.723208954629001</v>
      </c>
      <c r="O180">
        <v>54.192230263681303</v>
      </c>
      <c r="P180">
        <v>-9.2908271086367705E-2</v>
      </c>
      <c r="Q180">
        <v>0</v>
      </c>
      <c r="R180">
        <v>0.99472648972460198</v>
      </c>
      <c r="S180" t="s">
        <v>4920</v>
      </c>
      <c r="T180" t="s">
        <v>9478</v>
      </c>
      <c r="U180" t="s">
        <v>9478</v>
      </c>
      <c r="V180" t="s">
        <v>9478</v>
      </c>
      <c r="W180">
        <v>9</v>
      </c>
      <c r="X180" t="s">
        <v>9658</v>
      </c>
      <c r="Y180">
        <v>0.50403758228496753</v>
      </c>
      <c r="Z180" t="str">
        <f>HYPERLINK("Melting_Curves/meltCurve_sp_O43325_LYRM1_HUMAN_.pdf", "Melting_Curves/meltCurve_sp_O43325_LYRM1_HUMAN_.pdf")</f>
        <v>Melting_Curves/meltCurve_sp_O43325_LYRM1_HUMAN_.pdf</v>
      </c>
      <c r="AA180" t="s">
        <v>14393</v>
      </c>
      <c r="AB180" t="s">
        <v>19015</v>
      </c>
    </row>
    <row r="181" spans="1:28" x14ac:dyDescent="0.25">
      <c r="A181" t="s">
        <v>185</v>
      </c>
      <c r="B181">
        <v>0.99904790336628502</v>
      </c>
      <c r="C181">
        <v>1.0104341839718001</v>
      </c>
      <c r="D181">
        <v>1.0253621985671</v>
      </c>
      <c r="E181">
        <v>0.89175617736783597</v>
      </c>
      <c r="F181">
        <v>0.53605238877834904</v>
      </c>
      <c r="G181">
        <v>0.19313519782043301</v>
      </c>
      <c r="H181">
        <v>9.1037008511543893E-2</v>
      </c>
      <c r="I181">
        <v>7.0610805782900396E-2</v>
      </c>
      <c r="J181">
        <v>6.4273334826520395E-2</v>
      </c>
      <c r="K181">
        <v>4.63051407941628E-2</v>
      </c>
      <c r="L181">
        <v>1585.84827856988</v>
      </c>
      <c r="M181">
        <v>29.831954074680901</v>
      </c>
      <c r="N181">
        <v>53.403131448227498</v>
      </c>
      <c r="O181">
        <v>52.922224672169001</v>
      </c>
      <c r="P181">
        <v>-0.13195471852519899</v>
      </c>
      <c r="Q181">
        <v>6.3649574474131707E-2</v>
      </c>
      <c r="R181">
        <v>0.99856571346580902</v>
      </c>
      <c r="S181" t="s">
        <v>4921</v>
      </c>
      <c r="T181" t="s">
        <v>9478</v>
      </c>
      <c r="U181" t="s">
        <v>9478</v>
      </c>
      <c r="V181" t="s">
        <v>9478</v>
      </c>
      <c r="W181">
        <v>17</v>
      </c>
      <c r="X181" t="s">
        <v>9659</v>
      </c>
      <c r="Y181">
        <v>0.48052883573893712</v>
      </c>
      <c r="Z181" t="str">
        <f>HYPERLINK("Melting_Curves/meltCurve_sp_O43390_HNRPR_HUMAN_.pdf", "Melting_Curves/meltCurve_sp_O43390_HNRPR_HUMAN_.pdf")</f>
        <v>Melting_Curves/meltCurve_sp_O43390_HNRPR_HUMAN_.pdf</v>
      </c>
      <c r="AA181" t="s">
        <v>14394</v>
      </c>
      <c r="AB181" t="s">
        <v>19016</v>
      </c>
    </row>
    <row r="182" spans="1:28" x14ac:dyDescent="0.25">
      <c r="A182" t="s">
        <v>186</v>
      </c>
      <c r="B182">
        <v>0.99904790336628502</v>
      </c>
      <c r="C182">
        <v>0.94989430748427905</v>
      </c>
      <c r="D182">
        <v>0.899710807949197</v>
      </c>
      <c r="E182">
        <v>0.78196516368117697</v>
      </c>
      <c r="F182">
        <v>0.53164243399620903</v>
      </c>
      <c r="G182">
        <v>0.27798094681824098</v>
      </c>
      <c r="H182">
        <v>0.14990860984813201</v>
      </c>
      <c r="I182">
        <v>8.8335185280761397E-2</v>
      </c>
      <c r="J182">
        <v>6.8941113933799203E-2</v>
      </c>
      <c r="K182">
        <v>4.6534570265255801E-2</v>
      </c>
      <c r="L182">
        <v>839.08293164173995</v>
      </c>
      <c r="M182">
        <v>15.716672750691099</v>
      </c>
      <c r="N182">
        <v>53.560639026865402</v>
      </c>
      <c r="O182">
        <v>52.546147136651399</v>
      </c>
      <c r="P182">
        <v>-7.2935727890827806E-2</v>
      </c>
      <c r="Q182">
        <v>2.4686475508134902E-2</v>
      </c>
      <c r="R182">
        <v>0.99792856011768305</v>
      </c>
      <c r="S182" t="s">
        <v>4922</v>
      </c>
      <c r="T182" t="s">
        <v>9478</v>
      </c>
      <c r="U182" t="s">
        <v>9478</v>
      </c>
      <c r="V182" t="s">
        <v>9478</v>
      </c>
      <c r="W182">
        <v>12</v>
      </c>
      <c r="X182" t="s">
        <v>9660</v>
      </c>
      <c r="Y182">
        <v>0.47929702627608989</v>
      </c>
      <c r="Z182" t="str">
        <f>HYPERLINK("Melting_Curves/meltCurve_sp_O43396_TXNL1_HUMAN_.pdf", "Melting_Curves/meltCurve_sp_O43396_TXNL1_HUMAN_.pdf")</f>
        <v>Melting_Curves/meltCurve_sp_O43396_TXNL1_HUMAN_.pdf</v>
      </c>
      <c r="AA182" t="s">
        <v>14395</v>
      </c>
      <c r="AB182" t="s">
        <v>19017</v>
      </c>
    </row>
    <row r="183" spans="1:28" x14ac:dyDescent="0.25">
      <c r="A183" t="s">
        <v>187</v>
      </c>
      <c r="B183">
        <v>0.99904790336628502</v>
      </c>
      <c r="C183">
        <v>0.95028810047332801</v>
      </c>
      <c r="D183">
        <v>0.88050387382996298</v>
      </c>
      <c r="E183">
        <v>0.84850215756757996</v>
      </c>
      <c r="F183">
        <v>0.92648334286585798</v>
      </c>
      <c r="G183">
        <v>0.64557655276026704</v>
      </c>
      <c r="H183">
        <v>0.62027643095649598</v>
      </c>
      <c r="I183">
        <v>0.600029136280535</v>
      </c>
      <c r="J183">
        <v>0.58713157557088202</v>
      </c>
      <c r="K183">
        <v>0.57386736322882204</v>
      </c>
      <c r="L183">
        <v>520.79360641540404</v>
      </c>
      <c r="M183">
        <v>9.3958317906102202</v>
      </c>
      <c r="O183">
        <v>53.091283070222197</v>
      </c>
      <c r="P183">
        <v>-2.24050133056834E-2</v>
      </c>
      <c r="Q183">
        <v>0.49391276125630401</v>
      </c>
      <c r="R183">
        <v>0.90433979784093299</v>
      </c>
      <c r="S183" t="s">
        <v>4923</v>
      </c>
      <c r="T183" t="s">
        <v>9478</v>
      </c>
      <c r="U183" t="s">
        <v>9478</v>
      </c>
      <c r="V183" t="s">
        <v>9478</v>
      </c>
      <c r="W183">
        <v>9</v>
      </c>
      <c r="X183" t="s">
        <v>9661</v>
      </c>
      <c r="Y183">
        <v>0.76640324964537021</v>
      </c>
      <c r="Z183" t="str">
        <f>HYPERLINK("Melting_Curves/meltCurve_sp_O43399_TPD54_HUMAN_.pdf", "Melting_Curves/meltCurve_sp_O43399_TPD54_HUMAN_.pdf")</f>
        <v>Melting_Curves/meltCurve_sp_O43399_TPD54_HUMAN_.pdf</v>
      </c>
      <c r="AA183" t="s">
        <v>14396</v>
      </c>
      <c r="AB183" t="s">
        <v>19018</v>
      </c>
    </row>
    <row r="184" spans="1:28" x14ac:dyDescent="0.25">
      <c r="A184" t="s">
        <v>188</v>
      </c>
      <c r="B184">
        <v>0.99904790336628502</v>
      </c>
      <c r="C184">
        <v>1.0598112787029801</v>
      </c>
      <c r="D184">
        <v>1.0441232783408301</v>
      </c>
      <c r="E184">
        <v>0.592855497222738</v>
      </c>
      <c r="F184">
        <v>0.38746893592179299</v>
      </c>
      <c r="G184">
        <v>0.139792858853686</v>
      </c>
      <c r="H184">
        <v>6.0620132313706603E-2</v>
      </c>
      <c r="I184">
        <v>3.2763104030772802E-2</v>
      </c>
      <c r="J184">
        <v>9.3606274470989705E-3</v>
      </c>
      <c r="K184">
        <v>1.23264027889196E-2</v>
      </c>
      <c r="L184">
        <v>1172.30339087217</v>
      </c>
      <c r="M184">
        <v>22.789822928547899</v>
      </c>
      <c r="N184">
        <v>51.548144567416799</v>
      </c>
      <c r="O184">
        <v>51.048634763911203</v>
      </c>
      <c r="P184">
        <v>-0.10899997328569</v>
      </c>
      <c r="Q184">
        <v>2.33903319115207E-2</v>
      </c>
      <c r="R184">
        <v>0.98718744831433103</v>
      </c>
      <c r="S184" t="s">
        <v>4924</v>
      </c>
      <c r="T184" t="s">
        <v>9478</v>
      </c>
      <c r="U184" t="s">
        <v>9478</v>
      </c>
      <c r="V184" t="s">
        <v>9478</v>
      </c>
      <c r="W184">
        <v>1</v>
      </c>
      <c r="X184" t="s">
        <v>9662</v>
      </c>
      <c r="Y184">
        <v>0.40639610921997232</v>
      </c>
      <c r="Z184" t="str">
        <f>HYPERLINK("Melting_Curves/meltCurve_sp_O43414_3_ERI3_HUMAN_.pdf", "Melting_Curves/meltCurve_sp_O43414_3_ERI3_HUMAN_.pdf")</f>
        <v>Melting_Curves/meltCurve_sp_O43414_3_ERI3_HUMAN_.pdf</v>
      </c>
      <c r="AA184" t="s">
        <v>14397</v>
      </c>
      <c r="AB184" t="s">
        <v>19019</v>
      </c>
    </row>
    <row r="185" spans="1:28" x14ac:dyDescent="0.25">
      <c r="A185" t="s">
        <v>189</v>
      </c>
      <c r="B185">
        <v>0.99904790336628502</v>
      </c>
      <c r="C185">
        <v>1.0725525288681099</v>
      </c>
      <c r="D185">
        <v>0.98649473861640502</v>
      </c>
      <c r="E185">
        <v>0.77419166075813295</v>
      </c>
      <c r="F185">
        <v>0.59285090965808396</v>
      </c>
      <c r="G185">
        <v>0.52022893588812602</v>
      </c>
      <c r="H185">
        <v>0.42335435680265099</v>
      </c>
      <c r="I185">
        <v>0.23045620191199401</v>
      </c>
      <c r="J185">
        <v>0.393330175504785</v>
      </c>
      <c r="K185">
        <v>0.313479651853726</v>
      </c>
      <c r="L185">
        <v>904.22182600163501</v>
      </c>
      <c r="M185">
        <v>17.219499013948901</v>
      </c>
      <c r="N185">
        <v>55.799012940943797</v>
      </c>
      <c r="O185">
        <v>51.818642958694298</v>
      </c>
      <c r="P185">
        <v>-5.66018843695986E-2</v>
      </c>
      <c r="Q185">
        <v>0.31871180368121999</v>
      </c>
      <c r="R185">
        <v>0.95892212395558996</v>
      </c>
      <c r="S185" t="s">
        <v>4925</v>
      </c>
      <c r="T185" t="s">
        <v>9478</v>
      </c>
      <c r="U185" t="s">
        <v>9478</v>
      </c>
      <c r="V185" t="s">
        <v>9478</v>
      </c>
      <c r="W185">
        <v>9</v>
      </c>
      <c r="X185" t="s">
        <v>9663</v>
      </c>
      <c r="Y185">
        <v>0.61493829543633394</v>
      </c>
      <c r="Z185" t="str">
        <f>HYPERLINK("Melting_Curves/meltCurve_sp_O43432_IF4G3_HUMAN_.pdf", "Melting_Curves/meltCurve_sp_O43432_IF4G3_HUMAN_.pdf")</f>
        <v>Melting_Curves/meltCurve_sp_O43432_IF4G3_HUMAN_.pdf</v>
      </c>
      <c r="AA185" t="s">
        <v>14398</v>
      </c>
      <c r="AB185" t="s">
        <v>19020</v>
      </c>
    </row>
    <row r="186" spans="1:28" x14ac:dyDescent="0.25">
      <c r="A186" t="s">
        <v>190</v>
      </c>
      <c r="B186">
        <v>0.99904790336628502</v>
      </c>
      <c r="C186">
        <v>0.91530913630555</v>
      </c>
      <c r="D186">
        <v>0.86000594211661696</v>
      </c>
      <c r="E186">
        <v>0.84995579627280804</v>
      </c>
      <c r="F186">
        <v>0.703714043268027</v>
      </c>
      <c r="G186">
        <v>0.53901576332962797</v>
      </c>
      <c r="H186">
        <v>0.377642415695912</v>
      </c>
      <c r="I186">
        <v>0.395794561804791</v>
      </c>
      <c r="J186">
        <v>0.360126622472067</v>
      </c>
      <c r="K186">
        <v>0.23317914055823399</v>
      </c>
      <c r="L186">
        <v>496.22524644976301</v>
      </c>
      <c r="M186">
        <v>8.7514899275079401</v>
      </c>
      <c r="N186">
        <v>58.709585258757798</v>
      </c>
      <c r="O186">
        <v>53.9748510420918</v>
      </c>
      <c r="P186">
        <v>-3.53212452915138E-2</v>
      </c>
      <c r="Q186">
        <v>0.129327212011703</v>
      </c>
      <c r="R186">
        <v>0.97830422130577899</v>
      </c>
      <c r="S186" t="s">
        <v>4926</v>
      </c>
      <c r="T186" t="s">
        <v>9478</v>
      </c>
      <c r="U186" t="s">
        <v>9478</v>
      </c>
      <c r="V186" t="s">
        <v>9478</v>
      </c>
      <c r="W186">
        <v>11</v>
      </c>
      <c r="X186" t="s">
        <v>9664</v>
      </c>
      <c r="Y186">
        <v>0.627925087278286</v>
      </c>
      <c r="Z186" t="str">
        <f>HYPERLINK("Melting_Curves/meltCurve_sp_O43464_3_HTRA2_HUMAN_.pdf", "Melting_Curves/meltCurve_sp_O43464_3_HTRA2_HUMAN_.pdf")</f>
        <v>Melting_Curves/meltCurve_sp_O43464_3_HTRA2_HUMAN_.pdf</v>
      </c>
      <c r="AA186" t="s">
        <v>14399</v>
      </c>
      <c r="AB186" t="s">
        <v>19021</v>
      </c>
    </row>
    <row r="187" spans="1:28" x14ac:dyDescent="0.25">
      <c r="A187" t="s">
        <v>191</v>
      </c>
      <c r="B187">
        <v>0.99904790336628502</v>
      </c>
      <c r="C187">
        <v>0.97842541530464799</v>
      </c>
      <c r="D187">
        <v>0.97331084303833804</v>
      </c>
      <c r="E187">
        <v>0.86378331362039595</v>
      </c>
      <c r="F187">
        <v>0.825032960496763</v>
      </c>
      <c r="G187">
        <v>0.46444932559153002</v>
      </c>
      <c r="H187">
        <v>0.34440588114679799</v>
      </c>
      <c r="I187">
        <v>0.33935209470657601</v>
      </c>
      <c r="J187">
        <v>0.314237617231855</v>
      </c>
      <c r="K187">
        <v>0.33810958444316003</v>
      </c>
      <c r="L187">
        <v>1346.3370810689901</v>
      </c>
      <c r="M187">
        <v>24.700118626946299</v>
      </c>
      <c r="N187">
        <v>56.7827771615705</v>
      </c>
      <c r="O187">
        <v>54.153802996263003</v>
      </c>
      <c r="P187">
        <v>-7.82040330793113E-2</v>
      </c>
      <c r="Q187">
        <v>0.31417562887141398</v>
      </c>
      <c r="R187">
        <v>0.98848502445568998</v>
      </c>
      <c r="S187" t="s">
        <v>4927</v>
      </c>
      <c r="T187" t="s">
        <v>9478</v>
      </c>
      <c r="U187" t="s">
        <v>9478</v>
      </c>
      <c r="V187" t="s">
        <v>9478</v>
      </c>
      <c r="W187">
        <v>17</v>
      </c>
      <c r="X187" t="s">
        <v>9665</v>
      </c>
      <c r="Y187">
        <v>0.6523133946114974</v>
      </c>
      <c r="Z187" t="str">
        <f>HYPERLINK("Melting_Curves/meltCurve_sp_O43491_4_E41L2_HUMAN_.pdf", "Melting_Curves/meltCurve_sp_O43491_4_E41L2_HUMAN_.pdf")</f>
        <v>Melting_Curves/meltCurve_sp_O43491_4_E41L2_HUMAN_.pdf</v>
      </c>
      <c r="AA187" t="s">
        <v>14400</v>
      </c>
      <c r="AB187" t="s">
        <v>19022</v>
      </c>
    </row>
    <row r="188" spans="1:28" x14ac:dyDescent="0.25">
      <c r="A188" t="s">
        <v>192</v>
      </c>
      <c r="B188">
        <v>0.99904790336628502</v>
      </c>
      <c r="C188">
        <v>1.0188348541928101</v>
      </c>
      <c r="D188">
        <v>0.90342403685360495</v>
      </c>
      <c r="E188">
        <v>0.82917096784648103</v>
      </c>
      <c r="F188">
        <v>0.86236351870063999</v>
      </c>
      <c r="G188">
        <v>0.67742222212181402</v>
      </c>
      <c r="H188">
        <v>0.63104395831634696</v>
      </c>
      <c r="I188">
        <v>0.697632597643843</v>
      </c>
      <c r="J188">
        <v>0.72017027181692295</v>
      </c>
      <c r="K188">
        <v>0.774082881952463</v>
      </c>
      <c r="L188">
        <v>845.20102824849903</v>
      </c>
      <c r="M188">
        <v>16.948263211827999</v>
      </c>
      <c r="O188">
        <v>49.1907205752469</v>
      </c>
      <c r="P188">
        <v>-2.58959970826423E-2</v>
      </c>
      <c r="Q188">
        <v>0.69937613712784896</v>
      </c>
      <c r="R188">
        <v>0.84605752746005602</v>
      </c>
      <c r="S188" t="s">
        <v>4928</v>
      </c>
      <c r="T188" t="s">
        <v>9478</v>
      </c>
      <c r="U188" t="s">
        <v>9478</v>
      </c>
      <c r="V188" t="s">
        <v>9478</v>
      </c>
      <c r="W188">
        <v>8</v>
      </c>
      <c r="X188" t="s">
        <v>9666</v>
      </c>
      <c r="Y188">
        <v>0.80403196451475256</v>
      </c>
      <c r="Z188" t="str">
        <f>HYPERLINK("Melting_Curves/meltCurve_sp_O43493_2_TGON2_HUMAN_.pdf", "Melting_Curves/meltCurve_sp_O43493_2_TGON2_HUMAN_.pdf")</f>
        <v>Melting_Curves/meltCurve_sp_O43493_2_TGON2_HUMAN_.pdf</v>
      </c>
      <c r="AA188" t="s">
        <v>14401</v>
      </c>
      <c r="AB188" t="s">
        <v>19023</v>
      </c>
    </row>
    <row r="189" spans="1:28" x14ac:dyDescent="0.25">
      <c r="A189" t="s">
        <v>193</v>
      </c>
      <c r="B189">
        <v>0.99904790336628502</v>
      </c>
      <c r="C189">
        <v>0.97117850330321998</v>
      </c>
      <c r="D189">
        <v>0.869426536489323</v>
      </c>
      <c r="E189">
        <v>0.773218845909035</v>
      </c>
      <c r="F189">
        <v>0.71813485822419798</v>
      </c>
      <c r="G189">
        <v>0.32703018344658802</v>
      </c>
      <c r="H189">
        <v>0.26445428868735799</v>
      </c>
      <c r="I189">
        <v>0.23248004172762601</v>
      </c>
      <c r="J189">
        <v>0.22426991570625901</v>
      </c>
      <c r="K189">
        <v>0.33569145426770802</v>
      </c>
      <c r="L189">
        <v>972.768224685826</v>
      </c>
      <c r="M189">
        <v>18.359320347139398</v>
      </c>
      <c r="N189">
        <v>54.836660194768299</v>
      </c>
      <c r="O189">
        <v>52.368359148443197</v>
      </c>
      <c r="P189">
        <v>-6.7401073668727496E-2</v>
      </c>
      <c r="Q189">
        <v>0.23101238026923801</v>
      </c>
      <c r="R189">
        <v>0.96165801886898405</v>
      </c>
      <c r="S189" t="s">
        <v>4929</v>
      </c>
      <c r="T189" t="s">
        <v>9478</v>
      </c>
      <c r="U189" t="s">
        <v>9478</v>
      </c>
      <c r="V189" t="s">
        <v>9478</v>
      </c>
      <c r="W189">
        <v>1</v>
      </c>
      <c r="X189" t="s">
        <v>9667</v>
      </c>
      <c r="Y189">
        <v>0.57605504654362372</v>
      </c>
      <c r="Z189" t="str">
        <f>HYPERLINK("Melting_Curves/meltCurve_sp_O43566_5_RGS14_HUMAN_.pdf", "Melting_Curves/meltCurve_sp_O43566_5_RGS14_HUMAN_.pdf")</f>
        <v>Melting_Curves/meltCurve_sp_O43566_5_RGS14_HUMAN_.pdf</v>
      </c>
      <c r="AA189" t="s">
        <v>14402</v>
      </c>
      <c r="AB189" t="s">
        <v>19024</v>
      </c>
    </row>
    <row r="190" spans="1:28" x14ac:dyDescent="0.25">
      <c r="A190" t="s">
        <v>194</v>
      </c>
      <c r="B190">
        <v>0.99904790336628502</v>
      </c>
      <c r="C190">
        <v>1.0441146829818</v>
      </c>
      <c r="D190">
        <v>1.0119350550203801</v>
      </c>
      <c r="E190">
        <v>0.98025121258242298</v>
      </c>
      <c r="F190">
        <v>1.03778656725721</v>
      </c>
      <c r="G190">
        <v>0.81014096287708304</v>
      </c>
      <c r="H190">
        <v>0.72916131814935503</v>
      </c>
      <c r="I190">
        <v>0.69788818846764</v>
      </c>
      <c r="J190">
        <v>0.70334388438292195</v>
      </c>
      <c r="K190">
        <v>0.72774107223071105</v>
      </c>
      <c r="L190">
        <v>14210.8961701355</v>
      </c>
      <c r="M190">
        <v>250</v>
      </c>
      <c r="O190">
        <v>56.839960624788603</v>
      </c>
      <c r="P190">
        <v>-0.313892784279245</v>
      </c>
      <c r="Q190">
        <v>0.71453361218511202</v>
      </c>
      <c r="R190">
        <v>0.97744650379703302</v>
      </c>
      <c r="S190" t="s">
        <v>4930</v>
      </c>
      <c r="T190" t="s">
        <v>9478</v>
      </c>
      <c r="U190" t="s">
        <v>9478</v>
      </c>
      <c r="V190" t="s">
        <v>9478</v>
      </c>
      <c r="W190">
        <v>9</v>
      </c>
      <c r="X190" t="s">
        <v>9668</v>
      </c>
      <c r="Y190">
        <v>0.87483799941989382</v>
      </c>
      <c r="Z190" t="str">
        <f>HYPERLINK("Melting_Curves/meltCurve_sp_O43583_DENR_HUMAN_.pdf", "Melting_Curves/meltCurve_sp_O43583_DENR_HUMAN_.pdf")</f>
        <v>Melting_Curves/meltCurve_sp_O43583_DENR_HUMAN_.pdf</v>
      </c>
      <c r="AA190" t="s">
        <v>14403</v>
      </c>
      <c r="AB190" t="s">
        <v>19025</v>
      </c>
    </row>
    <row r="191" spans="1:28" x14ac:dyDescent="0.25">
      <c r="A191" t="s">
        <v>195</v>
      </c>
      <c r="B191">
        <v>0.99904790336628502</v>
      </c>
      <c r="C191">
        <v>0.99906674738839796</v>
      </c>
      <c r="D191">
        <v>1.04278731537509</v>
      </c>
      <c r="E191">
        <v>0.78574353369843097</v>
      </c>
      <c r="F191">
        <v>0.260163405664464</v>
      </c>
      <c r="G191">
        <v>0.116399684090324</v>
      </c>
      <c r="H191">
        <v>6.3307733427365495E-2</v>
      </c>
      <c r="I191">
        <v>4.1720427322771397E-2</v>
      </c>
      <c r="J191">
        <v>3.8288439247686303E-2</v>
      </c>
      <c r="K191">
        <v>3.0042405784132101E-2</v>
      </c>
      <c r="L191">
        <v>2173.9084294527102</v>
      </c>
      <c r="M191">
        <v>42.251762219969301</v>
      </c>
      <c r="N191">
        <v>51.589460865521801</v>
      </c>
      <c r="O191">
        <v>51.3364310242142</v>
      </c>
      <c r="P191">
        <v>-0.19475324992005399</v>
      </c>
      <c r="Q191">
        <v>5.34904166121997E-2</v>
      </c>
      <c r="R191">
        <v>0.99694514164549397</v>
      </c>
      <c r="S191" t="s">
        <v>4931</v>
      </c>
      <c r="T191" t="s">
        <v>9478</v>
      </c>
      <c r="U191" t="s">
        <v>9478</v>
      </c>
      <c r="V191" t="s">
        <v>9478</v>
      </c>
      <c r="W191">
        <v>13</v>
      </c>
      <c r="X191" t="s">
        <v>9669</v>
      </c>
      <c r="Y191">
        <v>0.41779699194271891</v>
      </c>
      <c r="Z191" t="str">
        <f>HYPERLINK("Melting_Curves/meltCurve_sp_O43592_XPOT_HUMAN_.pdf", "Melting_Curves/meltCurve_sp_O43592_XPOT_HUMAN_.pdf")</f>
        <v>Melting_Curves/meltCurve_sp_O43592_XPOT_HUMAN_.pdf</v>
      </c>
      <c r="AA191" t="s">
        <v>14404</v>
      </c>
      <c r="AB191" t="s">
        <v>19026</v>
      </c>
    </row>
    <row r="192" spans="1:28" x14ac:dyDescent="0.25">
      <c r="A192" t="s">
        <v>196</v>
      </c>
      <c r="B192">
        <v>0.99904790336628502</v>
      </c>
      <c r="C192">
        <v>0.94053526877921301</v>
      </c>
      <c r="D192">
        <v>0.824214822059817</v>
      </c>
      <c r="E192">
        <v>0.78426449506039597</v>
      </c>
      <c r="F192">
        <v>0.57372223700578495</v>
      </c>
      <c r="G192">
        <v>0.45936320910004103</v>
      </c>
      <c r="H192">
        <v>0.23283533483038699</v>
      </c>
      <c r="I192">
        <v>0.22208001816064599</v>
      </c>
      <c r="J192">
        <v>0.20283001809082199</v>
      </c>
      <c r="K192">
        <v>0.16064518498916799</v>
      </c>
      <c r="L192">
        <v>577.12172380235404</v>
      </c>
      <c r="M192">
        <v>10.643029125447001</v>
      </c>
      <c r="N192">
        <v>55.064960269457799</v>
      </c>
      <c r="O192">
        <v>52.416060558619897</v>
      </c>
      <c r="P192">
        <v>-4.6978096460050002E-2</v>
      </c>
      <c r="Q192">
        <v>7.49010000710226E-2</v>
      </c>
      <c r="R192">
        <v>0.98746658742673599</v>
      </c>
      <c r="S192" t="s">
        <v>4932</v>
      </c>
      <c r="T192" t="s">
        <v>9478</v>
      </c>
      <c r="U192" t="s">
        <v>9478</v>
      </c>
      <c r="V192" t="s">
        <v>9478</v>
      </c>
      <c r="W192">
        <v>7</v>
      </c>
      <c r="X192" t="s">
        <v>9670</v>
      </c>
      <c r="Y192">
        <v>0.53954270261039194</v>
      </c>
      <c r="Z192" t="str">
        <f>HYPERLINK("Melting_Curves/meltCurve_sp_O43598_DNPH1_HUMAN_.pdf", "Melting_Curves/meltCurve_sp_O43598_DNPH1_HUMAN_.pdf")</f>
        <v>Melting_Curves/meltCurve_sp_O43598_DNPH1_HUMAN_.pdf</v>
      </c>
      <c r="AA192" t="s">
        <v>14405</v>
      </c>
      <c r="AB192" t="s">
        <v>19027</v>
      </c>
    </row>
    <row r="193" spans="1:28" x14ac:dyDescent="0.25">
      <c r="A193" t="s">
        <v>197</v>
      </c>
      <c r="B193">
        <v>0.99904790336628502</v>
      </c>
      <c r="C193">
        <v>1.08563765520973</v>
      </c>
      <c r="D193">
        <v>1.0320378819046601</v>
      </c>
      <c r="E193">
        <v>0.944013490296576</v>
      </c>
      <c r="F193">
        <v>0.81226642341649102</v>
      </c>
      <c r="G193">
        <v>0.45882363847854002</v>
      </c>
      <c r="H193">
        <v>0.24661020470894199</v>
      </c>
      <c r="I193">
        <v>0.14454128091329099</v>
      </c>
      <c r="J193">
        <v>0.119174210563496</v>
      </c>
      <c r="K193">
        <v>0.103534255876092</v>
      </c>
      <c r="L193">
        <v>1261.30676400577</v>
      </c>
      <c r="M193">
        <v>22.4796832177577</v>
      </c>
      <c r="N193">
        <v>56.657765806998697</v>
      </c>
      <c r="O193">
        <v>55.670384357010199</v>
      </c>
      <c r="P193">
        <v>-9.1071831792403898E-2</v>
      </c>
      <c r="Q193">
        <v>9.7869855285523097E-2</v>
      </c>
      <c r="R193">
        <v>0.99389179114232995</v>
      </c>
      <c r="S193" t="s">
        <v>4933</v>
      </c>
      <c r="T193" t="s">
        <v>9478</v>
      </c>
      <c r="U193" t="s">
        <v>9478</v>
      </c>
      <c r="V193" t="s">
        <v>9478</v>
      </c>
      <c r="W193">
        <v>21</v>
      </c>
      <c r="X193" t="s">
        <v>9671</v>
      </c>
      <c r="Y193">
        <v>0.59206221343351417</v>
      </c>
      <c r="Z193" t="str">
        <f>HYPERLINK("Melting_Curves/meltCurve_sp_O43615_TIM44_HUMAN_.pdf", "Melting_Curves/meltCurve_sp_O43615_TIM44_HUMAN_.pdf")</f>
        <v>Melting_Curves/meltCurve_sp_O43615_TIM44_HUMAN_.pdf</v>
      </c>
      <c r="AA193" t="s">
        <v>14406</v>
      </c>
      <c r="AB193" t="s">
        <v>19028</v>
      </c>
    </row>
    <row r="194" spans="1:28" x14ac:dyDescent="0.25">
      <c r="A194" t="s">
        <v>198</v>
      </c>
      <c r="B194">
        <v>0.99904790336628502</v>
      </c>
      <c r="C194">
        <v>1.05811921948476</v>
      </c>
      <c r="D194">
        <v>1.04536730732955</v>
      </c>
      <c r="E194">
        <v>0.898957641144567</v>
      </c>
      <c r="F194">
        <v>0.83421419726263801</v>
      </c>
      <c r="G194">
        <v>0.71601645230352096</v>
      </c>
      <c r="H194">
        <v>0.56498543625370801</v>
      </c>
      <c r="I194">
        <v>0.475308992259665</v>
      </c>
      <c r="J194">
        <v>0.40847172038396001</v>
      </c>
      <c r="K194">
        <v>0.28920840334423398</v>
      </c>
      <c r="L194">
        <v>647.80758741015302</v>
      </c>
      <c r="M194">
        <v>10.6377135250947</v>
      </c>
      <c r="N194">
        <v>62.915557890707802</v>
      </c>
      <c r="O194">
        <v>58.863483547561898</v>
      </c>
      <c r="P194">
        <v>-3.8663246553901999E-2</v>
      </c>
      <c r="Q194">
        <v>0.14456077847933799</v>
      </c>
      <c r="R194">
        <v>0.98240350748349203</v>
      </c>
      <c r="S194" t="s">
        <v>4934</v>
      </c>
      <c r="T194" t="s">
        <v>9478</v>
      </c>
      <c r="U194" t="s">
        <v>9478</v>
      </c>
      <c r="V194" t="s">
        <v>9478</v>
      </c>
      <c r="W194">
        <v>5</v>
      </c>
      <c r="X194" t="s">
        <v>9672</v>
      </c>
      <c r="Y194">
        <v>0.73335098341778593</v>
      </c>
      <c r="Z194" t="str">
        <f>HYPERLINK("Melting_Curves/meltCurve_sp_O43617_TPPC3_HUMAN_.pdf", "Melting_Curves/meltCurve_sp_O43617_TPPC3_HUMAN_.pdf")</f>
        <v>Melting_Curves/meltCurve_sp_O43617_TPPC3_HUMAN_.pdf</v>
      </c>
      <c r="AA194" t="s">
        <v>14407</v>
      </c>
      <c r="AB194" t="s">
        <v>19029</v>
      </c>
    </row>
    <row r="195" spans="1:28" x14ac:dyDescent="0.25">
      <c r="A195" t="s">
        <v>199</v>
      </c>
      <c r="B195">
        <v>0.99904790336628502</v>
      </c>
      <c r="C195">
        <v>1.06051199673978</v>
      </c>
      <c r="D195">
        <v>0.97529175802152701</v>
      </c>
      <c r="E195">
        <v>0.98872249396677303</v>
      </c>
      <c r="F195">
        <v>0.94637356434201103</v>
      </c>
      <c r="G195">
        <v>0.63205480458945895</v>
      </c>
      <c r="H195">
        <v>0.51129408533449305</v>
      </c>
      <c r="I195">
        <v>0.39515935105265398</v>
      </c>
      <c r="J195">
        <v>0.28054370678199803</v>
      </c>
      <c r="K195">
        <v>0.14155188820060099</v>
      </c>
      <c r="L195">
        <v>827.68531217223097</v>
      </c>
      <c r="M195">
        <v>13.646497309494199</v>
      </c>
      <c r="N195">
        <v>61.094604813494797</v>
      </c>
      <c r="O195">
        <v>59.393893054775802</v>
      </c>
      <c r="P195">
        <v>-5.4744254112596098E-2</v>
      </c>
      <c r="Q195">
        <v>4.7081774574819601E-2</v>
      </c>
      <c r="R195">
        <v>0.98037040431016698</v>
      </c>
      <c r="S195" t="s">
        <v>4935</v>
      </c>
      <c r="T195" t="s">
        <v>9478</v>
      </c>
      <c r="U195" t="s">
        <v>9478</v>
      </c>
      <c r="V195" t="s">
        <v>9478</v>
      </c>
      <c r="W195">
        <v>10</v>
      </c>
      <c r="X195" t="s">
        <v>9673</v>
      </c>
      <c r="Y195">
        <v>0.70505254161019393</v>
      </c>
      <c r="Z195" t="str">
        <f>HYPERLINK("Melting_Curves/meltCurve_sp_O43633_CHM2A_HUMAN_.pdf", "Melting_Curves/meltCurve_sp_O43633_CHM2A_HUMAN_.pdf")</f>
        <v>Melting_Curves/meltCurve_sp_O43633_CHM2A_HUMAN_.pdf</v>
      </c>
      <c r="AA195" t="s">
        <v>14408</v>
      </c>
      <c r="AB195" t="s">
        <v>19030</v>
      </c>
    </row>
    <row r="196" spans="1:28" x14ac:dyDescent="0.25">
      <c r="A196" t="s">
        <v>200</v>
      </c>
      <c r="B196">
        <v>0.99904790336628502</v>
      </c>
      <c r="C196">
        <v>1.0455431007845599</v>
      </c>
      <c r="D196">
        <v>0.87007678558767498</v>
      </c>
      <c r="E196">
        <v>0.74337569052502295</v>
      </c>
      <c r="F196">
        <v>0.57575586867324202</v>
      </c>
      <c r="G196">
        <v>0.43580280248050401</v>
      </c>
      <c r="H196">
        <v>0.29081632730788498</v>
      </c>
      <c r="I196">
        <v>0.21398855764654601</v>
      </c>
      <c r="J196">
        <v>0.26344789416900799</v>
      </c>
      <c r="K196">
        <v>0.26208006117030902</v>
      </c>
      <c r="L196">
        <v>775.14924453466301</v>
      </c>
      <c r="M196">
        <v>14.776597801897999</v>
      </c>
      <c r="N196">
        <v>54.560008227750998</v>
      </c>
      <c r="O196">
        <v>51.525244458208199</v>
      </c>
      <c r="P196">
        <v>-5.6140708926597997E-2</v>
      </c>
      <c r="Q196">
        <v>0.21704467370696301</v>
      </c>
      <c r="R196">
        <v>0.98670469969399599</v>
      </c>
      <c r="S196" t="s">
        <v>4936</v>
      </c>
      <c r="T196" t="s">
        <v>9478</v>
      </c>
      <c r="U196" t="s">
        <v>9478</v>
      </c>
      <c r="V196" t="s">
        <v>9478</v>
      </c>
      <c r="W196">
        <v>4</v>
      </c>
      <c r="X196" t="s">
        <v>9674</v>
      </c>
      <c r="Y196">
        <v>0.55977438987973016</v>
      </c>
      <c r="Z196" t="str">
        <f>HYPERLINK("Melting_Curves/meltCurve_sp_O43660_2_PLRG1_HUMAN_.pdf", "Melting_Curves/meltCurve_sp_O43660_2_PLRG1_HUMAN_.pdf")</f>
        <v>Melting_Curves/meltCurve_sp_O43660_2_PLRG1_HUMAN_.pdf</v>
      </c>
      <c r="AA196" t="s">
        <v>14409</v>
      </c>
      <c r="AB196" t="s">
        <v>19031</v>
      </c>
    </row>
    <row r="197" spans="1:28" x14ac:dyDescent="0.25">
      <c r="A197" t="s">
        <v>201</v>
      </c>
      <c r="B197">
        <v>0.99904790336628502</v>
      </c>
      <c r="C197">
        <v>0.971500159964506</v>
      </c>
      <c r="D197">
        <v>0.84037389651309102</v>
      </c>
      <c r="E197">
        <v>0.84871363415408096</v>
      </c>
      <c r="F197">
        <v>0.79116331313328103</v>
      </c>
      <c r="G197">
        <v>0.46574550662414799</v>
      </c>
      <c r="H197">
        <v>0.32607834885869103</v>
      </c>
      <c r="I197">
        <v>0.180416458964653</v>
      </c>
      <c r="J197">
        <v>6.6921212813614697E-2</v>
      </c>
      <c r="K197">
        <v>8.8286652631390503E-2</v>
      </c>
      <c r="L197">
        <v>749.70142218461399</v>
      </c>
      <c r="M197">
        <v>13.172805766538501</v>
      </c>
      <c r="N197">
        <v>56.912802246843398</v>
      </c>
      <c r="O197">
        <v>55.6491477415112</v>
      </c>
      <c r="P197">
        <v>-5.9187862208868403E-2</v>
      </c>
      <c r="Q197">
        <v>0</v>
      </c>
      <c r="R197">
        <v>0.98117094243082903</v>
      </c>
      <c r="S197" t="s">
        <v>4937</v>
      </c>
      <c r="T197" t="s">
        <v>9478</v>
      </c>
      <c r="U197" t="s">
        <v>9478</v>
      </c>
      <c r="V197" t="s">
        <v>9478</v>
      </c>
      <c r="W197">
        <v>1</v>
      </c>
      <c r="X197" t="s">
        <v>9675</v>
      </c>
      <c r="Y197">
        <v>0.58069946140293638</v>
      </c>
      <c r="Z197" t="str">
        <f>HYPERLINK("Melting_Curves/meltCurve_sp_O43663_3_PRC1_HUMAN_.pdf", "Melting_Curves/meltCurve_sp_O43663_3_PRC1_HUMAN_.pdf")</f>
        <v>Melting_Curves/meltCurve_sp_O43663_3_PRC1_HUMAN_.pdf</v>
      </c>
      <c r="AA197" t="s">
        <v>14410</v>
      </c>
      <c r="AB197" t="s">
        <v>19032</v>
      </c>
    </row>
    <row r="198" spans="1:28" x14ac:dyDescent="0.25">
      <c r="A198" t="s">
        <v>202</v>
      </c>
      <c r="B198">
        <v>0.99904790336628502</v>
      </c>
      <c r="C198">
        <v>1.11072731568881</v>
      </c>
      <c r="D198">
        <v>1.04022279192137</v>
      </c>
      <c r="E198">
        <v>0.84271288100504604</v>
      </c>
      <c r="F198">
        <v>0.80166919383016599</v>
      </c>
      <c r="G198">
        <v>0.51877223670276895</v>
      </c>
      <c r="H198">
        <v>0.42597514357279798</v>
      </c>
      <c r="I198">
        <v>0.36310431408969202</v>
      </c>
      <c r="J198">
        <v>0.39058499738498098</v>
      </c>
      <c r="K198">
        <v>0.35043945156830603</v>
      </c>
      <c r="L198">
        <v>1116.12269006253</v>
      </c>
      <c r="M198">
        <v>20.517619887660299</v>
      </c>
      <c r="N198">
        <v>57.854484964158402</v>
      </c>
      <c r="O198">
        <v>53.889411534665598</v>
      </c>
      <c r="P198">
        <v>-6.1564232073756102E-2</v>
      </c>
      <c r="Q198">
        <v>0.35322661799456601</v>
      </c>
      <c r="R198">
        <v>0.97245328036978596</v>
      </c>
      <c r="S198" t="s">
        <v>4938</v>
      </c>
      <c r="T198" t="s">
        <v>9478</v>
      </c>
      <c r="U198" t="s">
        <v>9478</v>
      </c>
      <c r="V198" t="s">
        <v>9478</v>
      </c>
      <c r="W198">
        <v>5</v>
      </c>
      <c r="X198" t="s">
        <v>9676</v>
      </c>
      <c r="Y198">
        <v>0.67202371867945154</v>
      </c>
      <c r="Z198" t="str">
        <f>HYPERLINK("Melting_Curves/meltCurve_sp_O43670_2_ZN207_HUMAN_.pdf", "Melting_Curves/meltCurve_sp_O43670_2_ZN207_HUMAN_.pdf")</f>
        <v>Melting_Curves/meltCurve_sp_O43670_2_ZN207_HUMAN_.pdf</v>
      </c>
      <c r="AA198" t="s">
        <v>14411</v>
      </c>
      <c r="AB198" t="s">
        <v>19033</v>
      </c>
    </row>
    <row r="199" spans="1:28" x14ac:dyDescent="0.25">
      <c r="A199" t="s">
        <v>203</v>
      </c>
      <c r="B199">
        <v>0.99904790336628502</v>
      </c>
      <c r="C199">
        <v>0.93534262723154504</v>
      </c>
      <c r="D199">
        <v>0.85416849445124998</v>
      </c>
      <c r="E199">
        <v>0.74929807696741701</v>
      </c>
      <c r="F199">
        <v>0.53788750560361098</v>
      </c>
      <c r="G199">
        <v>0.33190394831735598</v>
      </c>
      <c r="H199">
        <v>0.197003042624357</v>
      </c>
      <c r="I199">
        <v>0.19158395956746199</v>
      </c>
      <c r="J199">
        <v>0.20707117411765899</v>
      </c>
      <c r="K199">
        <v>0.16912664675762801</v>
      </c>
      <c r="L199">
        <v>758.40148295771996</v>
      </c>
      <c r="M199">
        <v>14.4901300804593</v>
      </c>
      <c r="N199">
        <v>53.554205474937199</v>
      </c>
      <c r="O199">
        <v>51.372600416407501</v>
      </c>
      <c r="P199">
        <v>-6.0643615337093303E-2</v>
      </c>
      <c r="Q199">
        <v>0.14008758215985301</v>
      </c>
      <c r="R199">
        <v>0.99296036444034197</v>
      </c>
      <c r="S199" t="s">
        <v>4939</v>
      </c>
      <c r="T199" t="s">
        <v>9478</v>
      </c>
      <c r="U199" t="s">
        <v>9478</v>
      </c>
      <c r="V199" t="s">
        <v>9478</v>
      </c>
      <c r="W199">
        <v>6</v>
      </c>
      <c r="X199" t="s">
        <v>9677</v>
      </c>
      <c r="Y199">
        <v>0.51375330301247657</v>
      </c>
      <c r="Z199" t="str">
        <f>HYPERLINK("Melting_Curves/meltCurve_sp_O43678_NDUA2_HUMAN_.pdf", "Melting_Curves/meltCurve_sp_O43678_NDUA2_HUMAN_.pdf")</f>
        <v>Melting_Curves/meltCurve_sp_O43678_NDUA2_HUMAN_.pdf</v>
      </c>
      <c r="AA199" t="s">
        <v>14412</v>
      </c>
      <c r="AB199" t="s">
        <v>19034</v>
      </c>
    </row>
    <row r="200" spans="1:28" x14ac:dyDescent="0.25">
      <c r="A200" t="s">
        <v>204</v>
      </c>
      <c r="B200">
        <v>0.99904790336628502</v>
      </c>
      <c r="C200">
        <v>0.93590585836282603</v>
      </c>
      <c r="D200">
        <v>0.93602014964002</v>
      </c>
      <c r="E200">
        <v>0.56479534168406698</v>
      </c>
      <c r="F200">
        <v>0.24352841248488499</v>
      </c>
      <c r="G200">
        <v>0.11184334922702301</v>
      </c>
      <c r="H200">
        <v>4.57950940828366E-2</v>
      </c>
      <c r="I200">
        <v>1.4516769650929099E-2</v>
      </c>
      <c r="J200">
        <v>3.5668696096360702E-3</v>
      </c>
      <c r="K200">
        <v>3.10173901892947E-3</v>
      </c>
      <c r="L200">
        <v>1176.18829675799</v>
      </c>
      <c r="M200">
        <v>23.283691774168901</v>
      </c>
      <c r="N200">
        <v>50.576658206857303</v>
      </c>
      <c r="O200">
        <v>50.1473422715477</v>
      </c>
      <c r="P200">
        <v>-0.114468247199181</v>
      </c>
      <c r="Q200">
        <v>1.3871846075214401E-2</v>
      </c>
      <c r="R200">
        <v>0.99693122034264803</v>
      </c>
      <c r="S200" t="s">
        <v>4940</v>
      </c>
      <c r="T200" t="s">
        <v>9478</v>
      </c>
      <c r="U200" t="s">
        <v>9478</v>
      </c>
      <c r="V200" t="s">
        <v>9478</v>
      </c>
      <c r="W200">
        <v>7</v>
      </c>
      <c r="X200" t="s">
        <v>9678</v>
      </c>
      <c r="Y200">
        <v>0.36972896746462042</v>
      </c>
      <c r="Z200" t="str">
        <f>HYPERLINK("Melting_Curves/meltCurve_sp_O43681_ASNA_HUMAN_.pdf", "Melting_Curves/meltCurve_sp_O43681_ASNA_HUMAN_.pdf")</f>
        <v>Melting_Curves/meltCurve_sp_O43681_ASNA_HUMAN_.pdf</v>
      </c>
      <c r="AA200" t="s">
        <v>14413</v>
      </c>
      <c r="AB200" t="s">
        <v>19035</v>
      </c>
    </row>
    <row r="201" spans="1:28" x14ac:dyDescent="0.25">
      <c r="A201" t="s">
        <v>205</v>
      </c>
      <c r="B201">
        <v>0.99904790336628502</v>
      </c>
      <c r="C201">
        <v>1.04233415948278</v>
      </c>
      <c r="D201">
        <v>0.96237388556084502</v>
      </c>
      <c r="E201">
        <v>0.78303301996577901</v>
      </c>
      <c r="F201">
        <v>0.480291451363352</v>
      </c>
      <c r="G201">
        <v>0.175132167071617</v>
      </c>
      <c r="H201">
        <v>0.125288789160725</v>
      </c>
      <c r="I201">
        <v>9.6839005229852407E-2</v>
      </c>
      <c r="J201">
        <v>9.6879468631354299E-2</v>
      </c>
      <c r="K201">
        <v>5.2285039551443403E-2</v>
      </c>
      <c r="L201">
        <v>1299.26487102801</v>
      </c>
      <c r="M201">
        <v>24.7969621972426</v>
      </c>
      <c r="N201">
        <v>52.764332269746902</v>
      </c>
      <c r="O201">
        <v>52.058942673159201</v>
      </c>
      <c r="P201">
        <v>-0.109622053999141</v>
      </c>
      <c r="Q201">
        <v>7.9447282834551894E-2</v>
      </c>
      <c r="R201">
        <v>0.99759891101326004</v>
      </c>
      <c r="S201" t="s">
        <v>4941</v>
      </c>
      <c r="T201" t="s">
        <v>9478</v>
      </c>
      <c r="U201" t="s">
        <v>9478</v>
      </c>
      <c r="V201" t="s">
        <v>9478</v>
      </c>
      <c r="W201">
        <v>12</v>
      </c>
      <c r="X201" t="s">
        <v>9679</v>
      </c>
      <c r="Y201">
        <v>0.46839056283770258</v>
      </c>
      <c r="Z201" t="str">
        <f>HYPERLINK("Melting_Curves/meltCurve_sp_O43684_2_BUB3_HUMAN_.pdf", "Melting_Curves/meltCurve_sp_O43684_2_BUB3_HUMAN_.pdf")</f>
        <v>Melting_Curves/meltCurve_sp_O43684_2_BUB3_HUMAN_.pdf</v>
      </c>
      <c r="AA201" t="s">
        <v>14414</v>
      </c>
      <c r="AB201" t="s">
        <v>19036</v>
      </c>
    </row>
    <row r="202" spans="1:28" x14ac:dyDescent="0.25">
      <c r="A202" t="s">
        <v>206</v>
      </c>
      <c r="B202">
        <v>0.99904790336628502</v>
      </c>
      <c r="C202">
        <v>0.98026006105141195</v>
      </c>
      <c r="D202">
        <v>0.93720951546127496</v>
      </c>
      <c r="E202">
        <v>0.45936520112095303</v>
      </c>
      <c r="F202">
        <v>0.17760424405432201</v>
      </c>
      <c r="G202">
        <v>9.5666733181968194E-2</v>
      </c>
      <c r="H202">
        <v>3.1187533670076501E-2</v>
      </c>
      <c r="I202">
        <v>2.5327642482294299E-2</v>
      </c>
      <c r="J202">
        <v>2.2870913095274399E-2</v>
      </c>
      <c r="K202">
        <v>1.9170223814264E-2</v>
      </c>
      <c r="L202">
        <v>1432.19118386947</v>
      </c>
      <c r="M202">
        <v>28.818938881791599</v>
      </c>
      <c r="N202">
        <v>49.812874503028098</v>
      </c>
      <c r="O202">
        <v>49.458737778430098</v>
      </c>
      <c r="P202">
        <v>-0.140917679127114</v>
      </c>
      <c r="Q202">
        <v>3.26420748545415E-2</v>
      </c>
      <c r="R202">
        <v>0.99826990794160897</v>
      </c>
      <c r="S202" t="s">
        <v>4942</v>
      </c>
      <c r="T202" t="s">
        <v>9478</v>
      </c>
      <c r="U202" t="s">
        <v>9478</v>
      </c>
      <c r="V202" t="s">
        <v>9478</v>
      </c>
      <c r="W202">
        <v>8</v>
      </c>
      <c r="X202" t="s">
        <v>9680</v>
      </c>
      <c r="Y202">
        <v>0.35175822572318682</v>
      </c>
      <c r="Z202" t="str">
        <f>HYPERLINK("Melting_Curves/meltCurve_sp_O43704_ST1B1_HUMAN_.pdf", "Melting_Curves/meltCurve_sp_O43704_ST1B1_HUMAN_.pdf")</f>
        <v>Melting_Curves/meltCurve_sp_O43704_ST1B1_HUMAN_.pdf</v>
      </c>
      <c r="AA202" t="s">
        <v>14415</v>
      </c>
      <c r="AB202" t="s">
        <v>19037</v>
      </c>
    </row>
    <row r="203" spans="1:28" x14ac:dyDescent="0.25">
      <c r="A203" t="s">
        <v>207</v>
      </c>
      <c r="B203">
        <v>0.99904790336628502</v>
      </c>
      <c r="C203">
        <v>1.0411262722388099</v>
      </c>
      <c r="D203">
        <v>1.1406588788888301</v>
      </c>
      <c r="E203">
        <v>1.09664229431474</v>
      </c>
      <c r="F203">
        <v>1.02932436254848</v>
      </c>
      <c r="G203">
        <v>0.92452520981370601</v>
      </c>
      <c r="H203">
        <v>0.59626351468669203</v>
      </c>
      <c r="I203">
        <v>8.3018812834519798E-2</v>
      </c>
      <c r="J203">
        <v>4.5397225645211099E-2</v>
      </c>
      <c r="K203">
        <v>4.2169520124267099E-2</v>
      </c>
      <c r="L203">
        <v>3867.73950652845</v>
      </c>
      <c r="M203">
        <v>63.1018998439067</v>
      </c>
      <c r="N203">
        <v>61.364869174758297</v>
      </c>
      <c r="O203">
        <v>61.232081722635002</v>
      </c>
      <c r="P203">
        <v>-0.24852525660380401</v>
      </c>
      <c r="Q203">
        <v>3.5356239801021601E-2</v>
      </c>
      <c r="R203">
        <v>0.98144640775220005</v>
      </c>
      <c r="S203" t="s">
        <v>4943</v>
      </c>
      <c r="T203" t="s">
        <v>9478</v>
      </c>
      <c r="U203" t="s">
        <v>9478</v>
      </c>
      <c r="V203" t="s">
        <v>9478</v>
      </c>
      <c r="W203">
        <v>78</v>
      </c>
      <c r="X203" t="s">
        <v>9681</v>
      </c>
      <c r="Y203">
        <v>0.72166350020138459</v>
      </c>
      <c r="Z203" t="str">
        <f>HYPERLINK("Melting_Curves/meltCurve_sp_O43707_ACTN4_HUMAN_.pdf", "Melting_Curves/meltCurve_sp_O43707_ACTN4_HUMAN_.pdf")</f>
        <v>Melting_Curves/meltCurve_sp_O43707_ACTN4_HUMAN_.pdf</v>
      </c>
      <c r="AA203" t="s">
        <v>14416</v>
      </c>
      <c r="AB203" t="s">
        <v>19038</v>
      </c>
    </row>
    <row r="204" spans="1:28" x14ac:dyDescent="0.25">
      <c r="A204" t="s">
        <v>208</v>
      </c>
      <c r="B204">
        <v>0.99904790336628502</v>
      </c>
      <c r="C204">
        <v>0.95917122500097596</v>
      </c>
      <c r="D204">
        <v>0.93910198650649102</v>
      </c>
      <c r="E204">
        <v>0.94092163831752496</v>
      </c>
      <c r="F204">
        <v>0.98366336660178899</v>
      </c>
      <c r="G204">
        <v>0.80073978499089404</v>
      </c>
      <c r="H204">
        <v>0.752790316261849</v>
      </c>
      <c r="I204">
        <v>0.69181698167665096</v>
      </c>
      <c r="J204">
        <v>0.73260880349850099</v>
      </c>
      <c r="K204">
        <v>0.79065626885871998</v>
      </c>
      <c r="L204">
        <v>2671.18987511049</v>
      </c>
      <c r="M204">
        <v>48.035661814320299</v>
      </c>
      <c r="O204">
        <v>55.512352905860098</v>
      </c>
      <c r="P204">
        <v>-5.6088951767628098E-2</v>
      </c>
      <c r="Q204">
        <v>0.74072374893129</v>
      </c>
      <c r="R204">
        <v>0.886232642692666</v>
      </c>
      <c r="S204" t="s">
        <v>4944</v>
      </c>
      <c r="T204" t="s">
        <v>9478</v>
      </c>
      <c r="U204" t="s">
        <v>9478</v>
      </c>
      <c r="V204" t="s">
        <v>9478</v>
      </c>
      <c r="W204">
        <v>9</v>
      </c>
      <c r="X204" t="s">
        <v>9682</v>
      </c>
      <c r="Y204">
        <v>0.87630916490811595</v>
      </c>
      <c r="Z204" t="str">
        <f>HYPERLINK("Melting_Curves/meltCurve_sp_O43715_TRIA1_HUMAN_.pdf", "Melting_Curves/meltCurve_sp_O43715_TRIA1_HUMAN_.pdf")</f>
        <v>Melting_Curves/meltCurve_sp_O43715_TRIA1_HUMAN_.pdf</v>
      </c>
      <c r="AA204" t="s">
        <v>14417</v>
      </c>
      <c r="AB204" t="s">
        <v>19039</v>
      </c>
    </row>
    <row r="205" spans="1:28" x14ac:dyDescent="0.25">
      <c r="A205" t="s">
        <v>209</v>
      </c>
      <c r="B205">
        <v>0.99904790336628502</v>
      </c>
      <c r="C205">
        <v>0.94095037107463397</v>
      </c>
      <c r="D205">
        <v>0.93752452688422205</v>
      </c>
      <c r="E205">
        <v>0.83218024232101295</v>
      </c>
      <c r="F205">
        <v>0.76234949211383396</v>
      </c>
      <c r="G205">
        <v>0.49416111814058999</v>
      </c>
      <c r="H205">
        <v>0.39030119502873101</v>
      </c>
      <c r="I205">
        <v>0.30420662993495201</v>
      </c>
      <c r="J205">
        <v>0.32017585597184101</v>
      </c>
      <c r="K205">
        <v>0.32913148878661902</v>
      </c>
      <c r="L205">
        <v>851.88118441902998</v>
      </c>
      <c r="M205">
        <v>15.660487961464099</v>
      </c>
      <c r="N205">
        <v>57.374835370357303</v>
      </c>
      <c r="O205">
        <v>53.533030835415197</v>
      </c>
      <c r="P205">
        <v>-5.2792950115877098E-2</v>
      </c>
      <c r="Q205">
        <v>0.27820243659126798</v>
      </c>
      <c r="R205">
        <v>0.98862486197724497</v>
      </c>
      <c r="S205" t="s">
        <v>4945</v>
      </c>
      <c r="T205" t="s">
        <v>9478</v>
      </c>
      <c r="U205" t="s">
        <v>9478</v>
      </c>
      <c r="V205" t="s">
        <v>9478</v>
      </c>
      <c r="W205">
        <v>7</v>
      </c>
      <c r="X205" t="s">
        <v>9683</v>
      </c>
      <c r="Y205">
        <v>0.63833564850588165</v>
      </c>
      <c r="Z205" t="str">
        <f>HYPERLINK("Melting_Curves/meltCurve_sp_O43716_GATC_HUMAN_.pdf", "Melting_Curves/meltCurve_sp_O43716_GATC_HUMAN_.pdf")</f>
        <v>Melting_Curves/meltCurve_sp_O43716_GATC_HUMAN_.pdf</v>
      </c>
      <c r="AA205" t="s">
        <v>14418</v>
      </c>
      <c r="AB205" t="s">
        <v>19040</v>
      </c>
    </row>
    <row r="206" spans="1:28" x14ac:dyDescent="0.25">
      <c r="A206" t="s">
        <v>210</v>
      </c>
      <c r="B206">
        <v>0.99904790336628502</v>
      </c>
      <c r="C206">
        <v>0.985676460370289</v>
      </c>
      <c r="D206">
        <v>0.932243055080206</v>
      </c>
      <c r="E206">
        <v>0.84050738785921697</v>
      </c>
      <c r="F206">
        <v>0.77633120396441901</v>
      </c>
      <c r="G206">
        <v>0.52158290798012197</v>
      </c>
      <c r="H206">
        <v>0.34047333012020198</v>
      </c>
      <c r="I206">
        <v>0.26490382540634799</v>
      </c>
      <c r="J206">
        <v>0.231766691288501</v>
      </c>
      <c r="K206">
        <v>0.20681736078607599</v>
      </c>
      <c r="L206">
        <v>780.18583278726101</v>
      </c>
      <c r="M206">
        <v>13.9150578306804</v>
      </c>
      <c r="N206">
        <v>57.496088049472398</v>
      </c>
      <c r="O206">
        <v>54.947839759485099</v>
      </c>
      <c r="P206">
        <v>-5.40659298949418E-2</v>
      </c>
      <c r="Q206">
        <v>0.146132475120796</v>
      </c>
      <c r="R206">
        <v>0.99630596740585198</v>
      </c>
      <c r="S206" t="s">
        <v>4946</v>
      </c>
      <c r="T206" t="s">
        <v>9478</v>
      </c>
      <c r="U206" t="s">
        <v>9478</v>
      </c>
      <c r="V206" t="s">
        <v>9478</v>
      </c>
      <c r="W206">
        <v>17</v>
      </c>
      <c r="X206" t="s">
        <v>9684</v>
      </c>
      <c r="Y206">
        <v>0.61938502364811776</v>
      </c>
      <c r="Z206" t="str">
        <f>HYPERLINK("Melting_Curves/meltCurve_sp_O43719_HTSF1_HUMAN_.pdf", "Melting_Curves/meltCurve_sp_O43719_HTSF1_HUMAN_.pdf")</f>
        <v>Melting_Curves/meltCurve_sp_O43719_HTSF1_HUMAN_.pdf</v>
      </c>
      <c r="AA206" t="s">
        <v>14419</v>
      </c>
      <c r="AB206" t="s">
        <v>19041</v>
      </c>
    </row>
    <row r="207" spans="1:28" x14ac:dyDescent="0.25">
      <c r="A207" t="s">
        <v>211</v>
      </c>
      <c r="B207">
        <v>0.99904790336628502</v>
      </c>
      <c r="C207">
        <v>1.0294684304053801</v>
      </c>
      <c r="D207">
        <v>0.97925291308651596</v>
      </c>
      <c r="E207">
        <v>0.77895207449062298</v>
      </c>
      <c r="F207">
        <v>0.45006099177764203</v>
      </c>
      <c r="G207">
        <v>0.17535920616996201</v>
      </c>
      <c r="H207">
        <v>0.11772969764824499</v>
      </c>
      <c r="I207">
        <v>7.7457803259955299E-2</v>
      </c>
      <c r="J207">
        <v>7.3109985018726703E-2</v>
      </c>
      <c r="K207">
        <v>6.7120869792855795E-2</v>
      </c>
      <c r="L207">
        <v>1339.74069540663</v>
      </c>
      <c r="M207">
        <v>25.640232624301799</v>
      </c>
      <c r="N207">
        <v>52.584225626353501</v>
      </c>
      <c r="O207">
        <v>51.936772346084403</v>
      </c>
      <c r="P207">
        <v>-0.114180143297439</v>
      </c>
      <c r="Q207">
        <v>7.4879540172354403E-2</v>
      </c>
      <c r="R207">
        <v>0.99895826236974705</v>
      </c>
      <c r="S207" t="s">
        <v>4947</v>
      </c>
      <c r="T207" t="s">
        <v>9478</v>
      </c>
      <c r="U207" t="s">
        <v>9478</v>
      </c>
      <c r="V207" t="s">
        <v>9478</v>
      </c>
      <c r="W207">
        <v>6</v>
      </c>
      <c r="X207" t="s">
        <v>9685</v>
      </c>
      <c r="Y207">
        <v>0.46074798720952292</v>
      </c>
      <c r="Z207" t="str">
        <f>HYPERLINK("Melting_Curves/meltCurve_sp_O43741_AAKB2_HUMAN_.pdf", "Melting_Curves/meltCurve_sp_O43741_AAKB2_HUMAN_.pdf")</f>
        <v>Melting_Curves/meltCurve_sp_O43741_AAKB2_HUMAN_.pdf</v>
      </c>
      <c r="AA207" t="s">
        <v>14420</v>
      </c>
      <c r="AB207" t="s">
        <v>19042</v>
      </c>
    </row>
    <row r="208" spans="1:28" x14ac:dyDescent="0.25">
      <c r="A208" t="s">
        <v>212</v>
      </c>
      <c r="B208">
        <v>0.99904790336628502</v>
      </c>
      <c r="C208">
        <v>1.0607911917135699</v>
      </c>
      <c r="D208">
        <v>1.08774739702253</v>
      </c>
      <c r="E208">
        <v>0.96163636292174304</v>
      </c>
      <c r="F208">
        <v>0.71933074985054801</v>
      </c>
      <c r="G208">
        <v>0.36557304436291699</v>
      </c>
      <c r="H208">
        <v>0.12446791613927199</v>
      </c>
      <c r="I208">
        <v>6.2591474587156096E-2</v>
      </c>
      <c r="J208">
        <v>4.1925022381541603E-2</v>
      </c>
      <c r="K208">
        <v>4.0625042510776803E-2</v>
      </c>
      <c r="L208">
        <v>1346.6804533424599</v>
      </c>
      <c r="M208">
        <v>24.3469862730235</v>
      </c>
      <c r="N208">
        <v>55.4663332268779</v>
      </c>
      <c r="O208">
        <v>54.942897083259901</v>
      </c>
      <c r="P208">
        <v>-0.107156467290749</v>
      </c>
      <c r="Q208">
        <v>3.2751043079521397E-2</v>
      </c>
      <c r="R208">
        <v>0.99219989551821697</v>
      </c>
      <c r="S208" t="s">
        <v>4948</v>
      </c>
      <c r="T208" t="s">
        <v>9478</v>
      </c>
      <c r="U208" t="s">
        <v>9478</v>
      </c>
      <c r="V208" t="s">
        <v>9478</v>
      </c>
      <c r="W208">
        <v>22</v>
      </c>
      <c r="X208" t="s">
        <v>9686</v>
      </c>
      <c r="Y208">
        <v>0.53578449113256554</v>
      </c>
      <c r="Z208" t="str">
        <f>HYPERLINK("Melting_Curves/meltCurve_sp_O43747_AP1G1_HUMAN_.pdf", "Melting_Curves/meltCurve_sp_O43747_AP1G1_HUMAN_.pdf")</f>
        <v>Melting_Curves/meltCurve_sp_O43747_AP1G1_HUMAN_.pdf</v>
      </c>
      <c r="AA208" t="s">
        <v>14421</v>
      </c>
      <c r="AB208" t="s">
        <v>19043</v>
      </c>
    </row>
    <row r="209" spans="1:28" x14ac:dyDescent="0.25">
      <c r="A209" t="s">
        <v>213</v>
      </c>
      <c r="B209">
        <v>0.99904790336628502</v>
      </c>
      <c r="C209">
        <v>0.84913277429043899</v>
      </c>
      <c r="D209">
        <v>0.90732681414345995</v>
      </c>
      <c r="E209">
        <v>0.762839149851122</v>
      </c>
      <c r="F209">
        <v>0.67187051499068096</v>
      </c>
      <c r="G209">
        <v>0.52123149394687596</v>
      </c>
      <c r="H209">
        <v>0.38117387989428297</v>
      </c>
      <c r="I209">
        <v>0.37090305982347099</v>
      </c>
      <c r="J209">
        <v>0.41328244757302901</v>
      </c>
      <c r="K209">
        <v>0.32926211044533399</v>
      </c>
      <c r="L209">
        <v>534.98999609647899</v>
      </c>
      <c r="M209">
        <v>10.0423844290396</v>
      </c>
      <c r="N209">
        <v>57.8867524928649</v>
      </c>
      <c r="O209">
        <v>51.290074164342599</v>
      </c>
      <c r="P209">
        <v>-3.5484449863370501E-2</v>
      </c>
      <c r="Q209">
        <v>0.27541942645015099</v>
      </c>
      <c r="R209">
        <v>0.96957292898382696</v>
      </c>
      <c r="S209" t="s">
        <v>4949</v>
      </c>
      <c r="T209" t="s">
        <v>9478</v>
      </c>
      <c r="U209" t="s">
        <v>9478</v>
      </c>
      <c r="V209" t="s">
        <v>9478</v>
      </c>
      <c r="W209">
        <v>1</v>
      </c>
      <c r="X209" t="s">
        <v>9687</v>
      </c>
      <c r="Y209">
        <v>0.61993361663781343</v>
      </c>
      <c r="Z209" t="str">
        <f>HYPERLINK("Melting_Curves/meltCurve_sp_O43752_STX6_HUMAN_.pdf", "Melting_Curves/meltCurve_sp_O43752_STX6_HUMAN_.pdf")</f>
        <v>Melting_Curves/meltCurve_sp_O43752_STX6_HUMAN_.pdf</v>
      </c>
      <c r="AA209" t="s">
        <v>14422</v>
      </c>
      <c r="AB209" t="s">
        <v>19044</v>
      </c>
    </row>
    <row r="210" spans="1:28" x14ac:dyDescent="0.25">
      <c r="A210" t="s">
        <v>214</v>
      </c>
      <c r="B210">
        <v>0.99904790336628502</v>
      </c>
      <c r="C210">
        <v>0.97095447747992703</v>
      </c>
      <c r="D210">
        <v>0.96614184158152805</v>
      </c>
      <c r="E210">
        <v>0.94510207663963497</v>
      </c>
      <c r="F210">
        <v>0.89269886598557902</v>
      </c>
      <c r="G210">
        <v>0.60439357515206504</v>
      </c>
      <c r="H210">
        <v>0.44534477202383999</v>
      </c>
      <c r="I210">
        <v>0.35911231714307101</v>
      </c>
      <c r="J210">
        <v>0.35006693817828799</v>
      </c>
      <c r="K210">
        <v>0.29702548165424197</v>
      </c>
      <c r="L210">
        <v>1185.33933398103</v>
      </c>
      <c r="M210">
        <v>20.942889049439799</v>
      </c>
      <c r="N210">
        <v>59.264760755565099</v>
      </c>
      <c r="O210">
        <v>56.090197382604202</v>
      </c>
      <c r="P210">
        <v>-6.4866569373586605E-2</v>
      </c>
      <c r="Q210">
        <v>0.30510450659272798</v>
      </c>
      <c r="R210">
        <v>0.99493505378367797</v>
      </c>
      <c r="S210" t="s">
        <v>4950</v>
      </c>
      <c r="T210" t="s">
        <v>9478</v>
      </c>
      <c r="U210" t="s">
        <v>9478</v>
      </c>
      <c r="V210" t="s">
        <v>9478</v>
      </c>
      <c r="W210">
        <v>9</v>
      </c>
      <c r="X210" t="s">
        <v>9688</v>
      </c>
      <c r="Y210">
        <v>0.69778121370015811</v>
      </c>
      <c r="Z210" t="str">
        <f>HYPERLINK("Melting_Curves/meltCurve_sp_O43765_SGTA_HUMAN_.pdf", "Melting_Curves/meltCurve_sp_O43765_SGTA_HUMAN_.pdf")</f>
        <v>Melting_Curves/meltCurve_sp_O43765_SGTA_HUMAN_.pdf</v>
      </c>
      <c r="AA210" t="s">
        <v>14423</v>
      </c>
      <c r="AB210" t="s">
        <v>19045</v>
      </c>
    </row>
    <row r="211" spans="1:28" x14ac:dyDescent="0.25">
      <c r="A211" t="s">
        <v>215</v>
      </c>
      <c r="B211">
        <v>0.99904790336628502</v>
      </c>
      <c r="C211">
        <v>0.94385961401789997</v>
      </c>
      <c r="D211">
        <v>0.87187083349089101</v>
      </c>
      <c r="E211">
        <v>0.76951449727524601</v>
      </c>
      <c r="F211">
        <v>0.592811744568288</v>
      </c>
      <c r="G211">
        <v>0.446979212259703</v>
      </c>
      <c r="H211">
        <v>0.30144137966583301</v>
      </c>
      <c r="I211">
        <v>0.21041858196434199</v>
      </c>
      <c r="J211">
        <v>0.11780035319356599</v>
      </c>
      <c r="K211">
        <v>9.4248645324635297E-2</v>
      </c>
      <c r="L211">
        <v>566.44911935527</v>
      </c>
      <c r="M211">
        <v>10.2165213100863</v>
      </c>
      <c r="N211">
        <v>55.444422042218598</v>
      </c>
      <c r="O211">
        <v>53.446083662759499</v>
      </c>
      <c r="P211">
        <v>-4.78103105568565E-2</v>
      </c>
      <c r="Q211">
        <v>0</v>
      </c>
      <c r="R211">
        <v>0.99706841704148197</v>
      </c>
      <c r="S211" t="s">
        <v>4951</v>
      </c>
      <c r="T211" t="s">
        <v>9478</v>
      </c>
      <c r="U211" t="s">
        <v>9478</v>
      </c>
      <c r="V211" t="s">
        <v>9478</v>
      </c>
      <c r="W211">
        <v>10</v>
      </c>
      <c r="X211" t="s">
        <v>9689</v>
      </c>
      <c r="Y211">
        <v>0.53849647907792586</v>
      </c>
      <c r="Z211" t="str">
        <f>HYPERLINK("Melting_Curves/meltCurve_sp_O43766_LIAS_HUMAN_.pdf", "Melting_Curves/meltCurve_sp_O43766_LIAS_HUMAN_.pdf")</f>
        <v>Melting_Curves/meltCurve_sp_O43766_LIAS_HUMAN_.pdf</v>
      </c>
      <c r="AA211" t="s">
        <v>14424</v>
      </c>
      <c r="AB211" t="s">
        <v>19046</v>
      </c>
    </row>
    <row r="212" spans="1:28" x14ac:dyDescent="0.25">
      <c r="A212" t="s">
        <v>216</v>
      </c>
      <c r="B212">
        <v>0.99904790336628502</v>
      </c>
      <c r="C212">
        <v>0.97949106140447995</v>
      </c>
      <c r="D212">
        <v>0.94796392637313998</v>
      </c>
      <c r="E212">
        <v>0.94673416141306199</v>
      </c>
      <c r="F212">
        <v>0.95862900288796205</v>
      </c>
      <c r="G212">
        <v>0.80917121776602796</v>
      </c>
      <c r="H212">
        <v>0.68405474209218498</v>
      </c>
      <c r="I212">
        <v>0.66421862780252205</v>
      </c>
      <c r="J212">
        <v>0.704471103631648</v>
      </c>
      <c r="K212">
        <v>0.726821437092947</v>
      </c>
      <c r="L212">
        <v>1868.0695452862999</v>
      </c>
      <c r="M212">
        <v>33.407145562662301</v>
      </c>
      <c r="O212">
        <v>55.719034857586998</v>
      </c>
      <c r="P212">
        <v>-4.6325616237026197E-2</v>
      </c>
      <c r="Q212">
        <v>0.69093945443555305</v>
      </c>
      <c r="R212">
        <v>0.94983764926644698</v>
      </c>
      <c r="S212" t="s">
        <v>4952</v>
      </c>
      <c r="T212" t="s">
        <v>9478</v>
      </c>
      <c r="U212" t="s">
        <v>9478</v>
      </c>
      <c r="V212" t="s">
        <v>9478</v>
      </c>
      <c r="W212">
        <v>8</v>
      </c>
      <c r="X212" t="s">
        <v>9690</v>
      </c>
      <c r="Y212">
        <v>0.8566141584205027</v>
      </c>
      <c r="Z212" t="str">
        <f>HYPERLINK("Melting_Curves/meltCurve_sp_O43768_2_ENSA_HUMAN_.pdf", "Melting_Curves/meltCurve_sp_O43768_2_ENSA_HUMAN_.pdf")</f>
        <v>Melting_Curves/meltCurve_sp_O43768_2_ENSA_HUMAN_.pdf</v>
      </c>
      <c r="AA212" t="s">
        <v>14425</v>
      </c>
      <c r="AB212" t="s">
        <v>19047</v>
      </c>
    </row>
    <row r="213" spans="1:28" x14ac:dyDescent="0.25">
      <c r="A213" t="s">
        <v>217</v>
      </c>
      <c r="B213">
        <v>0.99904790336628502</v>
      </c>
      <c r="C213">
        <v>0.89397358399475502</v>
      </c>
      <c r="D213">
        <v>0.98605897708673795</v>
      </c>
      <c r="E213">
        <v>0.54452707563345204</v>
      </c>
      <c r="F213">
        <v>0.12605629627804399</v>
      </c>
      <c r="G213">
        <v>9.2232236386396604E-2</v>
      </c>
      <c r="H213">
        <v>5.1370621368342299E-2</v>
      </c>
      <c r="I213">
        <v>3.3604606238356899E-2</v>
      </c>
      <c r="J213">
        <v>2.60662270673384E-2</v>
      </c>
      <c r="K213">
        <v>1.65649517191832E-2</v>
      </c>
      <c r="L213">
        <v>2066.8773436195502</v>
      </c>
      <c r="M213">
        <v>41.240992773440702</v>
      </c>
      <c r="N213">
        <v>50.221925544548903</v>
      </c>
      <c r="O213">
        <v>49.999642863684699</v>
      </c>
      <c r="P213">
        <v>-0.197701381739215</v>
      </c>
      <c r="Q213">
        <v>4.1246865543940997E-2</v>
      </c>
      <c r="R213">
        <v>0.99154696813169896</v>
      </c>
      <c r="S213" t="s">
        <v>4953</v>
      </c>
      <c r="T213" t="s">
        <v>9478</v>
      </c>
      <c r="U213" t="s">
        <v>9478</v>
      </c>
      <c r="V213" t="s">
        <v>9478</v>
      </c>
      <c r="W213">
        <v>15</v>
      </c>
      <c r="X213" t="s">
        <v>9691</v>
      </c>
      <c r="Y213">
        <v>0.36769608001115889</v>
      </c>
      <c r="Z213" t="str">
        <f>HYPERLINK("Melting_Curves/meltCurve_sp_O43776_SYNC_HUMAN_.pdf", "Melting_Curves/meltCurve_sp_O43776_SYNC_HUMAN_.pdf")</f>
        <v>Melting_Curves/meltCurve_sp_O43776_SYNC_HUMAN_.pdf</v>
      </c>
      <c r="AA213" t="s">
        <v>14426</v>
      </c>
      <c r="AB213" t="s">
        <v>19048</v>
      </c>
    </row>
    <row r="214" spans="1:28" x14ac:dyDescent="0.25">
      <c r="A214" t="s">
        <v>218</v>
      </c>
      <c r="B214">
        <v>0.99904790336628502</v>
      </c>
      <c r="C214">
        <v>0.78518976217599001</v>
      </c>
      <c r="D214">
        <v>0.63551328128349904</v>
      </c>
      <c r="E214">
        <v>0.32908825948727199</v>
      </c>
      <c r="F214">
        <v>0.27640836993394002</v>
      </c>
      <c r="G214">
        <v>0.18879212095645301</v>
      </c>
      <c r="H214">
        <v>0.124790780886593</v>
      </c>
      <c r="I214">
        <v>8.9114333297174095E-2</v>
      </c>
      <c r="J214">
        <v>8.2269180665347899E-2</v>
      </c>
      <c r="K214">
        <v>5.2137374216881499E-2</v>
      </c>
      <c r="L214">
        <v>649.18490042953999</v>
      </c>
      <c r="M214">
        <v>13.720275878107</v>
      </c>
      <c r="N214">
        <v>47.854668132752998</v>
      </c>
      <c r="O214">
        <v>46.344546730239898</v>
      </c>
      <c r="P214">
        <v>-6.87239874387994E-2</v>
      </c>
      <c r="Q214">
        <v>7.1585462936039096E-2</v>
      </c>
      <c r="R214">
        <v>0.98888342986132205</v>
      </c>
      <c r="S214" t="s">
        <v>4954</v>
      </c>
      <c r="T214" t="s">
        <v>9478</v>
      </c>
      <c r="U214" t="s">
        <v>9478</v>
      </c>
      <c r="V214" t="s">
        <v>9478</v>
      </c>
      <c r="W214">
        <v>4</v>
      </c>
      <c r="X214" t="s">
        <v>9692</v>
      </c>
      <c r="Y214">
        <v>0.32756570469957352</v>
      </c>
      <c r="Z214" t="str">
        <f>HYPERLINK("Melting_Curves/meltCurve_sp_O43795_2_MYO1B_HUMAN_.pdf", "Melting_Curves/meltCurve_sp_O43795_2_MYO1B_HUMAN_.pdf")</f>
        <v>Melting_Curves/meltCurve_sp_O43795_2_MYO1B_HUMAN_.pdf</v>
      </c>
      <c r="AA214" t="s">
        <v>14427</v>
      </c>
      <c r="AB214" t="s">
        <v>19049</v>
      </c>
    </row>
    <row r="215" spans="1:28" x14ac:dyDescent="0.25">
      <c r="A215" t="s">
        <v>219</v>
      </c>
      <c r="B215">
        <v>0.99904790336628502</v>
      </c>
      <c r="C215">
        <v>1.004069063295</v>
      </c>
      <c r="D215">
        <v>0.92614021490826204</v>
      </c>
      <c r="E215">
        <v>0.85192474053641098</v>
      </c>
      <c r="F215">
        <v>0.78648319123108001</v>
      </c>
      <c r="G215">
        <v>0.55484191546292705</v>
      </c>
      <c r="H215">
        <v>0.43054481412729501</v>
      </c>
      <c r="I215">
        <v>0.33121744202959702</v>
      </c>
      <c r="J215">
        <v>0.30303386148874301</v>
      </c>
      <c r="K215">
        <v>0.31631346993426102</v>
      </c>
      <c r="L215">
        <v>769.961514013331</v>
      </c>
      <c r="M215">
        <v>13.823814647606101</v>
      </c>
      <c r="N215">
        <v>58.608698809534403</v>
      </c>
      <c r="O215">
        <v>54.571442129172098</v>
      </c>
      <c r="P215">
        <v>-4.7609122194829302E-2</v>
      </c>
      <c r="Q215">
        <v>0.24832983248839799</v>
      </c>
      <c r="R215">
        <v>0.99392587632904605</v>
      </c>
      <c r="S215" t="s">
        <v>4955</v>
      </c>
      <c r="T215" t="s">
        <v>9478</v>
      </c>
      <c r="U215" t="s">
        <v>9478</v>
      </c>
      <c r="V215" t="s">
        <v>9478</v>
      </c>
      <c r="W215">
        <v>2</v>
      </c>
      <c r="X215" t="s">
        <v>9693</v>
      </c>
      <c r="Y215">
        <v>0.65634768654735132</v>
      </c>
      <c r="Z215" t="str">
        <f>HYPERLINK("Melting_Curves/meltCurve_sp_O43805_SSNA1_HUMAN_.pdf", "Melting_Curves/meltCurve_sp_O43805_SSNA1_HUMAN_.pdf")</f>
        <v>Melting_Curves/meltCurve_sp_O43805_SSNA1_HUMAN_.pdf</v>
      </c>
      <c r="AA215" t="s">
        <v>14428</v>
      </c>
      <c r="AB215" t="s">
        <v>19050</v>
      </c>
    </row>
    <row r="216" spans="1:28" x14ac:dyDescent="0.25">
      <c r="A216" t="s">
        <v>220</v>
      </c>
      <c r="B216">
        <v>0.99904790336628502</v>
      </c>
      <c r="C216">
        <v>0.97783069567743597</v>
      </c>
      <c r="D216">
        <v>0.97637138831302805</v>
      </c>
      <c r="E216">
        <v>0.93036087178194105</v>
      </c>
      <c r="F216">
        <v>0.78486048060129199</v>
      </c>
      <c r="G216">
        <v>0.218158711646986</v>
      </c>
      <c r="H216">
        <v>0.124387157670602</v>
      </c>
      <c r="I216">
        <v>4.74516124654044E-2</v>
      </c>
      <c r="J216">
        <v>3.29344967563572E-2</v>
      </c>
      <c r="K216">
        <v>2.1150978143180101E-2</v>
      </c>
      <c r="L216">
        <v>1861.8116588779801</v>
      </c>
      <c r="M216">
        <v>34.003595518466398</v>
      </c>
      <c r="N216">
        <v>54.8980348482485</v>
      </c>
      <c r="O216">
        <v>54.565043407752398</v>
      </c>
      <c r="P216">
        <v>-0.14911873169283199</v>
      </c>
      <c r="Q216">
        <v>4.2849708135022702E-2</v>
      </c>
      <c r="R216">
        <v>0.99649383123312196</v>
      </c>
      <c r="S216" t="s">
        <v>4956</v>
      </c>
      <c r="T216" t="s">
        <v>9478</v>
      </c>
      <c r="U216" t="s">
        <v>9478</v>
      </c>
      <c r="V216" t="s">
        <v>9478</v>
      </c>
      <c r="W216">
        <v>7</v>
      </c>
      <c r="X216" t="s">
        <v>9694</v>
      </c>
      <c r="Y216">
        <v>0.51853264798356213</v>
      </c>
      <c r="Z216" t="str">
        <f>HYPERLINK("Melting_Curves/meltCurve_sp_O43809_CPSF5_HUMAN_.pdf", "Melting_Curves/meltCurve_sp_O43809_CPSF5_HUMAN_.pdf")</f>
        <v>Melting_Curves/meltCurve_sp_O43809_CPSF5_HUMAN_.pdf</v>
      </c>
      <c r="AA216" t="s">
        <v>14429</v>
      </c>
      <c r="AB216" t="s">
        <v>19051</v>
      </c>
    </row>
    <row r="217" spans="1:28" x14ac:dyDescent="0.25">
      <c r="A217" t="s">
        <v>221</v>
      </c>
      <c r="B217">
        <v>0.99904790336628502</v>
      </c>
      <c r="C217">
        <v>0.93662894558195298</v>
      </c>
      <c r="D217">
        <v>0.89341807445133203</v>
      </c>
      <c r="E217">
        <v>0.66141258811155601</v>
      </c>
      <c r="F217">
        <v>0.453857076595858</v>
      </c>
      <c r="G217">
        <v>0.18588439282260999</v>
      </c>
      <c r="H217">
        <v>8.7664614700339705E-2</v>
      </c>
      <c r="I217">
        <v>6.5726692156305E-2</v>
      </c>
      <c r="J217">
        <v>5.5099355883456498E-2</v>
      </c>
      <c r="K217">
        <v>4.2185517111511597E-2</v>
      </c>
      <c r="L217">
        <v>852.44216171584003</v>
      </c>
      <c r="M217">
        <v>16.406301156985101</v>
      </c>
      <c r="N217">
        <v>52.096277081494698</v>
      </c>
      <c r="O217">
        <v>51.204677870339999</v>
      </c>
      <c r="P217">
        <v>-7.8403125276259103E-2</v>
      </c>
      <c r="Q217">
        <v>2.1273253430545602E-2</v>
      </c>
      <c r="R217">
        <v>0.99834797036217704</v>
      </c>
      <c r="S217" t="s">
        <v>4957</v>
      </c>
      <c r="T217" t="s">
        <v>9478</v>
      </c>
      <c r="U217" t="s">
        <v>9478</v>
      </c>
      <c r="V217" t="s">
        <v>9478</v>
      </c>
      <c r="W217">
        <v>12</v>
      </c>
      <c r="X217" t="s">
        <v>9695</v>
      </c>
      <c r="Y217">
        <v>0.43042177570767898</v>
      </c>
      <c r="Z217" t="str">
        <f>HYPERLINK("Melting_Curves/meltCurve_sp_O43813_LANC1_HUMAN_.pdf", "Melting_Curves/meltCurve_sp_O43813_LANC1_HUMAN_.pdf")</f>
        <v>Melting_Curves/meltCurve_sp_O43813_LANC1_HUMAN_.pdf</v>
      </c>
      <c r="AA217" t="s">
        <v>14430</v>
      </c>
      <c r="AB217" t="s">
        <v>19052</v>
      </c>
    </row>
    <row r="218" spans="1:28" x14ac:dyDescent="0.25">
      <c r="A218" t="s">
        <v>222</v>
      </c>
      <c r="B218">
        <v>0.99904790336628502</v>
      </c>
      <c r="C218">
        <v>1.0408237737675501</v>
      </c>
      <c r="D218">
        <v>1.0378916266872</v>
      </c>
      <c r="E218">
        <v>0.98626421708352296</v>
      </c>
      <c r="F218">
        <v>0.90102913228803305</v>
      </c>
      <c r="G218">
        <v>0.55421283170952595</v>
      </c>
      <c r="H218">
        <v>0.40452402542902499</v>
      </c>
      <c r="I218">
        <v>0.35386344990986901</v>
      </c>
      <c r="J218">
        <v>0.35846465413059803</v>
      </c>
      <c r="K218">
        <v>0.37855574019253102</v>
      </c>
      <c r="L218">
        <v>1904.56713629448</v>
      </c>
      <c r="M218">
        <v>34.249670820394599</v>
      </c>
      <c r="N218">
        <v>57.802433475694897</v>
      </c>
      <c r="O218">
        <v>55.419796211626199</v>
      </c>
      <c r="P218">
        <v>-9.8302681876779902E-2</v>
      </c>
      <c r="Q218">
        <v>0.36374367798595802</v>
      </c>
      <c r="R218">
        <v>0.995712364928656</v>
      </c>
      <c r="S218" t="s">
        <v>4958</v>
      </c>
      <c r="T218" t="s">
        <v>9478</v>
      </c>
      <c r="U218" t="s">
        <v>9478</v>
      </c>
      <c r="V218" t="s">
        <v>9478</v>
      </c>
      <c r="W218">
        <v>5</v>
      </c>
      <c r="X218" t="s">
        <v>9696</v>
      </c>
      <c r="Y218">
        <v>0.69806974945130063</v>
      </c>
      <c r="Z218" t="str">
        <f>HYPERLINK("Melting_Curves/meltCurve_sp_O43815_2_STRN_HUMAN_.pdf", "Melting_Curves/meltCurve_sp_O43815_2_STRN_HUMAN_.pdf")</f>
        <v>Melting_Curves/meltCurve_sp_O43815_2_STRN_HUMAN_.pdf</v>
      </c>
      <c r="AA218" t="s">
        <v>14431</v>
      </c>
      <c r="AB218" t="s">
        <v>19053</v>
      </c>
    </row>
    <row r="219" spans="1:28" x14ac:dyDescent="0.25">
      <c r="A219" t="s">
        <v>223</v>
      </c>
      <c r="B219">
        <v>0.99904790336628502</v>
      </c>
      <c r="C219">
        <v>1.0260712411669199</v>
      </c>
      <c r="D219">
        <v>1.1284599039646801</v>
      </c>
      <c r="E219">
        <v>0.97831742264257104</v>
      </c>
      <c r="F219">
        <v>0.78333537053777103</v>
      </c>
      <c r="G219">
        <v>0.51227765631742594</v>
      </c>
      <c r="H219">
        <v>0.38816312512687501</v>
      </c>
      <c r="I219">
        <v>0.198814607385601</v>
      </c>
      <c r="J219">
        <v>0.22015511102036001</v>
      </c>
      <c r="K219">
        <v>0.28331673187457501</v>
      </c>
      <c r="L219">
        <v>1283.7683102060901</v>
      </c>
      <c r="M219">
        <v>23.068322382937801</v>
      </c>
      <c r="N219">
        <v>57.208486263751503</v>
      </c>
      <c r="O219">
        <v>55.237563445043797</v>
      </c>
      <c r="P219">
        <v>-8.0058197797995001E-2</v>
      </c>
      <c r="Q219">
        <v>0.23321039913365599</v>
      </c>
      <c r="R219">
        <v>0.97332521917118797</v>
      </c>
      <c r="S219" t="s">
        <v>4959</v>
      </c>
      <c r="T219" t="s">
        <v>9478</v>
      </c>
      <c r="U219" t="s">
        <v>9478</v>
      </c>
      <c r="V219" t="s">
        <v>9478</v>
      </c>
      <c r="W219">
        <v>1</v>
      </c>
      <c r="X219" t="s">
        <v>9697</v>
      </c>
      <c r="Y219">
        <v>0.6413053713785497</v>
      </c>
      <c r="Z219" t="str">
        <f>HYPERLINK("Melting_Curves/meltCurve_sp_O43818_U3IP2_HUMAN_.pdf", "Melting_Curves/meltCurve_sp_O43818_U3IP2_HUMAN_.pdf")</f>
        <v>Melting_Curves/meltCurve_sp_O43818_U3IP2_HUMAN_.pdf</v>
      </c>
      <c r="AA219" t="s">
        <v>14432</v>
      </c>
      <c r="AB219" t="s">
        <v>19054</v>
      </c>
    </row>
    <row r="220" spans="1:28" x14ac:dyDescent="0.25">
      <c r="A220" t="s">
        <v>224</v>
      </c>
      <c r="B220">
        <v>0.99904790336628502</v>
      </c>
      <c r="C220">
        <v>1.0788056780950599</v>
      </c>
      <c r="D220">
        <v>0.941039164958685</v>
      </c>
      <c r="E220">
        <v>0.70789121666338795</v>
      </c>
      <c r="F220">
        <v>0.53574870509787398</v>
      </c>
      <c r="G220">
        <v>0.30320495352078702</v>
      </c>
      <c r="H220">
        <v>0.217903531741625</v>
      </c>
      <c r="I220">
        <v>0.197168397083439</v>
      </c>
      <c r="J220">
        <v>7.8212358086741096E-2</v>
      </c>
      <c r="K220">
        <v>8.0251384891578098E-2</v>
      </c>
      <c r="L220">
        <v>838.533825908886</v>
      </c>
      <c r="M220">
        <v>15.854458042404</v>
      </c>
      <c r="N220">
        <v>53.551242175488802</v>
      </c>
      <c r="O220">
        <v>52.069492038524999</v>
      </c>
      <c r="P220">
        <v>-6.9355220909027293E-2</v>
      </c>
      <c r="Q220">
        <v>8.8963556456364598E-2</v>
      </c>
      <c r="R220">
        <v>0.98708029850861101</v>
      </c>
      <c r="S220" t="s">
        <v>4960</v>
      </c>
      <c r="T220" t="s">
        <v>9478</v>
      </c>
      <c r="U220" t="s">
        <v>9478</v>
      </c>
      <c r="V220" t="s">
        <v>9478</v>
      </c>
      <c r="W220">
        <v>3</v>
      </c>
      <c r="X220" t="s">
        <v>9698</v>
      </c>
      <c r="Y220">
        <v>0.49857375710954038</v>
      </c>
      <c r="Z220" t="str">
        <f>HYPERLINK("Melting_Curves/meltCurve_sp_O43819_SCO2_HUMAN_.pdf", "Melting_Curves/meltCurve_sp_O43819_SCO2_HUMAN_.pdf")</f>
        <v>Melting_Curves/meltCurve_sp_O43819_SCO2_HUMAN_.pdf</v>
      </c>
      <c r="AA220" t="s">
        <v>14433</v>
      </c>
      <c r="AB220" t="s">
        <v>19055</v>
      </c>
    </row>
    <row r="221" spans="1:28" x14ac:dyDescent="0.25">
      <c r="A221" t="s">
        <v>225</v>
      </c>
      <c r="B221">
        <v>0.99904790336628502</v>
      </c>
      <c r="C221">
        <v>1.04782285185347</v>
      </c>
      <c r="D221">
        <v>1.02177745798094</v>
      </c>
      <c r="E221">
        <v>0.925413742779159</v>
      </c>
      <c r="F221">
        <v>0.94347327586742702</v>
      </c>
      <c r="G221">
        <v>0.69808379564127399</v>
      </c>
      <c r="H221">
        <v>0.65688645326698802</v>
      </c>
      <c r="I221">
        <v>0.69583875020977604</v>
      </c>
      <c r="J221">
        <v>0.67752069307656304</v>
      </c>
      <c r="K221">
        <v>0.79033467803530399</v>
      </c>
      <c r="L221">
        <v>4450.2908267017701</v>
      </c>
      <c r="M221">
        <v>82.549623955766407</v>
      </c>
      <c r="O221">
        <v>53.878877890853602</v>
      </c>
      <c r="P221">
        <v>-0.11371932065075099</v>
      </c>
      <c r="Q221">
        <v>0.70310858393393505</v>
      </c>
      <c r="R221">
        <v>0.91559853738423302</v>
      </c>
      <c r="S221" t="s">
        <v>4961</v>
      </c>
      <c r="T221" t="s">
        <v>9478</v>
      </c>
      <c r="U221" t="s">
        <v>9478</v>
      </c>
      <c r="V221" t="s">
        <v>9478</v>
      </c>
      <c r="W221">
        <v>1</v>
      </c>
      <c r="X221" t="s">
        <v>9699</v>
      </c>
      <c r="Y221">
        <v>0.8410302006008028</v>
      </c>
      <c r="Z221" t="str">
        <f>HYPERLINK("Melting_Curves/meltCurve_sp_O43820_4_HYAL3_HUMAN_.pdf", "Melting_Curves/meltCurve_sp_O43820_4_HYAL3_HUMAN_.pdf")</f>
        <v>Melting_Curves/meltCurve_sp_O43820_4_HYAL3_HUMAN_.pdf</v>
      </c>
      <c r="AA221" t="s">
        <v>14434</v>
      </c>
      <c r="AB221" t="s">
        <v>19056</v>
      </c>
    </row>
    <row r="222" spans="1:28" x14ac:dyDescent="0.25">
      <c r="A222" t="s">
        <v>226</v>
      </c>
      <c r="B222">
        <v>0.99904790336628502</v>
      </c>
      <c r="C222">
        <v>0.86479737535527201</v>
      </c>
      <c r="D222">
        <v>0.71496031617899003</v>
      </c>
      <c r="E222">
        <v>0.54966589387346698</v>
      </c>
      <c r="F222">
        <v>0.36982811655277498</v>
      </c>
      <c r="G222">
        <v>0.181877358868654</v>
      </c>
      <c r="H222">
        <v>7.4016838038373403E-2</v>
      </c>
      <c r="I222">
        <v>3.8805590568424003E-2</v>
      </c>
      <c r="J222">
        <v>3.2269190116771103E-2</v>
      </c>
      <c r="K222">
        <v>2.7097349221670199E-2</v>
      </c>
      <c r="L222">
        <v>620.89028123357605</v>
      </c>
      <c r="M222">
        <v>12.3587309392862</v>
      </c>
      <c r="N222">
        <v>50.238999660934297</v>
      </c>
      <c r="O222">
        <v>48.977997059436198</v>
      </c>
      <c r="P222">
        <v>-6.3096642388165605E-2</v>
      </c>
      <c r="Q222">
        <v>0</v>
      </c>
      <c r="R222">
        <v>0.99391192752037205</v>
      </c>
      <c r="S222" t="s">
        <v>4962</v>
      </c>
      <c r="T222" t="s">
        <v>9478</v>
      </c>
      <c r="U222" t="s">
        <v>9478</v>
      </c>
      <c r="V222" t="s">
        <v>9478</v>
      </c>
      <c r="W222">
        <v>13</v>
      </c>
      <c r="X222" t="s">
        <v>9700</v>
      </c>
      <c r="Y222">
        <v>0.37391193766166081</v>
      </c>
      <c r="Z222" t="str">
        <f>HYPERLINK("Melting_Curves/meltCurve_sp_O43837_IDH3B_HUMAN_.pdf", "Melting_Curves/meltCurve_sp_O43837_IDH3B_HUMAN_.pdf")</f>
        <v>Melting_Curves/meltCurve_sp_O43837_IDH3B_HUMAN_.pdf</v>
      </c>
      <c r="AA222" t="s">
        <v>14435</v>
      </c>
      <c r="AB222" t="s">
        <v>19057</v>
      </c>
    </row>
    <row r="223" spans="1:28" x14ac:dyDescent="0.25">
      <c r="A223" t="s">
        <v>227</v>
      </c>
      <c r="B223">
        <v>0.99904790336628502</v>
      </c>
      <c r="C223">
        <v>0.92604999493727602</v>
      </c>
      <c r="D223">
        <v>0.96915132465286602</v>
      </c>
      <c r="E223">
        <v>0.824224942599324</v>
      </c>
      <c r="F223">
        <v>0.49208291952204702</v>
      </c>
      <c r="G223">
        <v>0.14643476462507499</v>
      </c>
      <c r="H223">
        <v>5.5729042324435402E-2</v>
      </c>
      <c r="I223">
        <v>3.5484058697311499E-2</v>
      </c>
      <c r="J223">
        <v>2.79609286090329E-2</v>
      </c>
      <c r="K223">
        <v>2.25778466549642E-2</v>
      </c>
      <c r="L223">
        <v>1372.5626709769599</v>
      </c>
      <c r="M223">
        <v>25.9753249165922</v>
      </c>
      <c r="N223">
        <v>52.937855018460901</v>
      </c>
      <c r="O223">
        <v>52.530818561565503</v>
      </c>
      <c r="P223">
        <v>-0.120752674015821</v>
      </c>
      <c r="Q223">
        <v>2.3201680547807801E-2</v>
      </c>
      <c r="R223">
        <v>0.99690977076685605</v>
      </c>
      <c r="S223" t="s">
        <v>4963</v>
      </c>
      <c r="T223" t="s">
        <v>9478</v>
      </c>
      <c r="U223" t="s">
        <v>9478</v>
      </c>
      <c r="V223" t="s">
        <v>9478</v>
      </c>
      <c r="W223">
        <v>14</v>
      </c>
      <c r="X223" t="s">
        <v>9701</v>
      </c>
      <c r="Y223">
        <v>0.44965899215836919</v>
      </c>
      <c r="Z223" t="str">
        <f>HYPERLINK("Melting_Curves/meltCurve_sp_O43847_2_NRDC_HUMAN_.pdf", "Melting_Curves/meltCurve_sp_O43847_2_NRDC_HUMAN_.pdf")</f>
        <v>Melting_Curves/meltCurve_sp_O43847_2_NRDC_HUMAN_.pdf</v>
      </c>
      <c r="AA223" t="s">
        <v>14436</v>
      </c>
      <c r="AB223" t="s">
        <v>19058</v>
      </c>
    </row>
    <row r="224" spans="1:28" x14ac:dyDescent="0.25">
      <c r="A224" t="s">
        <v>228</v>
      </c>
      <c r="B224">
        <v>0.99904790336628502</v>
      </c>
      <c r="C224">
        <v>1.03151576208656</v>
      </c>
      <c r="D224">
        <v>0.98028606113640704</v>
      </c>
      <c r="E224">
        <v>0.92525807241409597</v>
      </c>
      <c r="F224">
        <v>0.91469734966515504</v>
      </c>
      <c r="G224">
        <v>0.70825098621600202</v>
      </c>
      <c r="H224">
        <v>0.63539940977811604</v>
      </c>
      <c r="I224">
        <v>0.61556535357636999</v>
      </c>
      <c r="J224">
        <v>0.63665749688523698</v>
      </c>
      <c r="K224">
        <v>0.60623619989569399</v>
      </c>
      <c r="L224">
        <v>1367.7707753546399</v>
      </c>
      <c r="M224">
        <v>24.9352681853563</v>
      </c>
      <c r="O224">
        <v>54.503713884541298</v>
      </c>
      <c r="P224">
        <v>-4.4472857058895997E-2</v>
      </c>
      <c r="Q224">
        <v>0.61116873627537904</v>
      </c>
      <c r="R224">
        <v>0.98363693892827397</v>
      </c>
      <c r="S224" t="s">
        <v>4964</v>
      </c>
      <c r="T224" t="s">
        <v>9478</v>
      </c>
      <c r="U224" t="s">
        <v>9478</v>
      </c>
      <c r="V224" t="s">
        <v>9478</v>
      </c>
      <c r="W224">
        <v>13</v>
      </c>
      <c r="X224" t="s">
        <v>9702</v>
      </c>
      <c r="Y224">
        <v>0.80729271533419422</v>
      </c>
      <c r="Z224" t="str">
        <f>HYPERLINK("Melting_Curves/meltCurve_sp_O43852_CALU_HUMAN_.pdf", "Melting_Curves/meltCurve_sp_O43852_CALU_HUMAN_.pdf")</f>
        <v>Melting_Curves/meltCurve_sp_O43852_CALU_HUMAN_.pdf</v>
      </c>
      <c r="AA224" t="s">
        <v>14437</v>
      </c>
      <c r="AB224" t="s">
        <v>19059</v>
      </c>
    </row>
    <row r="225" spans="1:28" x14ac:dyDescent="0.25">
      <c r="A225" t="s">
        <v>229</v>
      </c>
      <c r="B225">
        <v>0.99904790336628502</v>
      </c>
      <c r="C225">
        <v>0.880314202878412</v>
      </c>
      <c r="D225">
        <v>0.69086829592428201</v>
      </c>
      <c r="E225">
        <v>0.30339568728545901</v>
      </c>
      <c r="F225">
        <v>0.148583439859544</v>
      </c>
      <c r="G225">
        <v>9.1117461888374301E-2</v>
      </c>
      <c r="H225">
        <v>4.4292578978664399E-2</v>
      </c>
      <c r="I225">
        <v>3.2027731992853498E-2</v>
      </c>
      <c r="J225">
        <v>2.84344704856451E-2</v>
      </c>
      <c r="K225">
        <v>2.77753811137465E-2</v>
      </c>
      <c r="L225">
        <v>919.51944260806295</v>
      </c>
      <c r="M225">
        <v>19.283484392588999</v>
      </c>
      <c r="N225">
        <v>47.836953657270698</v>
      </c>
      <c r="O225">
        <v>47.1803729800112</v>
      </c>
      <c r="P225">
        <v>-9.9134200717357901E-2</v>
      </c>
      <c r="Q225">
        <v>2.98407605573528E-2</v>
      </c>
      <c r="R225">
        <v>0.99880284122693797</v>
      </c>
      <c r="S225" t="s">
        <v>4965</v>
      </c>
      <c r="T225" t="s">
        <v>9478</v>
      </c>
      <c r="U225" t="s">
        <v>9478</v>
      </c>
      <c r="V225" t="s">
        <v>9478</v>
      </c>
      <c r="W225">
        <v>10</v>
      </c>
      <c r="X225" t="s">
        <v>9703</v>
      </c>
      <c r="Y225">
        <v>0.29335974816218491</v>
      </c>
      <c r="Z225" t="str">
        <f>HYPERLINK("Melting_Curves/meltCurve_sp_O43865_SAHH2_HUMAN_.pdf", "Melting_Curves/meltCurve_sp_O43865_SAHH2_HUMAN_.pdf")</f>
        <v>Melting_Curves/meltCurve_sp_O43865_SAHH2_HUMAN_.pdf</v>
      </c>
      <c r="AA225" t="s">
        <v>14438</v>
      </c>
      <c r="AB225" t="s">
        <v>19060</v>
      </c>
    </row>
    <row r="226" spans="1:28" x14ac:dyDescent="0.25">
      <c r="A226" t="s">
        <v>230</v>
      </c>
      <c r="B226">
        <v>0.99904790336628502</v>
      </c>
      <c r="C226">
        <v>0.90059008773501403</v>
      </c>
      <c r="D226">
        <v>0.66035616736798197</v>
      </c>
      <c r="E226">
        <v>0.40375329957908701</v>
      </c>
      <c r="F226">
        <v>0.27856760303842798</v>
      </c>
      <c r="G226">
        <v>0.19535026712473499</v>
      </c>
      <c r="H226">
        <v>0.166678366496989</v>
      </c>
      <c r="I226">
        <v>0.12962656568717101</v>
      </c>
      <c r="J226">
        <v>0.128158648284494</v>
      </c>
      <c r="K226">
        <v>0.104418168281699</v>
      </c>
      <c r="L226">
        <v>778.30729935165505</v>
      </c>
      <c r="M226">
        <v>16.319617889740002</v>
      </c>
      <c r="N226">
        <v>48.538214526751503</v>
      </c>
      <c r="O226">
        <v>46.992666092520302</v>
      </c>
      <c r="P226">
        <v>-7.6070953117877996E-2</v>
      </c>
      <c r="Q226">
        <v>0.123872264147735</v>
      </c>
      <c r="R226">
        <v>0.99611843626367502</v>
      </c>
      <c r="S226" t="s">
        <v>4966</v>
      </c>
      <c r="T226" t="s">
        <v>9478</v>
      </c>
      <c r="U226" t="s">
        <v>9478</v>
      </c>
      <c r="V226" t="s">
        <v>9478</v>
      </c>
      <c r="W226">
        <v>12</v>
      </c>
      <c r="X226" t="s">
        <v>9704</v>
      </c>
      <c r="Y226">
        <v>0.36777495261521997</v>
      </c>
      <c r="Z226" t="str">
        <f>HYPERLINK("Melting_Curves/meltCurve_sp_O43896_KIF1C_HUMAN_.pdf", "Melting_Curves/meltCurve_sp_O43896_KIF1C_HUMAN_.pdf")</f>
        <v>Melting_Curves/meltCurve_sp_O43896_KIF1C_HUMAN_.pdf</v>
      </c>
      <c r="AA226" t="s">
        <v>14439</v>
      </c>
      <c r="AB226" t="s">
        <v>19061</v>
      </c>
    </row>
    <row r="227" spans="1:28" x14ac:dyDescent="0.25">
      <c r="A227" t="s">
        <v>231</v>
      </c>
      <c r="B227">
        <v>0.99904790336628502</v>
      </c>
      <c r="C227">
        <v>0.99413845188535699</v>
      </c>
      <c r="D227">
        <v>0.89366434728098398</v>
      </c>
      <c r="E227">
        <v>0.83840194510538502</v>
      </c>
      <c r="F227">
        <v>0.51961231567225297</v>
      </c>
      <c r="G227">
        <v>0.205310158747945</v>
      </c>
      <c r="H227">
        <v>0.116286311694087</v>
      </c>
      <c r="I227">
        <v>6.0219573195290102E-2</v>
      </c>
      <c r="J227">
        <v>2.6198646585354399E-2</v>
      </c>
      <c r="K227">
        <v>4.2990885229977002E-2</v>
      </c>
      <c r="L227">
        <v>1131.0020953839901</v>
      </c>
      <c r="M227">
        <v>21.2761912564082</v>
      </c>
      <c r="N227">
        <v>53.327713129322397</v>
      </c>
      <c r="O227">
        <v>52.6951890267447</v>
      </c>
      <c r="P227">
        <v>-9.7640233766354501E-2</v>
      </c>
      <c r="Q227">
        <v>3.2714202337488202E-2</v>
      </c>
      <c r="R227">
        <v>0.99504263527609904</v>
      </c>
      <c r="S227" t="s">
        <v>4967</v>
      </c>
      <c r="T227" t="s">
        <v>9478</v>
      </c>
      <c r="U227" t="s">
        <v>9478</v>
      </c>
      <c r="V227" t="s">
        <v>9478</v>
      </c>
      <c r="W227">
        <v>1</v>
      </c>
      <c r="X227" t="s">
        <v>9705</v>
      </c>
      <c r="Y227">
        <v>0.46891247074617598</v>
      </c>
      <c r="Z227" t="str">
        <f>HYPERLINK("Melting_Curves/meltCurve_sp_O43924_PDE6D_HUMAN_.pdf", "Melting_Curves/meltCurve_sp_O43924_PDE6D_HUMAN_.pdf")</f>
        <v>Melting_Curves/meltCurve_sp_O43924_PDE6D_HUMAN_.pdf</v>
      </c>
      <c r="AA227" t="s">
        <v>14440</v>
      </c>
      <c r="AB227" t="s">
        <v>19062</v>
      </c>
    </row>
    <row r="228" spans="1:28" x14ac:dyDescent="0.25">
      <c r="A228" t="s">
        <v>232</v>
      </c>
      <c r="B228">
        <v>0.99904790336628502</v>
      </c>
      <c r="C228">
        <v>0.95406856450036603</v>
      </c>
      <c r="D228">
        <v>0.86809497015767201</v>
      </c>
      <c r="E228">
        <v>0.83039024220593904</v>
      </c>
      <c r="F228">
        <v>0.34844648120584198</v>
      </c>
      <c r="G228">
        <v>0.20438013685391601</v>
      </c>
      <c r="H228">
        <v>0.13490064664865101</v>
      </c>
      <c r="I228">
        <v>0.12406550339924</v>
      </c>
      <c r="J228">
        <v>0.105653185840911</v>
      </c>
      <c r="K228">
        <v>0.109081721155583</v>
      </c>
      <c r="L228">
        <v>1884.0053183366999</v>
      </c>
      <c r="M228">
        <v>36.464410083537899</v>
      </c>
      <c r="N228">
        <v>52.081926868059398</v>
      </c>
      <c r="O228">
        <v>51.512310030559298</v>
      </c>
      <c r="P228">
        <v>-0.154659330252094</v>
      </c>
      <c r="Q228">
        <v>0.12607003581961601</v>
      </c>
      <c r="R228">
        <v>0.98412490007546605</v>
      </c>
      <c r="S228" t="s">
        <v>4968</v>
      </c>
      <c r="T228" t="s">
        <v>9478</v>
      </c>
      <c r="U228" t="s">
        <v>9478</v>
      </c>
      <c r="V228" t="s">
        <v>9478</v>
      </c>
      <c r="W228">
        <v>3</v>
      </c>
      <c r="X228" t="s">
        <v>9706</v>
      </c>
      <c r="Y228">
        <v>0.46969867584905772</v>
      </c>
      <c r="Z228" t="str">
        <f>HYPERLINK("Melting_Curves/meltCurve_sp_O60216_RAD21_HUMAN_.pdf", "Melting_Curves/meltCurve_sp_O60216_RAD21_HUMAN_.pdf")</f>
        <v>Melting_Curves/meltCurve_sp_O60216_RAD21_HUMAN_.pdf</v>
      </c>
      <c r="AA228" t="s">
        <v>14441</v>
      </c>
      <c r="AB228" t="s">
        <v>19063</v>
      </c>
    </row>
    <row r="229" spans="1:28" x14ac:dyDescent="0.25">
      <c r="A229" t="s">
        <v>233</v>
      </c>
      <c r="B229">
        <v>0.99904790336628502</v>
      </c>
      <c r="C229">
        <v>0.92916630172534498</v>
      </c>
      <c r="D229">
        <v>0.93031221534529196</v>
      </c>
      <c r="E229">
        <v>0.92055519890338799</v>
      </c>
      <c r="F229">
        <v>0.80212434739812799</v>
      </c>
      <c r="G229">
        <v>0.304404229974434</v>
      </c>
      <c r="H229">
        <v>8.7241452892803495E-2</v>
      </c>
      <c r="I229">
        <v>5.5396621314224299E-2</v>
      </c>
      <c r="J229">
        <v>3.6929006307905E-2</v>
      </c>
      <c r="K229">
        <v>3.2994287283000301E-2</v>
      </c>
      <c r="L229">
        <v>1605.5145971342199</v>
      </c>
      <c r="M229">
        <v>29.0577577053987</v>
      </c>
      <c r="N229">
        <v>55.374978197101697</v>
      </c>
      <c r="O229">
        <v>54.992826149149998</v>
      </c>
      <c r="P229">
        <v>-0.127988358759212</v>
      </c>
      <c r="Q229">
        <v>3.11173246082804E-2</v>
      </c>
      <c r="R229">
        <v>0.99346010564263099</v>
      </c>
      <c r="S229" t="s">
        <v>4969</v>
      </c>
      <c r="T229" t="s">
        <v>9478</v>
      </c>
      <c r="U229" t="s">
        <v>9478</v>
      </c>
      <c r="V229" t="s">
        <v>9478</v>
      </c>
      <c r="W229">
        <v>17</v>
      </c>
      <c r="X229" t="s">
        <v>9707</v>
      </c>
      <c r="Y229">
        <v>0.53054794253317794</v>
      </c>
      <c r="Z229" t="str">
        <f>HYPERLINK("Melting_Curves/meltCurve_sp_O60218_AK1BA_HUMAN_.pdf", "Melting_Curves/meltCurve_sp_O60218_AK1BA_HUMAN_.pdf")</f>
        <v>Melting_Curves/meltCurve_sp_O60218_AK1BA_HUMAN_.pdf</v>
      </c>
      <c r="AA229" t="s">
        <v>14442</v>
      </c>
      <c r="AB229" t="s">
        <v>19064</v>
      </c>
    </row>
    <row r="230" spans="1:28" x14ac:dyDescent="0.25">
      <c r="A230" t="s">
        <v>234</v>
      </c>
      <c r="B230">
        <v>0.99904790336628502</v>
      </c>
      <c r="C230">
        <v>0.99736155876217703</v>
      </c>
      <c r="D230">
        <v>1.0891141312999699</v>
      </c>
      <c r="E230">
        <v>0.95574896223201899</v>
      </c>
      <c r="F230">
        <v>0.80675261986537805</v>
      </c>
      <c r="G230">
        <v>0.57280221202173698</v>
      </c>
      <c r="H230">
        <v>0.50784467519933296</v>
      </c>
      <c r="I230">
        <v>0.51095790702078103</v>
      </c>
      <c r="J230">
        <v>0.53153951678977196</v>
      </c>
      <c r="K230">
        <v>0.42286457896430901</v>
      </c>
      <c r="L230">
        <v>1639.7300385931801</v>
      </c>
      <c r="M230">
        <v>30.404987752152199</v>
      </c>
      <c r="N230">
        <v>61.480669494946397</v>
      </c>
      <c r="O230">
        <v>53.697964391974999</v>
      </c>
      <c r="P230">
        <v>-7.2469063263041006E-2</v>
      </c>
      <c r="Q230">
        <v>0.48805542667421398</v>
      </c>
      <c r="R230">
        <v>0.97448273480570702</v>
      </c>
      <c r="S230" t="s">
        <v>4970</v>
      </c>
      <c r="T230" t="s">
        <v>9478</v>
      </c>
      <c r="U230" t="s">
        <v>9478</v>
      </c>
      <c r="V230" t="s">
        <v>9478</v>
      </c>
      <c r="W230">
        <v>5</v>
      </c>
      <c r="X230" t="s">
        <v>9708</v>
      </c>
      <c r="Y230">
        <v>0.72903629137751413</v>
      </c>
      <c r="Z230" t="str">
        <f>HYPERLINK("Melting_Curves/meltCurve_sp_O60220_TIM8A_HUMAN_.pdf", "Melting_Curves/meltCurve_sp_O60220_TIM8A_HUMAN_.pdf")</f>
        <v>Melting_Curves/meltCurve_sp_O60220_TIM8A_HUMAN_.pdf</v>
      </c>
      <c r="AA230" t="s">
        <v>14443</v>
      </c>
      <c r="AB230" t="s">
        <v>19065</v>
      </c>
    </row>
    <row r="231" spans="1:28" x14ac:dyDescent="0.25">
      <c r="A231" t="s">
        <v>235</v>
      </c>
      <c r="B231">
        <v>0.99904790336628502</v>
      </c>
      <c r="C231">
        <v>0.98162915583728605</v>
      </c>
      <c r="D231">
        <v>0.91006853157235201</v>
      </c>
      <c r="E231">
        <v>0.72945486320597897</v>
      </c>
      <c r="F231">
        <v>0.59206627266427803</v>
      </c>
      <c r="G231">
        <v>0.40264801038236198</v>
      </c>
      <c r="H231">
        <v>0.34980006665105301</v>
      </c>
      <c r="I231">
        <v>0.35795807438864802</v>
      </c>
      <c r="J231">
        <v>0.36579737889043201</v>
      </c>
      <c r="K231">
        <v>0.325634775269662</v>
      </c>
      <c r="L231">
        <v>903.34591845465297</v>
      </c>
      <c r="M231">
        <v>17.639912030561302</v>
      </c>
      <c r="N231">
        <v>54.543361281565602</v>
      </c>
      <c r="O231">
        <v>50.565825971553402</v>
      </c>
      <c r="P231">
        <v>-5.8448575588247301E-2</v>
      </c>
      <c r="Q231">
        <v>0.329851226033957</v>
      </c>
      <c r="R231">
        <v>0.996608693850351</v>
      </c>
      <c r="S231" t="s">
        <v>4971</v>
      </c>
      <c r="T231" t="s">
        <v>9478</v>
      </c>
      <c r="U231" t="s">
        <v>9478</v>
      </c>
      <c r="V231" t="s">
        <v>9478</v>
      </c>
      <c r="W231">
        <v>9</v>
      </c>
      <c r="X231" t="s">
        <v>9709</v>
      </c>
      <c r="Y231">
        <v>0.59194637066474276</v>
      </c>
      <c r="Z231" t="str">
        <f>HYPERLINK("Melting_Curves/meltCurve_sp_O60231_DHX16_HUMAN_.pdf", "Melting_Curves/meltCurve_sp_O60231_DHX16_HUMAN_.pdf")</f>
        <v>Melting_Curves/meltCurve_sp_O60231_DHX16_HUMAN_.pdf</v>
      </c>
      <c r="AA231" t="s">
        <v>14444</v>
      </c>
      <c r="AB231" t="s">
        <v>19066</v>
      </c>
    </row>
    <row r="232" spans="1:28" x14ac:dyDescent="0.25">
      <c r="A232" t="s">
        <v>236</v>
      </c>
      <c r="B232">
        <v>0.99904790336628502</v>
      </c>
      <c r="C232">
        <v>0.96518448279826996</v>
      </c>
      <c r="D232">
        <v>0.92201871407841696</v>
      </c>
      <c r="E232">
        <v>0.92031408972964002</v>
      </c>
      <c r="F232">
        <v>1.00181364063362</v>
      </c>
      <c r="G232">
        <v>0.82840515743864396</v>
      </c>
      <c r="H232">
        <v>0.63180819104757102</v>
      </c>
      <c r="I232">
        <v>0.50368660982285596</v>
      </c>
      <c r="J232">
        <v>0.454222181472964</v>
      </c>
      <c r="K232">
        <v>0.34692779040871602</v>
      </c>
      <c r="L232">
        <v>1004.4656314621</v>
      </c>
      <c r="M232">
        <v>16.468703287523699</v>
      </c>
      <c r="N232">
        <v>64.362795837368907</v>
      </c>
      <c r="O232">
        <v>60.114371552123899</v>
      </c>
      <c r="P232">
        <v>-4.8704301064936797E-2</v>
      </c>
      <c r="Q232">
        <v>0.28892444104248</v>
      </c>
      <c r="R232">
        <v>0.97260241520998503</v>
      </c>
      <c r="S232" t="s">
        <v>4972</v>
      </c>
      <c r="T232" t="s">
        <v>9478</v>
      </c>
      <c r="U232" t="s">
        <v>9478</v>
      </c>
      <c r="V232" t="s">
        <v>9478</v>
      </c>
      <c r="W232">
        <v>4</v>
      </c>
      <c r="X232" t="s">
        <v>9710</v>
      </c>
      <c r="Y232">
        <v>0.78948519917759941</v>
      </c>
      <c r="Z232" t="str">
        <f>HYPERLINK("Melting_Curves/meltCurve_sp_O60234_GMFG_HUMAN_.pdf", "Melting_Curves/meltCurve_sp_O60234_GMFG_HUMAN_.pdf")</f>
        <v>Melting_Curves/meltCurve_sp_O60234_GMFG_HUMAN_.pdf</v>
      </c>
      <c r="AA232" t="s">
        <v>14445</v>
      </c>
      <c r="AB232" t="s">
        <v>19067</v>
      </c>
    </row>
    <row r="233" spans="1:28" x14ac:dyDescent="0.25">
      <c r="A233" t="s">
        <v>237</v>
      </c>
      <c r="B233">
        <v>0.99904790336628502</v>
      </c>
      <c r="C233">
        <v>0.90551110062612294</v>
      </c>
      <c r="D233">
        <v>0.96720679831645695</v>
      </c>
      <c r="E233">
        <v>0.830689579628618</v>
      </c>
      <c r="F233">
        <v>0.86132166092333695</v>
      </c>
      <c r="G233">
        <v>0.54003793343613504</v>
      </c>
      <c r="H233">
        <v>0.63688593455241704</v>
      </c>
      <c r="I233">
        <v>0.566335486670694</v>
      </c>
      <c r="J233">
        <v>0.82528531106514103</v>
      </c>
      <c r="K233">
        <v>0.65615793576757597</v>
      </c>
      <c r="L233">
        <v>1142.9989877803</v>
      </c>
      <c r="M233">
        <v>22.374709674004698</v>
      </c>
      <c r="O233">
        <v>50.681592129987898</v>
      </c>
      <c r="P233">
        <v>-3.8679082361197402E-2</v>
      </c>
      <c r="Q233">
        <v>0.64955485111768396</v>
      </c>
      <c r="R233">
        <v>0.68560764960710097</v>
      </c>
      <c r="S233" t="s">
        <v>4973</v>
      </c>
      <c r="T233" t="s">
        <v>9478</v>
      </c>
      <c r="U233" t="s">
        <v>9478</v>
      </c>
      <c r="V233" t="s">
        <v>9478</v>
      </c>
      <c r="W233">
        <v>3</v>
      </c>
      <c r="X233" t="s">
        <v>9711</v>
      </c>
      <c r="Y233">
        <v>0.7829694217208093</v>
      </c>
      <c r="Z233" t="str">
        <f>HYPERLINK("Melting_Curves/meltCurve_sp_O60240_PLIN1_HUMAN_.pdf", "Melting_Curves/meltCurve_sp_O60240_PLIN1_HUMAN_.pdf")</f>
        <v>Melting_Curves/meltCurve_sp_O60240_PLIN1_HUMAN_.pdf</v>
      </c>
      <c r="AA233" t="s">
        <v>14446</v>
      </c>
      <c r="AB233" t="s">
        <v>19068</v>
      </c>
    </row>
    <row r="234" spans="1:28" x14ac:dyDescent="0.25">
      <c r="A234" t="s">
        <v>238</v>
      </c>
      <c r="B234">
        <v>0.99904790336628502</v>
      </c>
      <c r="C234">
        <v>1.00920713281288</v>
      </c>
      <c r="D234">
        <v>1.0152006273401899</v>
      </c>
      <c r="E234">
        <v>0.94860441475337698</v>
      </c>
      <c r="F234">
        <v>0.871789952643372</v>
      </c>
      <c r="G234">
        <v>0.52092914973440496</v>
      </c>
      <c r="H234">
        <v>0.17366427282249799</v>
      </c>
      <c r="I234">
        <v>9.8157375968793703E-2</v>
      </c>
      <c r="J234">
        <v>7.3514288261757502E-2</v>
      </c>
      <c r="K234">
        <v>5.7114340710165801E-2</v>
      </c>
      <c r="L234">
        <v>1467.2841679968001</v>
      </c>
      <c r="M234">
        <v>25.800191084797898</v>
      </c>
      <c r="N234">
        <v>57.092628941282101</v>
      </c>
      <c r="O234">
        <v>56.532694342012199</v>
      </c>
      <c r="P234">
        <v>-0.10866000332748101</v>
      </c>
      <c r="Q234">
        <v>4.7639633215128603E-2</v>
      </c>
      <c r="R234">
        <v>0.99916637119622098</v>
      </c>
      <c r="S234" t="s">
        <v>4974</v>
      </c>
      <c r="T234" t="s">
        <v>9478</v>
      </c>
      <c r="U234" t="s">
        <v>9478</v>
      </c>
      <c r="V234" t="s">
        <v>9478</v>
      </c>
      <c r="W234">
        <v>8</v>
      </c>
      <c r="X234" t="s">
        <v>9712</v>
      </c>
      <c r="Y234">
        <v>0.59140535999475174</v>
      </c>
      <c r="Z234" t="str">
        <f>HYPERLINK("Melting_Curves/meltCurve_sp_O60256_KPRB_HUMAN_.pdf", "Melting_Curves/meltCurve_sp_O60256_KPRB_HUMAN_.pdf")</f>
        <v>Melting_Curves/meltCurve_sp_O60256_KPRB_HUMAN_.pdf</v>
      </c>
      <c r="AA234" t="s">
        <v>14447</v>
      </c>
      <c r="AB234" t="s">
        <v>19069</v>
      </c>
    </row>
    <row r="235" spans="1:28" x14ac:dyDescent="0.25">
      <c r="A235" t="s">
        <v>239</v>
      </c>
      <c r="B235">
        <v>0.99904790336628502</v>
      </c>
      <c r="C235">
        <v>1.4359397259239299</v>
      </c>
      <c r="D235">
        <v>1.5110224482500101</v>
      </c>
      <c r="E235">
        <v>1.6517300657037599</v>
      </c>
      <c r="F235">
        <v>2.2615236758249901</v>
      </c>
      <c r="G235">
        <v>1.4059534276463701</v>
      </c>
      <c r="H235">
        <v>0.93456414617685102</v>
      </c>
      <c r="I235">
        <v>0.79736045117868404</v>
      </c>
      <c r="J235">
        <v>0.31326323240732201</v>
      </c>
      <c r="K235">
        <v>9.3008578097890093E-2</v>
      </c>
      <c r="L235">
        <v>3149.1015259249298</v>
      </c>
      <c r="M235">
        <v>47.930163093505797</v>
      </c>
      <c r="N235">
        <v>65.829721814024296</v>
      </c>
      <c r="O235">
        <v>65.587806784135694</v>
      </c>
      <c r="P235">
        <v>-0.17457553412541199</v>
      </c>
      <c r="Q235">
        <v>4.44418255111255E-2</v>
      </c>
      <c r="R235">
        <v>0.30207125068353202</v>
      </c>
      <c r="S235" t="s">
        <v>4975</v>
      </c>
      <c r="T235" t="s">
        <v>9478</v>
      </c>
      <c r="U235" t="s">
        <v>9478</v>
      </c>
      <c r="V235" t="s">
        <v>9478</v>
      </c>
      <c r="W235">
        <v>3</v>
      </c>
      <c r="X235" t="s">
        <v>9713</v>
      </c>
      <c r="Y235">
        <v>0.86344267878568415</v>
      </c>
      <c r="Z235" t="str">
        <f>HYPERLINK("Melting_Curves/meltCurve_sp_O60260_5_PRKN2_HUMAN_.pdf", "Melting_Curves/meltCurve_sp_O60260_5_PRKN2_HUMAN_.pdf")</f>
        <v>Melting_Curves/meltCurve_sp_O60260_5_PRKN2_HUMAN_.pdf</v>
      </c>
      <c r="AA235" t="s">
        <v>14448</v>
      </c>
      <c r="AB235" t="s">
        <v>19070</v>
      </c>
    </row>
    <row r="236" spans="1:28" x14ac:dyDescent="0.25">
      <c r="A236" t="s">
        <v>240</v>
      </c>
      <c r="B236">
        <v>0.99904790336628502</v>
      </c>
      <c r="C236">
        <v>0.96972920898785797</v>
      </c>
      <c r="D236">
        <v>0.86939825531767401</v>
      </c>
      <c r="E236">
        <v>0.67205286898446603</v>
      </c>
      <c r="F236">
        <v>0.51144924288585103</v>
      </c>
      <c r="G236">
        <v>0.45511002155472102</v>
      </c>
      <c r="H236">
        <v>0.39605640029533801</v>
      </c>
      <c r="I236">
        <v>0.439380677696248</v>
      </c>
      <c r="J236">
        <v>0.38446634392172202</v>
      </c>
      <c r="K236">
        <v>0.45040231539985598</v>
      </c>
      <c r="L236">
        <v>979.288462392013</v>
      </c>
      <c r="M236">
        <v>19.9275856154715</v>
      </c>
      <c r="N236">
        <v>53.8650291028735</v>
      </c>
      <c r="O236">
        <v>48.655506070903101</v>
      </c>
      <c r="P236">
        <v>-6.0119257160170698E-2</v>
      </c>
      <c r="Q236">
        <v>0.41286691192650898</v>
      </c>
      <c r="R236">
        <v>0.99230852206315501</v>
      </c>
      <c r="S236" t="s">
        <v>4976</v>
      </c>
      <c r="T236" t="s">
        <v>9478</v>
      </c>
      <c r="U236" t="s">
        <v>9478</v>
      </c>
      <c r="V236" t="s">
        <v>9478</v>
      </c>
      <c r="W236">
        <v>4</v>
      </c>
      <c r="X236" t="s">
        <v>9714</v>
      </c>
      <c r="Y236">
        <v>0.60006738923359371</v>
      </c>
      <c r="Z236" t="str">
        <f>HYPERLINK("Melting_Curves/meltCurve_sp_O60264_SMCA5_HUMAN_.pdf", "Melting_Curves/meltCurve_sp_O60264_SMCA5_HUMAN_.pdf")</f>
        <v>Melting_Curves/meltCurve_sp_O60264_SMCA5_HUMAN_.pdf</v>
      </c>
      <c r="AA236" t="s">
        <v>14449</v>
      </c>
      <c r="AB236" t="s">
        <v>19071</v>
      </c>
    </row>
    <row r="237" spans="1:28" x14ac:dyDescent="0.25">
      <c r="A237" t="s">
        <v>241</v>
      </c>
      <c r="B237">
        <v>0.99904790336628502</v>
      </c>
      <c r="C237">
        <v>1.0478486115841501</v>
      </c>
      <c r="D237">
        <v>1.05417233963142</v>
      </c>
      <c r="E237">
        <v>0.97431817743127203</v>
      </c>
      <c r="F237">
        <v>0.89652270009731005</v>
      </c>
      <c r="G237">
        <v>0.629149455067187</v>
      </c>
      <c r="H237">
        <v>0.46802799590682798</v>
      </c>
      <c r="I237">
        <v>0.42076733336150601</v>
      </c>
      <c r="J237">
        <v>0.33713443849105101</v>
      </c>
      <c r="K237">
        <v>0.290977927914567</v>
      </c>
      <c r="L237">
        <v>1146.84418274277</v>
      </c>
      <c r="M237">
        <v>20.068278700621601</v>
      </c>
      <c r="N237">
        <v>59.971256655311201</v>
      </c>
      <c r="O237">
        <v>56.588743755227497</v>
      </c>
      <c r="P237">
        <v>-6.1560126569598597E-2</v>
      </c>
      <c r="Q237">
        <v>0.30567072754678898</v>
      </c>
      <c r="R237">
        <v>0.98835021630949704</v>
      </c>
      <c r="S237" t="s">
        <v>4977</v>
      </c>
      <c r="T237" t="s">
        <v>9478</v>
      </c>
      <c r="U237" t="s">
        <v>9478</v>
      </c>
      <c r="V237" t="s">
        <v>9478</v>
      </c>
      <c r="W237">
        <v>28</v>
      </c>
      <c r="X237" t="s">
        <v>9715</v>
      </c>
      <c r="Y237">
        <v>0.71091485481847605</v>
      </c>
      <c r="Z237" t="str">
        <f>HYPERLINK("Melting_Curves/meltCurve_sp_O60271_4_JIP4_HUMAN_.pdf", "Melting_Curves/meltCurve_sp_O60271_4_JIP4_HUMAN_.pdf")</f>
        <v>Melting_Curves/meltCurve_sp_O60271_4_JIP4_HUMAN_.pdf</v>
      </c>
      <c r="AA237" t="s">
        <v>14450</v>
      </c>
      <c r="AB237" t="s">
        <v>19072</v>
      </c>
    </row>
    <row r="238" spans="1:28" x14ac:dyDescent="0.25">
      <c r="A238" t="s">
        <v>242</v>
      </c>
      <c r="B238">
        <v>0.99904790336628502</v>
      </c>
      <c r="C238">
        <v>0.88342887959814298</v>
      </c>
      <c r="D238">
        <v>0.688176383482903</v>
      </c>
      <c r="E238">
        <v>0.50533159055126597</v>
      </c>
      <c r="F238">
        <v>0.36117412923578701</v>
      </c>
      <c r="G238">
        <v>0.23120590728267501</v>
      </c>
      <c r="H238">
        <v>0.158734287307847</v>
      </c>
      <c r="I238">
        <v>0.119281516340854</v>
      </c>
      <c r="J238">
        <v>0.104462544633289</v>
      </c>
      <c r="K238">
        <v>6.8606518466689997E-2</v>
      </c>
      <c r="L238">
        <v>586.79036795127502</v>
      </c>
      <c r="M238">
        <v>11.853441340465499</v>
      </c>
      <c r="N238">
        <v>50.036147454826498</v>
      </c>
      <c r="O238">
        <v>48.157896695875401</v>
      </c>
      <c r="P238">
        <v>-5.7903479001853997E-2</v>
      </c>
      <c r="Q238">
        <v>5.9242045367253901E-2</v>
      </c>
      <c r="R238">
        <v>0.99510776669905598</v>
      </c>
      <c r="S238" t="s">
        <v>4978</v>
      </c>
      <c r="T238" t="s">
        <v>9478</v>
      </c>
      <c r="U238" t="s">
        <v>9478</v>
      </c>
      <c r="V238" t="s">
        <v>9478</v>
      </c>
      <c r="W238">
        <v>8</v>
      </c>
      <c r="X238" t="s">
        <v>9716</v>
      </c>
      <c r="Y238">
        <v>0.39147264988907959</v>
      </c>
      <c r="Z238" t="str">
        <f>HYPERLINK("Melting_Curves/meltCurve_sp_O60333_2_KIF1B_HUMAN_.pdf", "Melting_Curves/meltCurve_sp_O60333_2_KIF1B_HUMAN_.pdf")</f>
        <v>Melting_Curves/meltCurve_sp_O60333_2_KIF1B_HUMAN_.pdf</v>
      </c>
      <c r="AA238" t="s">
        <v>14451</v>
      </c>
      <c r="AB238" t="s">
        <v>19073</v>
      </c>
    </row>
    <row r="239" spans="1:28" x14ac:dyDescent="0.25">
      <c r="A239" t="s">
        <v>243</v>
      </c>
      <c r="B239">
        <v>0.99904790336628502</v>
      </c>
      <c r="C239">
        <v>0.98658972035568104</v>
      </c>
      <c r="D239">
        <v>0.96384126603730202</v>
      </c>
      <c r="E239">
        <v>0.54038546928891895</v>
      </c>
      <c r="F239">
        <v>0.30226478549216101</v>
      </c>
      <c r="G239">
        <v>9.9148359112878795E-2</v>
      </c>
      <c r="H239">
        <v>3.7319716315967297E-2</v>
      </c>
      <c r="I239">
        <v>2.2170242546215101E-2</v>
      </c>
      <c r="J239">
        <v>2.4617098354588599E-2</v>
      </c>
      <c r="K239">
        <v>1.75457653872183E-2</v>
      </c>
      <c r="L239">
        <v>1181.3718532319599</v>
      </c>
      <c r="M239">
        <v>23.342833750818201</v>
      </c>
      <c r="N239">
        <v>50.708263422544398</v>
      </c>
      <c r="O239">
        <v>50.242575397398298</v>
      </c>
      <c r="P239">
        <v>-0.113574407580257</v>
      </c>
      <c r="Q239">
        <v>2.21975508188645E-2</v>
      </c>
      <c r="R239">
        <v>0.99705350440301999</v>
      </c>
      <c r="S239" t="s">
        <v>4979</v>
      </c>
      <c r="T239" t="s">
        <v>9478</v>
      </c>
      <c r="U239" t="s">
        <v>9478</v>
      </c>
      <c r="V239" t="s">
        <v>9478</v>
      </c>
      <c r="W239">
        <v>11</v>
      </c>
      <c r="X239" t="s">
        <v>9717</v>
      </c>
      <c r="Y239">
        <v>0.3780731640341336</v>
      </c>
      <c r="Z239" t="str">
        <f>HYPERLINK("Melting_Curves/meltCurve_sp_O60341_KDM1A_HUMAN_.pdf", "Melting_Curves/meltCurve_sp_O60341_KDM1A_HUMAN_.pdf")</f>
        <v>Melting_Curves/meltCurve_sp_O60341_KDM1A_HUMAN_.pdf</v>
      </c>
      <c r="AA239" t="s">
        <v>14452</v>
      </c>
      <c r="AB239" t="s">
        <v>19074</v>
      </c>
    </row>
    <row r="240" spans="1:28" x14ac:dyDescent="0.25">
      <c r="A240" t="s">
        <v>244</v>
      </c>
      <c r="B240">
        <v>0.99904790336628502</v>
      </c>
      <c r="C240">
        <v>1.0127827910256599</v>
      </c>
      <c r="D240">
        <v>1.0271294621323099</v>
      </c>
      <c r="E240">
        <v>0.95673110746285495</v>
      </c>
      <c r="F240">
        <v>0.85083657821595804</v>
      </c>
      <c r="G240">
        <v>0.49959209840367502</v>
      </c>
      <c r="H240">
        <v>0.33385081455166699</v>
      </c>
      <c r="I240">
        <v>0.19974463588215399</v>
      </c>
      <c r="J240">
        <v>0.16093499446913401</v>
      </c>
      <c r="K240">
        <v>0.123611555928372</v>
      </c>
      <c r="L240">
        <v>1167.1077015466401</v>
      </c>
      <c r="M240">
        <v>20.581700882233601</v>
      </c>
      <c r="N240">
        <v>57.506642971351901</v>
      </c>
      <c r="O240">
        <v>56.178910080440502</v>
      </c>
      <c r="P240">
        <v>-8.0183497711601701E-2</v>
      </c>
      <c r="Q240">
        <v>0.12456408529813499</v>
      </c>
      <c r="R240">
        <v>0.99594070276166002</v>
      </c>
      <c r="S240" t="s">
        <v>4980</v>
      </c>
      <c r="T240" t="s">
        <v>9478</v>
      </c>
      <c r="U240" t="s">
        <v>9478</v>
      </c>
      <c r="V240" t="s">
        <v>9478</v>
      </c>
      <c r="W240">
        <v>12</v>
      </c>
      <c r="X240" t="s">
        <v>9718</v>
      </c>
      <c r="Y240">
        <v>0.62258200592627122</v>
      </c>
      <c r="Z240" t="str">
        <f>HYPERLINK("Melting_Curves/meltCurve_sp_O60343_2_TBCD4_HUMAN_.pdf", "Melting_Curves/meltCurve_sp_O60343_2_TBCD4_HUMAN_.pdf")</f>
        <v>Melting_Curves/meltCurve_sp_O60343_2_TBCD4_HUMAN_.pdf</v>
      </c>
      <c r="AA240" t="s">
        <v>14453</v>
      </c>
      <c r="AB240" t="s">
        <v>19075</v>
      </c>
    </row>
    <row r="241" spans="1:28" x14ac:dyDescent="0.25">
      <c r="A241" t="s">
        <v>245</v>
      </c>
      <c r="B241">
        <v>0.99904790336628502</v>
      </c>
      <c r="C241">
        <v>1.09476768526852</v>
      </c>
      <c r="D241">
        <v>1.03545830085336</v>
      </c>
      <c r="E241">
        <v>0.71019713628555703</v>
      </c>
      <c r="F241">
        <v>0.42627663274437899</v>
      </c>
      <c r="G241">
        <v>0.22179788470464101</v>
      </c>
      <c r="H241">
        <v>0.14354232422346599</v>
      </c>
      <c r="I241">
        <v>0.14949711753642</v>
      </c>
      <c r="J241">
        <v>0.10739697637251699</v>
      </c>
      <c r="K241">
        <v>0.12575805129134501</v>
      </c>
      <c r="L241">
        <v>1368.9402008955601</v>
      </c>
      <c r="M241">
        <v>26.530315372653199</v>
      </c>
      <c r="N241">
        <v>52.199776234368997</v>
      </c>
      <c r="O241">
        <v>51.30861727464</v>
      </c>
      <c r="P241">
        <v>-0.112264675705947</v>
      </c>
      <c r="Q241">
        <v>0.131547054719406</v>
      </c>
      <c r="R241">
        <v>0.98917359596027998</v>
      </c>
      <c r="S241" t="s">
        <v>4981</v>
      </c>
      <c r="T241" t="s">
        <v>9478</v>
      </c>
      <c r="U241" t="s">
        <v>9478</v>
      </c>
      <c r="V241" t="s">
        <v>9478</v>
      </c>
      <c r="W241">
        <v>1</v>
      </c>
      <c r="X241" t="s">
        <v>9719</v>
      </c>
      <c r="Y241">
        <v>0.47435378835577169</v>
      </c>
      <c r="Z241" t="str">
        <f>HYPERLINK("Melting_Curves/meltCurve_sp_O60344_4_ECE2_HUMAN_.pdf", "Melting_Curves/meltCurve_sp_O60344_4_ECE2_HUMAN_.pdf")</f>
        <v>Melting_Curves/meltCurve_sp_O60344_4_ECE2_HUMAN_.pdf</v>
      </c>
      <c r="AA241" t="s">
        <v>14454</v>
      </c>
      <c r="AB241" t="s">
        <v>19076</v>
      </c>
    </row>
    <row r="242" spans="1:28" x14ac:dyDescent="0.25">
      <c r="A242" t="s">
        <v>246</v>
      </c>
      <c r="B242">
        <v>0.99904790336628502</v>
      </c>
      <c r="C242">
        <v>1.0420746674790999</v>
      </c>
      <c r="D242">
        <v>1.0446964497182301</v>
      </c>
      <c r="E242">
        <v>0.84375065745056399</v>
      </c>
      <c r="F242">
        <v>0.69513413118943201</v>
      </c>
      <c r="G242">
        <v>0.48138042163825301</v>
      </c>
      <c r="H242">
        <v>0.41323472743311901</v>
      </c>
      <c r="I242">
        <v>0.420144119845063</v>
      </c>
      <c r="J242">
        <v>0.41072628121432497</v>
      </c>
      <c r="K242">
        <v>0.34483396640777603</v>
      </c>
      <c r="L242">
        <v>1223.8809041392001</v>
      </c>
      <c r="M242">
        <v>23.141395540441899</v>
      </c>
      <c r="N242">
        <v>56.4936322100449</v>
      </c>
      <c r="O242">
        <v>52.496900969437903</v>
      </c>
      <c r="P242">
        <v>-6.7679647264918E-2</v>
      </c>
      <c r="Q242">
        <v>0.385878555463536</v>
      </c>
      <c r="R242">
        <v>0.98708104006846298</v>
      </c>
      <c r="S242" t="s">
        <v>4982</v>
      </c>
      <c r="T242" t="s">
        <v>9478</v>
      </c>
      <c r="U242" t="s">
        <v>9478</v>
      </c>
      <c r="V242" t="s">
        <v>9478</v>
      </c>
      <c r="W242">
        <v>106</v>
      </c>
      <c r="X242" t="s">
        <v>9720</v>
      </c>
      <c r="Y242">
        <v>0.65620886889030394</v>
      </c>
      <c r="Z242" t="str">
        <f>HYPERLINK("Melting_Curves/meltCurve_sp_O60437_PEPL_HUMAN_.pdf", "Melting_Curves/meltCurve_sp_O60437_PEPL_HUMAN_.pdf")</f>
        <v>Melting_Curves/meltCurve_sp_O60437_PEPL_HUMAN_.pdf</v>
      </c>
      <c r="AA242" t="s">
        <v>14455</v>
      </c>
      <c r="AB242" t="s">
        <v>19077</v>
      </c>
    </row>
    <row r="243" spans="1:28" x14ac:dyDescent="0.25">
      <c r="A243" t="s">
        <v>247</v>
      </c>
      <c r="B243">
        <v>0.99904790336628502</v>
      </c>
      <c r="C243">
        <v>1.04320973780224</v>
      </c>
      <c r="D243">
        <v>1.0293781105897699</v>
      </c>
      <c r="E243">
        <v>0.942136450434644</v>
      </c>
      <c r="F243">
        <v>0.91807331654124802</v>
      </c>
      <c r="G243">
        <v>0.66628941039511302</v>
      </c>
      <c r="H243">
        <v>0.245133135788804</v>
      </c>
      <c r="I243">
        <v>8.9074687678502407E-2</v>
      </c>
      <c r="J243">
        <v>5.5159406352168101E-2</v>
      </c>
      <c r="K243">
        <v>6.8914958412635105E-2</v>
      </c>
      <c r="L243">
        <v>1602.52541208662</v>
      </c>
      <c r="M243">
        <v>27.546379954000901</v>
      </c>
      <c r="N243">
        <v>58.336885783986098</v>
      </c>
      <c r="O243">
        <v>57.871533284556897</v>
      </c>
      <c r="P243">
        <v>-0.114634257237078</v>
      </c>
      <c r="Q243">
        <v>3.66792962277507E-2</v>
      </c>
      <c r="R243">
        <v>0.99615366549475204</v>
      </c>
      <c r="S243" t="s">
        <v>4983</v>
      </c>
      <c r="T243" t="s">
        <v>9478</v>
      </c>
      <c r="U243" t="s">
        <v>9478</v>
      </c>
      <c r="V243" t="s">
        <v>9478</v>
      </c>
      <c r="W243">
        <v>5</v>
      </c>
      <c r="X243" t="s">
        <v>9721</v>
      </c>
      <c r="Y243">
        <v>0.62753551828370113</v>
      </c>
      <c r="Z243" t="str">
        <f>HYPERLINK("Melting_Curves/meltCurve_sp_O60443_DFNA5_HUMAN_.pdf", "Melting_Curves/meltCurve_sp_O60443_DFNA5_HUMAN_.pdf")</f>
        <v>Melting_Curves/meltCurve_sp_O60443_DFNA5_HUMAN_.pdf</v>
      </c>
      <c r="AA243" t="s">
        <v>14456</v>
      </c>
      <c r="AB243" t="s">
        <v>19078</v>
      </c>
    </row>
    <row r="244" spans="1:28" x14ac:dyDescent="0.25">
      <c r="A244" t="s">
        <v>248</v>
      </c>
      <c r="B244">
        <v>0.99904790336628502</v>
      </c>
      <c r="C244">
        <v>1.10087623812687</v>
      </c>
      <c r="D244">
        <v>1.00772480153552</v>
      </c>
      <c r="E244">
        <v>0.86570146321130503</v>
      </c>
      <c r="F244">
        <v>0.60168154712359001</v>
      </c>
      <c r="G244">
        <v>0.50616093836222598</v>
      </c>
      <c r="H244">
        <v>0.41143204795516902</v>
      </c>
      <c r="I244">
        <v>0.44734547371316702</v>
      </c>
      <c r="J244">
        <v>0.23887104649895699</v>
      </c>
      <c r="K244">
        <v>6.8870629921263096E-2</v>
      </c>
      <c r="L244">
        <v>559.460893837306</v>
      </c>
      <c r="M244">
        <v>9.5891792630618493</v>
      </c>
      <c r="N244">
        <v>58.342937854070001</v>
      </c>
      <c r="O244">
        <v>55.974868890642099</v>
      </c>
      <c r="P244">
        <v>-4.2852503910303201E-2</v>
      </c>
      <c r="Q244">
        <v>0</v>
      </c>
      <c r="R244">
        <v>0.93364131223639202</v>
      </c>
      <c r="S244" t="s">
        <v>4984</v>
      </c>
      <c r="T244" t="s">
        <v>9478</v>
      </c>
      <c r="U244" t="s">
        <v>9478</v>
      </c>
      <c r="V244" t="s">
        <v>9478</v>
      </c>
      <c r="W244">
        <v>3</v>
      </c>
      <c r="X244" t="s">
        <v>9722</v>
      </c>
      <c r="Y244">
        <v>0.61807178285560915</v>
      </c>
      <c r="Z244" t="str">
        <f>HYPERLINK("Melting_Curves/meltCurve_sp_O60447_EVI5_HUMAN_.pdf", "Melting_Curves/meltCurve_sp_O60447_EVI5_HUMAN_.pdf")</f>
        <v>Melting_Curves/meltCurve_sp_O60447_EVI5_HUMAN_.pdf</v>
      </c>
      <c r="AA244" t="s">
        <v>14457</v>
      </c>
      <c r="AB244" t="s">
        <v>19079</v>
      </c>
    </row>
    <row r="245" spans="1:28" x14ac:dyDescent="0.25">
      <c r="A245" t="s">
        <v>249</v>
      </c>
      <c r="B245">
        <v>0.99904790336628502</v>
      </c>
      <c r="C245">
        <v>0.96885522886508502</v>
      </c>
      <c r="D245">
        <v>0.887523652945716</v>
      </c>
      <c r="E245">
        <v>0.66236426445946495</v>
      </c>
      <c r="F245">
        <v>0.40779762950610499</v>
      </c>
      <c r="G245">
        <v>0.225650300933804</v>
      </c>
      <c r="H245">
        <v>0.13587729372048499</v>
      </c>
      <c r="I245">
        <v>0.114573952642782</v>
      </c>
      <c r="J245">
        <v>0.11847823939358</v>
      </c>
      <c r="K245">
        <v>0.113837042361462</v>
      </c>
      <c r="L245">
        <v>937.69838314344804</v>
      </c>
      <c r="M245">
        <v>18.306348343514198</v>
      </c>
      <c r="N245">
        <v>51.852458689616299</v>
      </c>
      <c r="O245">
        <v>50.623080403624002</v>
      </c>
      <c r="P245">
        <v>-8.1396433932297105E-2</v>
      </c>
      <c r="Q245">
        <v>9.9689806027852504E-2</v>
      </c>
      <c r="R245">
        <v>0.99944142363236599</v>
      </c>
      <c r="S245" t="s">
        <v>4985</v>
      </c>
      <c r="T245" t="s">
        <v>9478</v>
      </c>
      <c r="U245" t="s">
        <v>9478</v>
      </c>
      <c r="V245" t="s">
        <v>9478</v>
      </c>
      <c r="W245">
        <v>9</v>
      </c>
      <c r="X245" t="s">
        <v>9723</v>
      </c>
      <c r="Y245">
        <v>0.45116344805917052</v>
      </c>
      <c r="Z245" t="str">
        <f>HYPERLINK("Melting_Curves/meltCurve_sp_O60493_SNX3_HUMAN_.pdf", "Melting_Curves/meltCurve_sp_O60493_SNX3_HUMAN_.pdf")</f>
        <v>Melting_Curves/meltCurve_sp_O60493_SNX3_HUMAN_.pdf</v>
      </c>
      <c r="AA245" t="s">
        <v>14458</v>
      </c>
      <c r="AB245" t="s">
        <v>19080</v>
      </c>
    </row>
    <row r="246" spans="1:28" x14ac:dyDescent="0.25">
      <c r="A246" t="s">
        <v>250</v>
      </c>
      <c r="B246">
        <v>0.99904790336628502</v>
      </c>
      <c r="C246">
        <v>0.96340071877352396</v>
      </c>
      <c r="D246">
        <v>0.90041214050848095</v>
      </c>
      <c r="E246">
        <v>0.87241632455365703</v>
      </c>
      <c r="F246">
        <v>0.85390292184102101</v>
      </c>
      <c r="G246">
        <v>0.59559367887387005</v>
      </c>
      <c r="H246">
        <v>0.376823992726188</v>
      </c>
      <c r="I246">
        <v>0.24607999894593</v>
      </c>
      <c r="J246">
        <v>0.17083774353212899</v>
      </c>
      <c r="K246">
        <v>0.147368111637011</v>
      </c>
      <c r="L246">
        <v>763.95973684618502</v>
      </c>
      <c r="M246">
        <v>13.0612027055071</v>
      </c>
      <c r="N246">
        <v>58.711878034870701</v>
      </c>
      <c r="O246">
        <v>57.170610477073701</v>
      </c>
      <c r="P246">
        <v>-5.5753959726590897E-2</v>
      </c>
      <c r="Q246">
        <v>2.39996027195012E-2</v>
      </c>
      <c r="R246">
        <v>0.98996231463441797</v>
      </c>
      <c r="S246" t="s">
        <v>4986</v>
      </c>
      <c r="T246" t="s">
        <v>9478</v>
      </c>
      <c r="U246" t="s">
        <v>9478</v>
      </c>
      <c r="V246" t="s">
        <v>9478</v>
      </c>
      <c r="W246">
        <v>16</v>
      </c>
      <c r="X246" t="s">
        <v>9724</v>
      </c>
      <c r="Y246">
        <v>0.63669197289905333</v>
      </c>
      <c r="Z246" t="str">
        <f>HYPERLINK("Melting_Curves/meltCurve_sp_O60504_VINEX_HUMAN_.pdf", "Melting_Curves/meltCurve_sp_O60504_VINEX_HUMAN_.pdf")</f>
        <v>Melting_Curves/meltCurve_sp_O60504_VINEX_HUMAN_.pdf</v>
      </c>
      <c r="AA246" t="s">
        <v>14459</v>
      </c>
      <c r="AB246" t="s">
        <v>19081</v>
      </c>
    </row>
    <row r="247" spans="1:28" x14ac:dyDescent="0.25">
      <c r="A247" t="s">
        <v>251</v>
      </c>
      <c r="B247">
        <v>0.99904790336628502</v>
      </c>
      <c r="C247">
        <v>1.0645646357715</v>
      </c>
      <c r="D247">
        <v>1.08631195943466</v>
      </c>
      <c r="E247">
        <v>1.0208440888452099</v>
      </c>
      <c r="F247">
        <v>0.83197594314496204</v>
      </c>
      <c r="G247">
        <v>0.32587866590328102</v>
      </c>
      <c r="H247">
        <v>0.108899751559839</v>
      </c>
      <c r="I247">
        <v>6.64744691290024E-2</v>
      </c>
      <c r="J247">
        <v>5.7469559174574199E-2</v>
      </c>
      <c r="K247">
        <v>4.6103452074821798E-2</v>
      </c>
      <c r="L247">
        <v>1909.3395057963701</v>
      </c>
      <c r="M247">
        <v>34.413697383062001</v>
      </c>
      <c r="N247">
        <v>55.674684500716403</v>
      </c>
      <c r="O247">
        <v>55.295628810520299</v>
      </c>
      <c r="P247">
        <v>-0.146852724775103</v>
      </c>
      <c r="Q247">
        <v>5.6156992570491497E-2</v>
      </c>
      <c r="R247">
        <v>0.99313740719972499</v>
      </c>
      <c r="S247" t="s">
        <v>4987</v>
      </c>
      <c r="T247" t="s">
        <v>9478</v>
      </c>
      <c r="U247" t="s">
        <v>9478</v>
      </c>
      <c r="V247" t="s">
        <v>9478</v>
      </c>
      <c r="W247">
        <v>20</v>
      </c>
      <c r="X247" t="s">
        <v>9725</v>
      </c>
      <c r="Y247">
        <v>0.54807941552130524</v>
      </c>
      <c r="Z247" t="str">
        <f>HYPERLINK("Melting_Curves/meltCurve_sp_O60506_3_HNRPQ_HUMAN_.pdf", "Melting_Curves/meltCurve_sp_O60506_3_HNRPQ_HUMAN_.pdf")</f>
        <v>Melting_Curves/meltCurve_sp_O60506_3_HNRPQ_HUMAN_.pdf</v>
      </c>
      <c r="AA247" t="s">
        <v>14460</v>
      </c>
      <c r="AB247" t="s">
        <v>19082</v>
      </c>
    </row>
    <row r="248" spans="1:28" x14ac:dyDescent="0.25">
      <c r="A248" t="s">
        <v>252</v>
      </c>
      <c r="B248">
        <v>0.99904790336628502</v>
      </c>
      <c r="C248">
        <v>0.99136680397355603</v>
      </c>
      <c r="D248">
        <v>1.06712122513156</v>
      </c>
      <c r="E248">
        <v>0.80312043324914295</v>
      </c>
      <c r="F248">
        <v>0.409671237382215</v>
      </c>
      <c r="G248">
        <v>0.14475252676883801</v>
      </c>
      <c r="H248">
        <v>6.7443799563055698E-2</v>
      </c>
      <c r="I248">
        <v>4.07324894711815E-2</v>
      </c>
      <c r="J248">
        <v>1.88901836076188E-2</v>
      </c>
      <c r="K248">
        <v>1.53260136399754E-2</v>
      </c>
      <c r="L248">
        <v>1555.9429472294401</v>
      </c>
      <c r="M248">
        <v>29.748653880165701</v>
      </c>
      <c r="N248">
        <v>52.434735658596203</v>
      </c>
      <c r="O248">
        <v>52.068337483128097</v>
      </c>
      <c r="P248">
        <v>-0.137691347629044</v>
      </c>
      <c r="Q248">
        <v>3.6015453522952899E-2</v>
      </c>
      <c r="R248">
        <v>0.99502927738959002</v>
      </c>
      <c r="S248" t="s">
        <v>4988</v>
      </c>
      <c r="T248" t="s">
        <v>9478</v>
      </c>
      <c r="U248" t="s">
        <v>9478</v>
      </c>
      <c r="V248" t="s">
        <v>9478</v>
      </c>
      <c r="W248">
        <v>9</v>
      </c>
      <c r="X248" t="s">
        <v>9726</v>
      </c>
      <c r="Y248">
        <v>0.43763625729392908</v>
      </c>
      <c r="Z248" t="str">
        <f>HYPERLINK("Melting_Curves/meltCurve_sp_O60518_RNBP6_HUMAN_.pdf", "Melting_Curves/meltCurve_sp_O60518_RNBP6_HUMAN_.pdf")</f>
        <v>Melting_Curves/meltCurve_sp_O60518_RNBP6_HUMAN_.pdf</v>
      </c>
      <c r="AA248" t="s">
        <v>14461</v>
      </c>
      <c r="AB248" t="s">
        <v>19083</v>
      </c>
    </row>
    <row r="249" spans="1:28" x14ac:dyDescent="0.25">
      <c r="A249" t="s">
        <v>253</v>
      </c>
      <c r="B249">
        <v>0.99904790336628502</v>
      </c>
      <c r="C249">
        <v>0.81465551121600299</v>
      </c>
      <c r="D249">
        <v>0.80940424642404096</v>
      </c>
      <c r="E249">
        <v>0.49286043258298301</v>
      </c>
      <c r="F249">
        <v>0.178858229048935</v>
      </c>
      <c r="G249">
        <v>8.1382029741161196E-2</v>
      </c>
      <c r="H249">
        <v>4.7442859645390599E-2</v>
      </c>
      <c r="I249">
        <v>3.4856067305807398E-2</v>
      </c>
      <c r="J249">
        <v>2.85404874614037E-2</v>
      </c>
      <c r="K249">
        <v>2.0223915509450199E-2</v>
      </c>
      <c r="L249">
        <v>841.60279169812998</v>
      </c>
      <c r="M249">
        <v>17.075640513068901</v>
      </c>
      <c r="N249">
        <v>49.326817093253403</v>
      </c>
      <c r="O249">
        <v>48.625672513263098</v>
      </c>
      <c r="P249">
        <v>-8.71918554508673E-2</v>
      </c>
      <c r="Q249">
        <v>6.88817916804436E-3</v>
      </c>
      <c r="R249">
        <v>0.98491399025624704</v>
      </c>
      <c r="S249" t="s">
        <v>4989</v>
      </c>
      <c r="T249" t="s">
        <v>9478</v>
      </c>
      <c r="U249" t="s">
        <v>9478</v>
      </c>
      <c r="V249" t="s">
        <v>9478</v>
      </c>
      <c r="W249">
        <v>11</v>
      </c>
      <c r="X249" t="s">
        <v>9727</v>
      </c>
      <c r="Y249">
        <v>0.33328441618120802</v>
      </c>
      <c r="Z249" t="str">
        <f>HYPERLINK("Melting_Curves/meltCurve_sp_O60547_2_GMDS_HUMAN_.pdf", "Melting_Curves/meltCurve_sp_O60547_2_GMDS_HUMAN_.pdf")</f>
        <v>Melting_Curves/meltCurve_sp_O60547_2_GMDS_HUMAN_.pdf</v>
      </c>
      <c r="AA249" t="s">
        <v>14462</v>
      </c>
      <c r="AB249" t="s">
        <v>19084</v>
      </c>
    </row>
    <row r="250" spans="1:28" x14ac:dyDescent="0.25">
      <c r="A250" t="s">
        <v>254</v>
      </c>
      <c r="B250">
        <v>0.99904790336628502</v>
      </c>
      <c r="C250">
        <v>0.82163412153962501</v>
      </c>
      <c r="D250">
        <v>0.76268105122531205</v>
      </c>
      <c r="E250">
        <v>0.67068583597726505</v>
      </c>
      <c r="F250">
        <v>0.66404173394014598</v>
      </c>
      <c r="G250">
        <v>0.53394399955733995</v>
      </c>
      <c r="H250">
        <v>0.470550910651928</v>
      </c>
      <c r="I250">
        <v>0.49343389410157601</v>
      </c>
      <c r="J250">
        <v>0.397278541146593</v>
      </c>
      <c r="K250">
        <v>0.41997881353540001</v>
      </c>
      <c r="L250">
        <v>382.76136243781701</v>
      </c>
      <c r="M250">
        <v>7.5613157781167297</v>
      </c>
      <c r="N250">
        <v>59.796317390853801</v>
      </c>
      <c r="O250">
        <v>47.4438525087158</v>
      </c>
      <c r="P250">
        <v>-2.6202007639691299E-2</v>
      </c>
      <c r="Q250">
        <v>0.34329294164666402</v>
      </c>
      <c r="R250">
        <v>0.95888478964292101</v>
      </c>
      <c r="S250" t="s">
        <v>4990</v>
      </c>
      <c r="T250" t="s">
        <v>9478</v>
      </c>
      <c r="U250" t="s">
        <v>9478</v>
      </c>
      <c r="V250" t="s">
        <v>9478</v>
      </c>
      <c r="W250">
        <v>5</v>
      </c>
      <c r="X250" t="s">
        <v>9728</v>
      </c>
      <c r="Y250">
        <v>0.61457309404896432</v>
      </c>
      <c r="Z250" t="str">
        <f>HYPERLINK("Melting_Curves/meltCurve_sp_O60551_NMT2_HUMAN_.pdf", "Melting_Curves/meltCurve_sp_O60551_NMT2_HUMAN_.pdf")</f>
        <v>Melting_Curves/meltCurve_sp_O60551_NMT2_HUMAN_.pdf</v>
      </c>
      <c r="AA250" t="s">
        <v>14463</v>
      </c>
      <c r="AB250" t="s">
        <v>19085</v>
      </c>
    </row>
    <row r="251" spans="1:28" x14ac:dyDescent="0.25">
      <c r="A251" t="s">
        <v>255</v>
      </c>
      <c r="B251">
        <v>0.99904790336628502</v>
      </c>
      <c r="C251">
        <v>0.95200936482205301</v>
      </c>
      <c r="D251">
        <v>1.0306014735607301</v>
      </c>
      <c r="E251">
        <v>0.82658927752254197</v>
      </c>
      <c r="F251">
        <v>0.48058739598255601</v>
      </c>
      <c r="G251">
        <v>0.154679220620005</v>
      </c>
      <c r="H251">
        <v>9.2171312825629695E-2</v>
      </c>
      <c r="I251">
        <v>8.13655058345754E-2</v>
      </c>
      <c r="J251">
        <v>5.58793294638864E-2</v>
      </c>
      <c r="K251">
        <v>4.9871291954059399E-2</v>
      </c>
      <c r="L251">
        <v>1532.35679917998</v>
      </c>
      <c r="M251">
        <v>29.1290155533536</v>
      </c>
      <c r="N251">
        <v>52.853399100368897</v>
      </c>
      <c r="O251">
        <v>52.359790427894502</v>
      </c>
      <c r="P251">
        <v>-0.13021303158700601</v>
      </c>
      <c r="Q251">
        <v>6.3768242912631098E-2</v>
      </c>
      <c r="R251">
        <v>0.99716672459184996</v>
      </c>
      <c r="S251" t="s">
        <v>4991</v>
      </c>
      <c r="T251" t="s">
        <v>9478</v>
      </c>
      <c r="U251" t="s">
        <v>9478</v>
      </c>
      <c r="V251" t="s">
        <v>9478</v>
      </c>
      <c r="W251">
        <v>4</v>
      </c>
      <c r="X251" t="s">
        <v>9729</v>
      </c>
      <c r="Y251">
        <v>0.46356530009060493</v>
      </c>
      <c r="Z251" t="str">
        <f>HYPERLINK("Melting_Curves/meltCurve_sp_O60568_PLOD3_HUMAN_.pdf", "Melting_Curves/meltCurve_sp_O60568_PLOD3_HUMAN_.pdf")</f>
        <v>Melting_Curves/meltCurve_sp_O60568_PLOD3_HUMAN_.pdf</v>
      </c>
      <c r="AA251" t="s">
        <v>14464</v>
      </c>
      <c r="AB251" t="s">
        <v>19086</v>
      </c>
    </row>
    <row r="252" spans="1:28" x14ac:dyDescent="0.25">
      <c r="A252" t="s">
        <v>256</v>
      </c>
      <c r="B252">
        <v>0.99904790336628502</v>
      </c>
      <c r="C252">
        <v>1.0582433251574399</v>
      </c>
      <c r="D252">
        <v>1.1460738374452399</v>
      </c>
      <c r="E252">
        <v>1.05024274945968</v>
      </c>
      <c r="F252">
        <v>0.70912254162070798</v>
      </c>
      <c r="G252">
        <v>0.28851594147793502</v>
      </c>
      <c r="H252">
        <v>0.25453389695966699</v>
      </c>
      <c r="I252">
        <v>0.25188594553955201</v>
      </c>
      <c r="J252">
        <v>0.25526522115299499</v>
      </c>
      <c r="K252">
        <v>0.234805040598492</v>
      </c>
      <c r="L252">
        <v>13273.375585804701</v>
      </c>
      <c r="M252">
        <v>250</v>
      </c>
      <c r="N252">
        <v>53.2472092645204</v>
      </c>
      <c r="O252">
        <v>53.090107922121099</v>
      </c>
      <c r="P252">
        <v>-0.87469077694183295</v>
      </c>
      <c r="Q252">
        <v>0.25700120182406699</v>
      </c>
      <c r="R252">
        <v>0.98036655827165398</v>
      </c>
      <c r="S252" t="s">
        <v>4992</v>
      </c>
      <c r="T252" t="s">
        <v>9478</v>
      </c>
      <c r="U252" t="s">
        <v>9478</v>
      </c>
      <c r="V252" t="s">
        <v>9478</v>
      </c>
      <c r="W252">
        <v>5</v>
      </c>
      <c r="X252" t="s">
        <v>9730</v>
      </c>
      <c r="Y252">
        <v>0.58135231666442322</v>
      </c>
      <c r="Z252" t="str">
        <f>HYPERLINK("Melting_Curves/meltCurve_sp_O60613_SEP15_HUMAN_.pdf", "Melting_Curves/meltCurve_sp_O60613_SEP15_HUMAN_.pdf")</f>
        <v>Melting_Curves/meltCurve_sp_O60613_SEP15_HUMAN_.pdf</v>
      </c>
      <c r="AA252" t="s">
        <v>14465</v>
      </c>
      <c r="AB252" t="s">
        <v>19087</v>
      </c>
    </row>
    <row r="253" spans="1:28" x14ac:dyDescent="0.25">
      <c r="A253" t="s">
        <v>257</v>
      </c>
      <c r="B253">
        <v>0.99904790336628502</v>
      </c>
      <c r="C253">
        <v>0.99163958719214296</v>
      </c>
      <c r="D253">
        <v>0.92024396183984603</v>
      </c>
      <c r="E253">
        <v>0.43275645213483499</v>
      </c>
      <c r="F253">
        <v>0.22117097378209799</v>
      </c>
      <c r="G253">
        <v>0.124669213330108</v>
      </c>
      <c r="H253">
        <v>7.4686252957483004E-2</v>
      </c>
      <c r="I253">
        <v>4.4156964649217298E-2</v>
      </c>
      <c r="J253">
        <v>3.8330621301271503E-2</v>
      </c>
      <c r="K253">
        <v>2.0764135262743101E-2</v>
      </c>
      <c r="L253">
        <v>1294.02861178117</v>
      </c>
      <c r="M253">
        <v>26.138898158486601</v>
      </c>
      <c r="N253">
        <v>49.720804137349802</v>
      </c>
      <c r="O253">
        <v>49.218827089544703</v>
      </c>
      <c r="P253">
        <v>-0.125677153332313</v>
      </c>
      <c r="Q253">
        <v>5.3424165905782299E-2</v>
      </c>
      <c r="R253">
        <v>0.99601180602319195</v>
      </c>
      <c r="S253" t="s">
        <v>4993</v>
      </c>
      <c r="T253" t="s">
        <v>9478</v>
      </c>
      <c r="U253" t="s">
        <v>9478</v>
      </c>
      <c r="V253" t="s">
        <v>9478</v>
      </c>
      <c r="W253">
        <v>10</v>
      </c>
      <c r="X253" t="s">
        <v>9731</v>
      </c>
      <c r="Y253">
        <v>0.36104870122230509</v>
      </c>
      <c r="Z253" t="str">
        <f>HYPERLINK("Melting_Curves/meltCurve_sp_O60645_3_EXOC3_HUMAN_.pdf", "Melting_Curves/meltCurve_sp_O60645_3_EXOC3_HUMAN_.pdf")</f>
        <v>Melting_Curves/meltCurve_sp_O60645_3_EXOC3_HUMAN_.pdf</v>
      </c>
      <c r="AA253" t="s">
        <v>14466</v>
      </c>
      <c r="AB253" t="s">
        <v>19088</v>
      </c>
    </row>
    <row r="254" spans="1:28" x14ac:dyDescent="0.25">
      <c r="A254" t="s">
        <v>258</v>
      </c>
      <c r="B254">
        <v>0.99904790336628502</v>
      </c>
      <c r="C254">
        <v>0.97472062340517895</v>
      </c>
      <c r="D254">
        <v>0.92464275383943695</v>
      </c>
      <c r="E254">
        <v>0.87691553568135805</v>
      </c>
      <c r="F254">
        <v>0.86895847344825305</v>
      </c>
      <c r="G254">
        <v>0.60907361549216099</v>
      </c>
      <c r="H254">
        <v>0.48256641673281397</v>
      </c>
      <c r="I254">
        <v>0.40316223661151901</v>
      </c>
      <c r="J254">
        <v>0.36857629847550399</v>
      </c>
      <c r="K254">
        <v>0.36566619437815001</v>
      </c>
      <c r="L254">
        <v>827.61033286773602</v>
      </c>
      <c r="M254">
        <v>14.662834588056199</v>
      </c>
      <c r="N254">
        <v>60.453466305012299</v>
      </c>
      <c r="O254">
        <v>55.424072509673998</v>
      </c>
      <c r="P254">
        <v>-4.5575820303836598E-2</v>
      </c>
      <c r="Q254">
        <v>0.31098774828897202</v>
      </c>
      <c r="R254">
        <v>0.98644198837977104</v>
      </c>
      <c r="S254" t="s">
        <v>4994</v>
      </c>
      <c r="T254" t="s">
        <v>9478</v>
      </c>
      <c r="U254" t="s">
        <v>9478</v>
      </c>
      <c r="V254" t="s">
        <v>9478</v>
      </c>
      <c r="W254">
        <v>14</v>
      </c>
      <c r="X254" t="s">
        <v>9732</v>
      </c>
      <c r="Y254">
        <v>0.70049303442773669</v>
      </c>
      <c r="Z254" t="str">
        <f>HYPERLINK("Melting_Curves/meltCurve_sp_O60664_4_PLIN3_HUMAN_.pdf", "Melting_Curves/meltCurve_sp_O60664_4_PLIN3_HUMAN_.pdf")</f>
        <v>Melting_Curves/meltCurve_sp_O60664_4_PLIN3_HUMAN_.pdf</v>
      </c>
      <c r="AA254" t="s">
        <v>14467</v>
      </c>
      <c r="AB254" t="s">
        <v>19089</v>
      </c>
    </row>
    <row r="255" spans="1:28" x14ac:dyDescent="0.25">
      <c r="A255" t="s">
        <v>259</v>
      </c>
      <c r="B255">
        <v>0.99904790336628502</v>
      </c>
      <c r="C255">
        <v>0.98216554805470602</v>
      </c>
      <c r="D255">
        <v>0.93029550683693796</v>
      </c>
      <c r="E255">
        <v>0.40822669415169399</v>
      </c>
      <c r="F255">
        <v>0.147971768687301</v>
      </c>
      <c r="G255">
        <v>7.8820571676348497E-2</v>
      </c>
      <c r="H255">
        <v>5.0590532230155603E-2</v>
      </c>
      <c r="I255">
        <v>3.7606448783059403E-2</v>
      </c>
      <c r="J255">
        <v>3.3447195727568602E-2</v>
      </c>
      <c r="K255">
        <v>2.7932202163458299E-2</v>
      </c>
      <c r="L255">
        <v>1589.685517808</v>
      </c>
      <c r="M255">
        <v>32.232036828426097</v>
      </c>
      <c r="N255">
        <v>49.460570738522101</v>
      </c>
      <c r="O255">
        <v>49.1313654577203</v>
      </c>
      <c r="P255">
        <v>-0.15683428891078599</v>
      </c>
      <c r="Q255">
        <v>4.3753319461586802E-2</v>
      </c>
      <c r="R255">
        <v>0.99906939969228403</v>
      </c>
      <c r="S255" t="s">
        <v>4995</v>
      </c>
      <c r="T255" t="s">
        <v>9478</v>
      </c>
      <c r="U255" t="s">
        <v>9478</v>
      </c>
      <c r="V255" t="s">
        <v>9478</v>
      </c>
      <c r="W255">
        <v>28</v>
      </c>
      <c r="X255" t="s">
        <v>9733</v>
      </c>
      <c r="Y255">
        <v>0.3458840942850066</v>
      </c>
      <c r="Z255" t="str">
        <f>HYPERLINK("Melting_Curves/meltCurve_sp_O60701_UGDH_HUMAN_.pdf", "Melting_Curves/meltCurve_sp_O60701_UGDH_HUMAN_.pdf")</f>
        <v>Melting_Curves/meltCurve_sp_O60701_UGDH_HUMAN_.pdf</v>
      </c>
      <c r="AA255" t="s">
        <v>14468</v>
      </c>
      <c r="AB255" t="s">
        <v>19090</v>
      </c>
    </row>
    <row r="256" spans="1:28" x14ac:dyDescent="0.25">
      <c r="A256" t="s">
        <v>260</v>
      </c>
      <c r="B256">
        <v>0.99904790336628502</v>
      </c>
      <c r="C256">
        <v>0.95903328547667299</v>
      </c>
      <c r="D256">
        <v>0.813057313251492</v>
      </c>
      <c r="E256">
        <v>0.63054254010802302</v>
      </c>
      <c r="F256">
        <v>0.61565885355489502</v>
      </c>
      <c r="G256">
        <v>0.44938557557886899</v>
      </c>
      <c r="H256">
        <v>0.40462672808653199</v>
      </c>
      <c r="I256">
        <v>0.41445269267774598</v>
      </c>
      <c r="J256">
        <v>0.43135101524888098</v>
      </c>
      <c r="K256">
        <v>0.43900612366678399</v>
      </c>
      <c r="L256">
        <v>731.58281346858303</v>
      </c>
      <c r="M256">
        <v>14.9552612535176</v>
      </c>
      <c r="N256">
        <v>55.229310895646201</v>
      </c>
      <c r="O256">
        <v>48.068429861993103</v>
      </c>
      <c r="P256">
        <v>-4.5936363840047699E-2</v>
      </c>
      <c r="Q256">
        <v>0.40947509716216002</v>
      </c>
      <c r="R256">
        <v>0.98177078501918302</v>
      </c>
      <c r="S256" t="s">
        <v>4996</v>
      </c>
      <c r="T256" t="s">
        <v>9478</v>
      </c>
      <c r="U256" t="s">
        <v>9478</v>
      </c>
      <c r="V256" t="s">
        <v>9478</v>
      </c>
      <c r="W256">
        <v>16</v>
      </c>
      <c r="X256" t="s">
        <v>9734</v>
      </c>
      <c r="Y256">
        <v>0.59972229160719792</v>
      </c>
      <c r="Z256" t="str">
        <f>HYPERLINK("Melting_Curves/meltCurve_sp_O60716_5_CTND1_HUMAN_.pdf", "Melting_Curves/meltCurve_sp_O60716_5_CTND1_HUMAN_.pdf")</f>
        <v>Melting_Curves/meltCurve_sp_O60716_5_CTND1_HUMAN_.pdf</v>
      </c>
      <c r="AA256" t="s">
        <v>14469</v>
      </c>
      <c r="AB256" t="s">
        <v>19091</v>
      </c>
    </row>
    <row r="257" spans="1:28" x14ac:dyDescent="0.25">
      <c r="A257" t="s">
        <v>261</v>
      </c>
      <c r="B257">
        <v>0.99904790336628502</v>
      </c>
      <c r="C257">
        <v>0.98174580925725596</v>
      </c>
      <c r="D257">
        <v>0.93083627788129497</v>
      </c>
      <c r="E257">
        <v>0.71391421580624503</v>
      </c>
      <c r="F257">
        <v>0.341014221107524</v>
      </c>
      <c r="G257">
        <v>0.161934438130273</v>
      </c>
      <c r="H257">
        <v>9.9183532522328893E-2</v>
      </c>
      <c r="I257">
        <v>8.1018438321440595E-2</v>
      </c>
      <c r="J257">
        <v>8.0900525130000706E-2</v>
      </c>
      <c r="K257">
        <v>7.6253104792207704E-2</v>
      </c>
      <c r="L257">
        <v>1332.9368395739</v>
      </c>
      <c r="M257">
        <v>25.9662364902468</v>
      </c>
      <c r="N257">
        <v>51.681555476995797</v>
      </c>
      <c r="O257">
        <v>51.031901563532998</v>
      </c>
      <c r="P257">
        <v>-0.117002055450386</v>
      </c>
      <c r="Q257">
        <v>8.0225844879088098E-2</v>
      </c>
      <c r="R257">
        <v>0.99863851866228204</v>
      </c>
      <c r="S257" t="s">
        <v>4997</v>
      </c>
      <c r="T257" t="s">
        <v>9478</v>
      </c>
      <c r="U257" t="s">
        <v>9478</v>
      </c>
      <c r="V257" t="s">
        <v>9478</v>
      </c>
      <c r="W257">
        <v>18</v>
      </c>
      <c r="X257" t="s">
        <v>9735</v>
      </c>
      <c r="Y257">
        <v>0.43544207864983148</v>
      </c>
      <c r="Z257" t="str">
        <f>HYPERLINK("Melting_Curves/meltCurve_sp_O60749_SNX2_HUMAN_.pdf", "Melting_Curves/meltCurve_sp_O60749_SNX2_HUMAN_.pdf")</f>
        <v>Melting_Curves/meltCurve_sp_O60749_SNX2_HUMAN_.pdf</v>
      </c>
      <c r="AA257" t="s">
        <v>14470</v>
      </c>
      <c r="AB257" t="s">
        <v>19092</v>
      </c>
    </row>
    <row r="258" spans="1:28" x14ac:dyDescent="0.25">
      <c r="A258" t="s">
        <v>262</v>
      </c>
      <c r="B258">
        <v>0.99904790336628502</v>
      </c>
      <c r="C258">
        <v>1.0301446886097501</v>
      </c>
      <c r="D258">
        <v>1.0980121830054099</v>
      </c>
      <c r="E258">
        <v>1.0507722166775499</v>
      </c>
      <c r="F258">
        <v>0.91601151411841897</v>
      </c>
      <c r="G258">
        <v>0.39388879029631901</v>
      </c>
      <c r="H258">
        <v>0.11817267032608</v>
      </c>
      <c r="I258">
        <v>7.5933107283725806E-2</v>
      </c>
      <c r="J258">
        <v>5.1873046782379001E-2</v>
      </c>
      <c r="K258">
        <v>4.3535430142524298E-2</v>
      </c>
      <c r="L258">
        <v>2204.1860459089098</v>
      </c>
      <c r="M258">
        <v>39.240081187593603</v>
      </c>
      <c r="N258">
        <v>56.351879748884599</v>
      </c>
      <c r="O258">
        <v>56.026509088925799</v>
      </c>
      <c r="P258">
        <v>-0.16477865863743699</v>
      </c>
      <c r="Q258">
        <v>5.8926277048805598E-2</v>
      </c>
      <c r="R258">
        <v>0.99281641814786603</v>
      </c>
      <c r="S258" t="s">
        <v>4998</v>
      </c>
      <c r="T258" t="s">
        <v>9478</v>
      </c>
      <c r="U258" t="s">
        <v>9478</v>
      </c>
      <c r="V258" t="s">
        <v>9478</v>
      </c>
      <c r="W258">
        <v>32</v>
      </c>
      <c r="X258" t="s">
        <v>9736</v>
      </c>
      <c r="Y258">
        <v>0.56998870428296222</v>
      </c>
      <c r="Z258" t="str">
        <f>HYPERLINK("Melting_Curves/meltCurve_sp_O60763_USO1_HUMAN_.pdf", "Melting_Curves/meltCurve_sp_O60763_USO1_HUMAN_.pdf")</f>
        <v>Melting_Curves/meltCurve_sp_O60763_USO1_HUMAN_.pdf</v>
      </c>
      <c r="AA258" t="s">
        <v>14471</v>
      </c>
      <c r="AB258" t="s">
        <v>19093</v>
      </c>
    </row>
    <row r="259" spans="1:28" x14ac:dyDescent="0.25">
      <c r="A259" t="s">
        <v>263</v>
      </c>
      <c r="B259">
        <v>0.99904790336628502</v>
      </c>
      <c r="C259">
        <v>1.02201427256908</v>
      </c>
      <c r="D259">
        <v>1.0027480958197701</v>
      </c>
      <c r="E259">
        <v>0.67572121362670701</v>
      </c>
      <c r="F259">
        <v>0.21712393350916501</v>
      </c>
      <c r="G259">
        <v>9.8641848462732801E-2</v>
      </c>
      <c r="H259">
        <v>6.5747625091367501E-2</v>
      </c>
      <c r="I259">
        <v>4.2071489580831699E-2</v>
      </c>
      <c r="J259">
        <v>3.7190241001637897E-2</v>
      </c>
      <c r="K259">
        <v>2.7599096166287199E-2</v>
      </c>
      <c r="L259">
        <v>1920.3571739240599</v>
      </c>
      <c r="M259">
        <v>37.743492412631802</v>
      </c>
      <c r="N259">
        <v>51.020612479224702</v>
      </c>
      <c r="O259">
        <v>50.736974929302001</v>
      </c>
      <c r="P259">
        <v>-0.176738057442901</v>
      </c>
      <c r="Q259">
        <v>4.9676828529383203E-2</v>
      </c>
      <c r="R259">
        <v>0.99839015945352405</v>
      </c>
      <c r="S259" t="s">
        <v>4999</v>
      </c>
      <c r="T259" t="s">
        <v>9478</v>
      </c>
      <c r="U259" t="s">
        <v>9478</v>
      </c>
      <c r="V259" t="s">
        <v>9478</v>
      </c>
      <c r="W259">
        <v>20</v>
      </c>
      <c r="X259" t="s">
        <v>9737</v>
      </c>
      <c r="Y259">
        <v>0.39805770733010759</v>
      </c>
      <c r="Z259" t="str">
        <f>HYPERLINK("Melting_Curves/meltCurve_sp_O60826_CCD22_HUMAN_.pdf", "Melting_Curves/meltCurve_sp_O60826_CCD22_HUMAN_.pdf")</f>
        <v>Melting_Curves/meltCurve_sp_O60826_CCD22_HUMAN_.pdf</v>
      </c>
      <c r="AA259" t="s">
        <v>14472</v>
      </c>
      <c r="AB259" t="s">
        <v>19094</v>
      </c>
    </row>
    <row r="260" spans="1:28" x14ac:dyDescent="0.25">
      <c r="A260" t="s">
        <v>264</v>
      </c>
      <c r="B260">
        <v>0.99904790336628502</v>
      </c>
      <c r="C260">
        <v>1.1186385856316701</v>
      </c>
      <c r="D260">
        <v>1.1526481541906599</v>
      </c>
      <c r="E260">
        <v>1.04238525764378</v>
      </c>
      <c r="F260">
        <v>0.91042858247987002</v>
      </c>
      <c r="G260">
        <v>0.44606382307465098</v>
      </c>
      <c r="H260">
        <v>0.42471583530331197</v>
      </c>
      <c r="I260">
        <v>0.46075092527824701</v>
      </c>
      <c r="J260">
        <v>0.55518217702964601</v>
      </c>
      <c r="K260">
        <v>0.61261686999702103</v>
      </c>
      <c r="L260">
        <v>13330.6920811571</v>
      </c>
      <c r="M260">
        <v>250</v>
      </c>
      <c r="N260">
        <v>55.1365197340591</v>
      </c>
      <c r="O260">
        <v>53.319346858464897</v>
      </c>
      <c r="P260">
        <v>-0.58624826816453501</v>
      </c>
      <c r="Q260">
        <v>0.49986591832226301</v>
      </c>
      <c r="R260">
        <v>0.91923142183248896</v>
      </c>
      <c r="S260" t="s">
        <v>5000</v>
      </c>
      <c r="T260" t="s">
        <v>9478</v>
      </c>
      <c r="U260" t="s">
        <v>9478</v>
      </c>
      <c r="V260" t="s">
        <v>9478</v>
      </c>
      <c r="W260">
        <v>3</v>
      </c>
      <c r="X260" t="s">
        <v>9738</v>
      </c>
      <c r="Y260">
        <v>0.72201840456541422</v>
      </c>
      <c r="Z260" t="str">
        <f>HYPERLINK("Melting_Curves/meltCurve_sp_O60828_2_PQBP1_HUMAN_.pdf", "Melting_Curves/meltCurve_sp_O60828_2_PQBP1_HUMAN_.pdf")</f>
        <v>Melting_Curves/meltCurve_sp_O60828_2_PQBP1_HUMAN_.pdf</v>
      </c>
      <c r="AA260" t="s">
        <v>14473</v>
      </c>
      <c r="AB260" t="s">
        <v>19095</v>
      </c>
    </row>
    <row r="261" spans="1:28" x14ac:dyDescent="0.25">
      <c r="A261" t="s">
        <v>265</v>
      </c>
      <c r="B261">
        <v>0.99904790336628502</v>
      </c>
      <c r="C261">
        <v>1.0149372102016601</v>
      </c>
      <c r="D261">
        <v>1.03974401134457</v>
      </c>
      <c r="E261">
        <v>1.0024113129900301</v>
      </c>
      <c r="F261">
        <v>0.81745372485256296</v>
      </c>
      <c r="G261">
        <v>0.61854147270522597</v>
      </c>
      <c r="H261">
        <v>0.52652168643431096</v>
      </c>
      <c r="I261">
        <v>0.43730836868982498</v>
      </c>
      <c r="J261">
        <v>0.37712861869023301</v>
      </c>
      <c r="K261">
        <v>0.35143051043210299</v>
      </c>
      <c r="L261">
        <v>1038.1786583701401</v>
      </c>
      <c r="M261">
        <v>18.4076200946675</v>
      </c>
      <c r="N261">
        <v>60.478025298332199</v>
      </c>
      <c r="O261">
        <v>55.746412754165497</v>
      </c>
      <c r="P261">
        <v>-5.3205396397565899E-2</v>
      </c>
      <c r="Q261">
        <v>0.355511248823908</v>
      </c>
      <c r="R261">
        <v>0.98566870643298998</v>
      </c>
      <c r="S261" t="s">
        <v>5001</v>
      </c>
      <c r="T261" t="s">
        <v>9478</v>
      </c>
      <c r="U261" t="s">
        <v>9478</v>
      </c>
      <c r="V261" t="s">
        <v>9478</v>
      </c>
      <c r="W261">
        <v>8</v>
      </c>
      <c r="X261" t="s">
        <v>9739</v>
      </c>
      <c r="Y261">
        <v>0.71684525321006776</v>
      </c>
      <c r="Z261" t="str">
        <f>HYPERLINK("Melting_Curves/meltCurve_sp_O60832_DKC1_HUMAN_.pdf", "Melting_Curves/meltCurve_sp_O60832_DKC1_HUMAN_.pdf")</f>
        <v>Melting_Curves/meltCurve_sp_O60832_DKC1_HUMAN_.pdf</v>
      </c>
      <c r="AA261" t="s">
        <v>14474</v>
      </c>
      <c r="AB261" t="s">
        <v>19096</v>
      </c>
    </row>
    <row r="262" spans="1:28" x14ac:dyDescent="0.25">
      <c r="A262" t="s">
        <v>266</v>
      </c>
      <c r="B262">
        <v>0.99904790336628502</v>
      </c>
      <c r="C262">
        <v>0.99742294206268101</v>
      </c>
      <c r="D262">
        <v>0.97999424161971405</v>
      </c>
      <c r="E262">
        <v>0.89885201472433696</v>
      </c>
      <c r="F262">
        <v>0.731368398020387</v>
      </c>
      <c r="G262">
        <v>0.46480643735449001</v>
      </c>
      <c r="H262">
        <v>0.34278723130437</v>
      </c>
      <c r="I262">
        <v>0.30133729329361802</v>
      </c>
      <c r="J262">
        <v>0.26623406801336702</v>
      </c>
      <c r="K262">
        <v>0.28490052067187499</v>
      </c>
      <c r="L262">
        <v>1138.58052319784</v>
      </c>
      <c r="M262">
        <v>20.949056260654501</v>
      </c>
      <c r="N262">
        <v>56.425198455519997</v>
      </c>
      <c r="O262">
        <v>53.861993423673297</v>
      </c>
      <c r="P262">
        <v>-7.1119212626177902E-2</v>
      </c>
      <c r="Q262">
        <v>0.268603102233678</v>
      </c>
      <c r="R262">
        <v>0.999532905497164</v>
      </c>
      <c r="S262" t="s">
        <v>5002</v>
      </c>
      <c r="T262" t="s">
        <v>9478</v>
      </c>
      <c r="U262" t="s">
        <v>9478</v>
      </c>
      <c r="V262" t="s">
        <v>9478</v>
      </c>
      <c r="W262">
        <v>34</v>
      </c>
      <c r="X262" t="s">
        <v>9740</v>
      </c>
      <c r="Y262">
        <v>0.62762820985588796</v>
      </c>
      <c r="Z262" t="str">
        <f>HYPERLINK("Melting_Curves/meltCurve_sp_O60841_IF2P_HUMAN_.pdf", "Melting_Curves/meltCurve_sp_O60841_IF2P_HUMAN_.pdf")</f>
        <v>Melting_Curves/meltCurve_sp_O60841_IF2P_HUMAN_.pdf</v>
      </c>
      <c r="AA262" t="s">
        <v>14475</v>
      </c>
      <c r="AB262" t="s">
        <v>19097</v>
      </c>
    </row>
    <row r="263" spans="1:28" x14ac:dyDescent="0.25">
      <c r="A263" t="s">
        <v>267</v>
      </c>
      <c r="B263">
        <v>0.99904790336628502</v>
      </c>
      <c r="C263">
        <v>0.99109855008496295</v>
      </c>
      <c r="D263">
        <v>0.96577849371631797</v>
      </c>
      <c r="E263">
        <v>0.942449865915854</v>
      </c>
      <c r="F263">
        <v>1.0096254757782099</v>
      </c>
      <c r="G263">
        <v>0.73707808772939998</v>
      </c>
      <c r="H263">
        <v>0.69477819412695097</v>
      </c>
      <c r="I263">
        <v>0.80101666656248305</v>
      </c>
      <c r="J263">
        <v>0.94244057490538502</v>
      </c>
      <c r="K263">
        <v>1.02485375508176</v>
      </c>
      <c r="L263">
        <v>6215.3862616342303</v>
      </c>
      <c r="M263">
        <v>114.094371741502</v>
      </c>
      <c r="O263">
        <v>54.459105173909499</v>
      </c>
      <c r="P263">
        <v>-8.3752700809025804E-2</v>
      </c>
      <c r="Q263">
        <v>0.84009388275252495</v>
      </c>
      <c r="R263">
        <v>0.36687372522199002</v>
      </c>
      <c r="S263" t="s">
        <v>5003</v>
      </c>
      <c r="T263" t="s">
        <v>9478</v>
      </c>
      <c r="U263" t="s">
        <v>9478</v>
      </c>
      <c r="V263" t="s">
        <v>9478</v>
      </c>
      <c r="W263">
        <v>7</v>
      </c>
      <c r="X263" t="s">
        <v>9741</v>
      </c>
      <c r="Y263">
        <v>0.91732650082368339</v>
      </c>
      <c r="Z263" t="str">
        <f>HYPERLINK("Melting_Curves/meltCurve_sp_O60869_EDF1_HUMAN_.pdf", "Melting_Curves/meltCurve_sp_O60869_EDF1_HUMAN_.pdf")</f>
        <v>Melting_Curves/meltCurve_sp_O60869_EDF1_HUMAN_.pdf</v>
      </c>
      <c r="AA263" t="s">
        <v>14476</v>
      </c>
      <c r="AB263" t="s">
        <v>19098</v>
      </c>
    </row>
    <row r="264" spans="1:28" x14ac:dyDescent="0.25">
      <c r="A264" t="s">
        <v>268</v>
      </c>
      <c r="B264">
        <v>0.99904790336628502</v>
      </c>
      <c r="C264">
        <v>1.0778494465908901</v>
      </c>
      <c r="D264">
        <v>1.0843126723055101</v>
      </c>
      <c r="E264">
        <v>0.86979812448025995</v>
      </c>
      <c r="F264">
        <v>0.63827951150302198</v>
      </c>
      <c r="G264">
        <v>0.29346790371315901</v>
      </c>
      <c r="H264">
        <v>0.16102024810667701</v>
      </c>
      <c r="I264">
        <v>0.14999175520272501</v>
      </c>
      <c r="J264">
        <v>0.14013378298965001</v>
      </c>
      <c r="K264">
        <v>0.14120386514434599</v>
      </c>
      <c r="L264">
        <v>1432.9401708907401</v>
      </c>
      <c r="M264">
        <v>26.716830162013899</v>
      </c>
      <c r="N264">
        <v>54.286073236525802</v>
      </c>
      <c r="O264">
        <v>53.336596686619899</v>
      </c>
      <c r="P264">
        <v>-0.10804824987332801</v>
      </c>
      <c r="Q264">
        <v>0.13719337806971499</v>
      </c>
      <c r="R264">
        <v>0.99004947009993605</v>
      </c>
      <c r="S264" t="s">
        <v>5004</v>
      </c>
      <c r="T264" t="s">
        <v>9478</v>
      </c>
      <c r="U264" t="s">
        <v>9478</v>
      </c>
      <c r="V264" t="s">
        <v>9478</v>
      </c>
      <c r="W264">
        <v>12</v>
      </c>
      <c r="X264" t="s">
        <v>9742</v>
      </c>
      <c r="Y264">
        <v>0.53636538593273064</v>
      </c>
      <c r="Z264" t="str">
        <f>HYPERLINK("Melting_Curves/meltCurve_sp_O60884_DNJA2_HUMAN_.pdf", "Melting_Curves/meltCurve_sp_O60884_DNJA2_HUMAN_.pdf")</f>
        <v>Melting_Curves/meltCurve_sp_O60884_DNJA2_HUMAN_.pdf</v>
      </c>
      <c r="AA264" t="s">
        <v>14477</v>
      </c>
      <c r="AB264" t="s">
        <v>19099</v>
      </c>
    </row>
    <row r="265" spans="1:28" x14ac:dyDescent="0.25">
      <c r="A265" t="s">
        <v>269</v>
      </c>
      <c r="B265">
        <v>0.99904790336628502</v>
      </c>
      <c r="C265">
        <v>0.92590167344450303</v>
      </c>
      <c r="D265">
        <v>0.88849622719559496</v>
      </c>
      <c r="E265">
        <v>0.79654115818592197</v>
      </c>
      <c r="F265">
        <v>0.65929087636431205</v>
      </c>
      <c r="G265">
        <v>0.45359677576473501</v>
      </c>
      <c r="H265">
        <v>0.38008053224774502</v>
      </c>
      <c r="I265">
        <v>0.35595374936228202</v>
      </c>
      <c r="J265">
        <v>0.37113316860850398</v>
      </c>
      <c r="K265">
        <v>0.31485849014065898</v>
      </c>
      <c r="L265">
        <v>702.06791970051597</v>
      </c>
      <c r="M265">
        <v>13.3172737361987</v>
      </c>
      <c r="N265">
        <v>56.558160744563097</v>
      </c>
      <c r="O265">
        <v>51.572383484929503</v>
      </c>
      <c r="P265">
        <v>-4.5355371456650299E-2</v>
      </c>
      <c r="Q265">
        <v>0.297541045125856</v>
      </c>
      <c r="R265">
        <v>0.99040785682329402</v>
      </c>
      <c r="S265" t="s">
        <v>5005</v>
      </c>
      <c r="T265" t="s">
        <v>9478</v>
      </c>
      <c r="U265" t="s">
        <v>9478</v>
      </c>
      <c r="V265" t="s">
        <v>9478</v>
      </c>
      <c r="W265">
        <v>10</v>
      </c>
      <c r="X265" t="s">
        <v>9743</v>
      </c>
      <c r="Y265">
        <v>0.61333081488342245</v>
      </c>
      <c r="Z265" t="str">
        <f>HYPERLINK("Melting_Curves/meltCurve_sp_O60885_BRD4_HUMAN_.pdf", "Melting_Curves/meltCurve_sp_O60885_BRD4_HUMAN_.pdf")</f>
        <v>Melting_Curves/meltCurve_sp_O60885_BRD4_HUMAN_.pdf</v>
      </c>
      <c r="AA265" t="s">
        <v>14478</v>
      </c>
      <c r="AB265" t="s">
        <v>19100</v>
      </c>
    </row>
    <row r="266" spans="1:28" x14ac:dyDescent="0.25">
      <c r="A266" t="s">
        <v>270</v>
      </c>
      <c r="B266">
        <v>0.99904790336628502</v>
      </c>
      <c r="C266">
        <v>1.1675544075191</v>
      </c>
      <c r="D266">
        <v>1.13895486824849</v>
      </c>
      <c r="E266">
        <v>1.19313866861067</v>
      </c>
      <c r="F266">
        <v>0.86273550252058795</v>
      </c>
      <c r="G266">
        <v>0.882330953766293</v>
      </c>
      <c r="H266">
        <v>0.49089341116103802</v>
      </c>
      <c r="I266">
        <v>0.39604016466736403</v>
      </c>
      <c r="J266">
        <v>0.33935426558488102</v>
      </c>
      <c r="K266">
        <v>0.25422339582910902</v>
      </c>
      <c r="L266">
        <v>1675.3008376830601</v>
      </c>
      <c r="M266">
        <v>28.112962308457501</v>
      </c>
      <c r="N266">
        <v>61.370141082595701</v>
      </c>
      <c r="O266">
        <v>59.2926763633305</v>
      </c>
      <c r="P266">
        <v>-8.5511138494459196E-2</v>
      </c>
      <c r="Q266">
        <v>0.27860445071922901</v>
      </c>
      <c r="R266">
        <v>0.91355472815026795</v>
      </c>
      <c r="S266" t="s">
        <v>5006</v>
      </c>
      <c r="T266" t="s">
        <v>9478</v>
      </c>
      <c r="U266" t="s">
        <v>9478</v>
      </c>
      <c r="V266" t="s">
        <v>9478</v>
      </c>
      <c r="W266">
        <v>6</v>
      </c>
      <c r="X266" t="s">
        <v>9744</v>
      </c>
      <c r="Y266">
        <v>0.75462071152807797</v>
      </c>
      <c r="Z266" t="str">
        <f>HYPERLINK("Melting_Curves/meltCurve_sp_O60888_3_CUTA_HUMAN_.pdf", "Melting_Curves/meltCurve_sp_O60888_3_CUTA_HUMAN_.pdf")</f>
        <v>Melting_Curves/meltCurve_sp_O60888_3_CUTA_HUMAN_.pdf</v>
      </c>
      <c r="AA266" t="s">
        <v>14479</v>
      </c>
      <c r="AB266" t="s">
        <v>19101</v>
      </c>
    </row>
    <row r="267" spans="1:28" x14ac:dyDescent="0.25">
      <c r="A267" t="s">
        <v>271</v>
      </c>
      <c r="B267">
        <v>0.99904790336628502</v>
      </c>
      <c r="C267">
        <v>1.13932983986364</v>
      </c>
      <c r="D267">
        <v>0.47206810344153699</v>
      </c>
      <c r="E267">
        <v>0.80630221416902803</v>
      </c>
      <c r="F267">
        <v>0.54919962379035003</v>
      </c>
      <c r="G267">
        <v>0.26239014940305899</v>
      </c>
      <c r="H267">
        <v>0.130476362208686</v>
      </c>
      <c r="I267">
        <v>0.111052249030457</v>
      </c>
      <c r="J267">
        <v>7.68243387525233E-2</v>
      </c>
      <c r="K267">
        <v>7.1593365570922399E-2</v>
      </c>
      <c r="L267">
        <v>586.13563051956601</v>
      </c>
      <c r="M267">
        <v>11.1173747712718</v>
      </c>
      <c r="N267">
        <v>52.722481996906097</v>
      </c>
      <c r="O267">
        <v>51.102873394807297</v>
      </c>
      <c r="P267">
        <v>-5.4404843399213101E-2</v>
      </c>
      <c r="Q267">
        <v>0</v>
      </c>
      <c r="R267">
        <v>0.85364683186551005</v>
      </c>
      <c r="S267" t="s">
        <v>5007</v>
      </c>
      <c r="T267" t="s">
        <v>9478</v>
      </c>
      <c r="U267" t="s">
        <v>9478</v>
      </c>
      <c r="V267" t="s">
        <v>9478</v>
      </c>
      <c r="W267">
        <v>6</v>
      </c>
      <c r="X267" t="s">
        <v>9745</v>
      </c>
      <c r="Y267">
        <v>0.45576171705380608</v>
      </c>
      <c r="Z267" t="str">
        <f>HYPERLINK("Melting_Curves/meltCurve_sp_O60907_TBL1X_HUMAN_.pdf", "Melting_Curves/meltCurve_sp_O60907_TBL1X_HUMAN_.pdf")</f>
        <v>Melting_Curves/meltCurve_sp_O60907_TBL1X_HUMAN_.pdf</v>
      </c>
      <c r="AA267" t="s">
        <v>14480</v>
      </c>
      <c r="AB267" t="s">
        <v>19102</v>
      </c>
    </row>
    <row r="268" spans="1:28" x14ac:dyDescent="0.25">
      <c r="A268" t="s">
        <v>272</v>
      </c>
      <c r="B268">
        <v>0.99904790336628502</v>
      </c>
      <c r="C268">
        <v>1.0200144088737699</v>
      </c>
      <c r="D268">
        <v>1.07179083241625</v>
      </c>
      <c r="E268">
        <v>0.91912349042559005</v>
      </c>
      <c r="F268">
        <v>0.858941691582636</v>
      </c>
      <c r="G268">
        <v>0.61384748212879503</v>
      </c>
      <c r="H268">
        <v>0.53257851073646101</v>
      </c>
      <c r="I268">
        <v>0.40411390161572702</v>
      </c>
      <c r="J268">
        <v>0.45417141541879502</v>
      </c>
      <c r="K268">
        <v>0.464373226901726</v>
      </c>
      <c r="L268">
        <v>1270.49586013212</v>
      </c>
      <c r="M268">
        <v>23.000014794241</v>
      </c>
      <c r="N268">
        <v>60.776545153933696</v>
      </c>
      <c r="O268">
        <v>54.826414071041903</v>
      </c>
      <c r="P268">
        <v>-5.8888840905025802E-2</v>
      </c>
      <c r="Q268">
        <v>0.43850404811696703</v>
      </c>
      <c r="R268">
        <v>0.97937550391670802</v>
      </c>
      <c r="S268" t="s">
        <v>5008</v>
      </c>
      <c r="T268" t="s">
        <v>9478</v>
      </c>
      <c r="U268" t="s">
        <v>9478</v>
      </c>
      <c r="V268" t="s">
        <v>9478</v>
      </c>
      <c r="W268">
        <v>6</v>
      </c>
      <c r="X268" t="s">
        <v>9746</v>
      </c>
      <c r="Y268">
        <v>0.72969752721262882</v>
      </c>
      <c r="Z268" t="str">
        <f>HYPERLINK("Melting_Curves/meltCurve_sp_O60925_PFD1_HUMAN_.pdf", "Melting_Curves/meltCurve_sp_O60925_PFD1_HUMAN_.pdf")</f>
        <v>Melting_Curves/meltCurve_sp_O60925_PFD1_HUMAN_.pdf</v>
      </c>
      <c r="AA268" t="s">
        <v>14481</v>
      </c>
      <c r="AB268" t="s">
        <v>19103</v>
      </c>
    </row>
    <row r="269" spans="1:28" x14ac:dyDescent="0.25">
      <c r="A269" t="s">
        <v>273</v>
      </c>
      <c r="B269">
        <v>0.99904790336628502</v>
      </c>
      <c r="C269">
        <v>1.04487385895714</v>
      </c>
      <c r="D269">
        <v>1.15291253740471</v>
      </c>
      <c r="E269">
        <v>1.01404731813675</v>
      </c>
      <c r="F269">
        <v>0.94386242906058404</v>
      </c>
      <c r="G269">
        <v>0.70154494856851501</v>
      </c>
      <c r="H269">
        <v>0.598574396763487</v>
      </c>
      <c r="I269">
        <v>0.54588793091243404</v>
      </c>
      <c r="J269">
        <v>0.545646068960982</v>
      </c>
      <c r="K269">
        <v>0.57122820491166404</v>
      </c>
      <c r="L269">
        <v>2015.83243783119</v>
      </c>
      <c r="M269">
        <v>36.059765033684499</v>
      </c>
      <c r="O269">
        <v>55.731449888963397</v>
      </c>
      <c r="P269">
        <v>-7.1514365120960099E-2</v>
      </c>
      <c r="Q269">
        <v>0.55789099693497601</v>
      </c>
      <c r="R269">
        <v>0.94837323383124805</v>
      </c>
      <c r="S269" t="s">
        <v>5009</v>
      </c>
      <c r="T269" t="s">
        <v>9478</v>
      </c>
      <c r="U269" t="s">
        <v>9478</v>
      </c>
      <c r="V269" t="s">
        <v>9478</v>
      </c>
      <c r="W269">
        <v>4</v>
      </c>
      <c r="X269" t="s">
        <v>9747</v>
      </c>
      <c r="Y269">
        <v>0.79432618171224967</v>
      </c>
      <c r="Z269" t="str">
        <f>HYPERLINK("Melting_Curves/meltCurve_sp_O60927_PP1RB_HUMAN_.pdf", "Melting_Curves/meltCurve_sp_O60927_PP1RB_HUMAN_.pdf")</f>
        <v>Melting_Curves/meltCurve_sp_O60927_PP1RB_HUMAN_.pdf</v>
      </c>
      <c r="AA269" t="s">
        <v>14482</v>
      </c>
      <c r="AB269" t="s">
        <v>19104</v>
      </c>
    </row>
    <row r="270" spans="1:28" x14ac:dyDescent="0.25">
      <c r="A270" t="s">
        <v>274</v>
      </c>
      <c r="B270">
        <v>0.99904790336628502</v>
      </c>
      <c r="C270">
        <v>0.93880336974548695</v>
      </c>
      <c r="D270">
        <v>0.81278761843257996</v>
      </c>
      <c r="E270">
        <v>0.51088612123412702</v>
      </c>
      <c r="F270">
        <v>0.40542313925290402</v>
      </c>
      <c r="G270">
        <v>0.25336118503509503</v>
      </c>
      <c r="H270">
        <v>0.211449019843435</v>
      </c>
      <c r="I270">
        <v>0.182309789528244</v>
      </c>
      <c r="J270">
        <v>0.24132255840823399</v>
      </c>
      <c r="K270">
        <v>0.22982106171160499</v>
      </c>
      <c r="L270">
        <v>870.88945878454604</v>
      </c>
      <c r="M270">
        <v>17.782658054372401</v>
      </c>
      <c r="N270">
        <v>50.484951708692499</v>
      </c>
      <c r="O270">
        <v>48.367351736857401</v>
      </c>
      <c r="P270">
        <v>-7.2952838456266003E-2</v>
      </c>
      <c r="Q270">
        <v>0.206338470827548</v>
      </c>
      <c r="R270">
        <v>0.99472973037732104</v>
      </c>
      <c r="S270" t="s">
        <v>5010</v>
      </c>
      <c r="T270" t="s">
        <v>9478</v>
      </c>
      <c r="U270" t="s">
        <v>9478</v>
      </c>
      <c r="V270" t="s">
        <v>9478</v>
      </c>
      <c r="W270">
        <v>14</v>
      </c>
      <c r="X270" t="s">
        <v>9748</v>
      </c>
      <c r="Y270">
        <v>0.45784217684447392</v>
      </c>
      <c r="Z270" t="str">
        <f>HYPERLINK("Melting_Curves/meltCurve_sp_O60934_NBN_HUMAN_.pdf", "Melting_Curves/meltCurve_sp_O60934_NBN_HUMAN_.pdf")</f>
        <v>Melting_Curves/meltCurve_sp_O60934_NBN_HUMAN_.pdf</v>
      </c>
      <c r="AA270" t="s">
        <v>14483</v>
      </c>
      <c r="AB270" t="s">
        <v>19105</v>
      </c>
    </row>
    <row r="271" spans="1:28" x14ac:dyDescent="0.25">
      <c r="A271" t="s">
        <v>275</v>
      </c>
      <c r="B271">
        <v>0.99904790336628502</v>
      </c>
      <c r="C271">
        <v>1.0327786043991201</v>
      </c>
      <c r="D271">
        <v>1.0004594070468</v>
      </c>
      <c r="E271">
        <v>0.88597486174500295</v>
      </c>
      <c r="F271">
        <v>0.71610672642775497</v>
      </c>
      <c r="G271">
        <v>0.46517559201877801</v>
      </c>
      <c r="H271">
        <v>0.329496102185585</v>
      </c>
      <c r="I271">
        <v>0.24266352309154501</v>
      </c>
      <c r="J271">
        <v>0.217577372948624</v>
      </c>
      <c r="K271">
        <v>0.153857266578593</v>
      </c>
      <c r="L271">
        <v>926.35805117023199</v>
      </c>
      <c r="M271">
        <v>16.740737669024899</v>
      </c>
      <c r="N271">
        <v>56.629082641135</v>
      </c>
      <c r="O271">
        <v>54.564048691696101</v>
      </c>
      <c r="P271">
        <v>-6.4519424519232593E-2</v>
      </c>
      <c r="Q271">
        <v>0.158887742535362</v>
      </c>
      <c r="R271">
        <v>0.99624562096166702</v>
      </c>
      <c r="S271" t="s">
        <v>5011</v>
      </c>
      <c r="T271" t="s">
        <v>9478</v>
      </c>
      <c r="U271" t="s">
        <v>9478</v>
      </c>
      <c r="V271" t="s">
        <v>9478</v>
      </c>
      <c r="W271">
        <v>6</v>
      </c>
      <c r="X271" t="s">
        <v>9749</v>
      </c>
      <c r="Y271">
        <v>0.60288438710529024</v>
      </c>
      <c r="Z271" t="str">
        <f>HYPERLINK("Melting_Curves/meltCurve_sp_O75052_3_CAPON_HUMAN_.pdf", "Melting_Curves/meltCurve_sp_O75052_3_CAPON_HUMAN_.pdf")</f>
        <v>Melting_Curves/meltCurve_sp_O75052_3_CAPON_HUMAN_.pdf</v>
      </c>
      <c r="AA271" t="s">
        <v>14484</v>
      </c>
      <c r="AB271" t="s">
        <v>19106</v>
      </c>
    </row>
    <row r="272" spans="1:28" x14ac:dyDescent="0.25">
      <c r="A272" t="s">
        <v>276</v>
      </c>
      <c r="B272">
        <v>0.99904790336628502</v>
      </c>
      <c r="C272">
        <v>0.91661032060752301</v>
      </c>
      <c r="D272">
        <v>0.90084335770792401</v>
      </c>
      <c r="E272">
        <v>1.01817785846005</v>
      </c>
      <c r="F272">
        <v>1.0855590462754301</v>
      </c>
      <c r="G272">
        <v>0.82203731067924302</v>
      </c>
      <c r="H272">
        <v>0.76074626482649499</v>
      </c>
      <c r="I272">
        <v>0.872398291593525</v>
      </c>
      <c r="J272">
        <v>1.04180441651416</v>
      </c>
      <c r="K272">
        <v>0.959659915154083</v>
      </c>
      <c r="L272">
        <v>307.70086600685897</v>
      </c>
      <c r="M272">
        <v>6.9077509361647902</v>
      </c>
      <c r="O272">
        <v>41.260230107650102</v>
      </c>
      <c r="P272">
        <v>-3.6535536972488302E-3</v>
      </c>
      <c r="Q272">
        <v>0.91287833507257399</v>
      </c>
      <c r="R272">
        <v>3.2418760974143097E-2</v>
      </c>
      <c r="S272" t="s">
        <v>5012</v>
      </c>
      <c r="T272" t="s">
        <v>9478</v>
      </c>
      <c r="U272" t="s">
        <v>9478</v>
      </c>
      <c r="V272" t="s">
        <v>9478</v>
      </c>
      <c r="W272">
        <v>2</v>
      </c>
      <c r="X272" t="s">
        <v>9750</v>
      </c>
      <c r="Y272">
        <v>0.93649233507947838</v>
      </c>
      <c r="Z272" t="str">
        <f>HYPERLINK("Melting_Curves/meltCurve_sp_O75081_2_MTG16_HUMAN_.pdf", "Melting_Curves/meltCurve_sp_O75081_2_MTG16_HUMAN_.pdf")</f>
        <v>Melting_Curves/meltCurve_sp_O75081_2_MTG16_HUMAN_.pdf</v>
      </c>
      <c r="AA272" t="s">
        <v>14485</v>
      </c>
      <c r="AB272" t="s">
        <v>19107</v>
      </c>
    </row>
    <row r="273" spans="1:28" x14ac:dyDescent="0.25">
      <c r="A273" t="s">
        <v>277</v>
      </c>
      <c r="B273">
        <v>0.99904790336628502</v>
      </c>
      <c r="C273">
        <v>0.94137006576503102</v>
      </c>
      <c r="D273">
        <v>0.97257475681023198</v>
      </c>
      <c r="E273">
        <v>0.81584291069457404</v>
      </c>
      <c r="F273">
        <v>0.37045622074196</v>
      </c>
      <c r="G273">
        <v>0.113899574567164</v>
      </c>
      <c r="H273">
        <v>6.3417630984555703E-2</v>
      </c>
      <c r="I273">
        <v>4.18002731463347E-2</v>
      </c>
      <c r="J273">
        <v>3.3482922700423898E-2</v>
      </c>
      <c r="K273">
        <v>2.4998440405275501E-2</v>
      </c>
      <c r="L273">
        <v>1714.4237401642599</v>
      </c>
      <c r="M273">
        <v>32.9368934827502</v>
      </c>
      <c r="N273">
        <v>52.189403718059197</v>
      </c>
      <c r="O273">
        <v>51.861023784433897</v>
      </c>
      <c r="P273">
        <v>-0.152171017435728</v>
      </c>
      <c r="Q273">
        <v>4.1596456259359198E-2</v>
      </c>
      <c r="R273">
        <v>0.99719088347665097</v>
      </c>
      <c r="S273" t="s">
        <v>5013</v>
      </c>
      <c r="T273" t="s">
        <v>9478</v>
      </c>
      <c r="U273" t="s">
        <v>9478</v>
      </c>
      <c r="V273" t="s">
        <v>9478</v>
      </c>
      <c r="W273">
        <v>26</v>
      </c>
      <c r="X273" t="s">
        <v>9751</v>
      </c>
      <c r="Y273">
        <v>0.43170085669556002</v>
      </c>
      <c r="Z273" t="str">
        <f>HYPERLINK("Melting_Curves/meltCurve_sp_O75083_WDR1_HUMAN_.pdf", "Melting_Curves/meltCurve_sp_O75083_WDR1_HUMAN_.pdf")</f>
        <v>Melting_Curves/meltCurve_sp_O75083_WDR1_HUMAN_.pdf</v>
      </c>
      <c r="AA273" t="s">
        <v>14486</v>
      </c>
      <c r="AB273" t="s">
        <v>19108</v>
      </c>
    </row>
    <row r="274" spans="1:28" x14ac:dyDescent="0.25">
      <c r="A274" t="s">
        <v>278</v>
      </c>
      <c r="B274">
        <v>0.99904790336628502</v>
      </c>
      <c r="C274">
        <v>0.95009152126784802</v>
      </c>
      <c r="D274">
        <v>0.94967355949973298</v>
      </c>
      <c r="E274">
        <v>0.74976991335311904</v>
      </c>
      <c r="F274">
        <v>0.59722126528450903</v>
      </c>
      <c r="G274">
        <v>0.251399587570173</v>
      </c>
      <c r="H274">
        <v>8.5713643860655303E-2</v>
      </c>
      <c r="I274">
        <v>4.8132175897181002E-2</v>
      </c>
      <c r="J274">
        <v>4.7694127758971999E-2</v>
      </c>
      <c r="K274">
        <v>3.232803248801E-2</v>
      </c>
      <c r="L274">
        <v>938.56010355691001</v>
      </c>
      <c r="M274">
        <v>17.495819354912001</v>
      </c>
      <c r="N274">
        <v>53.658381862313703</v>
      </c>
      <c r="O274">
        <v>52.958735852823402</v>
      </c>
      <c r="P274">
        <v>-8.2414162333068697E-2</v>
      </c>
      <c r="Q274">
        <v>2.2057088255067001E-3</v>
      </c>
      <c r="R274">
        <v>0.99642680019577801</v>
      </c>
      <c r="S274" t="s">
        <v>5014</v>
      </c>
      <c r="T274" t="s">
        <v>9478</v>
      </c>
      <c r="U274" t="s">
        <v>9478</v>
      </c>
      <c r="V274" t="s">
        <v>9478</v>
      </c>
      <c r="W274">
        <v>2</v>
      </c>
      <c r="X274" t="s">
        <v>9752</v>
      </c>
      <c r="Y274">
        <v>0.47284872012956758</v>
      </c>
      <c r="Z274" t="str">
        <f>HYPERLINK("Melting_Curves/meltCurve_sp_O75113_N4BP1_HUMAN_.pdf", "Melting_Curves/meltCurve_sp_O75113_N4BP1_HUMAN_.pdf")</f>
        <v>Melting_Curves/meltCurve_sp_O75113_N4BP1_HUMAN_.pdf</v>
      </c>
      <c r="AA274" t="s">
        <v>14487</v>
      </c>
      <c r="AB274" t="s">
        <v>19109</v>
      </c>
    </row>
    <row r="275" spans="1:28" x14ac:dyDescent="0.25">
      <c r="A275" t="s">
        <v>279</v>
      </c>
      <c r="B275">
        <v>0.99904790336628502</v>
      </c>
      <c r="C275">
        <v>1.06300588567916</v>
      </c>
      <c r="D275">
        <v>1.13741871584773</v>
      </c>
      <c r="E275">
        <v>0.85967218313384997</v>
      </c>
      <c r="F275">
        <v>0.36035984529230303</v>
      </c>
      <c r="G275">
        <v>0.15481195871285</v>
      </c>
      <c r="H275">
        <v>8.6735776596732497E-2</v>
      </c>
      <c r="I275">
        <v>6.8822756439315402E-2</v>
      </c>
      <c r="J275">
        <v>5.1667692929122398E-2</v>
      </c>
      <c r="K275">
        <v>4.7710063278059503E-2</v>
      </c>
      <c r="L275">
        <v>2180.3486225658598</v>
      </c>
      <c r="M275">
        <v>41.896986213430203</v>
      </c>
      <c r="N275">
        <v>52.244162319386</v>
      </c>
      <c r="O275">
        <v>51.9225641523661</v>
      </c>
      <c r="P275">
        <v>-0.186543342391496</v>
      </c>
      <c r="Q275">
        <v>7.5275534830134799E-2</v>
      </c>
      <c r="R275">
        <v>0.98569205530870396</v>
      </c>
      <c r="S275" t="s">
        <v>5015</v>
      </c>
      <c r="T275" t="s">
        <v>9478</v>
      </c>
      <c r="U275" t="s">
        <v>9478</v>
      </c>
      <c r="V275" t="s">
        <v>9478</v>
      </c>
      <c r="W275">
        <v>41</v>
      </c>
      <c r="X275" t="s">
        <v>9753</v>
      </c>
      <c r="Y275">
        <v>0.44944894403380298</v>
      </c>
      <c r="Z275" t="str">
        <f>HYPERLINK("Melting_Curves/meltCurve_sp_O75116_ROCK2_HUMAN_.pdf", "Melting_Curves/meltCurve_sp_O75116_ROCK2_HUMAN_.pdf")</f>
        <v>Melting_Curves/meltCurve_sp_O75116_ROCK2_HUMAN_.pdf</v>
      </c>
      <c r="AA275" t="s">
        <v>14488</v>
      </c>
      <c r="AB275" t="s">
        <v>19110</v>
      </c>
    </row>
    <row r="276" spans="1:28" x14ac:dyDescent="0.25">
      <c r="A276" t="s">
        <v>280</v>
      </c>
      <c r="B276">
        <v>0.99904790336628502</v>
      </c>
      <c r="C276">
        <v>0.97870159420802105</v>
      </c>
      <c r="D276">
        <v>0.89726037193201702</v>
      </c>
      <c r="E276">
        <v>0.87622822792253097</v>
      </c>
      <c r="F276">
        <v>0.78421093253693297</v>
      </c>
      <c r="G276">
        <v>0.482854002667294</v>
      </c>
      <c r="H276">
        <v>0.36453237761600998</v>
      </c>
      <c r="I276">
        <v>0.35986979658043899</v>
      </c>
      <c r="J276">
        <v>0.38759906152974599</v>
      </c>
      <c r="K276">
        <v>0.41610793702808901</v>
      </c>
      <c r="L276">
        <v>1262.55779240623</v>
      </c>
      <c r="M276">
        <v>23.4692444818143</v>
      </c>
      <c r="N276">
        <v>57.014001321653602</v>
      </c>
      <c r="O276">
        <v>53.410258102638103</v>
      </c>
      <c r="P276">
        <v>-6.95343535623799E-2</v>
      </c>
      <c r="Q276">
        <v>0.36703822170547201</v>
      </c>
      <c r="R276">
        <v>0.97557220610347595</v>
      </c>
      <c r="S276" t="s">
        <v>5016</v>
      </c>
      <c r="T276" t="s">
        <v>9478</v>
      </c>
      <c r="U276" t="s">
        <v>9478</v>
      </c>
      <c r="V276" t="s">
        <v>9478</v>
      </c>
      <c r="W276">
        <v>21</v>
      </c>
      <c r="X276" t="s">
        <v>9754</v>
      </c>
      <c r="Y276">
        <v>0.66468437644398393</v>
      </c>
      <c r="Z276" t="str">
        <f>HYPERLINK("Melting_Curves/meltCurve_sp_O75128_COBL_HUMAN_.pdf", "Melting_Curves/meltCurve_sp_O75128_COBL_HUMAN_.pdf")</f>
        <v>Melting_Curves/meltCurve_sp_O75128_COBL_HUMAN_.pdf</v>
      </c>
      <c r="AA276" t="s">
        <v>14489</v>
      </c>
      <c r="AB276" t="s">
        <v>19111</v>
      </c>
    </row>
    <row r="277" spans="1:28" x14ac:dyDescent="0.25">
      <c r="A277" t="s">
        <v>281</v>
      </c>
      <c r="B277">
        <v>0.99904790336628502</v>
      </c>
      <c r="C277">
        <v>0.92832789685768502</v>
      </c>
      <c r="D277">
        <v>0.87008666658714895</v>
      </c>
      <c r="E277">
        <v>0.50864894820727102</v>
      </c>
      <c r="F277">
        <v>0.224998497091422</v>
      </c>
      <c r="G277">
        <v>0.11144673717380001</v>
      </c>
      <c r="H277">
        <v>5.7803655653829097E-2</v>
      </c>
      <c r="I277">
        <v>3.2353417410630303E-2</v>
      </c>
      <c r="J277">
        <v>2.6880882552866098E-2</v>
      </c>
      <c r="K277">
        <v>2.39088116172093E-2</v>
      </c>
      <c r="L277">
        <v>1040.8571950113901</v>
      </c>
      <c r="M277">
        <v>20.871083268072798</v>
      </c>
      <c r="N277">
        <v>50.003588001693402</v>
      </c>
      <c r="O277">
        <v>49.419708719651098</v>
      </c>
      <c r="P277">
        <v>-0.10273728868992001</v>
      </c>
      <c r="Q277">
        <v>2.6958351151193601E-2</v>
      </c>
      <c r="R277">
        <v>0.99813571377348198</v>
      </c>
      <c r="S277" t="s">
        <v>5017</v>
      </c>
      <c r="T277" t="s">
        <v>9478</v>
      </c>
      <c r="U277" t="s">
        <v>9478</v>
      </c>
      <c r="V277" t="s">
        <v>9478</v>
      </c>
      <c r="W277">
        <v>5</v>
      </c>
      <c r="X277" t="s">
        <v>9755</v>
      </c>
      <c r="Y277">
        <v>0.35957618595757418</v>
      </c>
      <c r="Z277" t="str">
        <f>HYPERLINK("Melting_Curves/meltCurve_sp_O75131_CPNE3_HUMAN_.pdf", "Melting_Curves/meltCurve_sp_O75131_CPNE3_HUMAN_.pdf")</f>
        <v>Melting_Curves/meltCurve_sp_O75131_CPNE3_HUMAN_.pdf</v>
      </c>
      <c r="AA277" t="s">
        <v>14490</v>
      </c>
      <c r="AB277" t="s">
        <v>19112</v>
      </c>
    </row>
    <row r="278" spans="1:28" x14ac:dyDescent="0.25">
      <c r="A278" t="s">
        <v>282</v>
      </c>
      <c r="B278">
        <v>0.99904790336628502</v>
      </c>
      <c r="C278">
        <v>1.0176528851818301</v>
      </c>
      <c r="D278">
        <v>1.0826691940968201</v>
      </c>
      <c r="E278">
        <v>0.97580322653763496</v>
      </c>
      <c r="F278">
        <v>0.48408890357592499</v>
      </c>
      <c r="G278">
        <v>0.16685640959895701</v>
      </c>
      <c r="H278">
        <v>8.3553887433555199E-2</v>
      </c>
      <c r="I278">
        <v>5.4420288022328803E-2</v>
      </c>
      <c r="J278">
        <v>4.3674696677694101E-2</v>
      </c>
      <c r="K278">
        <v>3.9718601572325603E-2</v>
      </c>
      <c r="L278">
        <v>2465.9983954110298</v>
      </c>
      <c r="M278">
        <v>46.668478321787603</v>
      </c>
      <c r="N278">
        <v>53.0104238276529</v>
      </c>
      <c r="O278">
        <v>52.744020553175197</v>
      </c>
      <c r="P278">
        <v>-0.20585685356841699</v>
      </c>
      <c r="Q278">
        <v>6.9375618077540502E-2</v>
      </c>
      <c r="R278">
        <v>0.99219709532950895</v>
      </c>
      <c r="S278" t="s">
        <v>5018</v>
      </c>
      <c r="T278" t="s">
        <v>9478</v>
      </c>
      <c r="U278" t="s">
        <v>9478</v>
      </c>
      <c r="V278" t="s">
        <v>9478</v>
      </c>
      <c r="W278">
        <v>23</v>
      </c>
      <c r="X278" t="s">
        <v>9756</v>
      </c>
      <c r="Y278">
        <v>0.47019804152215572</v>
      </c>
      <c r="Z278" t="str">
        <f>HYPERLINK("Melting_Curves/meltCurve_sp_O75146_HIP1R_HUMAN_.pdf", "Melting_Curves/meltCurve_sp_O75146_HIP1R_HUMAN_.pdf")</f>
        <v>Melting_Curves/meltCurve_sp_O75146_HIP1R_HUMAN_.pdf</v>
      </c>
      <c r="AA278" t="s">
        <v>14491</v>
      </c>
      <c r="AB278" t="s">
        <v>19113</v>
      </c>
    </row>
    <row r="279" spans="1:28" x14ac:dyDescent="0.25">
      <c r="A279" t="s">
        <v>283</v>
      </c>
      <c r="B279">
        <v>0.99904790336628502</v>
      </c>
      <c r="C279">
        <v>0.93522293269318402</v>
      </c>
      <c r="D279">
        <v>0.816404285334838</v>
      </c>
      <c r="E279">
        <v>0.56137559368932499</v>
      </c>
      <c r="F279">
        <v>0.36144283245030201</v>
      </c>
      <c r="G279">
        <v>0.20651473149319599</v>
      </c>
      <c r="H279">
        <v>0.127578439716584</v>
      </c>
      <c r="I279">
        <v>0.103569813985416</v>
      </c>
      <c r="J279">
        <v>9.5449842495578405E-2</v>
      </c>
      <c r="K279">
        <v>8.4777434899026297E-2</v>
      </c>
      <c r="L279">
        <v>771.03724846916396</v>
      </c>
      <c r="M279">
        <v>15.328852592149399</v>
      </c>
      <c r="N279">
        <v>50.816889608620698</v>
      </c>
      <c r="O279">
        <v>49.467001753777701</v>
      </c>
      <c r="P279">
        <v>-7.1881890160061801E-2</v>
      </c>
      <c r="Q279">
        <v>7.2219755083281198E-2</v>
      </c>
      <c r="R279">
        <v>0.99969980593201302</v>
      </c>
      <c r="S279" t="s">
        <v>5019</v>
      </c>
      <c r="T279" t="s">
        <v>9478</v>
      </c>
      <c r="U279" t="s">
        <v>9478</v>
      </c>
      <c r="V279" t="s">
        <v>9478</v>
      </c>
      <c r="W279">
        <v>9</v>
      </c>
      <c r="X279" t="s">
        <v>9757</v>
      </c>
      <c r="Y279">
        <v>0.41184879527480311</v>
      </c>
      <c r="Z279" t="str">
        <f>HYPERLINK("Melting_Curves/meltCurve_sp_O75150_BRE1B_HUMAN_.pdf", "Melting_Curves/meltCurve_sp_O75150_BRE1B_HUMAN_.pdf")</f>
        <v>Melting_Curves/meltCurve_sp_O75150_BRE1B_HUMAN_.pdf</v>
      </c>
      <c r="AA279" t="s">
        <v>14492</v>
      </c>
      <c r="AB279" t="s">
        <v>19114</v>
      </c>
    </row>
    <row r="280" spans="1:28" x14ac:dyDescent="0.25">
      <c r="A280" t="s">
        <v>284</v>
      </c>
      <c r="B280">
        <v>0.99904790336628502</v>
      </c>
      <c r="C280">
        <v>0.95355725482648301</v>
      </c>
      <c r="D280">
        <v>0.91876823943772601</v>
      </c>
      <c r="E280">
        <v>0.91565506328698598</v>
      </c>
      <c r="F280">
        <v>1.0051989770218901</v>
      </c>
      <c r="G280">
        <v>0.77904962956703105</v>
      </c>
      <c r="H280">
        <v>0.71417578630788503</v>
      </c>
      <c r="I280">
        <v>0.71779635300033995</v>
      </c>
      <c r="J280">
        <v>0.74198562979057603</v>
      </c>
      <c r="K280">
        <v>0.82770619905767295</v>
      </c>
      <c r="L280">
        <v>14133.5287107206</v>
      </c>
      <c r="M280">
        <v>250</v>
      </c>
      <c r="O280">
        <v>56.5305058419872</v>
      </c>
      <c r="P280">
        <v>-0.27593956101160499</v>
      </c>
      <c r="Q280">
        <v>0.75041599163055805</v>
      </c>
      <c r="R280">
        <v>0.795042813071696</v>
      </c>
      <c r="S280" t="s">
        <v>5020</v>
      </c>
      <c r="T280" t="s">
        <v>9478</v>
      </c>
      <c r="U280" t="s">
        <v>9478</v>
      </c>
      <c r="V280" t="s">
        <v>9478</v>
      </c>
      <c r="W280">
        <v>7</v>
      </c>
      <c r="X280" t="s">
        <v>9758</v>
      </c>
      <c r="Y280">
        <v>0.88799577639115834</v>
      </c>
      <c r="Z280" t="str">
        <f>HYPERLINK("Melting_Curves/meltCurve_sp_O75152_ZC11A_HUMAN_.pdf", "Melting_Curves/meltCurve_sp_O75152_ZC11A_HUMAN_.pdf")</f>
        <v>Melting_Curves/meltCurve_sp_O75152_ZC11A_HUMAN_.pdf</v>
      </c>
      <c r="AA280" t="s">
        <v>14493</v>
      </c>
      <c r="AB280" t="s">
        <v>19115</v>
      </c>
    </row>
    <row r="281" spans="1:28" x14ac:dyDescent="0.25">
      <c r="A281" t="s">
        <v>285</v>
      </c>
      <c r="B281">
        <v>0.99904790336628502</v>
      </c>
      <c r="C281">
        <v>0.95887917005826495</v>
      </c>
      <c r="D281">
        <v>0.89949599878151898</v>
      </c>
      <c r="E281">
        <v>0.76988514719536305</v>
      </c>
      <c r="F281">
        <v>0.70854975015292398</v>
      </c>
      <c r="G281">
        <v>0.51820699448137997</v>
      </c>
      <c r="H281">
        <v>0.42578453719098602</v>
      </c>
      <c r="I281">
        <v>0.36511340774615197</v>
      </c>
      <c r="J281">
        <v>0.32791361057382701</v>
      </c>
      <c r="K281">
        <v>0.33305915662307001</v>
      </c>
      <c r="L281">
        <v>597.57964108885699</v>
      </c>
      <c r="M281">
        <v>11.0326276978489</v>
      </c>
      <c r="N281">
        <v>58.002788368096297</v>
      </c>
      <c r="O281">
        <v>52.476494160296397</v>
      </c>
      <c r="P281">
        <v>-3.89570699042232E-2</v>
      </c>
      <c r="Q281">
        <v>0.25905275588069998</v>
      </c>
      <c r="R281">
        <v>0.99619642531307495</v>
      </c>
      <c r="S281" t="s">
        <v>5021</v>
      </c>
      <c r="T281" t="s">
        <v>9478</v>
      </c>
      <c r="U281" t="s">
        <v>9478</v>
      </c>
      <c r="V281" t="s">
        <v>9478</v>
      </c>
      <c r="W281">
        <v>4</v>
      </c>
      <c r="X281" t="s">
        <v>9759</v>
      </c>
      <c r="Y281">
        <v>0.62931435873546093</v>
      </c>
      <c r="Z281" t="str">
        <f>HYPERLINK("Melting_Curves/meltCurve_sp_O75154_2_RFIP3_HUMAN_.pdf", "Melting_Curves/meltCurve_sp_O75154_2_RFIP3_HUMAN_.pdf")</f>
        <v>Melting_Curves/meltCurve_sp_O75154_2_RFIP3_HUMAN_.pdf</v>
      </c>
      <c r="AA281" t="s">
        <v>14494</v>
      </c>
      <c r="AB281" t="s">
        <v>19116</v>
      </c>
    </row>
    <row r="282" spans="1:28" x14ac:dyDescent="0.25">
      <c r="A282" t="s">
        <v>286</v>
      </c>
      <c r="B282">
        <v>0.99904790336628502</v>
      </c>
      <c r="C282">
        <v>1.0446221750111599</v>
      </c>
      <c r="D282">
        <v>0.95851224638810595</v>
      </c>
      <c r="E282">
        <v>0.95484203803952195</v>
      </c>
      <c r="F282">
        <v>0.86433859933168</v>
      </c>
      <c r="G282">
        <v>0.62157146702545496</v>
      </c>
      <c r="H282">
        <v>0.55014894082375698</v>
      </c>
      <c r="I282">
        <v>0.46934147842653101</v>
      </c>
      <c r="J282">
        <v>0.51303621580259495</v>
      </c>
      <c r="K282">
        <v>0.39005070134993203</v>
      </c>
      <c r="L282">
        <v>1104.78984714853</v>
      </c>
      <c r="M282">
        <v>19.854588408273301</v>
      </c>
      <c r="N282">
        <v>62.182099390917301</v>
      </c>
      <c r="O282">
        <v>55.0888030024106</v>
      </c>
      <c r="P282">
        <v>-5.0638758724339497E-2</v>
      </c>
      <c r="Q282">
        <v>0.43800696222261098</v>
      </c>
      <c r="R282">
        <v>0.97893261977005197</v>
      </c>
      <c r="S282" t="s">
        <v>5022</v>
      </c>
      <c r="T282" t="s">
        <v>9478</v>
      </c>
      <c r="U282" t="s">
        <v>9478</v>
      </c>
      <c r="V282" t="s">
        <v>9478</v>
      </c>
      <c r="W282">
        <v>6</v>
      </c>
      <c r="X282" t="s">
        <v>9760</v>
      </c>
      <c r="Y282">
        <v>0.73848203724658645</v>
      </c>
      <c r="Z282" t="str">
        <f>HYPERLINK("Melting_Curves/meltCurve_sp_O75157_2_T22D2_HUMAN_.pdf", "Melting_Curves/meltCurve_sp_O75157_2_T22D2_HUMAN_.pdf")</f>
        <v>Melting_Curves/meltCurve_sp_O75157_2_T22D2_HUMAN_.pdf</v>
      </c>
      <c r="AA282" t="s">
        <v>14495</v>
      </c>
      <c r="AB282" t="s">
        <v>19117</v>
      </c>
    </row>
    <row r="283" spans="1:28" x14ac:dyDescent="0.25">
      <c r="A283" t="s">
        <v>287</v>
      </c>
      <c r="B283">
        <v>0.99904790336628502</v>
      </c>
      <c r="C283">
        <v>0.98530655285787105</v>
      </c>
      <c r="D283">
        <v>0.95528596146467804</v>
      </c>
      <c r="E283">
        <v>0.58926371783694098</v>
      </c>
      <c r="F283">
        <v>0.30834272560520598</v>
      </c>
      <c r="G283">
        <v>0.135930601591748</v>
      </c>
      <c r="H283">
        <v>8.2315420970225997E-2</v>
      </c>
      <c r="I283">
        <v>5.5325420105958902E-2</v>
      </c>
      <c r="J283">
        <v>3.3746327180845699E-2</v>
      </c>
      <c r="K283">
        <v>2.9570841974379598E-2</v>
      </c>
      <c r="L283">
        <v>1178.0545934013801</v>
      </c>
      <c r="M283">
        <v>23.202440011771898</v>
      </c>
      <c r="N283">
        <v>50.984141714528498</v>
      </c>
      <c r="O283">
        <v>50.4002362917822</v>
      </c>
      <c r="P283">
        <v>-0.109817840110466</v>
      </c>
      <c r="Q283">
        <v>4.5833984588009802E-2</v>
      </c>
      <c r="R283">
        <v>0.99828242280367596</v>
      </c>
      <c r="S283" t="s">
        <v>5023</v>
      </c>
      <c r="T283" t="s">
        <v>9478</v>
      </c>
      <c r="U283" t="s">
        <v>9478</v>
      </c>
      <c r="V283" t="s">
        <v>9478</v>
      </c>
      <c r="W283">
        <v>6</v>
      </c>
      <c r="X283" t="s">
        <v>9761</v>
      </c>
      <c r="Y283">
        <v>0.39842860800093183</v>
      </c>
      <c r="Z283" t="str">
        <f>HYPERLINK("Melting_Curves/meltCurve_sp_O75165_DJC13_HUMAN_.pdf", "Melting_Curves/meltCurve_sp_O75165_DJC13_HUMAN_.pdf")</f>
        <v>Melting_Curves/meltCurve_sp_O75165_DJC13_HUMAN_.pdf</v>
      </c>
      <c r="AA283" t="s">
        <v>14496</v>
      </c>
      <c r="AB283" t="s">
        <v>19118</v>
      </c>
    </row>
    <row r="284" spans="1:28" x14ac:dyDescent="0.25">
      <c r="A284" t="s">
        <v>288</v>
      </c>
      <c r="B284">
        <v>0.99904790336628502</v>
      </c>
      <c r="C284">
        <v>1.02429581251843</v>
      </c>
      <c r="D284">
        <v>0.98075443035919696</v>
      </c>
      <c r="E284">
        <v>0.86874782079476498</v>
      </c>
      <c r="F284">
        <v>0.71289268238033898</v>
      </c>
      <c r="G284">
        <v>0.38722300556683797</v>
      </c>
      <c r="H284">
        <v>0.31570383498249299</v>
      </c>
      <c r="I284">
        <v>0.29595663955368501</v>
      </c>
      <c r="J284">
        <v>0.30910456969954297</v>
      </c>
      <c r="K284">
        <v>0.30470336106895302</v>
      </c>
      <c r="L284">
        <v>1393.18993578346</v>
      </c>
      <c r="M284">
        <v>26.071865749488602</v>
      </c>
      <c r="N284">
        <v>55.313007300653702</v>
      </c>
      <c r="O284">
        <v>53.125100145609402</v>
      </c>
      <c r="P284">
        <v>-8.6677671941512296E-2</v>
      </c>
      <c r="Q284">
        <v>0.29353584350356099</v>
      </c>
      <c r="R284">
        <v>0.99660091025401198</v>
      </c>
      <c r="S284" t="s">
        <v>5024</v>
      </c>
      <c r="T284" t="s">
        <v>9478</v>
      </c>
      <c r="U284" t="s">
        <v>9478</v>
      </c>
      <c r="V284" t="s">
        <v>9478</v>
      </c>
      <c r="W284">
        <v>23</v>
      </c>
      <c r="X284" t="s">
        <v>9762</v>
      </c>
      <c r="Y284">
        <v>0.61598045466332441</v>
      </c>
      <c r="Z284" t="str">
        <f>HYPERLINK("Melting_Curves/meltCurve_sp_O75170_4_PP6R2_HUMAN_.pdf", "Melting_Curves/meltCurve_sp_O75170_4_PP6R2_HUMAN_.pdf")</f>
        <v>Melting_Curves/meltCurve_sp_O75170_4_PP6R2_HUMAN_.pdf</v>
      </c>
      <c r="AA284" t="s">
        <v>14497</v>
      </c>
      <c r="AB284" t="s">
        <v>19119</v>
      </c>
    </row>
    <row r="285" spans="1:28" x14ac:dyDescent="0.25">
      <c r="A285" t="s">
        <v>289</v>
      </c>
      <c r="B285">
        <v>0.99904790336628502</v>
      </c>
      <c r="C285">
        <v>1.0355008301955999</v>
      </c>
      <c r="D285">
        <v>0.98535948674896501</v>
      </c>
      <c r="E285">
        <v>0.88842002896975802</v>
      </c>
      <c r="F285">
        <v>0.802836540051589</v>
      </c>
      <c r="G285">
        <v>0.57921238429780797</v>
      </c>
      <c r="H285">
        <v>0.46536053798042998</v>
      </c>
      <c r="I285">
        <v>0.42673740331324</v>
      </c>
      <c r="J285">
        <v>0.41295980194325899</v>
      </c>
      <c r="K285">
        <v>0.35948659358701102</v>
      </c>
      <c r="L285">
        <v>957.78801005522303</v>
      </c>
      <c r="M285">
        <v>17.399306979393501</v>
      </c>
      <c r="N285">
        <v>59.579297350174897</v>
      </c>
      <c r="O285">
        <v>54.335768251113002</v>
      </c>
      <c r="P285">
        <v>-5.0685999929122302E-2</v>
      </c>
      <c r="Q285">
        <v>0.36689261771691301</v>
      </c>
      <c r="R285">
        <v>0.99501417456469798</v>
      </c>
      <c r="S285" t="s">
        <v>5025</v>
      </c>
      <c r="T285" t="s">
        <v>9478</v>
      </c>
      <c r="U285" t="s">
        <v>9478</v>
      </c>
      <c r="V285" t="s">
        <v>9478</v>
      </c>
      <c r="W285">
        <v>9</v>
      </c>
      <c r="X285" t="s">
        <v>9763</v>
      </c>
      <c r="Y285">
        <v>0.69467020001523294</v>
      </c>
      <c r="Z285" t="str">
        <f>HYPERLINK("Melting_Curves/meltCurve_sp_O75175_CNOT3_HUMAN_.pdf", "Melting_Curves/meltCurve_sp_O75175_CNOT3_HUMAN_.pdf")</f>
        <v>Melting_Curves/meltCurve_sp_O75175_CNOT3_HUMAN_.pdf</v>
      </c>
      <c r="AA285" t="s">
        <v>14498</v>
      </c>
      <c r="AB285" t="s">
        <v>19120</v>
      </c>
    </row>
    <row r="286" spans="1:28" x14ac:dyDescent="0.25">
      <c r="A286" t="s">
        <v>290</v>
      </c>
      <c r="B286">
        <v>0.99904790336628502</v>
      </c>
      <c r="C286">
        <v>1.1300758182638899</v>
      </c>
      <c r="D286">
        <v>1.0418585795911199</v>
      </c>
      <c r="E286">
        <v>1.0141088664314599</v>
      </c>
      <c r="F286">
        <v>1.46173464438481</v>
      </c>
      <c r="G286">
        <v>0.88958504713202102</v>
      </c>
      <c r="H286">
        <v>0.81472345832722304</v>
      </c>
      <c r="I286">
        <v>0.99734428171467204</v>
      </c>
      <c r="J286">
        <v>1.18187309451939</v>
      </c>
      <c r="K286">
        <v>1.0425008612459601</v>
      </c>
      <c r="L286">
        <v>1648.82929840462</v>
      </c>
      <c r="M286">
        <v>24.495116458416401</v>
      </c>
      <c r="O286">
        <v>66.868746027165102</v>
      </c>
      <c r="P286">
        <v>1.1684243471384701E-2</v>
      </c>
      <c r="Q286">
        <v>1.12758451642702</v>
      </c>
      <c r="R286">
        <v>-7.0701142411499204E-2</v>
      </c>
      <c r="S286" t="s">
        <v>5026</v>
      </c>
      <c r="T286" t="s">
        <v>9478</v>
      </c>
      <c r="U286" t="s">
        <v>9478</v>
      </c>
      <c r="V286" t="s">
        <v>9478</v>
      </c>
      <c r="W286">
        <v>1</v>
      </c>
      <c r="X286" t="s">
        <v>9764</v>
      </c>
      <c r="Y286">
        <v>1.0144339110843941</v>
      </c>
      <c r="Z286" t="str">
        <f>HYPERLINK("Melting_Curves/meltCurve_sp_O75177_CREST_HUMAN_.pdf", "Melting_Curves/meltCurve_sp_O75177_CREST_HUMAN_.pdf")</f>
        <v>Melting_Curves/meltCurve_sp_O75177_CREST_HUMAN_.pdf</v>
      </c>
      <c r="AA286" t="s">
        <v>14499</v>
      </c>
      <c r="AB286" t="s">
        <v>19121</v>
      </c>
    </row>
    <row r="287" spans="1:28" x14ac:dyDescent="0.25">
      <c r="A287" t="s">
        <v>291</v>
      </c>
      <c r="B287">
        <v>0.99904790336628502</v>
      </c>
      <c r="C287">
        <v>0.96971339152138403</v>
      </c>
      <c r="D287">
        <v>0.84837269537831295</v>
      </c>
      <c r="E287">
        <v>0.26602605534606399</v>
      </c>
      <c r="F287">
        <v>0.13606096786542701</v>
      </c>
      <c r="G287">
        <v>7.6283732747938093E-2</v>
      </c>
      <c r="H287">
        <v>4.7215337826972799E-2</v>
      </c>
      <c r="I287">
        <v>3.40359020819547E-2</v>
      </c>
      <c r="J287">
        <v>2.8220023862345199E-2</v>
      </c>
      <c r="K287">
        <v>2.1424435819288299E-2</v>
      </c>
      <c r="L287">
        <v>1516.6475361862999</v>
      </c>
      <c r="M287">
        <v>31.407684101459601</v>
      </c>
      <c r="N287">
        <v>48.430159126616701</v>
      </c>
      <c r="O287">
        <v>48.0945715195502</v>
      </c>
      <c r="P287">
        <v>-0.15612290695091799</v>
      </c>
      <c r="Q287">
        <v>4.3721651096554501E-2</v>
      </c>
      <c r="R287">
        <v>0.99770923907651099</v>
      </c>
      <c r="S287" t="s">
        <v>5027</v>
      </c>
      <c r="T287" t="s">
        <v>9478</v>
      </c>
      <c r="U287" t="s">
        <v>9478</v>
      </c>
      <c r="V287" t="s">
        <v>9478</v>
      </c>
      <c r="W287">
        <v>16</v>
      </c>
      <c r="X287" t="s">
        <v>9765</v>
      </c>
      <c r="Y287">
        <v>0.3131920785695359</v>
      </c>
      <c r="Z287" t="str">
        <f>HYPERLINK("Melting_Curves/meltCurve_sp_O75191_XYLB_HUMAN_.pdf", "Melting_Curves/meltCurve_sp_O75191_XYLB_HUMAN_.pdf")</f>
        <v>Melting_Curves/meltCurve_sp_O75191_XYLB_HUMAN_.pdf</v>
      </c>
      <c r="AA287" t="s">
        <v>14500</v>
      </c>
      <c r="AB287" t="s">
        <v>19122</v>
      </c>
    </row>
    <row r="288" spans="1:28" x14ac:dyDescent="0.25">
      <c r="A288" t="s">
        <v>292</v>
      </c>
      <c r="B288">
        <v>0.99904790336628502</v>
      </c>
      <c r="C288">
        <v>1.0397335066298199</v>
      </c>
      <c r="D288">
        <v>0.93790712334021997</v>
      </c>
      <c r="E288">
        <v>0.79931078103643305</v>
      </c>
      <c r="F288">
        <v>0.31469687528967499</v>
      </c>
      <c r="G288">
        <v>0.15812797475799301</v>
      </c>
      <c r="H288">
        <v>8.4595161779404598E-2</v>
      </c>
      <c r="I288">
        <v>6.9918528653205705E-2</v>
      </c>
      <c r="J288">
        <v>5.1273121244534599E-2</v>
      </c>
      <c r="K288">
        <v>5.0174272021290503E-2</v>
      </c>
      <c r="L288">
        <v>1835.36484816193</v>
      </c>
      <c r="M288">
        <v>35.542419434486497</v>
      </c>
      <c r="N288">
        <v>51.867437613970999</v>
      </c>
      <c r="O288">
        <v>51.4760870104693</v>
      </c>
      <c r="P288">
        <v>-0.16009620565935201</v>
      </c>
      <c r="Q288">
        <v>7.2534149236856402E-2</v>
      </c>
      <c r="R288">
        <v>0.99469534392790704</v>
      </c>
      <c r="S288" t="s">
        <v>5028</v>
      </c>
      <c r="T288" t="s">
        <v>9478</v>
      </c>
      <c r="U288" t="s">
        <v>9478</v>
      </c>
      <c r="V288" t="s">
        <v>9478</v>
      </c>
      <c r="W288">
        <v>9</v>
      </c>
      <c r="X288" t="s">
        <v>9766</v>
      </c>
      <c r="Y288">
        <v>0.43654817068532042</v>
      </c>
      <c r="Z288" t="str">
        <f>HYPERLINK("Melting_Curves/meltCurve_sp_O75208_COQ9_HUMAN_.pdf", "Melting_Curves/meltCurve_sp_O75208_COQ9_HUMAN_.pdf")</f>
        <v>Melting_Curves/meltCurve_sp_O75208_COQ9_HUMAN_.pdf</v>
      </c>
      <c r="AA288" t="s">
        <v>14501</v>
      </c>
      <c r="AB288" t="s">
        <v>19123</v>
      </c>
    </row>
    <row r="289" spans="1:28" x14ac:dyDescent="0.25">
      <c r="A289" t="s">
        <v>293</v>
      </c>
      <c r="B289">
        <v>0.99904790336628502</v>
      </c>
      <c r="C289">
        <v>0.94191028243712305</v>
      </c>
      <c r="D289">
        <v>0.92013292966127402</v>
      </c>
      <c r="E289">
        <v>0.97508000140953899</v>
      </c>
      <c r="F289">
        <v>0.96568475706113899</v>
      </c>
      <c r="G289">
        <v>0.80896577755788301</v>
      </c>
      <c r="H289">
        <v>0.31622215594286501</v>
      </c>
      <c r="I289">
        <v>0.112923599008612</v>
      </c>
      <c r="J289">
        <v>7.0052606206828599E-2</v>
      </c>
      <c r="K289">
        <v>5.6311294906667503E-2</v>
      </c>
      <c r="L289">
        <v>2003.4305984853099</v>
      </c>
      <c r="M289">
        <v>33.786681891071296</v>
      </c>
      <c r="N289">
        <v>59.473308929178899</v>
      </c>
      <c r="O289">
        <v>59.089893148534898</v>
      </c>
      <c r="P289">
        <v>-0.13611485363905301</v>
      </c>
      <c r="Q289">
        <v>4.7793004484807097E-2</v>
      </c>
      <c r="R289">
        <v>0.99327234525105002</v>
      </c>
      <c r="S289" t="s">
        <v>5029</v>
      </c>
      <c r="T289" t="s">
        <v>9478</v>
      </c>
      <c r="U289" t="s">
        <v>9478</v>
      </c>
      <c r="V289" t="s">
        <v>9478</v>
      </c>
      <c r="W289">
        <v>16</v>
      </c>
      <c r="X289" t="s">
        <v>9767</v>
      </c>
      <c r="Y289">
        <v>0.66528234138114684</v>
      </c>
      <c r="Z289" t="str">
        <f>HYPERLINK("Melting_Curves/meltCurve_sp_O75223_GGCT_HUMAN_.pdf", "Melting_Curves/meltCurve_sp_O75223_GGCT_HUMAN_.pdf")</f>
        <v>Melting_Curves/meltCurve_sp_O75223_GGCT_HUMAN_.pdf</v>
      </c>
      <c r="AA289" t="s">
        <v>14502</v>
      </c>
      <c r="AB289" t="s">
        <v>19124</v>
      </c>
    </row>
    <row r="290" spans="1:28" x14ac:dyDescent="0.25">
      <c r="A290" t="s">
        <v>294</v>
      </c>
      <c r="B290">
        <v>0.99904790336628502</v>
      </c>
      <c r="C290">
        <v>1.03536965713933</v>
      </c>
      <c r="D290">
        <v>1.07377846494468</v>
      </c>
      <c r="E290">
        <v>0.65262545141645101</v>
      </c>
      <c r="F290">
        <v>0.230049204233301</v>
      </c>
      <c r="G290">
        <v>0.12315393173026599</v>
      </c>
      <c r="H290">
        <v>8.1156643178171201E-2</v>
      </c>
      <c r="I290">
        <v>5.3306714359947702E-2</v>
      </c>
      <c r="J290">
        <v>4.7637045047519401E-2</v>
      </c>
      <c r="K290">
        <v>3.36180983537318E-2</v>
      </c>
      <c r="L290">
        <v>1942.3624552526401</v>
      </c>
      <c r="M290">
        <v>38.250805421115501</v>
      </c>
      <c r="N290">
        <v>50.9653095908483</v>
      </c>
      <c r="O290">
        <v>50.641456864589301</v>
      </c>
      <c r="P290">
        <v>-0.17655092554596799</v>
      </c>
      <c r="Q290">
        <v>6.5036870784041703E-2</v>
      </c>
      <c r="R290">
        <v>0.99273203596809101</v>
      </c>
      <c r="S290" t="s">
        <v>5030</v>
      </c>
      <c r="T290" t="s">
        <v>9478</v>
      </c>
      <c r="U290" t="s">
        <v>9478</v>
      </c>
      <c r="V290" t="s">
        <v>9478</v>
      </c>
      <c r="W290">
        <v>8</v>
      </c>
      <c r="X290" t="s">
        <v>9768</v>
      </c>
      <c r="Y290">
        <v>0.40458062033824121</v>
      </c>
      <c r="Z290" t="str">
        <f>HYPERLINK("Melting_Curves/meltCurve_sp_O75323_NIPS2_HUMAN_.pdf", "Melting_Curves/meltCurve_sp_O75323_NIPS2_HUMAN_.pdf")</f>
        <v>Melting_Curves/meltCurve_sp_O75323_NIPS2_HUMAN_.pdf</v>
      </c>
      <c r="AA290" t="s">
        <v>14503</v>
      </c>
      <c r="AB290" t="s">
        <v>19125</v>
      </c>
    </row>
    <row r="291" spans="1:28" x14ac:dyDescent="0.25">
      <c r="A291" t="s">
        <v>295</v>
      </c>
      <c r="B291">
        <v>0.99904790336628502</v>
      </c>
      <c r="C291">
        <v>0.74521656587351404</v>
      </c>
      <c r="D291">
        <v>0.73406130870292097</v>
      </c>
      <c r="E291">
        <v>0.66052017813000796</v>
      </c>
      <c r="F291">
        <v>0.46887303712257999</v>
      </c>
      <c r="G291">
        <v>0.181324357482364</v>
      </c>
      <c r="H291">
        <v>0.11479020075200801</v>
      </c>
      <c r="I291">
        <v>4.7756969826060501E-2</v>
      </c>
      <c r="J291">
        <v>3.4960026054149697E-2</v>
      </c>
      <c r="K291">
        <v>2.7794210261101002E-2</v>
      </c>
      <c r="L291">
        <v>572.55609667804697</v>
      </c>
      <c r="M291">
        <v>11.200094891349799</v>
      </c>
      <c r="N291">
        <v>51.120646972522202</v>
      </c>
      <c r="O291">
        <v>49.572209784002901</v>
      </c>
      <c r="P291">
        <v>-5.6501521283475201E-2</v>
      </c>
      <c r="Q291">
        <v>0</v>
      </c>
      <c r="R291">
        <v>0.95979370585532697</v>
      </c>
      <c r="S291" t="s">
        <v>5031</v>
      </c>
      <c r="T291" t="s">
        <v>9478</v>
      </c>
      <c r="U291" t="s">
        <v>9478</v>
      </c>
      <c r="V291" t="s">
        <v>9478</v>
      </c>
      <c r="W291">
        <v>6</v>
      </c>
      <c r="X291" t="s">
        <v>9769</v>
      </c>
      <c r="Y291">
        <v>0.40628979558347228</v>
      </c>
      <c r="Z291" t="str">
        <f>HYPERLINK("Melting_Curves/meltCurve_sp_O75340_PDCD6_HUMAN_.pdf", "Melting_Curves/meltCurve_sp_O75340_PDCD6_HUMAN_.pdf")</f>
        <v>Melting_Curves/meltCurve_sp_O75340_PDCD6_HUMAN_.pdf</v>
      </c>
      <c r="AA291" t="s">
        <v>14504</v>
      </c>
      <c r="AB291" t="s">
        <v>19126</v>
      </c>
    </row>
    <row r="292" spans="1:28" x14ac:dyDescent="0.25">
      <c r="A292" t="s">
        <v>296</v>
      </c>
      <c r="B292">
        <v>0.99904790336628502</v>
      </c>
      <c r="C292">
        <v>0.991799129360458</v>
      </c>
      <c r="D292">
        <v>0.94725647682044201</v>
      </c>
      <c r="E292">
        <v>0.97113980713705605</v>
      </c>
      <c r="F292">
        <v>0.99362433233982195</v>
      </c>
      <c r="G292">
        <v>0.84513277163649803</v>
      </c>
      <c r="H292">
        <v>0.78913001611456102</v>
      </c>
      <c r="I292">
        <v>0.84104006100634898</v>
      </c>
      <c r="J292">
        <v>0.91854076678337804</v>
      </c>
      <c r="K292">
        <v>0.94898307554487005</v>
      </c>
      <c r="L292">
        <v>13407.742077032</v>
      </c>
      <c r="M292">
        <v>250</v>
      </c>
      <c r="O292">
        <v>53.627536542552001</v>
      </c>
      <c r="P292">
        <v>-0.153180014408593</v>
      </c>
      <c r="Q292">
        <v>0.86856533166831695</v>
      </c>
      <c r="R292">
        <v>0.59294521205378403</v>
      </c>
      <c r="S292" t="s">
        <v>5032</v>
      </c>
      <c r="T292" t="s">
        <v>9478</v>
      </c>
      <c r="U292" t="s">
        <v>9478</v>
      </c>
      <c r="V292" t="s">
        <v>9478</v>
      </c>
      <c r="W292">
        <v>15</v>
      </c>
      <c r="X292" t="s">
        <v>9770</v>
      </c>
      <c r="Y292">
        <v>0.92829709578566699</v>
      </c>
      <c r="Z292" t="str">
        <f>HYPERLINK("Melting_Curves/meltCurve_sp_O75347_TBCA_HUMAN_.pdf", "Melting_Curves/meltCurve_sp_O75347_TBCA_HUMAN_.pdf")</f>
        <v>Melting_Curves/meltCurve_sp_O75347_TBCA_HUMAN_.pdf</v>
      </c>
      <c r="AA292" t="s">
        <v>14505</v>
      </c>
      <c r="AB292" t="s">
        <v>19127</v>
      </c>
    </row>
    <row r="293" spans="1:28" x14ac:dyDescent="0.25">
      <c r="A293" t="s">
        <v>297</v>
      </c>
      <c r="B293">
        <v>0.99904790336628502</v>
      </c>
      <c r="C293">
        <v>1.1100624884591701</v>
      </c>
      <c r="D293">
        <v>1.14234219629641</v>
      </c>
      <c r="E293">
        <v>0.99469558862906005</v>
      </c>
      <c r="F293">
        <v>0.74673448162846201</v>
      </c>
      <c r="G293">
        <v>0.30863413919549099</v>
      </c>
      <c r="H293">
        <v>0.204353551949852</v>
      </c>
      <c r="I293">
        <v>0.14693830012311801</v>
      </c>
      <c r="J293">
        <v>0.162447661474723</v>
      </c>
      <c r="K293">
        <v>0.21144394522867299</v>
      </c>
      <c r="L293">
        <v>2005.2898082428701</v>
      </c>
      <c r="M293">
        <v>36.952053915712398</v>
      </c>
      <c r="N293">
        <v>54.923974829139802</v>
      </c>
      <c r="O293">
        <v>54.109143820668898</v>
      </c>
      <c r="P293">
        <v>-0.140245916442997</v>
      </c>
      <c r="Q293">
        <v>0.17855014642602901</v>
      </c>
      <c r="R293">
        <v>0.97828810196816196</v>
      </c>
      <c r="S293" t="s">
        <v>5033</v>
      </c>
      <c r="T293" t="s">
        <v>9478</v>
      </c>
      <c r="U293" t="s">
        <v>9478</v>
      </c>
      <c r="V293" t="s">
        <v>9478</v>
      </c>
      <c r="W293">
        <v>5</v>
      </c>
      <c r="X293" t="s">
        <v>9771</v>
      </c>
      <c r="Y293">
        <v>0.57281315700929525</v>
      </c>
      <c r="Z293" t="str">
        <f>HYPERLINK("Melting_Curves/meltCurve_sp_O75348_VATG1_HUMAN_.pdf", "Melting_Curves/meltCurve_sp_O75348_VATG1_HUMAN_.pdf")</f>
        <v>Melting_Curves/meltCurve_sp_O75348_VATG1_HUMAN_.pdf</v>
      </c>
      <c r="AA293" t="s">
        <v>14506</v>
      </c>
      <c r="AB293" t="s">
        <v>19128</v>
      </c>
    </row>
    <row r="294" spans="1:28" x14ac:dyDescent="0.25">
      <c r="A294" t="s">
        <v>298</v>
      </c>
      <c r="B294">
        <v>0.99904790336628502</v>
      </c>
      <c r="C294">
        <v>0.93100103555585201</v>
      </c>
      <c r="D294">
        <v>0.67545491462018004</v>
      </c>
      <c r="E294">
        <v>0.28997728182161803</v>
      </c>
      <c r="F294">
        <v>0.191452477491527</v>
      </c>
      <c r="G294">
        <v>0.14237697945323699</v>
      </c>
      <c r="H294">
        <v>0.103769410005978</v>
      </c>
      <c r="I294">
        <v>7.9704579782027302E-2</v>
      </c>
      <c r="J294">
        <v>7.9150589627337398E-2</v>
      </c>
      <c r="K294">
        <v>7.7106150900040193E-2</v>
      </c>
      <c r="L294">
        <v>1040.6737789246299</v>
      </c>
      <c r="M294">
        <v>22.001746467567301</v>
      </c>
      <c r="N294">
        <v>47.738545450519901</v>
      </c>
      <c r="O294">
        <v>46.9140536733427</v>
      </c>
      <c r="P294">
        <v>-0.106510027885688</v>
      </c>
      <c r="Q294">
        <v>9.1580177311164093E-2</v>
      </c>
      <c r="R294">
        <v>0.99769417241714897</v>
      </c>
      <c r="S294" t="s">
        <v>5034</v>
      </c>
      <c r="T294" t="s">
        <v>9478</v>
      </c>
      <c r="U294" t="s">
        <v>9478</v>
      </c>
      <c r="V294" t="s">
        <v>9478</v>
      </c>
      <c r="W294">
        <v>10</v>
      </c>
      <c r="X294" t="s">
        <v>9772</v>
      </c>
      <c r="Y294">
        <v>0.32329053654201989</v>
      </c>
      <c r="Z294" t="str">
        <f>HYPERLINK("Melting_Curves/meltCurve_sp_O75351_VPS4B_HUMAN_.pdf", "Melting_Curves/meltCurve_sp_O75351_VPS4B_HUMAN_.pdf")</f>
        <v>Melting_Curves/meltCurve_sp_O75351_VPS4B_HUMAN_.pdf</v>
      </c>
      <c r="AA294" t="s">
        <v>14507</v>
      </c>
      <c r="AB294" t="s">
        <v>19129</v>
      </c>
    </row>
    <row r="295" spans="1:28" x14ac:dyDescent="0.25">
      <c r="A295" t="s">
        <v>299</v>
      </c>
      <c r="B295">
        <v>0.99904790336628502</v>
      </c>
      <c r="C295">
        <v>0.93678080509337602</v>
      </c>
      <c r="D295">
        <v>0.92065760850742595</v>
      </c>
      <c r="E295">
        <v>0.513484178268378</v>
      </c>
      <c r="F295">
        <v>0.20894358564930601</v>
      </c>
      <c r="G295">
        <v>9.6951996436761501E-2</v>
      </c>
      <c r="H295">
        <v>5.1360869998236601E-2</v>
      </c>
      <c r="I295">
        <v>3.3607615693872502E-2</v>
      </c>
      <c r="J295">
        <v>2.6421348632644899E-2</v>
      </c>
      <c r="K295">
        <v>2.0815154517884502E-2</v>
      </c>
      <c r="L295">
        <v>1255.8673417299999</v>
      </c>
      <c r="M295">
        <v>25.1226085322579</v>
      </c>
      <c r="N295">
        <v>50.122609870374802</v>
      </c>
      <c r="O295">
        <v>49.676016447792399</v>
      </c>
      <c r="P295">
        <v>-0.122354708050253</v>
      </c>
      <c r="Q295">
        <v>3.2263815112060501E-2</v>
      </c>
      <c r="R295">
        <v>0.99774110343851596</v>
      </c>
      <c r="S295" t="s">
        <v>5035</v>
      </c>
      <c r="T295" t="s">
        <v>9478</v>
      </c>
      <c r="U295" t="s">
        <v>9478</v>
      </c>
      <c r="V295" t="s">
        <v>9478</v>
      </c>
      <c r="W295">
        <v>13</v>
      </c>
      <c r="X295" t="s">
        <v>9773</v>
      </c>
      <c r="Y295">
        <v>0.3630685026991704</v>
      </c>
      <c r="Z295" t="str">
        <f>HYPERLINK("Melting_Curves/meltCurve_sp_O75356_ENTP5_HUMAN_.pdf", "Melting_Curves/meltCurve_sp_O75356_ENTP5_HUMAN_.pdf")</f>
        <v>Melting_Curves/meltCurve_sp_O75356_ENTP5_HUMAN_.pdf</v>
      </c>
      <c r="AA295" t="s">
        <v>14508</v>
      </c>
      <c r="AB295" t="s">
        <v>19130</v>
      </c>
    </row>
    <row r="296" spans="1:28" x14ac:dyDescent="0.25">
      <c r="A296" t="s">
        <v>300</v>
      </c>
      <c r="B296">
        <v>0.99904790336628502</v>
      </c>
      <c r="C296">
        <v>1.0350477613866</v>
      </c>
      <c r="D296">
        <v>0.95389521531886701</v>
      </c>
      <c r="E296">
        <v>0.98811048175908001</v>
      </c>
      <c r="F296">
        <v>0.932651475850232</v>
      </c>
      <c r="G296">
        <v>0.67185354546734599</v>
      </c>
      <c r="H296">
        <v>0.43501604617690698</v>
      </c>
      <c r="I296">
        <v>0.23701777405850599</v>
      </c>
      <c r="J296">
        <v>0.118918087180684</v>
      </c>
      <c r="K296">
        <v>0.100786578660141</v>
      </c>
      <c r="L296">
        <v>1099.3432741418501</v>
      </c>
      <c r="M296">
        <v>18.4689596173253</v>
      </c>
      <c r="N296">
        <v>59.728236375123998</v>
      </c>
      <c r="O296">
        <v>58.839154719358099</v>
      </c>
      <c r="P296">
        <v>-7.6072477907969199E-2</v>
      </c>
      <c r="Q296">
        <v>3.062410553791E-2</v>
      </c>
      <c r="R296">
        <v>0.99549634738572901</v>
      </c>
      <c r="S296" t="s">
        <v>5036</v>
      </c>
      <c r="T296" t="s">
        <v>9478</v>
      </c>
      <c r="U296" t="s">
        <v>9478</v>
      </c>
      <c r="V296" t="s">
        <v>9478</v>
      </c>
      <c r="W296">
        <v>3</v>
      </c>
      <c r="X296" t="s">
        <v>9774</v>
      </c>
      <c r="Y296">
        <v>0.67063182613254146</v>
      </c>
      <c r="Z296" t="str">
        <f>HYPERLINK("Melting_Curves/meltCurve_sp_O75367_2_H2AY_HUMAN_.pdf", "Melting_Curves/meltCurve_sp_O75367_2_H2AY_HUMAN_.pdf")</f>
        <v>Melting_Curves/meltCurve_sp_O75367_2_H2AY_HUMAN_.pdf</v>
      </c>
      <c r="AA296" t="s">
        <v>14509</v>
      </c>
      <c r="AB296" t="s">
        <v>19131</v>
      </c>
    </row>
    <row r="297" spans="1:28" x14ac:dyDescent="0.25">
      <c r="A297" t="s">
        <v>301</v>
      </c>
      <c r="B297">
        <v>0.99904790336628502</v>
      </c>
      <c r="C297">
        <v>0.91630923614446103</v>
      </c>
      <c r="D297">
        <v>0.85424689027224499</v>
      </c>
      <c r="E297">
        <v>0.89134895055533803</v>
      </c>
      <c r="F297">
        <v>0.90305531974550801</v>
      </c>
      <c r="G297">
        <v>0.79302030990606998</v>
      </c>
      <c r="H297">
        <v>0.69541115231502204</v>
      </c>
      <c r="I297">
        <v>0.63267865011677904</v>
      </c>
      <c r="J297">
        <v>0.59669927004065004</v>
      </c>
      <c r="K297">
        <v>0.57543993321634301</v>
      </c>
      <c r="L297">
        <v>304.99871407351202</v>
      </c>
      <c r="M297">
        <v>4.1125277941230998</v>
      </c>
      <c r="O297">
        <v>61.413691157942203</v>
      </c>
      <c r="P297">
        <v>-1.6937864677650301E-2</v>
      </c>
      <c r="Q297">
        <v>0</v>
      </c>
      <c r="R297">
        <v>0.93620007844722497</v>
      </c>
      <c r="S297" t="s">
        <v>5037</v>
      </c>
      <c r="T297" t="s">
        <v>9478</v>
      </c>
      <c r="U297" t="s">
        <v>9478</v>
      </c>
      <c r="V297" t="s">
        <v>9478</v>
      </c>
      <c r="W297">
        <v>8</v>
      </c>
      <c r="X297" t="s">
        <v>9775</v>
      </c>
      <c r="Y297">
        <v>0.79302734181438017</v>
      </c>
      <c r="Z297" t="str">
        <f>HYPERLINK("Melting_Curves/meltCurve_sp_O75368_SH3L1_HUMAN_.pdf", "Melting_Curves/meltCurve_sp_O75368_SH3L1_HUMAN_.pdf")</f>
        <v>Melting_Curves/meltCurve_sp_O75368_SH3L1_HUMAN_.pdf</v>
      </c>
      <c r="AA297" t="s">
        <v>14510</v>
      </c>
      <c r="AB297" t="s">
        <v>19132</v>
      </c>
    </row>
    <row r="298" spans="1:28" x14ac:dyDescent="0.25">
      <c r="A298" t="s">
        <v>302</v>
      </c>
      <c r="B298">
        <v>0.99904790336628502</v>
      </c>
      <c r="C298">
        <v>1.0254690634728001</v>
      </c>
      <c r="D298">
        <v>1.1101199047975201</v>
      </c>
      <c r="E298">
        <v>1.08281902590879</v>
      </c>
      <c r="F298">
        <v>0.93904031094866602</v>
      </c>
      <c r="G298">
        <v>0.48158272193815699</v>
      </c>
      <c r="H298">
        <v>0.20826316083086099</v>
      </c>
      <c r="I298">
        <v>0.12967259775833201</v>
      </c>
      <c r="J298">
        <v>8.3204647414861804E-2</v>
      </c>
      <c r="K298">
        <v>5.5983901938755097E-2</v>
      </c>
      <c r="L298">
        <v>1934.4618840825799</v>
      </c>
      <c r="M298">
        <v>34.118422189866799</v>
      </c>
      <c r="N298">
        <v>57.033914882333498</v>
      </c>
      <c r="O298">
        <v>56.504738919261797</v>
      </c>
      <c r="P298">
        <v>-0.137230959501178</v>
      </c>
      <c r="Q298">
        <v>9.0911195255769794E-2</v>
      </c>
      <c r="R298">
        <v>0.98641630455944496</v>
      </c>
      <c r="S298" t="s">
        <v>5038</v>
      </c>
      <c r="T298" t="s">
        <v>9478</v>
      </c>
      <c r="U298" t="s">
        <v>9478</v>
      </c>
      <c r="V298" t="s">
        <v>9478</v>
      </c>
      <c r="W298">
        <v>163</v>
      </c>
      <c r="X298" t="s">
        <v>9776</v>
      </c>
      <c r="Y298">
        <v>0.60171206612349004</v>
      </c>
      <c r="Z298" t="str">
        <f>HYPERLINK("Melting_Curves/meltCurve_sp_O75369_8_FLNB_HUMAN_.pdf", "Melting_Curves/meltCurve_sp_O75369_8_FLNB_HUMAN_.pdf")</f>
        <v>Melting_Curves/meltCurve_sp_O75369_8_FLNB_HUMAN_.pdf</v>
      </c>
      <c r="AA298" t="s">
        <v>14511</v>
      </c>
      <c r="AB298" t="s">
        <v>19133</v>
      </c>
    </row>
    <row r="299" spans="1:28" x14ac:dyDescent="0.25">
      <c r="A299" t="s">
        <v>303</v>
      </c>
      <c r="B299">
        <v>0.99904790336628502</v>
      </c>
      <c r="C299">
        <v>0.91145071248396003</v>
      </c>
      <c r="D299">
        <v>0.94204836094734301</v>
      </c>
      <c r="E299">
        <v>0.82861776979145596</v>
      </c>
      <c r="F299">
        <v>0.63509953990096901</v>
      </c>
      <c r="G299">
        <v>0.46935330274641501</v>
      </c>
      <c r="H299">
        <v>0.37983374613438697</v>
      </c>
      <c r="I299">
        <v>0.31292505518222402</v>
      </c>
      <c r="J299">
        <v>0.29808116004121299</v>
      </c>
      <c r="K299">
        <v>0.28574636371066497</v>
      </c>
      <c r="L299">
        <v>763.17815066785204</v>
      </c>
      <c r="M299">
        <v>14.271416140762501</v>
      </c>
      <c r="N299">
        <v>56.3409476588876</v>
      </c>
      <c r="O299">
        <v>52.458892422776401</v>
      </c>
      <c r="P299">
        <v>-5.0470794730931398E-2</v>
      </c>
      <c r="Q299">
        <v>0.25800860244787999</v>
      </c>
      <c r="R299">
        <v>0.99203034586348904</v>
      </c>
      <c r="S299" t="s">
        <v>5039</v>
      </c>
      <c r="T299" t="s">
        <v>9478</v>
      </c>
      <c r="U299" t="s">
        <v>9478</v>
      </c>
      <c r="V299" t="s">
        <v>9478</v>
      </c>
      <c r="W299">
        <v>9</v>
      </c>
      <c r="X299" t="s">
        <v>9777</v>
      </c>
      <c r="Y299">
        <v>0.60797884251297052</v>
      </c>
      <c r="Z299" t="str">
        <f>HYPERLINK("Melting_Curves/meltCurve_sp_O75376_NCOR1_HUMAN_.pdf", "Melting_Curves/meltCurve_sp_O75376_NCOR1_HUMAN_.pdf")</f>
        <v>Melting_Curves/meltCurve_sp_O75376_NCOR1_HUMAN_.pdf</v>
      </c>
      <c r="AA299" t="s">
        <v>14512</v>
      </c>
      <c r="AB299" t="s">
        <v>19134</v>
      </c>
    </row>
    <row r="300" spans="1:28" x14ac:dyDescent="0.25">
      <c r="A300" t="s">
        <v>304</v>
      </c>
      <c r="B300">
        <v>0.99904790336628502</v>
      </c>
      <c r="C300">
        <v>0.880214838019726</v>
      </c>
      <c r="D300">
        <v>0.83246109073903396</v>
      </c>
      <c r="E300">
        <v>0.83396760827954897</v>
      </c>
      <c r="F300">
        <v>0.81566166610726798</v>
      </c>
      <c r="G300">
        <v>0.68797462318186897</v>
      </c>
      <c r="H300">
        <v>0.49442924186744802</v>
      </c>
      <c r="I300">
        <v>0.49805270252174799</v>
      </c>
      <c r="J300">
        <v>0.43932073476206601</v>
      </c>
      <c r="K300">
        <v>0.432141967847884</v>
      </c>
      <c r="L300">
        <v>343.95068338207699</v>
      </c>
      <c r="M300">
        <v>5.4783701130174602</v>
      </c>
      <c r="N300">
        <v>64.291266744555799</v>
      </c>
      <c r="O300">
        <v>55.9002811488565</v>
      </c>
      <c r="P300">
        <v>-2.31263657590105E-2</v>
      </c>
      <c r="Q300">
        <v>6.02880340157292E-2</v>
      </c>
      <c r="R300">
        <v>0.95059364041668304</v>
      </c>
      <c r="S300" t="s">
        <v>5040</v>
      </c>
      <c r="T300" t="s">
        <v>9478</v>
      </c>
      <c r="U300" t="s">
        <v>9478</v>
      </c>
      <c r="V300" t="s">
        <v>9478</v>
      </c>
      <c r="W300">
        <v>6</v>
      </c>
      <c r="X300" t="s">
        <v>9778</v>
      </c>
      <c r="Y300">
        <v>0.69676437660907375</v>
      </c>
      <c r="Z300" t="str">
        <f>HYPERLINK("Melting_Curves/meltCurve_sp_O75380_NDUS6_HUMAN_.pdf", "Melting_Curves/meltCurve_sp_O75380_NDUS6_HUMAN_.pdf")</f>
        <v>Melting_Curves/meltCurve_sp_O75380_NDUS6_HUMAN_.pdf</v>
      </c>
      <c r="AA300" t="s">
        <v>14513</v>
      </c>
      <c r="AB300" t="s">
        <v>19135</v>
      </c>
    </row>
    <row r="301" spans="1:28" x14ac:dyDescent="0.25">
      <c r="A301" t="s">
        <v>305</v>
      </c>
      <c r="B301">
        <v>0.99904790336628502</v>
      </c>
      <c r="C301">
        <v>1.11256790511741</v>
      </c>
      <c r="D301">
        <v>1.0255841514089099</v>
      </c>
      <c r="E301">
        <v>1.0240250418998</v>
      </c>
      <c r="F301">
        <v>0.98964418015432898</v>
      </c>
      <c r="G301">
        <v>0.76346474409862697</v>
      </c>
      <c r="H301">
        <v>0.435118330005902</v>
      </c>
      <c r="I301">
        <v>0.228209527295759</v>
      </c>
      <c r="J301">
        <v>0.15247086578619301</v>
      </c>
      <c r="K301">
        <v>0.14294369441334501</v>
      </c>
      <c r="L301">
        <v>1551.82692023916</v>
      </c>
      <c r="M301">
        <v>26.099658137947699</v>
      </c>
      <c r="N301">
        <v>60.072356293778398</v>
      </c>
      <c r="O301">
        <v>59.111963785434099</v>
      </c>
      <c r="P301">
        <v>-9.7449386826306994E-2</v>
      </c>
      <c r="Q301">
        <v>0.11717437691825699</v>
      </c>
      <c r="R301">
        <v>0.98915408267858795</v>
      </c>
      <c r="S301" t="s">
        <v>5041</v>
      </c>
      <c r="T301" t="s">
        <v>9478</v>
      </c>
      <c r="U301" t="s">
        <v>9478</v>
      </c>
      <c r="V301" t="s">
        <v>9478</v>
      </c>
      <c r="W301">
        <v>8</v>
      </c>
      <c r="X301" t="s">
        <v>9779</v>
      </c>
      <c r="Y301">
        <v>0.69640049479916921</v>
      </c>
      <c r="Z301" t="str">
        <f>HYPERLINK("Melting_Curves/meltCurve_sp_O75396_SC22B_HUMAN_.pdf", "Melting_Curves/meltCurve_sp_O75396_SC22B_HUMAN_.pdf")</f>
        <v>Melting_Curves/meltCurve_sp_O75396_SC22B_HUMAN_.pdf</v>
      </c>
      <c r="AA301" t="s">
        <v>14514</v>
      </c>
      <c r="AB301" t="s">
        <v>19136</v>
      </c>
    </row>
    <row r="302" spans="1:28" x14ac:dyDescent="0.25">
      <c r="A302" t="s">
        <v>306</v>
      </c>
      <c r="B302">
        <v>0.99904790336628502</v>
      </c>
      <c r="C302">
        <v>0.94317294405054697</v>
      </c>
      <c r="D302">
        <v>0.98805639719895899</v>
      </c>
      <c r="E302">
        <v>0.80209111887614903</v>
      </c>
      <c r="F302">
        <v>0.85791056395766196</v>
      </c>
      <c r="G302">
        <v>0.72941144521469803</v>
      </c>
      <c r="H302">
        <v>0.70939336836508804</v>
      </c>
      <c r="I302">
        <v>0.52931801687116697</v>
      </c>
      <c r="J302">
        <v>0.67836680198602695</v>
      </c>
      <c r="K302">
        <v>0.53226690896080697</v>
      </c>
      <c r="L302">
        <v>460.65376891588301</v>
      </c>
      <c r="M302">
        <v>8.0236306515831703</v>
      </c>
      <c r="O302">
        <v>54.175274238718103</v>
      </c>
      <c r="P302">
        <v>-2.0015167474023599E-2</v>
      </c>
      <c r="Q302">
        <v>0.46003716179358001</v>
      </c>
      <c r="R302">
        <v>0.88720937394167099</v>
      </c>
      <c r="S302" t="s">
        <v>5042</v>
      </c>
      <c r="T302" t="s">
        <v>9478</v>
      </c>
      <c r="U302" t="s">
        <v>9478</v>
      </c>
      <c r="V302" t="s">
        <v>9478</v>
      </c>
      <c r="W302">
        <v>8</v>
      </c>
      <c r="X302" t="s">
        <v>9780</v>
      </c>
      <c r="Y302">
        <v>0.77811958775291501</v>
      </c>
      <c r="Z302" t="str">
        <f>HYPERLINK("Melting_Curves/meltCurve_sp_O75410_7_TACC1_HUMAN_.pdf", "Melting_Curves/meltCurve_sp_O75410_7_TACC1_HUMAN_.pdf")</f>
        <v>Melting_Curves/meltCurve_sp_O75410_7_TACC1_HUMAN_.pdf</v>
      </c>
      <c r="AA302" t="s">
        <v>14515</v>
      </c>
      <c r="AB302" t="s">
        <v>19137</v>
      </c>
    </row>
    <row r="303" spans="1:28" x14ac:dyDescent="0.25">
      <c r="A303" t="s">
        <v>307</v>
      </c>
      <c r="B303">
        <v>0.99904790336628502</v>
      </c>
      <c r="C303">
        <v>1.1524555346024401</v>
      </c>
      <c r="D303">
        <v>0.802834557317605</v>
      </c>
      <c r="E303">
        <v>0.61577761169270195</v>
      </c>
      <c r="F303">
        <v>0.62408170067386803</v>
      </c>
      <c r="G303">
        <v>0.44696071944583499</v>
      </c>
      <c r="H303">
        <v>0.326483259274639</v>
      </c>
      <c r="I303">
        <v>0.33453151227005501</v>
      </c>
      <c r="J303">
        <v>0.34727519535018098</v>
      </c>
      <c r="K303">
        <v>0.40050624936755402</v>
      </c>
      <c r="L303">
        <v>832.30326726040596</v>
      </c>
      <c r="M303">
        <v>16.609568670175101</v>
      </c>
      <c r="N303">
        <v>53.991756172834897</v>
      </c>
      <c r="O303">
        <v>49.400397568624001</v>
      </c>
      <c r="P303">
        <v>-5.4763996189392802E-2</v>
      </c>
      <c r="Q303">
        <v>0.34852492600065499</v>
      </c>
      <c r="R303">
        <v>0.92215624244536598</v>
      </c>
      <c r="S303" t="s">
        <v>5043</v>
      </c>
      <c r="T303" t="s">
        <v>9478</v>
      </c>
      <c r="U303" t="s">
        <v>9478</v>
      </c>
      <c r="V303" t="s">
        <v>9478</v>
      </c>
      <c r="W303">
        <v>1</v>
      </c>
      <c r="X303" t="s">
        <v>9781</v>
      </c>
      <c r="Y303">
        <v>0.58095622693772975</v>
      </c>
      <c r="Z303" t="str">
        <f>HYPERLINK("Melting_Curves/meltCurve_sp_O75420_PERQ1_HUMAN_.pdf", "Melting_Curves/meltCurve_sp_O75420_PERQ1_HUMAN_.pdf")</f>
        <v>Melting_Curves/meltCurve_sp_O75420_PERQ1_HUMAN_.pdf</v>
      </c>
      <c r="AA303" t="s">
        <v>14516</v>
      </c>
      <c r="AB303" t="s">
        <v>19138</v>
      </c>
    </row>
    <row r="304" spans="1:28" x14ac:dyDescent="0.25">
      <c r="A304" t="s">
        <v>308</v>
      </c>
      <c r="B304">
        <v>0.99904790336628502</v>
      </c>
      <c r="C304">
        <v>0.86101957439082499</v>
      </c>
      <c r="D304">
        <v>0.90681925743099501</v>
      </c>
      <c r="E304">
        <v>0.85564059926608305</v>
      </c>
      <c r="F304">
        <v>0.62070337542311305</v>
      </c>
      <c r="G304">
        <v>0.39594647377095199</v>
      </c>
      <c r="H304">
        <v>0.102847703343752</v>
      </c>
      <c r="I304">
        <v>5.5959544801525103E-2</v>
      </c>
      <c r="J304">
        <v>3.2526263417329601E-2</v>
      </c>
      <c r="K304">
        <v>2.36614580423283E-2</v>
      </c>
      <c r="L304">
        <v>920.83309604837802</v>
      </c>
      <c r="M304">
        <v>16.8144478884977</v>
      </c>
      <c r="N304">
        <v>54.764416219718399</v>
      </c>
      <c r="O304">
        <v>54.0073780551173</v>
      </c>
      <c r="P304">
        <v>-7.7839053741058997E-2</v>
      </c>
      <c r="Q304">
        <v>0</v>
      </c>
      <c r="R304">
        <v>0.98212188456989302</v>
      </c>
      <c r="S304" t="s">
        <v>5044</v>
      </c>
      <c r="T304" t="s">
        <v>9478</v>
      </c>
      <c r="U304" t="s">
        <v>9478</v>
      </c>
      <c r="V304" t="s">
        <v>9478</v>
      </c>
      <c r="W304">
        <v>12</v>
      </c>
      <c r="X304" t="s">
        <v>9782</v>
      </c>
      <c r="Y304">
        <v>0.5092429402142552</v>
      </c>
      <c r="Z304" t="str">
        <f>HYPERLINK("Melting_Curves/meltCurve_sp_O75436_VP26A_HUMAN_.pdf", "Melting_Curves/meltCurve_sp_O75436_VP26A_HUMAN_.pdf")</f>
        <v>Melting_Curves/meltCurve_sp_O75436_VP26A_HUMAN_.pdf</v>
      </c>
      <c r="AA304" t="s">
        <v>14517</v>
      </c>
      <c r="AB304" t="s">
        <v>19139</v>
      </c>
    </row>
    <row r="305" spans="1:28" x14ac:dyDescent="0.25">
      <c r="A305" t="s">
        <v>309</v>
      </c>
      <c r="B305">
        <v>0.99904790336628502</v>
      </c>
      <c r="C305">
        <v>0.77916466992400601</v>
      </c>
      <c r="D305">
        <v>0.52619667165361905</v>
      </c>
      <c r="E305">
        <v>0.24805929371859101</v>
      </c>
      <c r="F305">
        <v>0.13387278991968099</v>
      </c>
      <c r="G305">
        <v>8.1843999668848894E-2</v>
      </c>
      <c r="H305">
        <v>4.9034200007357198E-2</v>
      </c>
      <c r="I305">
        <v>3.41652615456274E-2</v>
      </c>
      <c r="J305">
        <v>2.85673205388218E-2</v>
      </c>
      <c r="K305">
        <v>2.4476455534289201E-2</v>
      </c>
      <c r="L305">
        <v>801.89040527964005</v>
      </c>
      <c r="M305">
        <v>17.345411209307201</v>
      </c>
      <c r="N305">
        <v>46.408790768134097</v>
      </c>
      <c r="O305">
        <v>45.629335062531503</v>
      </c>
      <c r="P305">
        <v>-9.1979608922685002E-2</v>
      </c>
      <c r="Q305">
        <v>3.2198494163019002E-2</v>
      </c>
      <c r="R305">
        <v>0.99582984449053702</v>
      </c>
      <c r="S305" t="s">
        <v>5045</v>
      </c>
      <c r="T305" t="s">
        <v>9478</v>
      </c>
      <c r="U305" t="s">
        <v>9478</v>
      </c>
      <c r="V305" t="s">
        <v>9478</v>
      </c>
      <c r="W305">
        <v>19</v>
      </c>
      <c r="X305" t="s">
        <v>9783</v>
      </c>
      <c r="Y305">
        <v>0.25348496745526827</v>
      </c>
      <c r="Z305" t="str">
        <f>HYPERLINK("Melting_Curves/meltCurve_sp_O75439_MPPB_HUMAN_.pdf", "Melting_Curves/meltCurve_sp_O75439_MPPB_HUMAN_.pdf")</f>
        <v>Melting_Curves/meltCurve_sp_O75439_MPPB_HUMAN_.pdf</v>
      </c>
      <c r="AA305" t="s">
        <v>14518</v>
      </c>
      <c r="AB305" t="s">
        <v>19140</v>
      </c>
    </row>
    <row r="306" spans="1:28" x14ac:dyDescent="0.25">
      <c r="A306" t="s">
        <v>310</v>
      </c>
      <c r="B306">
        <v>0.99904790336628502</v>
      </c>
      <c r="C306">
        <v>0.98659862981638602</v>
      </c>
      <c r="D306">
        <v>0.95498523460026796</v>
      </c>
      <c r="E306">
        <v>0.61234782483892602</v>
      </c>
      <c r="F306">
        <v>0.37034387496202997</v>
      </c>
      <c r="G306">
        <v>0.123867544638061</v>
      </c>
      <c r="H306">
        <v>6.36425986587138E-2</v>
      </c>
      <c r="I306">
        <v>5.3198816907370897E-2</v>
      </c>
      <c r="J306">
        <v>4.4868086554303001E-2</v>
      </c>
      <c r="K306">
        <v>5.0806795092148402E-2</v>
      </c>
      <c r="L306">
        <v>1127.0771395879499</v>
      </c>
      <c r="M306">
        <v>22.0320581765084</v>
      </c>
      <c r="N306">
        <v>51.360248715903701</v>
      </c>
      <c r="O306">
        <v>50.740373805316402</v>
      </c>
      <c r="P306">
        <v>-0.104007139218907</v>
      </c>
      <c r="Q306">
        <v>4.1897020947126697E-2</v>
      </c>
      <c r="R306">
        <v>0.99849686900044698</v>
      </c>
      <c r="S306" t="s">
        <v>5046</v>
      </c>
      <c r="T306" t="s">
        <v>9478</v>
      </c>
      <c r="U306" t="s">
        <v>9478</v>
      </c>
      <c r="V306" t="s">
        <v>9478</v>
      </c>
      <c r="W306">
        <v>2</v>
      </c>
      <c r="X306" t="s">
        <v>9784</v>
      </c>
      <c r="Y306">
        <v>0.40926737964993259</v>
      </c>
      <c r="Z306" t="str">
        <f>HYPERLINK("Melting_Curves/meltCurve_sp_O75449_KTNA1_HUMAN_.pdf", "Melting_Curves/meltCurve_sp_O75449_KTNA1_HUMAN_.pdf")</f>
        <v>Melting_Curves/meltCurve_sp_O75449_KTNA1_HUMAN_.pdf</v>
      </c>
      <c r="AA306" t="s">
        <v>14519</v>
      </c>
      <c r="AB306" t="s">
        <v>19141</v>
      </c>
    </row>
    <row r="307" spans="1:28" x14ac:dyDescent="0.25">
      <c r="A307" t="s">
        <v>311</v>
      </c>
      <c r="B307">
        <v>0.99904790336628502</v>
      </c>
      <c r="C307">
        <v>1.0682396811996</v>
      </c>
      <c r="D307">
        <v>0.84313482845092003</v>
      </c>
      <c r="E307">
        <v>0.48142095494401199</v>
      </c>
      <c r="F307">
        <v>0.27015391762423502</v>
      </c>
      <c r="G307">
        <v>0.12894969449051699</v>
      </c>
      <c r="H307">
        <v>7.7378703544294603E-2</v>
      </c>
      <c r="I307">
        <v>6.1162664835723503E-2</v>
      </c>
      <c r="J307">
        <v>5.36850297446455E-2</v>
      </c>
      <c r="K307">
        <v>3.4135729395759901E-2</v>
      </c>
      <c r="L307">
        <v>1075.4728482094499</v>
      </c>
      <c r="M307">
        <v>21.622742030351802</v>
      </c>
      <c r="N307">
        <v>50.004606935386199</v>
      </c>
      <c r="O307">
        <v>49.318484466706003</v>
      </c>
      <c r="P307">
        <v>-0.103643600391224</v>
      </c>
      <c r="Q307">
        <v>5.44357249986583E-2</v>
      </c>
      <c r="R307">
        <v>0.99276074354748001</v>
      </c>
      <c r="S307" t="s">
        <v>5047</v>
      </c>
      <c r="T307" t="s">
        <v>9478</v>
      </c>
      <c r="U307" t="s">
        <v>9478</v>
      </c>
      <c r="V307" t="s">
        <v>9478</v>
      </c>
      <c r="W307">
        <v>7</v>
      </c>
      <c r="X307" t="s">
        <v>9785</v>
      </c>
      <c r="Y307">
        <v>0.37265497747453391</v>
      </c>
      <c r="Z307" t="str">
        <f>HYPERLINK("Melting_Curves/meltCurve_sp_O75452_RDH16_HUMAN_.pdf", "Melting_Curves/meltCurve_sp_O75452_RDH16_HUMAN_.pdf")</f>
        <v>Melting_Curves/meltCurve_sp_O75452_RDH16_HUMAN_.pdf</v>
      </c>
      <c r="AA307" t="s">
        <v>14520</v>
      </c>
      <c r="AB307" t="s">
        <v>19142</v>
      </c>
    </row>
    <row r="308" spans="1:28" x14ac:dyDescent="0.25">
      <c r="A308" t="s">
        <v>312</v>
      </c>
      <c r="B308">
        <v>0.99904790336628502</v>
      </c>
      <c r="C308">
        <v>0.98699416539603602</v>
      </c>
      <c r="D308">
        <v>0.96591176109101096</v>
      </c>
      <c r="E308">
        <v>0.911255512028734</v>
      </c>
      <c r="F308">
        <v>0.92309299155501301</v>
      </c>
      <c r="G308">
        <v>0.71616262500390904</v>
      </c>
      <c r="H308">
        <v>0.59325845068386596</v>
      </c>
      <c r="I308">
        <v>0.52859269826744903</v>
      </c>
      <c r="J308">
        <v>0.55066723119854699</v>
      </c>
      <c r="K308">
        <v>0.52298061842182997</v>
      </c>
      <c r="L308">
        <v>1102.86224923281</v>
      </c>
      <c r="M308">
        <v>19.623323032941901</v>
      </c>
      <c r="O308">
        <v>55.6277149904979</v>
      </c>
      <c r="P308">
        <v>-4.3187014153439299E-2</v>
      </c>
      <c r="Q308">
        <v>0.51031522507871097</v>
      </c>
      <c r="R308">
        <v>0.98496899020462902</v>
      </c>
      <c r="S308" t="s">
        <v>5048</v>
      </c>
      <c r="T308" t="s">
        <v>9478</v>
      </c>
      <c r="U308" t="s">
        <v>9478</v>
      </c>
      <c r="V308" t="s">
        <v>9478</v>
      </c>
      <c r="W308">
        <v>9</v>
      </c>
      <c r="X308" t="s">
        <v>9786</v>
      </c>
      <c r="Y308">
        <v>0.78118285994108372</v>
      </c>
      <c r="Z308" t="str">
        <f>HYPERLINK("Melting_Curves/meltCurve_sp_O75475_PSIP1_HUMAN_.pdf", "Melting_Curves/meltCurve_sp_O75475_PSIP1_HUMAN_.pdf")</f>
        <v>Melting_Curves/meltCurve_sp_O75475_PSIP1_HUMAN_.pdf</v>
      </c>
      <c r="AA308" t="s">
        <v>14521</v>
      </c>
      <c r="AB308" t="s">
        <v>19143</v>
      </c>
    </row>
    <row r="309" spans="1:28" x14ac:dyDescent="0.25">
      <c r="A309" t="s">
        <v>313</v>
      </c>
      <c r="B309">
        <v>0.99904790336628502</v>
      </c>
      <c r="C309">
        <v>0.94550825618409196</v>
      </c>
      <c r="D309">
        <v>0.90958617735207103</v>
      </c>
      <c r="E309">
        <v>0.87845639561034905</v>
      </c>
      <c r="F309">
        <v>0.69287478685047199</v>
      </c>
      <c r="G309">
        <v>0.26626272499779802</v>
      </c>
      <c r="H309">
        <v>0.11657722837163</v>
      </c>
      <c r="I309">
        <v>7.5889292994428301E-2</v>
      </c>
      <c r="J309">
        <v>5.0655221449414797E-2</v>
      </c>
      <c r="K309">
        <v>2.95633900759299E-2</v>
      </c>
      <c r="L309">
        <v>1229.3111184116301</v>
      </c>
      <c r="M309">
        <v>22.5636745798151</v>
      </c>
      <c r="N309">
        <v>54.641289272803</v>
      </c>
      <c r="O309">
        <v>54.0593411909067</v>
      </c>
      <c r="P309">
        <v>-0.101024764064266</v>
      </c>
      <c r="Q309">
        <v>3.1855938438324703E-2</v>
      </c>
      <c r="R309">
        <v>0.99354993756995302</v>
      </c>
      <c r="S309" t="s">
        <v>5049</v>
      </c>
      <c r="T309" t="s">
        <v>9478</v>
      </c>
      <c r="U309" t="s">
        <v>9478</v>
      </c>
      <c r="V309" t="s">
        <v>9478</v>
      </c>
      <c r="W309">
        <v>5</v>
      </c>
      <c r="X309" t="s">
        <v>9787</v>
      </c>
      <c r="Y309">
        <v>0.50992670625797154</v>
      </c>
      <c r="Z309" t="str">
        <f>HYPERLINK("Melting_Curves/meltCurve_sp_O75503_CLN5_HUMAN_.pdf", "Melting_Curves/meltCurve_sp_O75503_CLN5_HUMAN_.pdf")</f>
        <v>Melting_Curves/meltCurve_sp_O75503_CLN5_HUMAN_.pdf</v>
      </c>
      <c r="AA309" t="s">
        <v>14522</v>
      </c>
      <c r="AB309" t="s">
        <v>19144</v>
      </c>
    </row>
    <row r="310" spans="1:28" x14ac:dyDescent="0.25">
      <c r="A310" t="s">
        <v>314</v>
      </c>
      <c r="B310">
        <v>0.99904790336628502</v>
      </c>
      <c r="C310">
        <v>0.95189168296514604</v>
      </c>
      <c r="D310">
        <v>0.88503769409310995</v>
      </c>
      <c r="E310">
        <v>0.87223512112109303</v>
      </c>
      <c r="F310">
        <v>0.74722008931438999</v>
      </c>
      <c r="G310">
        <v>0.54215919694948</v>
      </c>
      <c r="H310">
        <v>0.42191524298503202</v>
      </c>
      <c r="I310">
        <v>0.344303184466832</v>
      </c>
      <c r="J310">
        <v>0.38888969551031999</v>
      </c>
      <c r="K310">
        <v>0.34031440661524598</v>
      </c>
      <c r="L310">
        <v>744.20806286662798</v>
      </c>
      <c r="M310">
        <v>13.6252190277945</v>
      </c>
      <c r="N310">
        <v>58.548665681038599</v>
      </c>
      <c r="O310">
        <v>53.483646291789398</v>
      </c>
      <c r="P310">
        <v>-4.4614218380246901E-2</v>
      </c>
      <c r="Q310">
        <v>0.29959901134401801</v>
      </c>
      <c r="R310">
        <v>0.984905229866056</v>
      </c>
      <c r="S310" t="s">
        <v>5050</v>
      </c>
      <c r="T310" t="s">
        <v>9478</v>
      </c>
      <c r="U310" t="s">
        <v>9478</v>
      </c>
      <c r="V310" t="s">
        <v>9478</v>
      </c>
      <c r="W310">
        <v>3</v>
      </c>
      <c r="X310" t="s">
        <v>9788</v>
      </c>
      <c r="Y310">
        <v>0.65626700043605324</v>
      </c>
      <c r="Z310" t="str">
        <f>HYPERLINK("Melting_Curves/meltCurve_sp_O75506_HSBP1_HUMAN_.pdf", "Melting_Curves/meltCurve_sp_O75506_HSBP1_HUMAN_.pdf")</f>
        <v>Melting_Curves/meltCurve_sp_O75506_HSBP1_HUMAN_.pdf</v>
      </c>
      <c r="AA310" t="s">
        <v>14523</v>
      </c>
      <c r="AB310" t="s">
        <v>19145</v>
      </c>
    </row>
    <row r="311" spans="1:28" x14ac:dyDescent="0.25">
      <c r="A311" t="s">
        <v>315</v>
      </c>
      <c r="B311">
        <v>0.99904790336628502</v>
      </c>
      <c r="C311">
        <v>1.0696951807065</v>
      </c>
      <c r="D311">
        <v>0.90122553367785796</v>
      </c>
      <c r="E311">
        <v>0.64060793019186602</v>
      </c>
      <c r="F311">
        <v>0.31627533203971397</v>
      </c>
      <c r="G311">
        <v>0.13182344603019699</v>
      </c>
      <c r="H311">
        <v>6.24665078844912E-2</v>
      </c>
      <c r="I311">
        <v>4.0305454664755901E-2</v>
      </c>
      <c r="J311">
        <v>3.463738673741E-2</v>
      </c>
      <c r="K311">
        <v>3.0634396604819002E-2</v>
      </c>
      <c r="L311">
        <v>1163.20186114749</v>
      </c>
      <c r="M311">
        <v>22.777043570880799</v>
      </c>
      <c r="N311">
        <v>51.228704646230902</v>
      </c>
      <c r="O311">
        <v>50.680259982645801</v>
      </c>
      <c r="P311">
        <v>-0.10850907698083501</v>
      </c>
      <c r="Q311">
        <v>3.4262147636022797E-2</v>
      </c>
      <c r="R311">
        <v>0.995338655882126</v>
      </c>
      <c r="S311" t="s">
        <v>5051</v>
      </c>
      <c r="T311" t="s">
        <v>9478</v>
      </c>
      <c r="U311" t="s">
        <v>9478</v>
      </c>
      <c r="V311" t="s">
        <v>9478</v>
      </c>
      <c r="W311">
        <v>25</v>
      </c>
      <c r="X311" t="s">
        <v>9789</v>
      </c>
      <c r="Y311">
        <v>0.40105720945276813</v>
      </c>
      <c r="Z311" t="str">
        <f>HYPERLINK("Melting_Curves/meltCurve_sp_O75521_2_ECI2_HUMAN_.pdf", "Melting_Curves/meltCurve_sp_O75521_2_ECI2_HUMAN_.pdf")</f>
        <v>Melting_Curves/meltCurve_sp_O75521_2_ECI2_HUMAN_.pdf</v>
      </c>
      <c r="AA311" t="s">
        <v>14524</v>
      </c>
      <c r="AB311" t="s">
        <v>19146</v>
      </c>
    </row>
    <row r="312" spans="1:28" x14ac:dyDescent="0.25">
      <c r="A312" t="s">
        <v>316</v>
      </c>
      <c r="B312">
        <v>0.99904790336628502</v>
      </c>
      <c r="C312">
        <v>0.99973686676742801</v>
      </c>
      <c r="D312">
        <v>0.90418381854801499</v>
      </c>
      <c r="E312">
        <v>0.74635577372085005</v>
      </c>
      <c r="F312">
        <v>0.55922315634492004</v>
      </c>
      <c r="G312">
        <v>0.28995039673384099</v>
      </c>
      <c r="H312">
        <v>0.16932353039037301</v>
      </c>
      <c r="I312">
        <v>0.16350402220122201</v>
      </c>
      <c r="J312">
        <v>0.197324286302967</v>
      </c>
      <c r="K312">
        <v>0.186367018891342</v>
      </c>
      <c r="L312">
        <v>989.00939372307698</v>
      </c>
      <c r="M312">
        <v>18.897651724632201</v>
      </c>
      <c r="N312">
        <v>53.384525628631998</v>
      </c>
      <c r="O312">
        <v>51.759546946592302</v>
      </c>
      <c r="P312">
        <v>-7.7117480935837202E-2</v>
      </c>
      <c r="Q312">
        <v>0.155153260884896</v>
      </c>
      <c r="R312">
        <v>0.99481710852685301</v>
      </c>
      <c r="S312" t="s">
        <v>5052</v>
      </c>
      <c r="T312" t="s">
        <v>9478</v>
      </c>
      <c r="U312" t="s">
        <v>9478</v>
      </c>
      <c r="V312" t="s">
        <v>9478</v>
      </c>
      <c r="W312">
        <v>3</v>
      </c>
      <c r="X312" t="s">
        <v>9790</v>
      </c>
      <c r="Y312">
        <v>0.51541100780751592</v>
      </c>
      <c r="Z312" t="str">
        <f>HYPERLINK("Melting_Curves/meltCurve_sp_O75525_2_KHDR3_HUMAN_.pdf", "Melting_Curves/meltCurve_sp_O75525_2_KHDR3_HUMAN_.pdf")</f>
        <v>Melting_Curves/meltCurve_sp_O75525_2_KHDR3_HUMAN_.pdf</v>
      </c>
      <c r="AA312" t="s">
        <v>14525</v>
      </c>
      <c r="AB312" t="s">
        <v>19147</v>
      </c>
    </row>
    <row r="313" spans="1:28" x14ac:dyDescent="0.25">
      <c r="A313" t="s">
        <v>317</v>
      </c>
      <c r="B313">
        <v>0.99904790336628502</v>
      </c>
      <c r="C313">
        <v>0.99883906398851396</v>
      </c>
      <c r="D313">
        <v>0.97797805932478299</v>
      </c>
      <c r="E313">
        <v>0.91790742212823495</v>
      </c>
      <c r="F313">
        <v>0.82315164717833</v>
      </c>
      <c r="G313">
        <v>0.45626569189938998</v>
      </c>
      <c r="H313">
        <v>0.36506041173859199</v>
      </c>
      <c r="I313">
        <v>0.32035438448339898</v>
      </c>
      <c r="J313">
        <v>0.38266351200187498</v>
      </c>
      <c r="K313">
        <v>0.36610223250997997</v>
      </c>
      <c r="L313">
        <v>1777.67025401665</v>
      </c>
      <c r="M313">
        <v>32.7135980312448</v>
      </c>
      <c r="N313">
        <v>56.431979086904803</v>
      </c>
      <c r="O313">
        <v>54.138557406522501</v>
      </c>
      <c r="P313">
        <v>-9.80002535437378E-2</v>
      </c>
      <c r="Q313">
        <v>0.35127065493152698</v>
      </c>
      <c r="R313">
        <v>0.99340432935171896</v>
      </c>
      <c r="S313" t="s">
        <v>5053</v>
      </c>
      <c r="T313" t="s">
        <v>9478</v>
      </c>
      <c r="U313" t="s">
        <v>9478</v>
      </c>
      <c r="V313" t="s">
        <v>9478</v>
      </c>
      <c r="W313">
        <v>5</v>
      </c>
      <c r="X313" t="s">
        <v>9791</v>
      </c>
      <c r="Y313">
        <v>0.66498957833336148</v>
      </c>
      <c r="Z313" t="str">
        <f>HYPERLINK("Melting_Curves/meltCurve_sp_O75531_BAF_HUMAN_.pdf", "Melting_Curves/meltCurve_sp_O75531_BAF_HUMAN_.pdf")</f>
        <v>Melting_Curves/meltCurve_sp_O75531_BAF_HUMAN_.pdf</v>
      </c>
      <c r="AA313" t="s">
        <v>14526</v>
      </c>
      <c r="AB313" t="s">
        <v>19148</v>
      </c>
    </row>
    <row r="314" spans="1:28" x14ac:dyDescent="0.25">
      <c r="A314" t="s">
        <v>318</v>
      </c>
      <c r="B314">
        <v>0.99904790336628502</v>
      </c>
      <c r="C314">
        <v>1.0502334058345</v>
      </c>
      <c r="D314">
        <v>1.0001590652400001</v>
      </c>
      <c r="E314">
        <v>0.752243091585585</v>
      </c>
      <c r="F314">
        <v>0.54524731799738102</v>
      </c>
      <c r="G314">
        <v>0.38148882699479097</v>
      </c>
      <c r="H314">
        <v>0.332034019011819</v>
      </c>
      <c r="I314">
        <v>0.31206348371770998</v>
      </c>
      <c r="J314">
        <v>0.33552824446350399</v>
      </c>
      <c r="K314">
        <v>0.34717628430248498</v>
      </c>
      <c r="L314">
        <v>1345.8901328474001</v>
      </c>
      <c r="M314">
        <v>26.243144801163599</v>
      </c>
      <c r="N314">
        <v>53.488514969956</v>
      </c>
      <c r="O314">
        <v>50.990383382819999</v>
      </c>
      <c r="P314">
        <v>-8.6161858489546397E-2</v>
      </c>
      <c r="Q314">
        <v>0.330358081919015</v>
      </c>
      <c r="R314">
        <v>0.993816342212544</v>
      </c>
      <c r="S314" t="s">
        <v>5054</v>
      </c>
      <c r="T314" t="s">
        <v>9478</v>
      </c>
      <c r="U314" t="s">
        <v>9478</v>
      </c>
      <c r="V314" t="s">
        <v>9478</v>
      </c>
      <c r="W314">
        <v>40</v>
      </c>
      <c r="X314" t="s">
        <v>9792</v>
      </c>
      <c r="Y314">
        <v>0.58778079268184369</v>
      </c>
      <c r="Z314" t="str">
        <f>HYPERLINK("Melting_Curves/meltCurve_sp_O75533_SF3B1_HUMAN_.pdf", "Melting_Curves/meltCurve_sp_O75533_SF3B1_HUMAN_.pdf")</f>
        <v>Melting_Curves/meltCurve_sp_O75533_SF3B1_HUMAN_.pdf</v>
      </c>
      <c r="AA314" t="s">
        <v>14527</v>
      </c>
      <c r="AB314" t="s">
        <v>19149</v>
      </c>
    </row>
    <row r="315" spans="1:28" x14ac:dyDescent="0.25">
      <c r="A315" t="s">
        <v>319</v>
      </c>
      <c r="B315">
        <v>0.99904790336628502</v>
      </c>
      <c r="C315">
        <v>0.94571899011183003</v>
      </c>
      <c r="D315">
        <v>0.86361094471434396</v>
      </c>
      <c r="E315">
        <v>0.52172437992728504</v>
      </c>
      <c r="F315">
        <v>0.29010444175472899</v>
      </c>
      <c r="G315">
        <v>0.18182183593520301</v>
      </c>
      <c r="H315">
        <v>0.12842610579449901</v>
      </c>
      <c r="I315">
        <v>0.101820980041019</v>
      </c>
      <c r="J315">
        <v>8.6842350793606193E-2</v>
      </c>
      <c r="K315">
        <v>7.9937860791659696E-2</v>
      </c>
      <c r="L315">
        <v>973.79692687179795</v>
      </c>
      <c r="M315">
        <v>19.561289561068001</v>
      </c>
      <c r="N315">
        <v>50.293988059274398</v>
      </c>
      <c r="O315">
        <v>49.2703217914978</v>
      </c>
      <c r="P315">
        <v>-9.0294924484533703E-2</v>
      </c>
      <c r="Q315">
        <v>9.0304885381585501E-2</v>
      </c>
      <c r="R315">
        <v>0.99874590605056401</v>
      </c>
      <c r="S315" t="s">
        <v>5055</v>
      </c>
      <c r="T315" t="s">
        <v>9478</v>
      </c>
      <c r="U315" t="s">
        <v>9478</v>
      </c>
      <c r="V315" t="s">
        <v>9478</v>
      </c>
      <c r="W315">
        <v>28</v>
      </c>
      <c r="X315" t="s">
        <v>9793</v>
      </c>
      <c r="Y315">
        <v>0.40016135564182748</v>
      </c>
      <c r="Z315" t="str">
        <f>HYPERLINK("Melting_Curves/meltCurve_sp_O75534_CSDE1_HUMAN_.pdf", "Melting_Curves/meltCurve_sp_O75534_CSDE1_HUMAN_.pdf")</f>
        <v>Melting_Curves/meltCurve_sp_O75534_CSDE1_HUMAN_.pdf</v>
      </c>
      <c r="AA315" t="s">
        <v>14528</v>
      </c>
      <c r="AB315" t="s">
        <v>19150</v>
      </c>
    </row>
    <row r="316" spans="1:28" x14ac:dyDescent="0.25">
      <c r="A316" t="s">
        <v>320</v>
      </c>
      <c r="B316">
        <v>0.99904790336628502</v>
      </c>
      <c r="C316">
        <v>0.90885704178073401</v>
      </c>
      <c r="D316">
        <v>0.87452007229524797</v>
      </c>
      <c r="E316">
        <v>0.75133762184047503</v>
      </c>
      <c r="F316">
        <v>0.59110026281193095</v>
      </c>
      <c r="G316">
        <v>0.45304363076833198</v>
      </c>
      <c r="H316">
        <v>0.205920122747521</v>
      </c>
      <c r="I316">
        <v>0.108567092465731</v>
      </c>
      <c r="J316">
        <v>6.7181137675479896E-2</v>
      </c>
      <c r="K316">
        <v>3.9502196731840397E-2</v>
      </c>
      <c r="L316">
        <v>661.45158615048297</v>
      </c>
      <c r="M316">
        <v>12.1007072025768</v>
      </c>
      <c r="N316">
        <v>54.662225494614802</v>
      </c>
      <c r="O316">
        <v>53.233607043159402</v>
      </c>
      <c r="P316">
        <v>-5.6841589690975997E-2</v>
      </c>
      <c r="Q316">
        <v>0</v>
      </c>
      <c r="R316">
        <v>0.98961799309930598</v>
      </c>
      <c r="S316" t="s">
        <v>5056</v>
      </c>
      <c r="T316" t="s">
        <v>9478</v>
      </c>
      <c r="U316" t="s">
        <v>9478</v>
      </c>
      <c r="V316" t="s">
        <v>9478</v>
      </c>
      <c r="W316">
        <v>10</v>
      </c>
      <c r="X316" t="s">
        <v>9794</v>
      </c>
      <c r="Y316">
        <v>0.51297450752199081</v>
      </c>
      <c r="Z316" t="str">
        <f>HYPERLINK("Melting_Curves/meltCurve_sp_O75600_KBL_HUMAN_.pdf", "Melting_Curves/meltCurve_sp_O75600_KBL_HUMAN_.pdf")</f>
        <v>Melting_Curves/meltCurve_sp_O75600_KBL_HUMAN_.pdf</v>
      </c>
      <c r="AA316" t="s">
        <v>14529</v>
      </c>
      <c r="AB316" t="s">
        <v>19151</v>
      </c>
    </row>
    <row r="317" spans="1:28" x14ac:dyDescent="0.25">
      <c r="A317" t="s">
        <v>321</v>
      </c>
      <c r="B317">
        <v>0.99904790336628502</v>
      </c>
      <c r="C317">
        <v>1.19391500188639</v>
      </c>
      <c r="D317">
        <v>1.1383556901637899</v>
      </c>
      <c r="E317">
        <v>1.0806332340731299</v>
      </c>
      <c r="F317">
        <v>1.0003706685071501</v>
      </c>
      <c r="G317">
        <v>0.68473432328644102</v>
      </c>
      <c r="H317">
        <v>0.452638465434478</v>
      </c>
      <c r="I317">
        <v>0.36123852298471099</v>
      </c>
      <c r="J317">
        <v>0.266238930702974</v>
      </c>
      <c r="K317">
        <v>0.226499051501489</v>
      </c>
      <c r="L317">
        <v>1483.93779922665</v>
      </c>
      <c r="M317">
        <v>25.4304338980408</v>
      </c>
      <c r="N317">
        <v>59.961742492723502</v>
      </c>
      <c r="O317">
        <v>57.995584702240897</v>
      </c>
      <c r="P317">
        <v>-8.2514770933097795E-2</v>
      </c>
      <c r="Q317">
        <v>0.24729050692427901</v>
      </c>
      <c r="R317">
        <v>0.94464130591469597</v>
      </c>
      <c r="S317" t="s">
        <v>5057</v>
      </c>
      <c r="T317" t="s">
        <v>9478</v>
      </c>
      <c r="U317" t="s">
        <v>9478</v>
      </c>
      <c r="V317" t="s">
        <v>9478</v>
      </c>
      <c r="W317">
        <v>1</v>
      </c>
      <c r="X317" t="s">
        <v>9795</v>
      </c>
      <c r="Y317">
        <v>0.71405596663013582</v>
      </c>
      <c r="Z317" t="str">
        <f>HYPERLINK("Melting_Curves/meltCurve_sp_O75607_NPM3_HUMAN_.pdf", "Melting_Curves/meltCurve_sp_O75607_NPM3_HUMAN_.pdf")</f>
        <v>Melting_Curves/meltCurve_sp_O75607_NPM3_HUMAN_.pdf</v>
      </c>
      <c r="AA317" t="s">
        <v>14530</v>
      </c>
      <c r="AB317" t="s">
        <v>19152</v>
      </c>
    </row>
    <row r="318" spans="1:28" x14ac:dyDescent="0.25">
      <c r="A318" t="s">
        <v>322</v>
      </c>
      <c r="B318">
        <v>0.99904790336628502</v>
      </c>
      <c r="C318">
        <v>0.98713661407240905</v>
      </c>
      <c r="D318">
        <v>0.95226886078165895</v>
      </c>
      <c r="E318">
        <v>0.95100647895703405</v>
      </c>
      <c r="F318">
        <v>0.87268798834832195</v>
      </c>
      <c r="G318">
        <v>0.57336830355773905</v>
      </c>
      <c r="H318">
        <v>0.15769242757034099</v>
      </c>
      <c r="I318">
        <v>6.5707914925025507E-2</v>
      </c>
      <c r="J318">
        <v>4.46860723868652E-2</v>
      </c>
      <c r="K318">
        <v>4.3291959695027402E-2</v>
      </c>
      <c r="L318">
        <v>1507.9213795634901</v>
      </c>
      <c r="M318">
        <v>26.3072986936908</v>
      </c>
      <c r="N318">
        <v>57.397774256869901</v>
      </c>
      <c r="O318">
        <v>56.991396161619598</v>
      </c>
      <c r="P318">
        <v>-0.113368720979088</v>
      </c>
      <c r="Q318">
        <v>1.7615905938873501E-2</v>
      </c>
      <c r="R318">
        <v>0.99669429880569305</v>
      </c>
      <c r="S318" t="s">
        <v>5058</v>
      </c>
      <c r="T318" t="s">
        <v>9478</v>
      </c>
      <c r="U318" t="s">
        <v>9478</v>
      </c>
      <c r="V318" t="s">
        <v>9478</v>
      </c>
      <c r="W318">
        <v>6</v>
      </c>
      <c r="X318" t="s">
        <v>9796</v>
      </c>
      <c r="Y318">
        <v>0.59287154846417778</v>
      </c>
      <c r="Z318" t="str">
        <f>HYPERLINK("Melting_Curves/meltCurve_sp_O75608_2_LYPA1_HUMAN_.pdf", "Melting_Curves/meltCurve_sp_O75608_2_LYPA1_HUMAN_.pdf")</f>
        <v>Melting_Curves/meltCurve_sp_O75608_2_LYPA1_HUMAN_.pdf</v>
      </c>
      <c r="AA318" t="s">
        <v>14531</v>
      </c>
      <c r="AB318" t="s">
        <v>19153</v>
      </c>
    </row>
    <row r="319" spans="1:28" x14ac:dyDescent="0.25">
      <c r="A319" t="s">
        <v>323</v>
      </c>
      <c r="B319">
        <v>0.99904790336628502</v>
      </c>
      <c r="C319">
        <v>0.94343883892091496</v>
      </c>
      <c r="D319">
        <v>0.96457589745365202</v>
      </c>
      <c r="E319">
        <v>0.89281282256682304</v>
      </c>
      <c r="F319">
        <v>0.89544753663153498</v>
      </c>
      <c r="G319">
        <v>0.67837203388943601</v>
      </c>
      <c r="H319">
        <v>0.52362427889863195</v>
      </c>
      <c r="I319">
        <v>0.46800289811919998</v>
      </c>
      <c r="J319">
        <v>0.42774002480393603</v>
      </c>
      <c r="K319">
        <v>0.305254464024654</v>
      </c>
      <c r="L319">
        <v>650.81301480057004</v>
      </c>
      <c r="M319">
        <v>10.905154735559099</v>
      </c>
      <c r="N319">
        <v>62.594640406466098</v>
      </c>
      <c r="O319">
        <v>57.777784499959502</v>
      </c>
      <c r="P319">
        <v>-3.7803399898673699E-2</v>
      </c>
      <c r="Q319">
        <v>0.19911817585458</v>
      </c>
      <c r="R319">
        <v>0.98403298663234995</v>
      </c>
      <c r="S319" t="s">
        <v>5059</v>
      </c>
      <c r="T319" t="s">
        <v>9478</v>
      </c>
      <c r="U319" t="s">
        <v>9478</v>
      </c>
      <c r="V319" t="s">
        <v>9478</v>
      </c>
      <c r="W319">
        <v>1</v>
      </c>
      <c r="X319" t="s">
        <v>9797</v>
      </c>
      <c r="Y319">
        <v>0.72568562092202726</v>
      </c>
      <c r="Z319" t="str">
        <f>HYPERLINK("Melting_Curves/meltCurve_sp_O75629_CREG1_HUMAN_.pdf", "Melting_Curves/meltCurve_sp_O75629_CREG1_HUMAN_.pdf")</f>
        <v>Melting_Curves/meltCurve_sp_O75629_CREG1_HUMAN_.pdf</v>
      </c>
      <c r="AA319" t="s">
        <v>14532</v>
      </c>
      <c r="AB319" t="s">
        <v>19154</v>
      </c>
    </row>
    <row r="320" spans="1:28" x14ac:dyDescent="0.25">
      <c r="A320" t="s">
        <v>324</v>
      </c>
      <c r="B320">
        <v>0.99904790336628502</v>
      </c>
      <c r="C320">
        <v>1.0253988159899901</v>
      </c>
      <c r="D320">
        <v>0.94006431877628605</v>
      </c>
      <c r="E320">
        <v>0.69917483894004695</v>
      </c>
      <c r="F320">
        <v>0.44424726676991999</v>
      </c>
      <c r="G320">
        <v>0.31901833548052799</v>
      </c>
      <c r="H320">
        <v>0.28438388050478203</v>
      </c>
      <c r="I320">
        <v>0.28317074873973203</v>
      </c>
      <c r="J320">
        <v>0.27551791393962399</v>
      </c>
      <c r="K320">
        <v>0.289625243249648</v>
      </c>
      <c r="L320">
        <v>1335.1313695915501</v>
      </c>
      <c r="M320">
        <v>26.3920357836802</v>
      </c>
      <c r="N320">
        <v>52.218154938570798</v>
      </c>
      <c r="O320">
        <v>50.300656605758903</v>
      </c>
      <c r="P320">
        <v>-9.4366108407278701E-2</v>
      </c>
      <c r="Q320">
        <v>0.28059725538054398</v>
      </c>
      <c r="R320">
        <v>0.99863355699627698</v>
      </c>
      <c r="S320" t="s">
        <v>5060</v>
      </c>
      <c r="T320" t="s">
        <v>9478</v>
      </c>
      <c r="U320" t="s">
        <v>9478</v>
      </c>
      <c r="V320" t="s">
        <v>9478</v>
      </c>
      <c r="W320">
        <v>9</v>
      </c>
      <c r="X320" t="s">
        <v>9798</v>
      </c>
      <c r="Y320">
        <v>0.54031689118706561</v>
      </c>
      <c r="Z320" t="str">
        <f>HYPERLINK("Melting_Curves/meltCurve_sp_O75643_U520_HUMAN_.pdf", "Melting_Curves/meltCurve_sp_O75643_U520_HUMAN_.pdf")</f>
        <v>Melting_Curves/meltCurve_sp_O75643_U520_HUMAN_.pdf</v>
      </c>
      <c r="AA320" t="s">
        <v>14533</v>
      </c>
      <c r="AB320" t="s">
        <v>19155</v>
      </c>
    </row>
    <row r="321" spans="1:28" x14ac:dyDescent="0.25">
      <c r="A321" t="s">
        <v>325</v>
      </c>
      <c r="B321">
        <v>0.99904790336628502</v>
      </c>
      <c r="C321">
        <v>0.89161627493224005</v>
      </c>
      <c r="D321">
        <v>0.73656392420266903</v>
      </c>
      <c r="E321">
        <v>0.45941525265365502</v>
      </c>
      <c r="F321">
        <v>0.25391473569456902</v>
      </c>
      <c r="G321">
        <v>0.149841470093762</v>
      </c>
      <c r="H321">
        <v>8.7962696192515205E-2</v>
      </c>
      <c r="I321">
        <v>7.9559553938152297E-2</v>
      </c>
      <c r="J321">
        <v>7.5956953579979197E-2</v>
      </c>
      <c r="K321">
        <v>6.7542406873302097E-2</v>
      </c>
      <c r="L321">
        <v>775.70287938886395</v>
      </c>
      <c r="M321">
        <v>15.88482421726</v>
      </c>
      <c r="N321">
        <v>49.215109803372201</v>
      </c>
      <c r="O321">
        <v>48.078661474975704</v>
      </c>
      <c r="P321">
        <v>-7.7811907182621001E-2</v>
      </c>
      <c r="Q321">
        <v>5.80211261416844E-2</v>
      </c>
      <c r="R321">
        <v>0.99873909366844005</v>
      </c>
      <c r="S321" t="s">
        <v>5061</v>
      </c>
      <c r="T321" t="s">
        <v>9478</v>
      </c>
      <c r="U321" t="s">
        <v>9478</v>
      </c>
      <c r="V321" t="s">
        <v>9478</v>
      </c>
      <c r="W321">
        <v>9</v>
      </c>
      <c r="X321" t="s">
        <v>9799</v>
      </c>
      <c r="Y321">
        <v>0.35632848989677068</v>
      </c>
      <c r="Z321" t="str">
        <f>HYPERLINK("Melting_Curves/meltCurve_sp_O75648_MTU1_HUMAN_.pdf", "Melting_Curves/meltCurve_sp_O75648_MTU1_HUMAN_.pdf")</f>
        <v>Melting_Curves/meltCurve_sp_O75648_MTU1_HUMAN_.pdf</v>
      </c>
      <c r="AA321" t="s">
        <v>14534</v>
      </c>
      <c r="AB321" t="s">
        <v>19156</v>
      </c>
    </row>
    <row r="322" spans="1:28" x14ac:dyDescent="0.25">
      <c r="A322" t="s">
        <v>326</v>
      </c>
      <c r="B322">
        <v>0.99904790336628502</v>
      </c>
      <c r="C322">
        <v>0.99933447223664296</v>
      </c>
      <c r="D322">
        <v>0.96128170836905702</v>
      </c>
      <c r="E322">
        <v>0.86768715922119999</v>
      </c>
      <c r="F322">
        <v>0.484494497831926</v>
      </c>
      <c r="G322">
        <v>0.12585240734447001</v>
      </c>
      <c r="H322">
        <v>7.9073931811020404E-2</v>
      </c>
      <c r="I322">
        <v>4.5423489297564401E-2</v>
      </c>
      <c r="J322">
        <v>3.74361845062023E-2</v>
      </c>
      <c r="K322">
        <v>3.0693734606065101E-2</v>
      </c>
      <c r="L322">
        <v>1663.10109793836</v>
      </c>
      <c r="M322">
        <v>31.514406051745699</v>
      </c>
      <c r="N322">
        <v>52.922874181266998</v>
      </c>
      <c r="O322">
        <v>52.5615771929793</v>
      </c>
      <c r="P322">
        <v>-0.143483340165456</v>
      </c>
      <c r="Q322">
        <v>4.2765017985823703E-2</v>
      </c>
      <c r="R322">
        <v>0.99904349955858196</v>
      </c>
      <c r="S322" t="s">
        <v>5062</v>
      </c>
      <c r="T322" t="s">
        <v>9478</v>
      </c>
      <c r="U322" t="s">
        <v>9478</v>
      </c>
      <c r="V322" t="s">
        <v>9478</v>
      </c>
      <c r="W322">
        <v>9</v>
      </c>
      <c r="X322" t="s">
        <v>9800</v>
      </c>
      <c r="Y322">
        <v>0.45593014338973098</v>
      </c>
      <c r="Z322" t="str">
        <f>HYPERLINK("Melting_Curves/meltCurve_sp_O75663_TIPRL_HUMAN_.pdf", "Melting_Curves/meltCurve_sp_O75663_TIPRL_HUMAN_.pdf")</f>
        <v>Melting_Curves/meltCurve_sp_O75663_TIPRL_HUMAN_.pdf</v>
      </c>
      <c r="AA322" t="s">
        <v>14535</v>
      </c>
      <c r="AB322" t="s">
        <v>19157</v>
      </c>
    </row>
    <row r="323" spans="1:28" x14ac:dyDescent="0.25">
      <c r="A323" t="s">
        <v>327</v>
      </c>
      <c r="B323">
        <v>0.99904790336628502</v>
      </c>
      <c r="C323">
        <v>1.01055453984302</v>
      </c>
      <c r="D323">
        <v>1.02360654969418</v>
      </c>
      <c r="E323">
        <v>0.90110454135705098</v>
      </c>
      <c r="F323">
        <v>0.52251563545873203</v>
      </c>
      <c r="G323">
        <v>0.16390127726696899</v>
      </c>
      <c r="H323">
        <v>7.1419893008926705E-2</v>
      </c>
      <c r="I323">
        <v>5.4090358188552103E-2</v>
      </c>
      <c r="J323">
        <v>3.4007501688808103E-2</v>
      </c>
      <c r="K323">
        <v>2.7297095514374502E-2</v>
      </c>
      <c r="L323">
        <v>1675.62582811177</v>
      </c>
      <c r="M323">
        <v>31.542802786032901</v>
      </c>
      <c r="N323">
        <v>53.278128229364299</v>
      </c>
      <c r="O323">
        <v>52.910139206925301</v>
      </c>
      <c r="P323">
        <v>-0.142472352301585</v>
      </c>
      <c r="Q323">
        <v>4.4068236571868397E-2</v>
      </c>
      <c r="R323">
        <v>0.998581576171233</v>
      </c>
      <c r="S323" t="s">
        <v>5063</v>
      </c>
      <c r="T323" t="s">
        <v>9478</v>
      </c>
      <c r="U323" t="s">
        <v>9478</v>
      </c>
      <c r="V323" t="s">
        <v>9478</v>
      </c>
      <c r="W323">
        <v>8</v>
      </c>
      <c r="X323" t="s">
        <v>9801</v>
      </c>
      <c r="Y323">
        <v>0.46782942004293487</v>
      </c>
      <c r="Z323" t="str">
        <f>HYPERLINK("Melting_Curves/meltCurve_sp_O75688_PPM1B_HUMAN_.pdf", "Melting_Curves/meltCurve_sp_O75688_PPM1B_HUMAN_.pdf")</f>
        <v>Melting_Curves/meltCurve_sp_O75688_PPM1B_HUMAN_.pdf</v>
      </c>
      <c r="AA323" t="s">
        <v>14536</v>
      </c>
      <c r="AB323" t="s">
        <v>19158</v>
      </c>
    </row>
    <row r="324" spans="1:28" x14ac:dyDescent="0.25">
      <c r="A324" t="s">
        <v>328</v>
      </c>
      <c r="B324">
        <v>0.99904790336628502</v>
      </c>
      <c r="C324">
        <v>0.85723586181351696</v>
      </c>
      <c r="D324">
        <v>0.85280600816591201</v>
      </c>
      <c r="E324">
        <v>0.79679795016279198</v>
      </c>
      <c r="F324">
        <v>0.83207838444409699</v>
      </c>
      <c r="G324">
        <v>0.21332317358844699</v>
      </c>
      <c r="H324">
        <v>7.2902337998882696E-2</v>
      </c>
      <c r="I324">
        <v>3.8487606476149003E-2</v>
      </c>
      <c r="J324">
        <v>1.1324995940000301E-2</v>
      </c>
      <c r="K324">
        <v>3.7288727700357897E-2</v>
      </c>
      <c r="L324">
        <v>1683.20240647539</v>
      </c>
      <c r="M324">
        <v>30.672439491038801</v>
      </c>
      <c r="N324">
        <v>54.948283500871803</v>
      </c>
      <c r="O324">
        <v>54.645024978795199</v>
      </c>
      <c r="P324">
        <v>-0.13757810614023899</v>
      </c>
      <c r="Q324">
        <v>1.95870509953972E-2</v>
      </c>
      <c r="R324">
        <v>0.95410203950852301</v>
      </c>
      <c r="S324" t="s">
        <v>5064</v>
      </c>
      <c r="T324" t="s">
        <v>9478</v>
      </c>
      <c r="U324" t="s">
        <v>9478</v>
      </c>
      <c r="V324" t="s">
        <v>9478</v>
      </c>
      <c r="W324">
        <v>4</v>
      </c>
      <c r="X324" t="s">
        <v>9802</v>
      </c>
      <c r="Y324">
        <v>0.51199318971969598</v>
      </c>
      <c r="Z324" t="str">
        <f>HYPERLINK("Melting_Curves/meltCurve_sp_O75695_XRP2_HUMAN_.pdf", "Melting_Curves/meltCurve_sp_O75695_XRP2_HUMAN_.pdf")</f>
        <v>Melting_Curves/meltCurve_sp_O75695_XRP2_HUMAN_.pdf</v>
      </c>
      <c r="AA324" t="s">
        <v>14537</v>
      </c>
      <c r="AB324" t="s">
        <v>19159</v>
      </c>
    </row>
    <row r="325" spans="1:28" x14ac:dyDescent="0.25">
      <c r="A325" t="s">
        <v>329</v>
      </c>
      <c r="B325">
        <v>0.99904790336628502</v>
      </c>
      <c r="C325">
        <v>1.11110069830642</v>
      </c>
      <c r="D325">
        <v>1.0359492691490699</v>
      </c>
      <c r="E325">
        <v>0.98054101738890498</v>
      </c>
      <c r="F325">
        <v>0.88052388629644895</v>
      </c>
      <c r="G325">
        <v>0.58988438898362405</v>
      </c>
      <c r="H325">
        <v>0.494548496690702</v>
      </c>
      <c r="I325">
        <v>0.493638662970875</v>
      </c>
      <c r="J325">
        <v>0.51164568405822597</v>
      </c>
      <c r="K325">
        <v>0.50079706788246103</v>
      </c>
      <c r="L325">
        <v>2044.3219490583699</v>
      </c>
      <c r="M325">
        <v>37.400804546989001</v>
      </c>
      <c r="N325">
        <v>63.775810844654998</v>
      </c>
      <c r="O325">
        <v>54.504281384240997</v>
      </c>
      <c r="P325">
        <v>-8.6184073321648694E-2</v>
      </c>
      <c r="Q325">
        <v>0.49761638050180901</v>
      </c>
      <c r="R325">
        <v>0.97720923149543704</v>
      </c>
      <c r="S325" t="s">
        <v>5065</v>
      </c>
      <c r="T325" t="s">
        <v>9478</v>
      </c>
      <c r="U325" t="s">
        <v>9478</v>
      </c>
      <c r="V325" t="s">
        <v>9478</v>
      </c>
      <c r="W325">
        <v>11</v>
      </c>
      <c r="X325" t="s">
        <v>9803</v>
      </c>
      <c r="Y325">
        <v>0.74527444909269602</v>
      </c>
      <c r="Z325" t="str">
        <f>HYPERLINK("Melting_Curves/meltCurve_sp_O75764_TCEA3_HUMAN_.pdf", "Melting_Curves/meltCurve_sp_O75764_TCEA3_HUMAN_.pdf")</f>
        <v>Melting_Curves/meltCurve_sp_O75764_TCEA3_HUMAN_.pdf</v>
      </c>
      <c r="AA325" t="s">
        <v>14538</v>
      </c>
      <c r="AB325" t="s">
        <v>19160</v>
      </c>
    </row>
    <row r="326" spans="1:28" x14ac:dyDescent="0.25">
      <c r="A326" t="s">
        <v>330</v>
      </c>
      <c r="B326">
        <v>0.99904790336628502</v>
      </c>
      <c r="C326">
        <v>0.89348604563290801</v>
      </c>
      <c r="D326">
        <v>0.95242535871484402</v>
      </c>
      <c r="E326">
        <v>0.88474644187090601</v>
      </c>
      <c r="F326">
        <v>0.91758729367412395</v>
      </c>
      <c r="G326">
        <v>0.73928554399042701</v>
      </c>
      <c r="H326">
        <v>0.55449364302479098</v>
      </c>
      <c r="I326">
        <v>0.305087160994366</v>
      </c>
      <c r="J326">
        <v>9.7732754053694304E-2</v>
      </c>
      <c r="K326">
        <v>7.1592137013617899E-2</v>
      </c>
      <c r="L326">
        <v>1066.5110175319801</v>
      </c>
      <c r="M326">
        <v>17.532904456086701</v>
      </c>
      <c r="N326">
        <v>60.829112975584302</v>
      </c>
      <c r="O326">
        <v>60.054353217263902</v>
      </c>
      <c r="P326">
        <v>-7.2991663844342206E-2</v>
      </c>
      <c r="Q326">
        <v>0</v>
      </c>
      <c r="R326">
        <v>0.97253856766845004</v>
      </c>
      <c r="S326" t="s">
        <v>5066</v>
      </c>
      <c r="T326" t="s">
        <v>9478</v>
      </c>
      <c r="U326" t="s">
        <v>9478</v>
      </c>
      <c r="V326" t="s">
        <v>9478</v>
      </c>
      <c r="W326">
        <v>2</v>
      </c>
      <c r="X326" t="s">
        <v>9804</v>
      </c>
      <c r="Y326">
        <v>0.69990450142327298</v>
      </c>
      <c r="Z326" t="str">
        <f>HYPERLINK("Melting_Curves/meltCurve_sp_O75818_2_RPP40_HUMAN_.pdf", "Melting_Curves/meltCurve_sp_O75818_2_RPP40_HUMAN_.pdf")</f>
        <v>Melting_Curves/meltCurve_sp_O75818_2_RPP40_HUMAN_.pdf</v>
      </c>
      <c r="AA326" t="s">
        <v>14539</v>
      </c>
      <c r="AB326" t="s">
        <v>19161</v>
      </c>
    </row>
    <row r="327" spans="1:28" x14ac:dyDescent="0.25">
      <c r="A327" t="s">
        <v>331</v>
      </c>
      <c r="B327">
        <v>0.99904790336628502</v>
      </c>
      <c r="C327">
        <v>1.0951392946024801</v>
      </c>
      <c r="D327">
        <v>0.99301009376409699</v>
      </c>
      <c r="E327">
        <v>0.95893729740144595</v>
      </c>
      <c r="F327">
        <v>0.86648992125188795</v>
      </c>
      <c r="G327">
        <v>0.62903076293290106</v>
      </c>
      <c r="H327">
        <v>0.469421658990892</v>
      </c>
      <c r="I327">
        <v>0.40246570687411998</v>
      </c>
      <c r="J327">
        <v>0.34135909585923502</v>
      </c>
      <c r="K327">
        <v>0.32395529493487901</v>
      </c>
      <c r="L327">
        <v>1088.94992135281</v>
      </c>
      <c r="M327">
        <v>19.174441806742301</v>
      </c>
      <c r="N327">
        <v>59.893913334331501</v>
      </c>
      <c r="O327">
        <v>56.184844097113803</v>
      </c>
      <c r="P327">
        <v>-5.8463195567139102E-2</v>
      </c>
      <c r="Q327">
        <v>0.31479223926715699</v>
      </c>
      <c r="R327">
        <v>0.98790534603701496</v>
      </c>
      <c r="S327" t="s">
        <v>5067</v>
      </c>
      <c r="T327" t="s">
        <v>9478</v>
      </c>
      <c r="U327" t="s">
        <v>9478</v>
      </c>
      <c r="V327" t="s">
        <v>9478</v>
      </c>
      <c r="W327">
        <v>6</v>
      </c>
      <c r="X327" t="s">
        <v>9805</v>
      </c>
      <c r="Y327">
        <v>0.70724842199312699</v>
      </c>
      <c r="Z327" t="str">
        <f>HYPERLINK("Melting_Curves/meltCurve_sp_O75821_EIF3G_HUMAN_.pdf", "Melting_Curves/meltCurve_sp_O75821_EIF3G_HUMAN_.pdf")</f>
        <v>Melting_Curves/meltCurve_sp_O75821_EIF3G_HUMAN_.pdf</v>
      </c>
      <c r="AA327" t="s">
        <v>14540</v>
      </c>
      <c r="AB327" t="s">
        <v>19162</v>
      </c>
    </row>
    <row r="328" spans="1:28" x14ac:dyDescent="0.25">
      <c r="A328" t="s">
        <v>332</v>
      </c>
      <c r="B328">
        <v>0.99904790336628502</v>
      </c>
      <c r="C328">
        <v>1.0742961028291</v>
      </c>
      <c r="D328">
        <v>0.96213125448187098</v>
      </c>
      <c r="E328">
        <v>0.87434122364292</v>
      </c>
      <c r="F328">
        <v>0.74784264595559002</v>
      </c>
      <c r="G328">
        <v>0.50623935246763596</v>
      </c>
      <c r="H328">
        <v>0.40760772476184498</v>
      </c>
      <c r="I328">
        <v>0.366472791886363</v>
      </c>
      <c r="J328">
        <v>0.40967901071670298</v>
      </c>
      <c r="K328">
        <v>0.40095500044492999</v>
      </c>
      <c r="L328">
        <v>1192.1717519951101</v>
      </c>
      <c r="M328">
        <v>22.249891186691698</v>
      </c>
      <c r="N328">
        <v>57.268918474752397</v>
      </c>
      <c r="O328">
        <v>53.153833030055303</v>
      </c>
      <c r="P328">
        <v>-6.4812218043050998E-2</v>
      </c>
      <c r="Q328">
        <v>0.38068119905091302</v>
      </c>
      <c r="R328">
        <v>0.98762068209875498</v>
      </c>
      <c r="S328" t="s">
        <v>5068</v>
      </c>
      <c r="T328" t="s">
        <v>9478</v>
      </c>
      <c r="U328" t="s">
        <v>9478</v>
      </c>
      <c r="V328" t="s">
        <v>9478</v>
      </c>
      <c r="W328">
        <v>7</v>
      </c>
      <c r="X328" t="s">
        <v>9806</v>
      </c>
      <c r="Y328">
        <v>0.66810661437349106</v>
      </c>
      <c r="Z328" t="str">
        <f>HYPERLINK("Melting_Curves/meltCurve_sp_O75822_EIF3J_HUMAN_.pdf", "Melting_Curves/meltCurve_sp_O75822_EIF3J_HUMAN_.pdf")</f>
        <v>Melting_Curves/meltCurve_sp_O75822_EIF3J_HUMAN_.pdf</v>
      </c>
      <c r="AA328" t="s">
        <v>14541</v>
      </c>
      <c r="AB328" t="s">
        <v>19163</v>
      </c>
    </row>
    <row r="329" spans="1:28" x14ac:dyDescent="0.25">
      <c r="A329" t="s">
        <v>333</v>
      </c>
      <c r="B329">
        <v>0.99904790336628502</v>
      </c>
      <c r="C329">
        <v>1.0359938707016101</v>
      </c>
      <c r="D329">
        <v>0.99240230863647805</v>
      </c>
      <c r="E329">
        <v>0.91490452111854803</v>
      </c>
      <c r="F329">
        <v>0.77719239587577005</v>
      </c>
      <c r="G329">
        <v>0.41833587539772199</v>
      </c>
      <c r="H329">
        <v>0.16494526394237499</v>
      </c>
      <c r="I329">
        <v>9.4275638262848502E-2</v>
      </c>
      <c r="J329">
        <v>5.2924049937144502E-2</v>
      </c>
      <c r="K329">
        <v>3.1682925225242402E-2</v>
      </c>
      <c r="L329">
        <v>1175.56889302999</v>
      </c>
      <c r="M329">
        <v>20.999299692699999</v>
      </c>
      <c r="N329">
        <v>56.098916760994598</v>
      </c>
      <c r="O329">
        <v>55.4810833851122</v>
      </c>
      <c r="P329">
        <v>-9.2589009032877506E-2</v>
      </c>
      <c r="Q329">
        <v>2.1529164761704099E-2</v>
      </c>
      <c r="R329">
        <v>0.99900613334391097</v>
      </c>
      <c r="S329" t="s">
        <v>5069</v>
      </c>
      <c r="T329" t="s">
        <v>9478</v>
      </c>
      <c r="U329" t="s">
        <v>9478</v>
      </c>
      <c r="V329" t="s">
        <v>9478</v>
      </c>
      <c r="W329">
        <v>4</v>
      </c>
      <c r="X329" t="s">
        <v>9807</v>
      </c>
      <c r="Y329">
        <v>0.55455356032943637</v>
      </c>
      <c r="Z329" t="str">
        <f>HYPERLINK("Melting_Curves/meltCurve_sp_O75828_CBR3_HUMAN_.pdf", "Melting_Curves/meltCurve_sp_O75828_CBR3_HUMAN_.pdf")</f>
        <v>Melting_Curves/meltCurve_sp_O75828_CBR3_HUMAN_.pdf</v>
      </c>
      <c r="AA329" t="s">
        <v>14542</v>
      </c>
      <c r="AB329" t="s">
        <v>19164</v>
      </c>
    </row>
    <row r="330" spans="1:28" x14ac:dyDescent="0.25">
      <c r="A330" t="s">
        <v>334</v>
      </c>
      <c r="B330">
        <v>0.99904790336628502</v>
      </c>
      <c r="C330">
        <v>0.51538049416890896</v>
      </c>
      <c r="D330">
        <v>0.50128454286068802</v>
      </c>
      <c r="E330">
        <v>0.55332388838077995</v>
      </c>
      <c r="F330">
        <v>0.40106857549465103</v>
      </c>
      <c r="G330">
        <v>0.25156540391907101</v>
      </c>
      <c r="H330">
        <v>9.7072384395582495E-2</v>
      </c>
      <c r="I330">
        <v>3.0755802444199499E-2</v>
      </c>
      <c r="J330">
        <v>0</v>
      </c>
      <c r="K330">
        <v>0</v>
      </c>
      <c r="L330">
        <v>402.08015220577801</v>
      </c>
      <c r="M330">
        <v>8.4063545428557003</v>
      </c>
      <c r="N330">
        <v>47.8305019019691</v>
      </c>
      <c r="O330">
        <v>45.353664805920999</v>
      </c>
      <c r="P330">
        <v>-4.6381331933017203E-2</v>
      </c>
      <c r="Q330">
        <v>0</v>
      </c>
      <c r="R330">
        <v>0.86431375577175895</v>
      </c>
      <c r="S330" t="s">
        <v>5070</v>
      </c>
      <c r="T330" t="s">
        <v>9478</v>
      </c>
      <c r="U330" t="s">
        <v>9478</v>
      </c>
      <c r="V330" t="s">
        <v>9478</v>
      </c>
      <c r="W330">
        <v>2</v>
      </c>
      <c r="X330" t="s">
        <v>9808</v>
      </c>
      <c r="Y330">
        <v>0.33014235434807471</v>
      </c>
      <c r="Z330" t="str">
        <f>HYPERLINK("Melting_Curves/meltCurve_sp_O75843_AP1G2_HUMAN_.pdf", "Melting_Curves/meltCurve_sp_O75843_AP1G2_HUMAN_.pdf")</f>
        <v>Melting_Curves/meltCurve_sp_O75843_AP1G2_HUMAN_.pdf</v>
      </c>
      <c r="AA330" t="s">
        <v>14543</v>
      </c>
      <c r="AB330" t="s">
        <v>19165</v>
      </c>
    </row>
    <row r="331" spans="1:28" x14ac:dyDescent="0.25">
      <c r="A331" t="s">
        <v>335</v>
      </c>
      <c r="B331">
        <v>0.99904790336628502</v>
      </c>
      <c r="C331">
        <v>0.90182971776740295</v>
      </c>
      <c r="D331">
        <v>0.86728299991690005</v>
      </c>
      <c r="E331">
        <v>0.65217901015078805</v>
      </c>
      <c r="F331">
        <v>0.35709416517169901</v>
      </c>
      <c r="G331">
        <v>0.174092109413895</v>
      </c>
      <c r="H331">
        <v>7.5507856749867597E-2</v>
      </c>
      <c r="I331">
        <v>8.5185809094619105E-2</v>
      </c>
      <c r="J331">
        <v>2.9787063361247201E-2</v>
      </c>
      <c r="K331">
        <v>4.9859857266599299E-2</v>
      </c>
      <c r="L331">
        <v>855.53177546120196</v>
      </c>
      <c r="M331">
        <v>16.696227229655602</v>
      </c>
      <c r="N331">
        <v>51.410423284404899</v>
      </c>
      <c r="O331">
        <v>50.522876890133801</v>
      </c>
      <c r="P331">
        <v>-8.0411302726137002E-2</v>
      </c>
      <c r="Q331">
        <v>2.67643656144794E-2</v>
      </c>
      <c r="R331">
        <v>0.994800349894708</v>
      </c>
      <c r="S331" t="s">
        <v>5071</v>
      </c>
      <c r="T331" t="s">
        <v>9478</v>
      </c>
      <c r="U331" t="s">
        <v>9478</v>
      </c>
      <c r="V331" t="s">
        <v>9478</v>
      </c>
      <c r="W331">
        <v>2</v>
      </c>
      <c r="X331" t="s">
        <v>9809</v>
      </c>
      <c r="Y331">
        <v>0.41008939185428261</v>
      </c>
      <c r="Z331" t="str">
        <f>HYPERLINK("Melting_Curves/meltCurve_sp_O75865_TPC6A_HUMAN_.pdf", "Melting_Curves/meltCurve_sp_O75865_TPC6A_HUMAN_.pdf")</f>
        <v>Melting_Curves/meltCurve_sp_O75865_TPC6A_HUMAN_.pdf</v>
      </c>
      <c r="AA331" t="s">
        <v>14544</v>
      </c>
      <c r="AB331" t="s">
        <v>19166</v>
      </c>
    </row>
    <row r="332" spans="1:28" x14ac:dyDescent="0.25">
      <c r="A332" t="s">
        <v>336</v>
      </c>
      <c r="B332">
        <v>0.99904790336628502</v>
      </c>
      <c r="C332">
        <v>0.94537605319856599</v>
      </c>
      <c r="D332">
        <v>0.95061867830920599</v>
      </c>
      <c r="E332">
        <v>0.428977434406144</v>
      </c>
      <c r="F332">
        <v>0.14263939656247099</v>
      </c>
      <c r="G332">
        <v>7.5103094820961794E-2</v>
      </c>
      <c r="H332">
        <v>4.9026988007356602E-2</v>
      </c>
      <c r="I332">
        <v>3.4427579980451303E-2</v>
      </c>
      <c r="J332">
        <v>2.4133728310698498E-2</v>
      </c>
      <c r="K332">
        <v>1.9833504322132201E-2</v>
      </c>
      <c r="L332">
        <v>1646.2695346752801</v>
      </c>
      <c r="M332">
        <v>33.264121440636501</v>
      </c>
      <c r="N332">
        <v>49.609620878029403</v>
      </c>
      <c r="O332">
        <v>49.313007780072503</v>
      </c>
      <c r="P332">
        <v>-0.16218368193363</v>
      </c>
      <c r="Q332">
        <v>3.8275437556948899E-2</v>
      </c>
      <c r="R332">
        <v>0.99741411544441005</v>
      </c>
      <c r="S332" t="s">
        <v>5072</v>
      </c>
      <c r="T332" t="s">
        <v>9478</v>
      </c>
      <c r="U332" t="s">
        <v>9478</v>
      </c>
      <c r="V332" t="s">
        <v>9478</v>
      </c>
      <c r="W332">
        <v>35</v>
      </c>
      <c r="X332" t="s">
        <v>9810</v>
      </c>
      <c r="Y332">
        <v>0.34731091217632998</v>
      </c>
      <c r="Z332" t="str">
        <f>HYPERLINK("Melting_Curves/meltCurve_sp_O75874_IDHC_HUMAN_.pdf", "Melting_Curves/meltCurve_sp_O75874_IDHC_HUMAN_.pdf")</f>
        <v>Melting_Curves/meltCurve_sp_O75874_IDHC_HUMAN_.pdf</v>
      </c>
      <c r="AA332" t="s">
        <v>14545</v>
      </c>
      <c r="AB332" t="s">
        <v>19167</v>
      </c>
    </row>
    <row r="333" spans="1:28" x14ac:dyDescent="0.25">
      <c r="A333" t="s">
        <v>337</v>
      </c>
      <c r="B333">
        <v>0.99904790336628502</v>
      </c>
      <c r="C333">
        <v>1.05210816093944</v>
      </c>
      <c r="D333">
        <v>0.96265256646048702</v>
      </c>
      <c r="E333">
        <v>0.87325034927832901</v>
      </c>
      <c r="F333">
        <v>0.64116114213991104</v>
      </c>
      <c r="G333">
        <v>0.46072077432081499</v>
      </c>
      <c r="H333">
        <v>0.26382524684647202</v>
      </c>
      <c r="I333">
        <v>0.26237417311779199</v>
      </c>
      <c r="J333">
        <v>0.234104502482369</v>
      </c>
      <c r="K333">
        <v>0.13721604659283601</v>
      </c>
      <c r="L333">
        <v>906.77688729840202</v>
      </c>
      <c r="M333">
        <v>16.633956511575299</v>
      </c>
      <c r="N333">
        <v>55.860236218098798</v>
      </c>
      <c r="O333">
        <v>53.743992225950898</v>
      </c>
      <c r="P333">
        <v>-6.4599727337627505E-2</v>
      </c>
      <c r="Q333">
        <v>0.16517431411495401</v>
      </c>
      <c r="R333">
        <v>0.99019796943229099</v>
      </c>
      <c r="S333" t="s">
        <v>5073</v>
      </c>
      <c r="T333" t="s">
        <v>9478</v>
      </c>
      <c r="U333" t="s">
        <v>9478</v>
      </c>
      <c r="V333" t="s">
        <v>9478</v>
      </c>
      <c r="W333">
        <v>2</v>
      </c>
      <c r="X333" t="s">
        <v>9811</v>
      </c>
      <c r="Y333">
        <v>0.58369342833334315</v>
      </c>
      <c r="Z333" t="str">
        <f>HYPERLINK("Melting_Curves/meltCurve_sp_O75882_2_ATRN_HUMAN_.pdf", "Melting_Curves/meltCurve_sp_O75882_2_ATRN_HUMAN_.pdf")</f>
        <v>Melting_Curves/meltCurve_sp_O75882_2_ATRN_HUMAN_.pdf</v>
      </c>
      <c r="AA333" t="s">
        <v>14546</v>
      </c>
      <c r="AB333" t="s">
        <v>19168</v>
      </c>
    </row>
    <row r="334" spans="1:28" x14ac:dyDescent="0.25">
      <c r="A334" t="s">
        <v>338</v>
      </c>
      <c r="B334">
        <v>0.99904790336628502</v>
      </c>
      <c r="C334">
        <v>0.94671719576954405</v>
      </c>
      <c r="D334">
        <v>0.78149520320282995</v>
      </c>
      <c r="E334">
        <v>0.863791158927949</v>
      </c>
      <c r="F334">
        <v>0.73517587126390604</v>
      </c>
      <c r="G334">
        <v>0.29572986980813498</v>
      </c>
      <c r="H334">
        <v>5.2099159978522498E-2</v>
      </c>
      <c r="I334">
        <v>4.0173777413389497E-2</v>
      </c>
      <c r="J334">
        <v>2.7511348140329399E-2</v>
      </c>
      <c r="K334">
        <v>1.8892272153278201E-2</v>
      </c>
      <c r="L334">
        <v>1196.99756112157</v>
      </c>
      <c r="M334">
        <v>21.826124771358099</v>
      </c>
      <c r="N334">
        <v>54.842417524997501</v>
      </c>
      <c r="O334">
        <v>54.3882719725489</v>
      </c>
      <c r="P334">
        <v>-0.100327823126917</v>
      </c>
      <c r="Q334">
        <v>0</v>
      </c>
      <c r="R334">
        <v>0.96890523495078196</v>
      </c>
      <c r="S334" t="s">
        <v>5074</v>
      </c>
      <c r="T334" t="s">
        <v>9478</v>
      </c>
      <c r="U334" t="s">
        <v>9478</v>
      </c>
      <c r="V334" t="s">
        <v>9478</v>
      </c>
      <c r="W334">
        <v>6</v>
      </c>
      <c r="X334" t="s">
        <v>9812</v>
      </c>
      <c r="Y334">
        <v>0.50640046473027556</v>
      </c>
      <c r="Z334" t="str">
        <f>HYPERLINK("Melting_Curves/meltCurve_sp_O75884_RBBP9_HUMAN_.pdf", "Melting_Curves/meltCurve_sp_O75884_RBBP9_HUMAN_.pdf")</f>
        <v>Melting_Curves/meltCurve_sp_O75884_RBBP9_HUMAN_.pdf</v>
      </c>
      <c r="AA334" t="s">
        <v>14547</v>
      </c>
      <c r="AB334" t="s">
        <v>19169</v>
      </c>
    </row>
    <row r="335" spans="1:28" x14ac:dyDescent="0.25">
      <c r="A335" t="s">
        <v>339</v>
      </c>
      <c r="B335">
        <v>0.99904790336628502</v>
      </c>
      <c r="C335">
        <v>0.91717019971872105</v>
      </c>
      <c r="D335">
        <v>0.93446701996471504</v>
      </c>
      <c r="E335">
        <v>0.82542295356623596</v>
      </c>
      <c r="F335">
        <v>0.76753236561729399</v>
      </c>
      <c r="G335">
        <v>0.55046336878149205</v>
      </c>
      <c r="H335">
        <v>0.28293341529835098</v>
      </c>
      <c r="I335">
        <v>0.17836240037492701</v>
      </c>
      <c r="J335">
        <v>0.15378993154550799</v>
      </c>
      <c r="K335">
        <v>0.120794055913463</v>
      </c>
      <c r="L335">
        <v>714.14198473367298</v>
      </c>
      <c r="M335">
        <v>12.478961639568301</v>
      </c>
      <c r="N335">
        <v>57.262469331420697</v>
      </c>
      <c r="O335">
        <v>55.8176864680335</v>
      </c>
      <c r="P335">
        <v>-5.5692000603739002E-2</v>
      </c>
      <c r="Q335">
        <v>3.77771587872568E-3</v>
      </c>
      <c r="R335">
        <v>0.98958079408644095</v>
      </c>
      <c r="S335" t="s">
        <v>5075</v>
      </c>
      <c r="T335" t="s">
        <v>9478</v>
      </c>
      <c r="U335" t="s">
        <v>9478</v>
      </c>
      <c r="V335" t="s">
        <v>9478</v>
      </c>
      <c r="W335">
        <v>9</v>
      </c>
      <c r="X335" t="s">
        <v>9813</v>
      </c>
      <c r="Y335">
        <v>0.59181097668760285</v>
      </c>
      <c r="Z335" t="str">
        <f>HYPERLINK("Melting_Curves/meltCurve_sp_O75886_STAM2_HUMAN_.pdf", "Melting_Curves/meltCurve_sp_O75886_STAM2_HUMAN_.pdf")</f>
        <v>Melting_Curves/meltCurve_sp_O75886_STAM2_HUMAN_.pdf</v>
      </c>
      <c r="AA335" t="s">
        <v>14548</v>
      </c>
      <c r="AB335" t="s">
        <v>19170</v>
      </c>
    </row>
    <row r="336" spans="1:28" x14ac:dyDescent="0.25">
      <c r="A336" t="s">
        <v>340</v>
      </c>
      <c r="B336">
        <v>0.99904790336628502</v>
      </c>
      <c r="C336">
        <v>1.01757839810128</v>
      </c>
      <c r="D336">
        <v>0.89975512488664799</v>
      </c>
      <c r="E336">
        <v>0.37703844576338202</v>
      </c>
      <c r="F336">
        <v>0.145555651358624</v>
      </c>
      <c r="G336">
        <v>6.8060492189309499E-2</v>
      </c>
      <c r="H336">
        <v>3.9091955161299603E-2</v>
      </c>
      <c r="I336">
        <v>2.6169231517553501E-2</v>
      </c>
      <c r="J336">
        <v>2.20839900326966E-2</v>
      </c>
      <c r="K336">
        <v>1.7121544949542301E-2</v>
      </c>
      <c r="L336">
        <v>1495.69881901036</v>
      </c>
      <c r="M336">
        <v>30.447353142722001</v>
      </c>
      <c r="N336">
        <v>49.233739137475098</v>
      </c>
      <c r="O336">
        <v>48.913650977098598</v>
      </c>
      <c r="P336">
        <v>-0.150518001205527</v>
      </c>
      <c r="Q336">
        <v>3.2777697955010503E-2</v>
      </c>
      <c r="R336">
        <v>0.99864100245028598</v>
      </c>
      <c r="S336" t="s">
        <v>5076</v>
      </c>
      <c r="T336" t="s">
        <v>9478</v>
      </c>
      <c r="U336" t="s">
        <v>9478</v>
      </c>
      <c r="V336" t="s">
        <v>9478</v>
      </c>
      <c r="W336">
        <v>59</v>
      </c>
      <c r="X336" t="s">
        <v>9814</v>
      </c>
      <c r="Y336">
        <v>0.33267101114695879</v>
      </c>
      <c r="Z336" t="str">
        <f>HYPERLINK("Melting_Curves/meltCurve_sp_O75891_AL1L1_HUMAN_.pdf", "Melting_Curves/meltCurve_sp_O75891_AL1L1_HUMAN_.pdf")</f>
        <v>Melting_Curves/meltCurve_sp_O75891_AL1L1_HUMAN_.pdf</v>
      </c>
      <c r="AA336" t="s">
        <v>14549</v>
      </c>
      <c r="AB336" t="s">
        <v>19171</v>
      </c>
    </row>
    <row r="337" spans="1:28" x14ac:dyDescent="0.25">
      <c r="A337" t="s">
        <v>341</v>
      </c>
      <c r="B337">
        <v>0.99904790336628502</v>
      </c>
      <c r="C337">
        <v>1.08381747304232</v>
      </c>
      <c r="D337">
        <v>0.9613802256367</v>
      </c>
      <c r="E337">
        <v>0.94315589248784104</v>
      </c>
      <c r="F337">
        <v>0.55081492917711306</v>
      </c>
      <c r="G337">
        <v>0.45051082584380903</v>
      </c>
      <c r="H337">
        <v>9.6870509133825E-2</v>
      </c>
      <c r="I337">
        <v>5.0352584122638801E-2</v>
      </c>
      <c r="J337">
        <v>5.2359687293538702E-2</v>
      </c>
      <c r="K337">
        <v>6.4809995713995594E-2</v>
      </c>
      <c r="L337">
        <v>1019.40235631786</v>
      </c>
      <c r="M337">
        <v>18.5710171409177</v>
      </c>
      <c r="N337">
        <v>54.992155305297501</v>
      </c>
      <c r="O337">
        <v>54.2675172516036</v>
      </c>
      <c r="P337">
        <v>-8.4135964627580606E-2</v>
      </c>
      <c r="Q337">
        <v>1.6607519651592E-2</v>
      </c>
      <c r="R337">
        <v>0.97521645495487796</v>
      </c>
      <c r="S337" t="s">
        <v>5077</v>
      </c>
      <c r="T337" t="s">
        <v>9478</v>
      </c>
      <c r="U337" t="s">
        <v>9478</v>
      </c>
      <c r="V337" t="s">
        <v>9478</v>
      </c>
      <c r="W337">
        <v>2</v>
      </c>
      <c r="X337" t="s">
        <v>9815</v>
      </c>
      <c r="Y337">
        <v>0.51939784446009785</v>
      </c>
      <c r="Z337" t="str">
        <f>HYPERLINK("Melting_Curves/meltCurve_sp_O75896_TUSC2_HUMAN_.pdf", "Melting_Curves/meltCurve_sp_O75896_TUSC2_HUMAN_.pdf")</f>
        <v>Melting_Curves/meltCurve_sp_O75896_TUSC2_HUMAN_.pdf</v>
      </c>
      <c r="AA337" t="s">
        <v>14550</v>
      </c>
      <c r="AB337" t="s">
        <v>19172</v>
      </c>
    </row>
    <row r="338" spans="1:28" x14ac:dyDescent="0.25">
      <c r="A338" t="s">
        <v>342</v>
      </c>
      <c r="B338">
        <v>0.99904790336628502</v>
      </c>
      <c r="C338">
        <v>0.91780578528253098</v>
      </c>
      <c r="D338">
        <v>0.80090509454312997</v>
      </c>
      <c r="E338">
        <v>0.55667053890824003</v>
      </c>
      <c r="F338">
        <v>0.44388913402811397</v>
      </c>
      <c r="G338">
        <v>0.162721728238298</v>
      </c>
      <c r="H338">
        <v>0.38754794571504197</v>
      </c>
      <c r="I338">
        <v>6.77379264016124E-2</v>
      </c>
      <c r="J338">
        <v>5.9204319522606803E-2</v>
      </c>
      <c r="K338">
        <v>5.0785914159435001E-2</v>
      </c>
      <c r="L338">
        <v>581.04497294553801</v>
      </c>
      <c r="M338">
        <v>11.3341642244279</v>
      </c>
      <c r="N338">
        <v>51.572929754093103</v>
      </c>
      <c r="O338">
        <v>49.746848914142397</v>
      </c>
      <c r="P338">
        <v>-5.5111728533578999E-2</v>
      </c>
      <c r="Q338">
        <v>3.2725924201879003E-2</v>
      </c>
      <c r="R338">
        <v>0.94440398363238998</v>
      </c>
      <c r="S338" t="s">
        <v>5078</v>
      </c>
      <c r="T338" t="s">
        <v>9478</v>
      </c>
      <c r="U338" t="s">
        <v>9478</v>
      </c>
      <c r="V338" t="s">
        <v>9478</v>
      </c>
      <c r="W338">
        <v>2</v>
      </c>
      <c r="X338" t="s">
        <v>9816</v>
      </c>
      <c r="Y338">
        <v>0.42948343056364358</v>
      </c>
      <c r="Z338" t="str">
        <f>HYPERLINK("Melting_Curves/meltCurve_sp_O75915_PRAF3_HUMAN_.pdf", "Melting_Curves/meltCurve_sp_O75915_PRAF3_HUMAN_.pdf")</f>
        <v>Melting_Curves/meltCurve_sp_O75915_PRAF3_HUMAN_.pdf</v>
      </c>
      <c r="AA338" t="s">
        <v>14551</v>
      </c>
      <c r="AB338" t="s">
        <v>19173</v>
      </c>
    </row>
    <row r="339" spans="1:28" x14ac:dyDescent="0.25">
      <c r="A339" t="s">
        <v>343</v>
      </c>
      <c r="B339">
        <v>0.99904790336628502</v>
      </c>
      <c r="C339">
        <v>0.97236422461937</v>
      </c>
      <c r="D339">
        <v>1.0156150474280501</v>
      </c>
      <c r="E339">
        <v>0.84655823754995196</v>
      </c>
      <c r="F339">
        <v>0.58568607545183404</v>
      </c>
      <c r="G339">
        <v>0.31077033686239802</v>
      </c>
      <c r="H339">
        <v>0.17042514969498401</v>
      </c>
      <c r="I339">
        <v>0.117356668115874</v>
      </c>
      <c r="J339">
        <v>0.136210976356713</v>
      </c>
      <c r="K339">
        <v>0.12540142280790401</v>
      </c>
      <c r="L339">
        <v>1197.9154606919301</v>
      </c>
      <c r="M339">
        <v>22.414352088223801</v>
      </c>
      <c r="N339">
        <v>54.093860839086403</v>
      </c>
      <c r="O339">
        <v>53.024183167736801</v>
      </c>
      <c r="P339">
        <v>-9.3210088036981206E-2</v>
      </c>
      <c r="Q339">
        <v>0.118014035627384</v>
      </c>
      <c r="R339">
        <v>0.99776731054438395</v>
      </c>
      <c r="S339" t="s">
        <v>5079</v>
      </c>
      <c r="T339" t="s">
        <v>9478</v>
      </c>
      <c r="U339" t="s">
        <v>9478</v>
      </c>
      <c r="V339" t="s">
        <v>9478</v>
      </c>
      <c r="W339">
        <v>8</v>
      </c>
      <c r="X339" t="s">
        <v>9817</v>
      </c>
      <c r="Y339">
        <v>0.52319213498659556</v>
      </c>
      <c r="Z339" t="str">
        <f>HYPERLINK("Melting_Curves/meltCurve_sp_O75934_SPF27_HUMAN_.pdf", "Melting_Curves/meltCurve_sp_O75934_SPF27_HUMAN_.pdf")</f>
        <v>Melting_Curves/meltCurve_sp_O75934_SPF27_HUMAN_.pdf</v>
      </c>
      <c r="AA339" t="s">
        <v>14552</v>
      </c>
      <c r="AB339" t="s">
        <v>19174</v>
      </c>
    </row>
    <row r="340" spans="1:28" x14ac:dyDescent="0.25">
      <c r="A340" t="s">
        <v>344</v>
      </c>
      <c r="B340">
        <v>0.99904790336628502</v>
      </c>
      <c r="C340">
        <v>1.1252378670351899</v>
      </c>
      <c r="D340">
        <v>1.1071043960619</v>
      </c>
      <c r="E340">
        <v>0.65639800928091996</v>
      </c>
      <c r="F340">
        <v>0.240484214082237</v>
      </c>
      <c r="G340">
        <v>0.124944104808293</v>
      </c>
      <c r="H340">
        <v>6.1649571489001999E-2</v>
      </c>
      <c r="I340">
        <v>5.7475732072499099E-2</v>
      </c>
      <c r="J340">
        <v>4.5732631070128003E-2</v>
      </c>
      <c r="K340">
        <v>3.26277164491348E-2</v>
      </c>
      <c r="L340">
        <v>1940.37860533557</v>
      </c>
      <c r="M340">
        <v>38.157056408973901</v>
      </c>
      <c r="N340">
        <v>51.029750487135601</v>
      </c>
      <c r="O340">
        <v>50.713360064571098</v>
      </c>
      <c r="P340">
        <v>-0.17642252923474699</v>
      </c>
      <c r="Q340">
        <v>6.2091745843336897E-2</v>
      </c>
      <c r="R340">
        <v>0.98256707635895602</v>
      </c>
      <c r="S340" t="s">
        <v>5080</v>
      </c>
      <c r="T340" t="s">
        <v>9478</v>
      </c>
      <c r="U340" t="s">
        <v>9478</v>
      </c>
      <c r="V340" t="s">
        <v>9478</v>
      </c>
      <c r="W340">
        <v>4</v>
      </c>
      <c r="X340" t="s">
        <v>9818</v>
      </c>
      <c r="Y340">
        <v>0.4050030108942792</v>
      </c>
      <c r="Z340" t="str">
        <f>HYPERLINK("Melting_Curves/meltCurve_sp_O75935_DCTN3_HUMAN_.pdf", "Melting_Curves/meltCurve_sp_O75935_DCTN3_HUMAN_.pdf")</f>
        <v>Melting_Curves/meltCurve_sp_O75935_DCTN3_HUMAN_.pdf</v>
      </c>
      <c r="AA340" t="s">
        <v>14553</v>
      </c>
      <c r="AB340" t="s">
        <v>19175</v>
      </c>
    </row>
    <row r="341" spans="1:28" x14ac:dyDescent="0.25">
      <c r="A341" t="s">
        <v>345</v>
      </c>
      <c r="B341">
        <v>0.99904790336628502</v>
      </c>
      <c r="C341">
        <v>0.93486924853026099</v>
      </c>
      <c r="D341">
        <v>0.67109893882085603</v>
      </c>
      <c r="E341">
        <v>0.28218047331810198</v>
      </c>
      <c r="F341">
        <v>0.164277359311256</v>
      </c>
      <c r="G341">
        <v>8.7827344680681901E-2</v>
      </c>
      <c r="H341">
        <v>5.6543656535526003E-2</v>
      </c>
      <c r="I341">
        <v>4.5003050632447403E-2</v>
      </c>
      <c r="J341">
        <v>3.65139492414513E-2</v>
      </c>
      <c r="K341">
        <v>3.2393040283097002E-2</v>
      </c>
      <c r="L341">
        <v>1007.05506417377</v>
      </c>
      <c r="M341">
        <v>21.191626658375199</v>
      </c>
      <c r="N341">
        <v>47.734805886380897</v>
      </c>
      <c r="O341">
        <v>47.104295914170898</v>
      </c>
      <c r="P341">
        <v>-0.10739070633891699</v>
      </c>
      <c r="Q341">
        <v>4.5202115162083799E-2</v>
      </c>
      <c r="R341">
        <v>0.998394075603109</v>
      </c>
      <c r="S341" t="s">
        <v>5081</v>
      </c>
      <c r="T341" t="s">
        <v>9478</v>
      </c>
      <c r="U341" t="s">
        <v>9478</v>
      </c>
      <c r="V341" t="s">
        <v>9478</v>
      </c>
      <c r="W341">
        <v>14</v>
      </c>
      <c r="X341" t="s">
        <v>9819</v>
      </c>
      <c r="Y341">
        <v>0.29669229596050228</v>
      </c>
      <c r="Z341" t="str">
        <f>HYPERLINK("Melting_Curves/meltCurve_sp_O75936_BODG_HUMAN_.pdf", "Melting_Curves/meltCurve_sp_O75936_BODG_HUMAN_.pdf")</f>
        <v>Melting_Curves/meltCurve_sp_O75936_BODG_HUMAN_.pdf</v>
      </c>
      <c r="AA341" t="s">
        <v>14554</v>
      </c>
      <c r="AB341" t="s">
        <v>19176</v>
      </c>
    </row>
    <row r="342" spans="1:28" x14ac:dyDescent="0.25">
      <c r="A342" t="s">
        <v>346</v>
      </c>
      <c r="B342">
        <v>0.99904790336628502</v>
      </c>
      <c r="C342">
        <v>1.0086050061143801</v>
      </c>
      <c r="D342">
        <v>0.98377556956783896</v>
      </c>
      <c r="E342">
        <v>0.97863854987573995</v>
      </c>
      <c r="F342">
        <v>1.05764452546133</v>
      </c>
      <c r="G342">
        <v>0.73279469128077002</v>
      </c>
      <c r="H342">
        <v>0.63407722294447999</v>
      </c>
      <c r="I342">
        <v>0.63027053781990805</v>
      </c>
      <c r="J342">
        <v>0.62396188370345096</v>
      </c>
      <c r="K342">
        <v>0.56586872861664295</v>
      </c>
      <c r="L342">
        <v>14204.012729181501</v>
      </c>
      <c r="M342">
        <v>250</v>
      </c>
      <c r="O342">
        <v>56.812412823690501</v>
      </c>
      <c r="P342">
        <v>-0.425144103083689</v>
      </c>
      <c r="Q342">
        <v>0.61354458848525495</v>
      </c>
      <c r="R342">
        <v>0.97984564807762398</v>
      </c>
      <c r="S342" t="s">
        <v>5082</v>
      </c>
      <c r="T342" t="s">
        <v>9478</v>
      </c>
      <c r="U342" t="s">
        <v>9478</v>
      </c>
      <c r="V342" t="s">
        <v>9478</v>
      </c>
      <c r="W342">
        <v>14</v>
      </c>
      <c r="X342" t="s">
        <v>9820</v>
      </c>
      <c r="Y342">
        <v>0.83020491835351495</v>
      </c>
      <c r="Z342" t="str">
        <f>HYPERLINK("Melting_Curves/meltCurve_sp_O75937_DNJC8_HUMAN_.pdf", "Melting_Curves/meltCurve_sp_O75937_DNJC8_HUMAN_.pdf")</f>
        <v>Melting_Curves/meltCurve_sp_O75937_DNJC8_HUMAN_.pdf</v>
      </c>
      <c r="AA342" t="s">
        <v>14555</v>
      </c>
      <c r="AB342" t="s">
        <v>19177</v>
      </c>
    </row>
    <row r="343" spans="1:28" x14ac:dyDescent="0.25">
      <c r="A343" t="s">
        <v>347</v>
      </c>
      <c r="B343">
        <v>0.99904790336628502</v>
      </c>
      <c r="C343">
        <v>0.98198649923450099</v>
      </c>
      <c r="D343">
        <v>0.92539630572836196</v>
      </c>
      <c r="E343">
        <v>0.86895428284640197</v>
      </c>
      <c r="F343">
        <v>0.86655804148685001</v>
      </c>
      <c r="G343">
        <v>0.69563801175185402</v>
      </c>
      <c r="H343">
        <v>0.59804317686157005</v>
      </c>
      <c r="I343">
        <v>0.64036853143915096</v>
      </c>
      <c r="J343">
        <v>0.63286275969739703</v>
      </c>
      <c r="K343">
        <v>0.61957414892427798</v>
      </c>
      <c r="L343">
        <v>745.73686176686601</v>
      </c>
      <c r="M343">
        <v>13.9658278810842</v>
      </c>
      <c r="O343">
        <v>52.338191418804499</v>
      </c>
      <c r="P343">
        <v>-2.71756826948957E-2</v>
      </c>
      <c r="Q343">
        <v>0.59268119958860199</v>
      </c>
      <c r="R343">
        <v>0.960934891819056</v>
      </c>
      <c r="S343" t="s">
        <v>5083</v>
      </c>
      <c r="T343" t="s">
        <v>9478</v>
      </c>
      <c r="U343" t="s">
        <v>9478</v>
      </c>
      <c r="V343" t="s">
        <v>9478</v>
      </c>
      <c r="W343">
        <v>3</v>
      </c>
      <c r="X343" t="s">
        <v>9821</v>
      </c>
      <c r="Y343">
        <v>0.7840219541784772</v>
      </c>
      <c r="Z343" t="str">
        <f>HYPERLINK("Melting_Curves/meltCurve_sp_O75940_SPF30_HUMAN_.pdf", "Melting_Curves/meltCurve_sp_O75940_SPF30_HUMAN_.pdf")</f>
        <v>Melting_Curves/meltCurve_sp_O75940_SPF30_HUMAN_.pdf</v>
      </c>
      <c r="AA343" t="s">
        <v>14556</v>
      </c>
      <c r="AB343" t="s">
        <v>19178</v>
      </c>
    </row>
    <row r="344" spans="1:28" x14ac:dyDescent="0.25">
      <c r="A344" t="s">
        <v>348</v>
      </c>
      <c r="B344">
        <v>0.99904790336628502</v>
      </c>
      <c r="C344">
        <v>0.98215158512637801</v>
      </c>
      <c r="D344">
        <v>0.96651446460940205</v>
      </c>
      <c r="E344">
        <v>0.871636289074046</v>
      </c>
      <c r="F344">
        <v>0.70980012016567595</v>
      </c>
      <c r="G344">
        <v>0.47650743243341798</v>
      </c>
      <c r="H344">
        <v>0.33384863274836202</v>
      </c>
      <c r="I344">
        <v>0.24148955488652199</v>
      </c>
      <c r="J344">
        <v>0.18879486089478401</v>
      </c>
      <c r="K344">
        <v>0.133844906343909</v>
      </c>
      <c r="L344">
        <v>777.28447102413395</v>
      </c>
      <c r="M344">
        <v>13.8800801412048</v>
      </c>
      <c r="N344">
        <v>56.895415502080297</v>
      </c>
      <c r="O344">
        <v>54.876002798558297</v>
      </c>
      <c r="P344">
        <v>-5.7037404846065801E-2</v>
      </c>
      <c r="Q344">
        <v>9.8115712150845996E-2</v>
      </c>
      <c r="R344">
        <v>0.99875228652202297</v>
      </c>
      <c r="S344" t="s">
        <v>5084</v>
      </c>
      <c r="T344" t="s">
        <v>9478</v>
      </c>
      <c r="U344" t="s">
        <v>9478</v>
      </c>
      <c r="V344" t="s">
        <v>9478</v>
      </c>
      <c r="W344">
        <v>28</v>
      </c>
      <c r="X344" t="s">
        <v>9822</v>
      </c>
      <c r="Y344">
        <v>0.59610880456287241</v>
      </c>
      <c r="Z344" t="str">
        <f>HYPERLINK("Melting_Curves/meltCurve_sp_O75970_3_MPDZ_HUMAN_.pdf", "Melting_Curves/meltCurve_sp_O75970_3_MPDZ_HUMAN_.pdf")</f>
        <v>Melting_Curves/meltCurve_sp_O75970_3_MPDZ_HUMAN_.pdf</v>
      </c>
      <c r="AA344" t="s">
        <v>14557</v>
      </c>
      <c r="AB344" t="s">
        <v>19179</v>
      </c>
    </row>
    <row r="345" spans="1:28" x14ac:dyDescent="0.25">
      <c r="A345" t="s">
        <v>349</v>
      </c>
      <c r="B345">
        <v>0.99904790336628502</v>
      </c>
      <c r="C345">
        <v>1.02533844181249</v>
      </c>
      <c r="D345">
        <v>1.00843067804178</v>
      </c>
      <c r="E345">
        <v>0.91646802111335401</v>
      </c>
      <c r="F345">
        <v>0.82684091548085503</v>
      </c>
      <c r="G345">
        <v>0.62511497907685898</v>
      </c>
      <c r="H345">
        <v>0.44913954930217698</v>
      </c>
      <c r="I345">
        <v>0.45909369368215802</v>
      </c>
      <c r="J345">
        <v>0.42597779713258799</v>
      </c>
      <c r="K345">
        <v>0.32569124221954199</v>
      </c>
      <c r="L345">
        <v>967.31941462571103</v>
      </c>
      <c r="M345">
        <v>17.289512375375502</v>
      </c>
      <c r="N345">
        <v>60.239887171354397</v>
      </c>
      <c r="O345">
        <v>55.215935114313801</v>
      </c>
      <c r="P345">
        <v>-5.0564418625242601E-2</v>
      </c>
      <c r="Q345">
        <v>0.35410523374777902</v>
      </c>
      <c r="R345">
        <v>0.98914333205831295</v>
      </c>
      <c r="S345" t="s">
        <v>5085</v>
      </c>
      <c r="T345" t="s">
        <v>9478</v>
      </c>
      <c r="U345" t="s">
        <v>9478</v>
      </c>
      <c r="V345" t="s">
        <v>9478</v>
      </c>
      <c r="W345">
        <v>7</v>
      </c>
      <c r="X345" t="s">
        <v>9823</v>
      </c>
      <c r="Y345">
        <v>0.70746972690723386</v>
      </c>
      <c r="Z345" t="str">
        <f>HYPERLINK("Melting_Curves/meltCurve_sp_O75976_CBPD_HUMAN_.pdf", "Melting_Curves/meltCurve_sp_O75976_CBPD_HUMAN_.pdf")</f>
        <v>Melting_Curves/meltCurve_sp_O75976_CBPD_HUMAN_.pdf</v>
      </c>
      <c r="AA345" t="s">
        <v>14558</v>
      </c>
      <c r="AB345" t="s">
        <v>19180</v>
      </c>
    </row>
    <row r="346" spans="1:28" x14ac:dyDescent="0.25">
      <c r="A346" t="s">
        <v>350</v>
      </c>
      <c r="B346">
        <v>0.99904790336628502</v>
      </c>
      <c r="C346">
        <v>0.88529845822544795</v>
      </c>
      <c r="D346">
        <v>0.84604064380110999</v>
      </c>
      <c r="E346">
        <v>0.81306511099774603</v>
      </c>
      <c r="F346">
        <v>0.71181079638452005</v>
      </c>
      <c r="G346">
        <v>0.42032205149021201</v>
      </c>
      <c r="H346">
        <v>0.127678924824182</v>
      </c>
      <c r="I346">
        <v>7.4266296980328494E-2</v>
      </c>
      <c r="J346">
        <v>5.5923703124773197E-2</v>
      </c>
      <c r="K346">
        <v>4.1229122968391499E-2</v>
      </c>
      <c r="L346">
        <v>854.88912041273295</v>
      </c>
      <c r="M346">
        <v>15.478151679200099</v>
      </c>
      <c r="N346">
        <v>55.2319887313283</v>
      </c>
      <c r="O346">
        <v>54.334684333380103</v>
      </c>
      <c r="P346">
        <v>-7.1223082293366005E-2</v>
      </c>
      <c r="Q346">
        <v>0</v>
      </c>
      <c r="R346">
        <v>0.97658987346485704</v>
      </c>
      <c r="S346" t="s">
        <v>5086</v>
      </c>
      <c r="T346" t="s">
        <v>9478</v>
      </c>
      <c r="U346" t="s">
        <v>9478</v>
      </c>
      <c r="V346" t="s">
        <v>9478</v>
      </c>
      <c r="W346">
        <v>10</v>
      </c>
      <c r="X346" t="s">
        <v>9824</v>
      </c>
      <c r="Y346">
        <v>0.52607737662560228</v>
      </c>
      <c r="Z346" t="str">
        <f>HYPERLINK("Melting_Curves/meltCurve_sp_O76003_GLRX3_HUMAN_.pdf", "Melting_Curves/meltCurve_sp_O76003_GLRX3_HUMAN_.pdf")</f>
        <v>Melting_Curves/meltCurve_sp_O76003_GLRX3_HUMAN_.pdf</v>
      </c>
      <c r="AA346" t="s">
        <v>14559</v>
      </c>
      <c r="AB346" t="s">
        <v>19181</v>
      </c>
    </row>
    <row r="347" spans="1:28" x14ac:dyDescent="0.25">
      <c r="A347" t="s">
        <v>351</v>
      </c>
      <c r="B347">
        <v>0.99904790336628502</v>
      </c>
      <c r="C347">
        <v>0.96332249514791501</v>
      </c>
      <c r="D347">
        <v>0.958460896683903</v>
      </c>
      <c r="E347">
        <v>0.91976235314146604</v>
      </c>
      <c r="F347">
        <v>0.90720370208847601</v>
      </c>
      <c r="G347">
        <v>0.69773330995718497</v>
      </c>
      <c r="H347">
        <v>0.56006963207417004</v>
      </c>
      <c r="I347">
        <v>0.55872958940337103</v>
      </c>
      <c r="J347">
        <v>0.519620600442676</v>
      </c>
      <c r="K347">
        <v>0.45675388564316399</v>
      </c>
      <c r="L347">
        <v>913.99760138827298</v>
      </c>
      <c r="M347">
        <v>16.145497192983299</v>
      </c>
      <c r="N347">
        <v>66.789422813533506</v>
      </c>
      <c r="O347">
        <v>55.762994812992403</v>
      </c>
      <c r="P347">
        <v>-3.92850328242711E-2</v>
      </c>
      <c r="Q347">
        <v>0.45731377052274602</v>
      </c>
      <c r="R347">
        <v>0.98299778376107605</v>
      </c>
      <c r="S347" t="s">
        <v>5087</v>
      </c>
      <c r="T347" t="s">
        <v>9478</v>
      </c>
      <c r="U347" t="s">
        <v>9478</v>
      </c>
      <c r="V347" t="s">
        <v>9478</v>
      </c>
      <c r="W347">
        <v>2</v>
      </c>
      <c r="X347" t="s">
        <v>9825</v>
      </c>
      <c r="Y347">
        <v>0.76630565628023795</v>
      </c>
      <c r="Z347" t="str">
        <f>HYPERLINK("Melting_Curves/meltCurve_sp_O76024_WFS1_HUMAN_.pdf", "Melting_Curves/meltCurve_sp_O76024_WFS1_HUMAN_.pdf")</f>
        <v>Melting_Curves/meltCurve_sp_O76024_WFS1_HUMAN_.pdf</v>
      </c>
      <c r="AA347" t="s">
        <v>14560</v>
      </c>
      <c r="AB347" t="s">
        <v>19182</v>
      </c>
    </row>
    <row r="348" spans="1:28" x14ac:dyDescent="0.25">
      <c r="A348" t="s">
        <v>352</v>
      </c>
      <c r="B348">
        <v>0.99904790336628502</v>
      </c>
      <c r="C348">
        <v>0.94153907851626595</v>
      </c>
      <c r="D348">
        <v>0.72680914996582702</v>
      </c>
      <c r="E348">
        <v>0.52888953689197804</v>
      </c>
      <c r="F348">
        <v>0.36655839298119097</v>
      </c>
      <c r="G348">
        <v>0.179477314823516</v>
      </c>
      <c r="H348">
        <v>0.13571438274849601</v>
      </c>
      <c r="I348">
        <v>0.112244163837686</v>
      </c>
      <c r="J348">
        <v>0.10780755920412199</v>
      </c>
      <c r="K348">
        <v>8.6359844745819994E-2</v>
      </c>
      <c r="L348">
        <v>700.66508950628395</v>
      </c>
      <c r="M348">
        <v>14.1048268345164</v>
      </c>
      <c r="N348">
        <v>50.246922428311599</v>
      </c>
      <c r="O348">
        <v>48.7090110566131</v>
      </c>
      <c r="P348">
        <v>-6.70380398061141E-2</v>
      </c>
      <c r="Q348">
        <v>7.40937623843681E-2</v>
      </c>
      <c r="R348">
        <v>0.99537411072405202</v>
      </c>
      <c r="S348" t="s">
        <v>5088</v>
      </c>
      <c r="T348" t="s">
        <v>9478</v>
      </c>
      <c r="U348" t="s">
        <v>9478</v>
      </c>
      <c r="V348" t="s">
        <v>9478</v>
      </c>
      <c r="W348">
        <v>14</v>
      </c>
      <c r="X348" t="s">
        <v>9826</v>
      </c>
      <c r="Y348">
        <v>0.39761776549016747</v>
      </c>
      <c r="Z348" t="str">
        <f>HYPERLINK("Melting_Curves/meltCurve_sp_O76031_CLPX_HUMAN_.pdf", "Melting_Curves/meltCurve_sp_O76031_CLPX_HUMAN_.pdf")</f>
        <v>Melting_Curves/meltCurve_sp_O76031_CLPX_HUMAN_.pdf</v>
      </c>
      <c r="AA348" t="s">
        <v>14561</v>
      </c>
      <c r="AB348" t="s">
        <v>19183</v>
      </c>
    </row>
    <row r="349" spans="1:28" x14ac:dyDescent="0.25">
      <c r="A349" t="s">
        <v>353</v>
      </c>
      <c r="B349">
        <v>0.99904790336628502</v>
      </c>
      <c r="C349">
        <v>1.1805334996988499</v>
      </c>
      <c r="D349">
        <v>1.2358888415965099</v>
      </c>
      <c r="E349">
        <v>1.0885873561947199</v>
      </c>
      <c r="F349">
        <v>1.0449003663812799</v>
      </c>
      <c r="G349">
        <v>0.48000478077264602</v>
      </c>
      <c r="H349">
        <v>0.444871789552366</v>
      </c>
      <c r="I349">
        <v>0.39901840973623698</v>
      </c>
      <c r="J349">
        <v>0.32252226402554901</v>
      </c>
      <c r="K349">
        <v>0.42776561272179597</v>
      </c>
      <c r="L349">
        <v>14144.3388793835</v>
      </c>
      <c r="M349">
        <v>250</v>
      </c>
      <c r="N349">
        <v>56.940636904223901</v>
      </c>
      <c r="O349">
        <v>56.5737349453101</v>
      </c>
      <c r="P349">
        <v>-0.66445971944726601</v>
      </c>
      <c r="Q349">
        <v>0.39854451194212698</v>
      </c>
      <c r="R349">
        <v>0.91512887261083198</v>
      </c>
      <c r="S349" t="s">
        <v>5089</v>
      </c>
      <c r="T349" t="s">
        <v>9478</v>
      </c>
      <c r="U349" t="s">
        <v>9478</v>
      </c>
      <c r="V349" t="s">
        <v>9478</v>
      </c>
      <c r="W349">
        <v>2</v>
      </c>
      <c r="X349" t="s">
        <v>9827</v>
      </c>
      <c r="Y349">
        <v>0.73095561367161044</v>
      </c>
      <c r="Z349" t="str">
        <f>HYPERLINK("Melting_Curves/meltCurve_sp_O76041_NEBL_HUMAN_.pdf", "Melting_Curves/meltCurve_sp_O76041_NEBL_HUMAN_.pdf")</f>
        <v>Melting_Curves/meltCurve_sp_O76041_NEBL_HUMAN_.pdf</v>
      </c>
      <c r="AA349" t="s">
        <v>14562</v>
      </c>
      <c r="AB349" t="s">
        <v>19184</v>
      </c>
    </row>
    <row r="350" spans="1:28" x14ac:dyDescent="0.25">
      <c r="A350" t="s">
        <v>354</v>
      </c>
      <c r="B350">
        <v>0.99904790336628502</v>
      </c>
      <c r="C350">
        <v>0.94764666710555201</v>
      </c>
      <c r="D350">
        <v>0.92404705735394099</v>
      </c>
      <c r="E350">
        <v>0.90702277020909905</v>
      </c>
      <c r="F350">
        <v>0.69940898499623505</v>
      </c>
      <c r="G350">
        <v>0.188038297910751</v>
      </c>
      <c r="H350">
        <v>9.2910788722848206E-2</v>
      </c>
      <c r="I350">
        <v>6.1947894396622599E-2</v>
      </c>
      <c r="J350">
        <v>4.76611550169398E-2</v>
      </c>
      <c r="K350">
        <v>4.2186817354466499E-2</v>
      </c>
      <c r="L350">
        <v>1706.0091178149301</v>
      </c>
      <c r="M350">
        <v>31.515540298468</v>
      </c>
      <c r="N350">
        <v>54.307850985639099</v>
      </c>
      <c r="O350">
        <v>53.915760806758897</v>
      </c>
      <c r="P350">
        <v>-0.139057488948514</v>
      </c>
      <c r="Q350">
        <v>4.8424991076259499E-2</v>
      </c>
      <c r="R350">
        <v>0.99410204338928898</v>
      </c>
      <c r="S350" t="s">
        <v>5090</v>
      </c>
      <c r="T350" t="s">
        <v>9478</v>
      </c>
      <c r="U350" t="s">
        <v>9478</v>
      </c>
      <c r="V350" t="s">
        <v>9478</v>
      </c>
      <c r="W350">
        <v>21</v>
      </c>
      <c r="X350" t="s">
        <v>9828</v>
      </c>
      <c r="Y350">
        <v>0.50238101898343268</v>
      </c>
      <c r="Z350" t="str">
        <f>HYPERLINK("Melting_Curves/meltCurve_sp_O76054_S14L2_HUMAN_.pdf", "Melting_Curves/meltCurve_sp_O76054_S14L2_HUMAN_.pdf")</f>
        <v>Melting_Curves/meltCurve_sp_O76054_S14L2_HUMAN_.pdf</v>
      </c>
      <c r="AA350" t="s">
        <v>14563</v>
      </c>
      <c r="AB350" t="s">
        <v>19185</v>
      </c>
    </row>
    <row r="351" spans="1:28" x14ac:dyDescent="0.25">
      <c r="A351" t="s">
        <v>355</v>
      </c>
      <c r="B351">
        <v>0.99904790336628502</v>
      </c>
      <c r="C351">
        <v>0.93428685469218198</v>
      </c>
      <c r="D351">
        <v>0.91626347968278699</v>
      </c>
      <c r="E351">
        <v>0.85531043248463301</v>
      </c>
      <c r="F351">
        <v>0.800385155146634</v>
      </c>
      <c r="G351">
        <v>0.59811221937946502</v>
      </c>
      <c r="H351">
        <v>0.31775334061460597</v>
      </c>
      <c r="I351">
        <v>0.15988470180783801</v>
      </c>
      <c r="J351">
        <v>6.8101560475086101E-2</v>
      </c>
      <c r="K351">
        <v>4.0931233842246298E-2</v>
      </c>
      <c r="L351">
        <v>886.78137762632502</v>
      </c>
      <c r="M351">
        <v>15.355724546495001</v>
      </c>
      <c r="N351">
        <v>57.749237295423498</v>
      </c>
      <c r="O351">
        <v>56.796424476794698</v>
      </c>
      <c r="P351">
        <v>-6.7597299957397897E-2</v>
      </c>
      <c r="Q351">
        <v>0</v>
      </c>
      <c r="R351">
        <v>0.98771072870167798</v>
      </c>
      <c r="S351" t="s">
        <v>5091</v>
      </c>
      <c r="T351" t="s">
        <v>9478</v>
      </c>
      <c r="U351" t="s">
        <v>9478</v>
      </c>
      <c r="V351" t="s">
        <v>9478</v>
      </c>
      <c r="W351">
        <v>7</v>
      </c>
      <c r="X351" t="s">
        <v>9829</v>
      </c>
      <c r="Y351">
        <v>0.60561314645671172</v>
      </c>
      <c r="Z351" t="str">
        <f>HYPERLINK("Melting_Curves/meltCurve_sp_O76071_CIAO1_HUMAN_.pdf", "Melting_Curves/meltCurve_sp_O76071_CIAO1_HUMAN_.pdf")</f>
        <v>Melting_Curves/meltCurve_sp_O76071_CIAO1_HUMAN_.pdf</v>
      </c>
      <c r="AA351" t="s">
        <v>14564</v>
      </c>
      <c r="AB351" t="s">
        <v>19186</v>
      </c>
    </row>
    <row r="352" spans="1:28" x14ac:dyDescent="0.25">
      <c r="A352" t="s">
        <v>356</v>
      </c>
      <c r="B352">
        <v>0.99904790336628502</v>
      </c>
      <c r="C352">
        <v>1.0152398113997601</v>
      </c>
      <c r="D352">
        <v>0.79395299072599401</v>
      </c>
      <c r="E352">
        <v>0.31344012304810098</v>
      </c>
      <c r="F352">
        <v>0.13331771614247701</v>
      </c>
      <c r="G352">
        <v>6.8435722182368694E-2</v>
      </c>
      <c r="H352">
        <v>3.8712168284984701E-2</v>
      </c>
      <c r="I352">
        <v>3.1984592793990498E-2</v>
      </c>
      <c r="J352">
        <v>2.6260902225606401E-2</v>
      </c>
      <c r="K352">
        <v>2.04925045743653E-2</v>
      </c>
      <c r="L352">
        <v>1289.5191844477999</v>
      </c>
      <c r="M352">
        <v>26.661854298319</v>
      </c>
      <c r="N352">
        <v>48.494296021554298</v>
      </c>
      <c r="O352">
        <v>48.096051452164801</v>
      </c>
      <c r="P352">
        <v>-0.13385782857019801</v>
      </c>
      <c r="Q352">
        <v>3.4130477799762499E-2</v>
      </c>
      <c r="R352">
        <v>0.99807006971954904</v>
      </c>
      <c r="S352" t="s">
        <v>5092</v>
      </c>
      <c r="T352" t="s">
        <v>9478</v>
      </c>
      <c r="U352" t="s">
        <v>9478</v>
      </c>
      <c r="V352" t="s">
        <v>9478</v>
      </c>
      <c r="W352">
        <v>19</v>
      </c>
      <c r="X352" t="s">
        <v>9830</v>
      </c>
      <c r="Y352">
        <v>0.31092887400756081</v>
      </c>
      <c r="Z352" t="str">
        <f>HYPERLINK("Melting_Curves/meltCurve_sp_O76094_SRP72_HUMAN_.pdf", "Melting_Curves/meltCurve_sp_O76094_SRP72_HUMAN_.pdf")</f>
        <v>Melting_Curves/meltCurve_sp_O76094_SRP72_HUMAN_.pdf</v>
      </c>
      <c r="AA352" t="s">
        <v>14565</v>
      </c>
      <c r="AB352" t="s">
        <v>19187</v>
      </c>
    </row>
    <row r="353" spans="1:28" x14ac:dyDescent="0.25">
      <c r="A353" t="s">
        <v>357</v>
      </c>
      <c r="B353">
        <v>0.99904790336628502</v>
      </c>
      <c r="C353">
        <v>0.963757842926657</v>
      </c>
      <c r="D353">
        <v>0.94847635622396098</v>
      </c>
      <c r="E353">
        <v>0.94095260357783395</v>
      </c>
      <c r="F353">
        <v>0.94040853536680902</v>
      </c>
      <c r="G353">
        <v>0.74398114448737196</v>
      </c>
      <c r="H353">
        <v>0.42816877372101603</v>
      </c>
      <c r="I353">
        <v>0.227771941142099</v>
      </c>
      <c r="J353">
        <v>0.16730929195983699</v>
      </c>
      <c r="K353">
        <v>0.13560687424919199</v>
      </c>
      <c r="L353">
        <v>1290.26550501321</v>
      </c>
      <c r="M353">
        <v>21.734990732239101</v>
      </c>
      <c r="N353">
        <v>59.940584452302801</v>
      </c>
      <c r="O353">
        <v>58.867843137572201</v>
      </c>
      <c r="P353">
        <v>-8.3592269476585906E-2</v>
      </c>
      <c r="Q353">
        <v>9.44036239332018E-2</v>
      </c>
      <c r="R353">
        <v>0.99471410573147201</v>
      </c>
      <c r="S353" t="s">
        <v>5093</v>
      </c>
      <c r="T353" t="s">
        <v>9478</v>
      </c>
      <c r="U353" t="s">
        <v>9478</v>
      </c>
      <c r="V353" t="s">
        <v>9478</v>
      </c>
      <c r="W353">
        <v>21</v>
      </c>
      <c r="X353" t="s">
        <v>9831</v>
      </c>
      <c r="Y353">
        <v>0.68710250363933556</v>
      </c>
      <c r="Z353" t="str">
        <f>HYPERLINK("Melting_Curves/meltCurve_sp_O94760_DDAH1_HUMAN_.pdf", "Melting_Curves/meltCurve_sp_O94760_DDAH1_HUMAN_.pdf")</f>
        <v>Melting_Curves/meltCurve_sp_O94760_DDAH1_HUMAN_.pdf</v>
      </c>
      <c r="AA353" t="s">
        <v>14566</v>
      </c>
      <c r="AB353" t="s">
        <v>19188</v>
      </c>
    </row>
    <row r="354" spans="1:28" x14ac:dyDescent="0.25">
      <c r="A354" t="s">
        <v>358</v>
      </c>
      <c r="B354">
        <v>0.99904790336628502</v>
      </c>
      <c r="C354">
        <v>0.95246147726545205</v>
      </c>
      <c r="D354">
        <v>0.97781050977810402</v>
      </c>
      <c r="E354">
        <v>0.80832372788622198</v>
      </c>
      <c r="F354">
        <v>0.60058531546904803</v>
      </c>
      <c r="G354">
        <v>0.37299380373803498</v>
      </c>
      <c r="H354">
        <v>0.37240510511214903</v>
      </c>
      <c r="I354">
        <v>0.30439105145378897</v>
      </c>
      <c r="J354">
        <v>0.35905002872860098</v>
      </c>
      <c r="K354">
        <v>0.40331472401434298</v>
      </c>
      <c r="L354">
        <v>1376.5092591709699</v>
      </c>
      <c r="M354">
        <v>26.578327993241199</v>
      </c>
      <c r="N354">
        <v>54.260874792385501</v>
      </c>
      <c r="O354">
        <v>51.500146371249699</v>
      </c>
      <c r="P354">
        <v>-8.3748578416694294E-2</v>
      </c>
      <c r="Q354">
        <v>0.350897013440856</v>
      </c>
      <c r="R354">
        <v>0.98824749203956097</v>
      </c>
      <c r="S354" t="s">
        <v>5094</v>
      </c>
      <c r="T354" t="s">
        <v>9478</v>
      </c>
      <c r="U354" t="s">
        <v>9478</v>
      </c>
      <c r="V354" t="s">
        <v>9478</v>
      </c>
      <c r="W354">
        <v>2</v>
      </c>
      <c r="X354" t="s">
        <v>9832</v>
      </c>
      <c r="Y354">
        <v>0.61125823036514693</v>
      </c>
      <c r="Z354" t="str">
        <f>HYPERLINK("Melting_Curves/meltCurve_sp_O94763_RMP_HUMAN_.pdf", "Melting_Curves/meltCurve_sp_O94763_RMP_HUMAN_.pdf")</f>
        <v>Melting_Curves/meltCurve_sp_O94763_RMP_HUMAN_.pdf</v>
      </c>
      <c r="AA354" t="s">
        <v>14567</v>
      </c>
      <c r="AB354" t="s">
        <v>19189</v>
      </c>
    </row>
    <row r="355" spans="1:28" x14ac:dyDescent="0.25">
      <c r="A355" t="s">
        <v>359</v>
      </c>
      <c r="B355">
        <v>0.99904790336628502</v>
      </c>
      <c r="C355">
        <v>0.93660904917127996</v>
      </c>
      <c r="D355">
        <v>0.91088635575953103</v>
      </c>
      <c r="E355">
        <v>0.67838542581164396</v>
      </c>
      <c r="F355">
        <v>0.44738724789280898</v>
      </c>
      <c r="G355">
        <v>0.34730215540188702</v>
      </c>
      <c r="H355">
        <v>0.24307104993343301</v>
      </c>
      <c r="I355">
        <v>0.159177325183189</v>
      </c>
      <c r="J355">
        <v>0.14638774085909101</v>
      </c>
      <c r="K355">
        <v>0.14321272810319999</v>
      </c>
      <c r="L355">
        <v>747.62657149946301</v>
      </c>
      <c r="M355">
        <v>14.4313339976314</v>
      </c>
      <c r="N355">
        <v>52.8706793847944</v>
      </c>
      <c r="O355">
        <v>50.8414985894564</v>
      </c>
      <c r="P355">
        <v>-6.2020060703827998E-2</v>
      </c>
      <c r="Q355">
        <v>0.12611755889449</v>
      </c>
      <c r="R355">
        <v>0.99424494374091699</v>
      </c>
      <c r="S355" t="s">
        <v>5095</v>
      </c>
      <c r="T355" t="s">
        <v>9478</v>
      </c>
      <c r="U355" t="s">
        <v>9478</v>
      </c>
      <c r="V355" t="s">
        <v>9478</v>
      </c>
      <c r="W355">
        <v>16</v>
      </c>
      <c r="X355" t="s">
        <v>9833</v>
      </c>
      <c r="Y355">
        <v>0.49088192673852338</v>
      </c>
      <c r="Z355" t="str">
        <f>HYPERLINK("Melting_Curves/meltCurve_sp_O94776_MTA2_HUMAN_.pdf", "Melting_Curves/meltCurve_sp_O94776_MTA2_HUMAN_.pdf")</f>
        <v>Melting_Curves/meltCurve_sp_O94776_MTA2_HUMAN_.pdf</v>
      </c>
      <c r="AA355" t="s">
        <v>14568</v>
      </c>
      <c r="AB355" t="s">
        <v>19190</v>
      </c>
    </row>
    <row r="356" spans="1:28" x14ac:dyDescent="0.25">
      <c r="A356" t="s">
        <v>360</v>
      </c>
      <c r="B356">
        <v>0.99904790336628502</v>
      </c>
      <c r="C356">
        <v>0.88300775004509902</v>
      </c>
      <c r="D356">
        <v>0.77805268436869501</v>
      </c>
      <c r="E356">
        <v>0.43786875313028201</v>
      </c>
      <c r="F356">
        <v>0.18912378209410799</v>
      </c>
      <c r="G356">
        <v>8.1085440440368597E-2</v>
      </c>
      <c r="H356">
        <v>3.8954858141403897E-2</v>
      </c>
      <c r="I356">
        <v>2.0625536128117499E-2</v>
      </c>
      <c r="J356">
        <v>1.2617713322511701E-2</v>
      </c>
      <c r="K356">
        <v>9.8235287428272804E-3</v>
      </c>
      <c r="L356">
        <v>865.31475325354597</v>
      </c>
      <c r="M356">
        <v>17.636410367241901</v>
      </c>
      <c r="N356">
        <v>49.079873041527399</v>
      </c>
      <c r="O356">
        <v>48.446353170701201</v>
      </c>
      <c r="P356">
        <v>-9.0757760693550599E-2</v>
      </c>
      <c r="Q356">
        <v>2.8250562628999898E-3</v>
      </c>
      <c r="R356">
        <v>0.99762161121878701</v>
      </c>
      <c r="S356" t="s">
        <v>5096</v>
      </c>
      <c r="T356" t="s">
        <v>9478</v>
      </c>
      <c r="U356" t="s">
        <v>9478</v>
      </c>
      <c r="V356" t="s">
        <v>9478</v>
      </c>
      <c r="W356">
        <v>4</v>
      </c>
      <c r="X356" t="s">
        <v>9834</v>
      </c>
      <c r="Y356">
        <v>0.32207213275894653</v>
      </c>
      <c r="Z356" t="str">
        <f>HYPERLINK("Melting_Curves/meltCurve_sp_O94788_4_AL1A2_HUMAN_.pdf", "Melting_Curves/meltCurve_sp_O94788_4_AL1A2_HUMAN_.pdf")</f>
        <v>Melting_Curves/meltCurve_sp_O94788_4_AL1A2_HUMAN_.pdf</v>
      </c>
      <c r="AA356" t="s">
        <v>14569</v>
      </c>
      <c r="AB356" t="s">
        <v>19191</v>
      </c>
    </row>
    <row r="357" spans="1:28" x14ac:dyDescent="0.25">
      <c r="A357" t="s">
        <v>361</v>
      </c>
      <c r="B357">
        <v>0.99904790336628502</v>
      </c>
      <c r="C357">
        <v>0.95704886752781004</v>
      </c>
      <c r="D357">
        <v>1.0587370173172701</v>
      </c>
      <c r="E357">
        <v>1.0473396185419599</v>
      </c>
      <c r="F357">
        <v>0.93469098620872404</v>
      </c>
      <c r="G357">
        <v>0.81770669379205496</v>
      </c>
      <c r="H357">
        <v>0.59298767736575897</v>
      </c>
      <c r="I357">
        <v>0.59666110408692596</v>
      </c>
      <c r="J357">
        <v>0.60024043874585298</v>
      </c>
      <c r="K357">
        <v>0.55000379082088002</v>
      </c>
      <c r="L357">
        <v>1914.8674463479999</v>
      </c>
      <c r="M357">
        <v>33.4418476368065</v>
      </c>
      <c r="O357">
        <v>57.056031887060897</v>
      </c>
      <c r="P357">
        <v>-6.2925978361366597E-2</v>
      </c>
      <c r="Q357">
        <v>0.570563025199888</v>
      </c>
      <c r="R357">
        <v>0.97056683172424696</v>
      </c>
      <c r="S357" t="s">
        <v>5097</v>
      </c>
      <c r="T357" t="s">
        <v>9478</v>
      </c>
      <c r="U357" t="s">
        <v>9478</v>
      </c>
      <c r="V357" t="s">
        <v>9478</v>
      </c>
      <c r="W357">
        <v>2</v>
      </c>
      <c r="X357" t="s">
        <v>9835</v>
      </c>
      <c r="Y357">
        <v>0.81997875768566997</v>
      </c>
      <c r="Z357" t="str">
        <f>HYPERLINK("Melting_Curves/meltCurve_sp_O94811_TPPP_HUMAN_.pdf", "Melting_Curves/meltCurve_sp_O94811_TPPP_HUMAN_.pdf")</f>
        <v>Melting_Curves/meltCurve_sp_O94811_TPPP_HUMAN_.pdf</v>
      </c>
      <c r="AA357" t="s">
        <v>14570</v>
      </c>
      <c r="AB357" t="s">
        <v>19192</v>
      </c>
    </row>
    <row r="358" spans="1:28" x14ac:dyDescent="0.25">
      <c r="A358" t="s">
        <v>362</v>
      </c>
      <c r="B358">
        <v>0.99904790336628502</v>
      </c>
      <c r="C358">
        <v>0.94891289876366403</v>
      </c>
      <c r="D358">
        <v>0.95481909000406895</v>
      </c>
      <c r="E358">
        <v>0.86429330638812096</v>
      </c>
      <c r="F358">
        <v>0.75358192207652397</v>
      </c>
      <c r="G358">
        <v>0.20798623274549299</v>
      </c>
      <c r="H358">
        <v>7.24788889070246E-2</v>
      </c>
      <c r="I358">
        <v>2.5843799402828899E-2</v>
      </c>
      <c r="J358">
        <v>3.0183765724047799E-2</v>
      </c>
      <c r="K358">
        <v>5.7104688086716798E-3</v>
      </c>
      <c r="L358">
        <v>1576.7174157735201</v>
      </c>
      <c r="M358">
        <v>28.878496593411398</v>
      </c>
      <c r="N358">
        <v>54.6485964751664</v>
      </c>
      <c r="O358">
        <v>54.338522388048702</v>
      </c>
      <c r="P358">
        <v>-0.13112311501148599</v>
      </c>
      <c r="Q358">
        <v>1.3108972849665499E-2</v>
      </c>
      <c r="R358">
        <v>0.99301873540135199</v>
      </c>
      <c r="S358" t="s">
        <v>5098</v>
      </c>
      <c r="T358" t="s">
        <v>9478</v>
      </c>
      <c r="U358" t="s">
        <v>9478</v>
      </c>
      <c r="V358" t="s">
        <v>9478</v>
      </c>
      <c r="W358">
        <v>1</v>
      </c>
      <c r="X358" t="s">
        <v>9836</v>
      </c>
      <c r="Y358">
        <v>0.50035283780030326</v>
      </c>
      <c r="Z358" t="str">
        <f>HYPERLINK("Melting_Curves/meltCurve_sp_O94817_ATG12_HUMAN_.pdf", "Melting_Curves/meltCurve_sp_O94817_ATG12_HUMAN_.pdf")</f>
        <v>Melting_Curves/meltCurve_sp_O94817_ATG12_HUMAN_.pdf</v>
      </c>
      <c r="AA358" t="s">
        <v>14571</v>
      </c>
      <c r="AB358" t="s">
        <v>19193</v>
      </c>
    </row>
    <row r="359" spans="1:28" x14ac:dyDescent="0.25">
      <c r="A359" t="s">
        <v>363</v>
      </c>
      <c r="B359">
        <v>0.99904790336628502</v>
      </c>
      <c r="C359">
        <v>0.994044355371975</v>
      </c>
      <c r="D359">
        <v>0.938196048592842</v>
      </c>
      <c r="E359">
        <v>0.84501683633229796</v>
      </c>
      <c r="F359">
        <v>0.63433022768423997</v>
      </c>
      <c r="G359">
        <v>0.239182972994329</v>
      </c>
      <c r="H359">
        <v>0.10305104616930499</v>
      </c>
      <c r="I359">
        <v>8.1288470729932893E-2</v>
      </c>
      <c r="J359">
        <v>6.6118311981231304E-2</v>
      </c>
      <c r="K359">
        <v>7.1458256515000901E-2</v>
      </c>
      <c r="L359">
        <v>1248.6491338103001</v>
      </c>
      <c r="M359">
        <v>23.213269013859399</v>
      </c>
      <c r="N359">
        <v>54.064578377843603</v>
      </c>
      <c r="O359">
        <v>53.3958943302273</v>
      </c>
      <c r="P359">
        <v>-0.102649517860259</v>
      </c>
      <c r="Q359">
        <v>5.55463595042184E-2</v>
      </c>
      <c r="R359">
        <v>0.99788060033523696</v>
      </c>
      <c r="S359" t="s">
        <v>5099</v>
      </c>
      <c r="T359" t="s">
        <v>9478</v>
      </c>
      <c r="U359" t="s">
        <v>9478</v>
      </c>
      <c r="V359" t="s">
        <v>9478</v>
      </c>
      <c r="W359">
        <v>10</v>
      </c>
      <c r="X359" t="s">
        <v>9837</v>
      </c>
      <c r="Y359">
        <v>0.49967530792392068</v>
      </c>
      <c r="Z359" t="str">
        <f>HYPERLINK("Melting_Curves/meltCurve_sp_O94819_KBTBB_HUMAN_.pdf", "Melting_Curves/meltCurve_sp_O94819_KBTBB_HUMAN_.pdf")</f>
        <v>Melting_Curves/meltCurve_sp_O94819_KBTBB_HUMAN_.pdf</v>
      </c>
      <c r="AA359" t="s">
        <v>14572</v>
      </c>
      <c r="AB359" t="s">
        <v>19194</v>
      </c>
    </row>
    <row r="360" spans="1:28" x14ac:dyDescent="0.25">
      <c r="A360" t="s">
        <v>364</v>
      </c>
      <c r="B360">
        <v>0.99904790336628502</v>
      </c>
      <c r="C360">
        <v>1.01079799379119</v>
      </c>
      <c r="D360">
        <v>0.95994012894256098</v>
      </c>
      <c r="E360">
        <v>0.56598598578730397</v>
      </c>
      <c r="F360">
        <v>0.29038820437942298</v>
      </c>
      <c r="G360">
        <v>0.15213655856955099</v>
      </c>
      <c r="H360">
        <v>0.106894944046589</v>
      </c>
      <c r="I360">
        <v>8.6051791225116997E-2</v>
      </c>
      <c r="J360">
        <v>7.8625985794090802E-2</v>
      </c>
      <c r="K360">
        <v>5.9842332606633498E-2</v>
      </c>
      <c r="L360">
        <v>1312.4914486579801</v>
      </c>
      <c r="M360">
        <v>26.057531179217499</v>
      </c>
      <c r="N360">
        <v>50.7317554224202</v>
      </c>
      <c r="O360">
        <v>50.075145020411703</v>
      </c>
      <c r="P360">
        <v>-0.119035703318726</v>
      </c>
      <c r="Q360">
        <v>8.4999786981250006E-2</v>
      </c>
      <c r="R360">
        <v>0.99781054854504903</v>
      </c>
      <c r="S360" t="s">
        <v>5100</v>
      </c>
      <c r="T360" t="s">
        <v>9478</v>
      </c>
      <c r="U360" t="s">
        <v>9478</v>
      </c>
      <c r="V360" t="s">
        <v>9478</v>
      </c>
      <c r="W360">
        <v>2</v>
      </c>
      <c r="X360" t="s">
        <v>9838</v>
      </c>
      <c r="Y360">
        <v>0.4088112776626277</v>
      </c>
      <c r="Z360" t="str">
        <f>HYPERLINK("Melting_Curves/meltCurve_sp_O94822_LTN1_HUMAN_.pdf", "Melting_Curves/meltCurve_sp_O94822_LTN1_HUMAN_.pdf")</f>
        <v>Melting_Curves/meltCurve_sp_O94822_LTN1_HUMAN_.pdf</v>
      </c>
      <c r="AA360" t="s">
        <v>14573</v>
      </c>
      <c r="AB360" t="s">
        <v>19195</v>
      </c>
    </row>
    <row r="361" spans="1:28" x14ac:dyDescent="0.25">
      <c r="A361" t="s">
        <v>365</v>
      </c>
      <c r="B361">
        <v>0.99904790336628502</v>
      </c>
      <c r="C361">
        <v>1.17560809023738</v>
      </c>
      <c r="D361">
        <v>1.18445669740046</v>
      </c>
      <c r="E361">
        <v>1.0824291393997301</v>
      </c>
      <c r="F361">
        <v>0.31550771613098599</v>
      </c>
      <c r="G361">
        <v>0.14417415115985499</v>
      </c>
      <c r="H361">
        <v>8.6849265639320397E-2</v>
      </c>
      <c r="I361">
        <v>5.9151797934169498E-2</v>
      </c>
      <c r="J361">
        <v>5.2800994264770799E-2</v>
      </c>
      <c r="K361">
        <v>4.2281809687044598E-2</v>
      </c>
      <c r="L361">
        <v>13194.1120591206</v>
      </c>
      <c r="M361">
        <v>250</v>
      </c>
      <c r="N361">
        <v>52.811821185952397</v>
      </c>
      <c r="O361">
        <v>52.773070895422102</v>
      </c>
      <c r="P361">
        <v>-1.0930627506785699</v>
      </c>
      <c r="Q361">
        <v>7.7051552553966896E-2</v>
      </c>
      <c r="R361">
        <v>0.96796177767258595</v>
      </c>
      <c r="S361" t="s">
        <v>5101</v>
      </c>
      <c r="T361" t="s">
        <v>9478</v>
      </c>
      <c r="U361" t="s">
        <v>9478</v>
      </c>
      <c r="V361" t="s">
        <v>9478</v>
      </c>
      <c r="W361">
        <v>12</v>
      </c>
      <c r="X361" t="s">
        <v>9839</v>
      </c>
      <c r="Y361">
        <v>0.47020380653346161</v>
      </c>
      <c r="Z361" t="str">
        <f>HYPERLINK("Melting_Curves/meltCurve_sp_O94826_TOM70_HUMAN_.pdf", "Melting_Curves/meltCurve_sp_O94826_TOM70_HUMAN_.pdf")</f>
        <v>Melting_Curves/meltCurve_sp_O94826_TOM70_HUMAN_.pdf</v>
      </c>
      <c r="AA361" t="s">
        <v>14574</v>
      </c>
      <c r="AB361" t="s">
        <v>19196</v>
      </c>
    </row>
    <row r="362" spans="1:28" x14ac:dyDescent="0.25">
      <c r="A362" t="s">
        <v>366</v>
      </c>
      <c r="B362">
        <v>0.99904790336628502</v>
      </c>
      <c r="C362">
        <v>0.89559895602191897</v>
      </c>
      <c r="D362">
        <v>0.89618837860009404</v>
      </c>
      <c r="E362">
        <v>0.50135470490372402</v>
      </c>
      <c r="F362">
        <v>0.226712612417894</v>
      </c>
      <c r="G362">
        <v>0.11199085727569499</v>
      </c>
      <c r="H362">
        <v>5.5283568076071099E-2</v>
      </c>
      <c r="I362">
        <v>3.2843954667072198E-2</v>
      </c>
      <c r="J362">
        <v>2.5802461754333698E-2</v>
      </c>
      <c r="K362">
        <v>3.3043370481908099E-2</v>
      </c>
      <c r="L362">
        <v>1072.52192297792</v>
      </c>
      <c r="M362">
        <v>21.504889905087701</v>
      </c>
      <c r="N362">
        <v>50.019279189053201</v>
      </c>
      <c r="O362">
        <v>49.448140089470797</v>
      </c>
      <c r="P362">
        <v>-0.105422338597761</v>
      </c>
      <c r="Q362">
        <v>3.0395181430474101E-2</v>
      </c>
      <c r="R362">
        <v>0.99490010625486502</v>
      </c>
      <c r="S362" t="s">
        <v>5102</v>
      </c>
      <c r="T362" t="s">
        <v>9478</v>
      </c>
      <c r="U362" t="s">
        <v>9478</v>
      </c>
      <c r="V362" t="s">
        <v>9478</v>
      </c>
      <c r="W362">
        <v>2</v>
      </c>
      <c r="X362" t="s">
        <v>9840</v>
      </c>
      <c r="Y362">
        <v>0.361208140272962</v>
      </c>
      <c r="Z362" t="str">
        <f>HYPERLINK("Melting_Curves/meltCurve_sp_O94829_IPO13_HUMAN_.pdf", "Melting_Curves/meltCurve_sp_O94829_IPO13_HUMAN_.pdf")</f>
        <v>Melting_Curves/meltCurve_sp_O94829_IPO13_HUMAN_.pdf</v>
      </c>
      <c r="AA362" t="s">
        <v>14575</v>
      </c>
      <c r="AB362" t="s">
        <v>19197</v>
      </c>
    </row>
    <row r="363" spans="1:28" x14ac:dyDescent="0.25">
      <c r="A363" t="s">
        <v>367</v>
      </c>
      <c r="B363">
        <v>0.99904790336628502</v>
      </c>
      <c r="C363">
        <v>0.906284600606169</v>
      </c>
      <c r="D363">
        <v>0.95291285716291196</v>
      </c>
      <c r="E363">
        <v>0.66027611628170202</v>
      </c>
      <c r="F363">
        <v>0.29349869179796501</v>
      </c>
      <c r="G363">
        <v>0.12525179867671199</v>
      </c>
      <c r="H363">
        <v>4.75578240412E-2</v>
      </c>
      <c r="I363">
        <v>3.3337262161738997E-2</v>
      </c>
      <c r="J363">
        <v>1.7293558238182301E-2</v>
      </c>
      <c r="K363">
        <v>1.07779796033926E-2</v>
      </c>
      <c r="L363">
        <v>1231.2152837075</v>
      </c>
      <c r="M363">
        <v>24.059487249451301</v>
      </c>
      <c r="N363">
        <v>51.269732896777597</v>
      </c>
      <c r="O363">
        <v>50.824196542186399</v>
      </c>
      <c r="P363">
        <v>-0.115743528402189</v>
      </c>
      <c r="Q363">
        <v>2.2010789746877701E-2</v>
      </c>
      <c r="R363">
        <v>0.99439167050198396</v>
      </c>
      <c r="S363" t="s">
        <v>5103</v>
      </c>
      <c r="T363" t="s">
        <v>9478</v>
      </c>
      <c r="U363" t="s">
        <v>9478</v>
      </c>
      <c r="V363" t="s">
        <v>9478</v>
      </c>
      <c r="W363">
        <v>4</v>
      </c>
      <c r="X363" t="s">
        <v>9841</v>
      </c>
      <c r="Y363">
        <v>0.39581303050209421</v>
      </c>
      <c r="Z363" t="str">
        <f>HYPERLINK("Melting_Curves/meltCurve_sp_O94851_5_MICA2_HUMAN_.pdf", "Melting_Curves/meltCurve_sp_O94851_5_MICA2_HUMAN_.pdf")</f>
        <v>Melting_Curves/meltCurve_sp_O94851_5_MICA2_HUMAN_.pdf</v>
      </c>
      <c r="AA363" t="s">
        <v>14576</v>
      </c>
      <c r="AB363" t="s">
        <v>19198</v>
      </c>
    </row>
    <row r="364" spans="1:28" x14ac:dyDescent="0.25">
      <c r="A364" t="s">
        <v>368</v>
      </c>
      <c r="B364">
        <v>0.99904790336628502</v>
      </c>
      <c r="C364">
        <v>0.97804188922130697</v>
      </c>
      <c r="D364">
        <v>1.0312533886686499</v>
      </c>
      <c r="E364">
        <v>0.87097875420472703</v>
      </c>
      <c r="F364">
        <v>0.38586579712339297</v>
      </c>
      <c r="G364">
        <v>0.111102586821739</v>
      </c>
      <c r="H364">
        <v>5.97274143881074E-2</v>
      </c>
      <c r="I364">
        <v>3.73528021747732E-2</v>
      </c>
      <c r="J364">
        <v>3.19493840654431E-2</v>
      </c>
      <c r="K364">
        <v>2.2227810137968599E-2</v>
      </c>
      <c r="L364">
        <v>2052.3629372933201</v>
      </c>
      <c r="M364">
        <v>39.261094827992501</v>
      </c>
      <c r="N364">
        <v>52.395352135881602</v>
      </c>
      <c r="O364">
        <v>52.139639351472503</v>
      </c>
      <c r="P364">
        <v>-0.18011540191426401</v>
      </c>
      <c r="Q364">
        <v>4.3212187798419302E-2</v>
      </c>
      <c r="R364">
        <v>0.99801569807222501</v>
      </c>
      <c r="S364" t="s">
        <v>5104</v>
      </c>
      <c r="T364" t="s">
        <v>9478</v>
      </c>
      <c r="U364" t="s">
        <v>9478</v>
      </c>
      <c r="V364" t="s">
        <v>9478</v>
      </c>
      <c r="W364">
        <v>26</v>
      </c>
      <c r="X364" t="s">
        <v>9842</v>
      </c>
      <c r="Y364">
        <v>0.43827613970816731</v>
      </c>
      <c r="Z364" t="str">
        <f>HYPERLINK("Melting_Curves/meltCurve_sp_O94855_SC24D_HUMAN_.pdf", "Melting_Curves/meltCurve_sp_O94855_SC24D_HUMAN_.pdf")</f>
        <v>Melting_Curves/meltCurve_sp_O94855_SC24D_HUMAN_.pdf</v>
      </c>
      <c r="AA364" t="s">
        <v>14577</v>
      </c>
      <c r="AB364" t="s">
        <v>19199</v>
      </c>
    </row>
    <row r="365" spans="1:28" x14ac:dyDescent="0.25">
      <c r="A365" t="s">
        <v>369</v>
      </c>
      <c r="B365">
        <v>0.99904790336628502</v>
      </c>
      <c r="C365">
        <v>0.98285154554496001</v>
      </c>
      <c r="D365">
        <v>0.92253770659707002</v>
      </c>
      <c r="E365">
        <v>0.60362566952461405</v>
      </c>
      <c r="F365">
        <v>0.25352051232672701</v>
      </c>
      <c r="G365">
        <v>0.14024972025166599</v>
      </c>
      <c r="H365">
        <v>8.1602162406227197E-2</v>
      </c>
      <c r="I365">
        <v>5.7366096627966399E-2</v>
      </c>
      <c r="J365">
        <v>5.30246762021441E-2</v>
      </c>
      <c r="K365">
        <v>4.0623452324192399E-2</v>
      </c>
      <c r="L365">
        <v>1275.5120081917501</v>
      </c>
      <c r="M365">
        <v>25.246449777385301</v>
      </c>
      <c r="N365">
        <v>50.767416808602299</v>
      </c>
      <c r="O365">
        <v>50.208646059660197</v>
      </c>
      <c r="P365">
        <v>-0.11849977602952901</v>
      </c>
      <c r="Q365">
        <v>5.7350811276666303E-2</v>
      </c>
      <c r="R365">
        <v>0.99844500847960205</v>
      </c>
      <c r="S365" t="s">
        <v>5105</v>
      </c>
      <c r="T365" t="s">
        <v>9478</v>
      </c>
      <c r="U365" t="s">
        <v>9478</v>
      </c>
      <c r="V365" t="s">
        <v>9478</v>
      </c>
      <c r="W365">
        <v>19</v>
      </c>
      <c r="X365" t="s">
        <v>9843</v>
      </c>
      <c r="Y365">
        <v>0.39629079024867331</v>
      </c>
      <c r="Z365" t="str">
        <f>HYPERLINK("Melting_Curves/meltCurve_sp_O94874_UFL1_HUMAN_.pdf", "Melting_Curves/meltCurve_sp_O94874_UFL1_HUMAN_.pdf")</f>
        <v>Melting_Curves/meltCurve_sp_O94874_UFL1_HUMAN_.pdf</v>
      </c>
      <c r="AA365" t="s">
        <v>14578</v>
      </c>
      <c r="AB365" t="s">
        <v>19200</v>
      </c>
    </row>
    <row r="366" spans="1:28" x14ac:dyDescent="0.25">
      <c r="A366" t="s">
        <v>370</v>
      </c>
      <c r="B366">
        <v>0.99904790336628502</v>
      </c>
      <c r="C366">
        <v>0.97653014497618795</v>
      </c>
      <c r="D366">
        <v>0.93381855902519695</v>
      </c>
      <c r="E366">
        <v>0.89741332152985398</v>
      </c>
      <c r="F366">
        <v>0.88647385949326096</v>
      </c>
      <c r="G366">
        <v>0.70609770292449903</v>
      </c>
      <c r="H366">
        <v>0.62126067735947499</v>
      </c>
      <c r="I366">
        <v>0.586270520787322</v>
      </c>
      <c r="J366">
        <v>0.61849782013233101</v>
      </c>
      <c r="K366">
        <v>0.60235409408634499</v>
      </c>
      <c r="L366">
        <v>864.53800411047996</v>
      </c>
      <c r="M366">
        <v>15.838064488830501</v>
      </c>
      <c r="O366">
        <v>53.738099262458</v>
      </c>
      <c r="P366">
        <v>-3.1369134097684999E-2</v>
      </c>
      <c r="Q366">
        <v>0.57429645496836301</v>
      </c>
      <c r="R366">
        <v>0.97199315411641696</v>
      </c>
      <c r="S366" t="s">
        <v>5106</v>
      </c>
      <c r="T366" t="s">
        <v>9478</v>
      </c>
      <c r="U366" t="s">
        <v>9478</v>
      </c>
      <c r="V366" t="s">
        <v>9478</v>
      </c>
      <c r="W366">
        <v>41</v>
      </c>
      <c r="X366" t="s">
        <v>9844</v>
      </c>
      <c r="Y366">
        <v>0.78919010144881718</v>
      </c>
      <c r="Z366" t="str">
        <f>HYPERLINK("Melting_Curves/meltCurve_sp_O94875_12_SRBS2_HUMAN_.pdf", "Melting_Curves/meltCurve_sp_O94875_12_SRBS2_HUMAN_.pdf")</f>
        <v>Melting_Curves/meltCurve_sp_O94875_12_SRBS2_HUMAN_.pdf</v>
      </c>
      <c r="AA366" t="s">
        <v>14579</v>
      </c>
      <c r="AB366" t="s">
        <v>19201</v>
      </c>
    </row>
    <row r="367" spans="1:28" x14ac:dyDescent="0.25">
      <c r="A367" t="s">
        <v>371</v>
      </c>
      <c r="B367">
        <v>0.99904790336628502</v>
      </c>
      <c r="C367">
        <v>0.91467019655278903</v>
      </c>
      <c r="D367">
        <v>0.85884768960265401</v>
      </c>
      <c r="E367">
        <v>0.79164575738078002</v>
      </c>
      <c r="F367">
        <v>0.74602387570423701</v>
      </c>
      <c r="G367">
        <v>0.57304138886131595</v>
      </c>
      <c r="H367">
        <v>0.51479298717170796</v>
      </c>
      <c r="I367">
        <v>0.47959422127248402</v>
      </c>
      <c r="J367">
        <v>0.49138945196975298</v>
      </c>
      <c r="K367">
        <v>0.63567913963607703</v>
      </c>
      <c r="L367">
        <v>617.64197377816299</v>
      </c>
      <c r="M367">
        <v>12.1866686802756</v>
      </c>
      <c r="O367">
        <v>49.3750184946351</v>
      </c>
      <c r="P367">
        <v>-3.0747105596051E-2</v>
      </c>
      <c r="Q367">
        <v>0.50181818506888098</v>
      </c>
      <c r="R367">
        <v>0.91279550095979101</v>
      </c>
      <c r="S367" t="s">
        <v>5107</v>
      </c>
      <c r="T367" t="s">
        <v>9478</v>
      </c>
      <c r="U367" t="s">
        <v>9478</v>
      </c>
      <c r="V367" t="s">
        <v>9478</v>
      </c>
      <c r="W367">
        <v>2</v>
      </c>
      <c r="X367" t="s">
        <v>9845</v>
      </c>
      <c r="Y367">
        <v>0.69538867638305157</v>
      </c>
      <c r="Z367" t="str">
        <f>HYPERLINK("Melting_Curves/meltCurve_sp_O94880_PHF14_HUMAN_.pdf", "Melting_Curves/meltCurve_sp_O94880_PHF14_HUMAN_.pdf")</f>
        <v>Melting_Curves/meltCurve_sp_O94880_PHF14_HUMAN_.pdf</v>
      </c>
      <c r="AA367" t="s">
        <v>14580</v>
      </c>
      <c r="AB367" t="s">
        <v>19202</v>
      </c>
    </row>
    <row r="368" spans="1:28" x14ac:dyDescent="0.25">
      <c r="A368" t="s">
        <v>372</v>
      </c>
      <c r="B368">
        <v>0.99904790336628502</v>
      </c>
      <c r="C368">
        <v>0.99418104518624595</v>
      </c>
      <c r="D368">
        <v>0.88154449046058803</v>
      </c>
      <c r="E368">
        <v>0.48201247388587098</v>
      </c>
      <c r="F368">
        <v>0.27619122280771102</v>
      </c>
      <c r="G368">
        <v>0.14580731996646601</v>
      </c>
      <c r="H368">
        <v>8.0161804643065299E-2</v>
      </c>
      <c r="I368">
        <v>4.99404893228165E-2</v>
      </c>
      <c r="J368">
        <v>3.4172819646160903E-2</v>
      </c>
      <c r="K368">
        <v>3.0314215410043002E-2</v>
      </c>
      <c r="L368">
        <v>1033.52531951946</v>
      </c>
      <c r="M368">
        <v>20.7105026833515</v>
      </c>
      <c r="N368">
        <v>50.135731967002698</v>
      </c>
      <c r="O368">
        <v>49.445150140953402</v>
      </c>
      <c r="P368">
        <v>-9.9926791779200705E-2</v>
      </c>
      <c r="Q368">
        <v>4.5748600757852101E-2</v>
      </c>
      <c r="R368">
        <v>0.99729701441015295</v>
      </c>
      <c r="S368" t="s">
        <v>5108</v>
      </c>
      <c r="T368" t="s">
        <v>9478</v>
      </c>
      <c r="U368" t="s">
        <v>9478</v>
      </c>
      <c r="V368" t="s">
        <v>9478</v>
      </c>
      <c r="W368">
        <v>6</v>
      </c>
      <c r="X368" t="s">
        <v>9846</v>
      </c>
      <c r="Y368">
        <v>0.37316943787814461</v>
      </c>
      <c r="Z368" t="str">
        <f>HYPERLINK("Melting_Curves/meltCurve_sp_O94887_FARP2_HUMAN_.pdf", "Melting_Curves/meltCurve_sp_O94887_FARP2_HUMAN_.pdf")</f>
        <v>Melting_Curves/meltCurve_sp_O94887_FARP2_HUMAN_.pdf</v>
      </c>
      <c r="AA368" t="s">
        <v>14581</v>
      </c>
      <c r="AB368" t="s">
        <v>19203</v>
      </c>
    </row>
    <row r="369" spans="1:28" x14ac:dyDescent="0.25">
      <c r="A369" t="s">
        <v>373</v>
      </c>
      <c r="B369">
        <v>0.99904790336628502</v>
      </c>
      <c r="C369">
        <v>1.013188755277</v>
      </c>
      <c r="D369">
        <v>0.96073453654522001</v>
      </c>
      <c r="E369">
        <v>0.85079721972855904</v>
      </c>
      <c r="F369">
        <v>0.68554143845869597</v>
      </c>
      <c r="G369">
        <v>0.53825081262980901</v>
      </c>
      <c r="H369">
        <v>0.38090522089110102</v>
      </c>
      <c r="I369">
        <v>0.21705384037940301</v>
      </c>
      <c r="J369">
        <v>0.15810233924991501</v>
      </c>
      <c r="K369">
        <v>9.1402734054347803E-2</v>
      </c>
      <c r="L369">
        <v>664.86881563192003</v>
      </c>
      <c r="M369">
        <v>11.5657013822393</v>
      </c>
      <c r="N369">
        <v>57.486246745862204</v>
      </c>
      <c r="O369">
        <v>55.8482586559604</v>
      </c>
      <c r="P369">
        <v>-5.1787263795278503E-2</v>
      </c>
      <c r="Q369">
        <v>0</v>
      </c>
      <c r="R369">
        <v>0.99519177278706406</v>
      </c>
      <c r="S369" t="s">
        <v>5109</v>
      </c>
      <c r="T369" t="s">
        <v>9478</v>
      </c>
      <c r="U369" t="s">
        <v>9478</v>
      </c>
      <c r="V369" t="s">
        <v>9478</v>
      </c>
      <c r="W369">
        <v>6</v>
      </c>
      <c r="X369" t="s">
        <v>9847</v>
      </c>
      <c r="Y369">
        <v>0.5975555376044176</v>
      </c>
      <c r="Z369" t="str">
        <f>HYPERLINK("Melting_Curves/meltCurve_sp_O94888_UBXN7_HUMAN_.pdf", "Melting_Curves/meltCurve_sp_O94888_UBXN7_HUMAN_.pdf")</f>
        <v>Melting_Curves/meltCurve_sp_O94888_UBXN7_HUMAN_.pdf</v>
      </c>
      <c r="AA369" t="s">
        <v>14582</v>
      </c>
      <c r="AB369" t="s">
        <v>19204</v>
      </c>
    </row>
    <row r="370" spans="1:28" x14ac:dyDescent="0.25">
      <c r="A370" t="s">
        <v>374</v>
      </c>
      <c r="B370">
        <v>0.99904790336628502</v>
      </c>
      <c r="C370">
        <v>0.92240415534780595</v>
      </c>
      <c r="D370">
        <v>0.94563259513842901</v>
      </c>
      <c r="E370">
        <v>0.89484796157075097</v>
      </c>
      <c r="F370">
        <v>0.60797298407100298</v>
      </c>
      <c r="G370">
        <v>0.22388512001178401</v>
      </c>
      <c r="H370">
        <v>0.120634528697754</v>
      </c>
      <c r="I370">
        <v>8.1744457365575701E-2</v>
      </c>
      <c r="J370">
        <v>6.4573011104546593E-2</v>
      </c>
      <c r="K370">
        <v>5.1557316577068898E-2</v>
      </c>
      <c r="L370">
        <v>1385.0791244847101</v>
      </c>
      <c r="M370">
        <v>25.793558299288399</v>
      </c>
      <c r="N370">
        <v>53.974373353295</v>
      </c>
      <c r="O370">
        <v>53.379008423297499</v>
      </c>
      <c r="P370">
        <v>-0.113348334201495</v>
      </c>
      <c r="Q370">
        <v>6.1727272980541002E-2</v>
      </c>
      <c r="R370">
        <v>0.99465120384055905</v>
      </c>
      <c r="S370" t="s">
        <v>5110</v>
      </c>
      <c r="T370" t="s">
        <v>9478</v>
      </c>
      <c r="U370" t="s">
        <v>9478</v>
      </c>
      <c r="V370" t="s">
        <v>9478</v>
      </c>
      <c r="W370">
        <v>13</v>
      </c>
      <c r="X370" t="s">
        <v>9848</v>
      </c>
      <c r="Y370">
        <v>0.49834894686055758</v>
      </c>
      <c r="Z370" t="str">
        <f>HYPERLINK("Melting_Curves/meltCurve_sp_O94903_PROSC_HUMAN_.pdf", "Melting_Curves/meltCurve_sp_O94903_PROSC_HUMAN_.pdf")</f>
        <v>Melting_Curves/meltCurve_sp_O94903_PROSC_HUMAN_.pdf</v>
      </c>
      <c r="AA370" t="s">
        <v>14583</v>
      </c>
      <c r="AB370" t="s">
        <v>19205</v>
      </c>
    </row>
    <row r="371" spans="1:28" x14ac:dyDescent="0.25">
      <c r="A371" t="s">
        <v>375</v>
      </c>
      <c r="B371">
        <v>0.99904790336628502</v>
      </c>
      <c r="C371">
        <v>1.1093996188530499</v>
      </c>
      <c r="D371">
        <v>1.08526167057916</v>
      </c>
      <c r="E371">
        <v>0.84462159620977095</v>
      </c>
      <c r="F371">
        <v>0.77533814790910605</v>
      </c>
      <c r="G371">
        <v>0.50000888686649003</v>
      </c>
      <c r="H371">
        <v>0.30058645000623402</v>
      </c>
      <c r="I371">
        <v>0.320946390807476</v>
      </c>
      <c r="J371">
        <v>0.29019512871159597</v>
      </c>
      <c r="K371">
        <v>0.35483155205494898</v>
      </c>
      <c r="L371">
        <v>1252.36403662873</v>
      </c>
      <c r="M371">
        <v>23.037028484483901</v>
      </c>
      <c r="N371">
        <v>56.616938792147401</v>
      </c>
      <c r="O371">
        <v>53.958420397868402</v>
      </c>
      <c r="P371">
        <v>-7.46992403860227E-2</v>
      </c>
      <c r="Q371">
        <v>0.30015660585554998</v>
      </c>
      <c r="R371">
        <v>0.96800290624183805</v>
      </c>
      <c r="S371" t="s">
        <v>5111</v>
      </c>
      <c r="T371" t="s">
        <v>9478</v>
      </c>
      <c r="U371" t="s">
        <v>9478</v>
      </c>
      <c r="V371" t="s">
        <v>9478</v>
      </c>
      <c r="W371">
        <v>1</v>
      </c>
      <c r="X371" t="s">
        <v>9849</v>
      </c>
      <c r="Y371">
        <v>0.64270508974342755</v>
      </c>
      <c r="Z371" t="str">
        <f>HYPERLINK("Melting_Curves/meltCurve_sp_O94913_PCF11_HUMAN_.pdf", "Melting_Curves/meltCurve_sp_O94913_PCF11_HUMAN_.pdf")</f>
        <v>Melting_Curves/meltCurve_sp_O94913_PCF11_HUMAN_.pdf</v>
      </c>
      <c r="AA371" t="s">
        <v>14584</v>
      </c>
      <c r="AB371" t="s">
        <v>19206</v>
      </c>
    </row>
    <row r="372" spans="1:28" x14ac:dyDescent="0.25">
      <c r="A372" t="s">
        <v>376</v>
      </c>
      <c r="B372">
        <v>0.99904790336628502</v>
      </c>
      <c r="C372">
        <v>0.94542873152194296</v>
      </c>
      <c r="D372">
        <v>0.62831029031591601</v>
      </c>
      <c r="E372">
        <v>0.216535218967218</v>
      </c>
      <c r="F372">
        <v>0.112655405968011</v>
      </c>
      <c r="G372">
        <v>6.2366296929352902E-2</v>
      </c>
      <c r="H372">
        <v>4.0499769474833899E-2</v>
      </c>
      <c r="I372">
        <v>2.3737244097471698E-2</v>
      </c>
      <c r="J372">
        <v>2.11049273571602E-2</v>
      </c>
      <c r="K372">
        <v>1.9096289242291401E-2</v>
      </c>
      <c r="L372">
        <v>1146.74383065755</v>
      </c>
      <c r="M372">
        <v>24.383112079378801</v>
      </c>
      <c r="N372">
        <v>47.161252517989297</v>
      </c>
      <c r="O372">
        <v>46.7173486027026</v>
      </c>
      <c r="P372">
        <v>-0.12621158460558499</v>
      </c>
      <c r="Q372">
        <v>3.2743424099648602E-2</v>
      </c>
      <c r="R372">
        <v>0.99820818956921997</v>
      </c>
      <c r="S372" t="s">
        <v>5112</v>
      </c>
      <c r="T372" t="s">
        <v>9478</v>
      </c>
      <c r="U372" t="s">
        <v>9478</v>
      </c>
      <c r="V372" t="s">
        <v>9478</v>
      </c>
      <c r="W372">
        <v>3</v>
      </c>
      <c r="X372" t="s">
        <v>9850</v>
      </c>
      <c r="Y372">
        <v>0.26853181946239918</v>
      </c>
      <c r="Z372" t="str">
        <f>HYPERLINK("Melting_Curves/meltCurve_sp_O94925_GLSK_HUMAN_.pdf", "Melting_Curves/meltCurve_sp_O94925_GLSK_HUMAN_.pdf")</f>
        <v>Melting_Curves/meltCurve_sp_O94925_GLSK_HUMAN_.pdf</v>
      </c>
      <c r="AA372" t="s">
        <v>14585</v>
      </c>
      <c r="AB372" t="s">
        <v>19207</v>
      </c>
    </row>
    <row r="373" spans="1:28" x14ac:dyDescent="0.25">
      <c r="A373" t="s">
        <v>377</v>
      </c>
      <c r="B373">
        <v>0.99904790336628502</v>
      </c>
      <c r="C373">
        <v>1.0088399579107501</v>
      </c>
      <c r="D373">
        <v>0.90613620305776399</v>
      </c>
      <c r="E373">
        <v>0.90376092592898705</v>
      </c>
      <c r="F373">
        <v>0.80644927156234503</v>
      </c>
      <c r="G373">
        <v>0.501655671052328</v>
      </c>
      <c r="H373">
        <v>0.32607944219849899</v>
      </c>
      <c r="I373">
        <v>0.26762397796370802</v>
      </c>
      <c r="J373">
        <v>0.229289448622812</v>
      </c>
      <c r="K373">
        <v>0.19884092735258499</v>
      </c>
      <c r="L373">
        <v>993.85244899038298</v>
      </c>
      <c r="M373">
        <v>17.7892002653644</v>
      </c>
      <c r="N373">
        <v>57.328798367629197</v>
      </c>
      <c r="O373">
        <v>55.176664846712399</v>
      </c>
      <c r="P373">
        <v>-6.5918685895166002E-2</v>
      </c>
      <c r="Q373">
        <v>0.182203932778428</v>
      </c>
      <c r="R373">
        <v>0.99277834544154298</v>
      </c>
      <c r="S373" t="s">
        <v>5113</v>
      </c>
      <c r="T373" t="s">
        <v>9478</v>
      </c>
      <c r="U373" t="s">
        <v>9478</v>
      </c>
      <c r="V373" t="s">
        <v>9478</v>
      </c>
      <c r="W373">
        <v>13</v>
      </c>
      <c r="X373" t="s">
        <v>9851</v>
      </c>
      <c r="Y373">
        <v>0.62708266525929102</v>
      </c>
      <c r="Z373" t="str">
        <f>HYPERLINK("Melting_Curves/meltCurve_sp_O94929_2_ABLM3_HUMAN_.pdf", "Melting_Curves/meltCurve_sp_O94929_2_ABLM3_HUMAN_.pdf")</f>
        <v>Melting_Curves/meltCurve_sp_O94929_2_ABLM3_HUMAN_.pdf</v>
      </c>
      <c r="AA373" t="s">
        <v>14586</v>
      </c>
      <c r="AB373" t="s">
        <v>19208</v>
      </c>
    </row>
    <row r="374" spans="1:28" x14ac:dyDescent="0.25">
      <c r="A374" t="s">
        <v>378</v>
      </c>
      <c r="B374">
        <v>0.99904790336628502</v>
      </c>
      <c r="C374">
        <v>1.1434729051746799</v>
      </c>
      <c r="D374">
        <v>1.01810200242865</v>
      </c>
      <c r="E374">
        <v>0.83268889673964896</v>
      </c>
      <c r="F374">
        <v>0.46479877108940199</v>
      </c>
      <c r="G374">
        <v>0.213936629632761</v>
      </c>
      <c r="H374">
        <v>7.0595591036691302E-2</v>
      </c>
      <c r="I374">
        <v>4.8661272975054598E-2</v>
      </c>
      <c r="J374">
        <v>3.2982785125678898E-2</v>
      </c>
      <c r="K374">
        <v>3.41436926387019E-2</v>
      </c>
      <c r="L374">
        <v>1360.99478398769</v>
      </c>
      <c r="M374">
        <v>25.7692817744494</v>
      </c>
      <c r="N374">
        <v>52.994371733923998</v>
      </c>
      <c r="O374">
        <v>52.4996421553194</v>
      </c>
      <c r="P374">
        <v>-0.11757783160535699</v>
      </c>
      <c r="Q374">
        <v>4.1848266798254999E-2</v>
      </c>
      <c r="R374">
        <v>0.986310091461858</v>
      </c>
      <c r="S374" t="s">
        <v>5114</v>
      </c>
      <c r="T374" t="s">
        <v>9478</v>
      </c>
      <c r="U374" t="s">
        <v>9478</v>
      </c>
      <c r="V374" t="s">
        <v>9478</v>
      </c>
      <c r="W374">
        <v>11</v>
      </c>
      <c r="X374" t="s">
        <v>9852</v>
      </c>
      <c r="Y374">
        <v>0.45944470097191931</v>
      </c>
      <c r="Z374" t="str">
        <f>HYPERLINK("Melting_Curves/meltCurve_sp_O94966_7_UBP19_HUMAN_.pdf", "Melting_Curves/meltCurve_sp_O94966_7_UBP19_HUMAN_.pdf")</f>
        <v>Melting_Curves/meltCurve_sp_O94966_7_UBP19_HUMAN_.pdf</v>
      </c>
      <c r="AA374" t="s">
        <v>14587</v>
      </c>
      <c r="AB374" t="s">
        <v>19209</v>
      </c>
    </row>
    <row r="375" spans="1:28" x14ac:dyDescent="0.25">
      <c r="A375" t="s">
        <v>379</v>
      </c>
      <c r="B375">
        <v>0.99904790336628502</v>
      </c>
      <c r="C375">
        <v>0.97075407771043398</v>
      </c>
      <c r="D375">
        <v>1.0041706320186501</v>
      </c>
      <c r="E375">
        <v>0.84036520097937895</v>
      </c>
      <c r="F375">
        <v>0.54223737098770597</v>
      </c>
      <c r="G375">
        <v>0.272198943299093</v>
      </c>
      <c r="H375">
        <v>0.155117029016858</v>
      </c>
      <c r="I375">
        <v>9.8460050186115797E-2</v>
      </c>
      <c r="J375">
        <v>7.2852874494487005E-2</v>
      </c>
      <c r="K375">
        <v>6.5640649538551393E-2</v>
      </c>
      <c r="L375">
        <v>1149.6732650685799</v>
      </c>
      <c r="M375">
        <v>21.549575239858498</v>
      </c>
      <c r="N375">
        <v>53.744448975580397</v>
      </c>
      <c r="O375">
        <v>52.897114291551098</v>
      </c>
      <c r="P375">
        <v>-9.4402262374429502E-2</v>
      </c>
      <c r="Q375">
        <v>7.3116531846340399E-2</v>
      </c>
      <c r="R375">
        <v>0.99757353880109201</v>
      </c>
      <c r="S375" t="s">
        <v>5115</v>
      </c>
      <c r="T375" t="s">
        <v>9478</v>
      </c>
      <c r="U375" t="s">
        <v>9478</v>
      </c>
      <c r="V375" t="s">
        <v>9478</v>
      </c>
      <c r="W375">
        <v>26</v>
      </c>
      <c r="X375" t="s">
        <v>9853</v>
      </c>
      <c r="Y375">
        <v>0.49676747031390811</v>
      </c>
      <c r="Z375" t="str">
        <f>HYPERLINK("Melting_Curves/meltCurve_sp_O94973_AP2A2_HUMAN_.pdf", "Melting_Curves/meltCurve_sp_O94973_AP2A2_HUMAN_.pdf")</f>
        <v>Melting_Curves/meltCurve_sp_O94973_AP2A2_HUMAN_.pdf</v>
      </c>
      <c r="AA375" t="s">
        <v>14588</v>
      </c>
      <c r="AB375" t="s">
        <v>19210</v>
      </c>
    </row>
    <row r="376" spans="1:28" x14ac:dyDescent="0.25">
      <c r="A376" t="s">
        <v>380</v>
      </c>
      <c r="B376">
        <v>0.99904790336628502</v>
      </c>
      <c r="C376">
        <v>1.0386635639324799</v>
      </c>
      <c r="D376">
        <v>1.0654731251491201</v>
      </c>
      <c r="E376">
        <v>0.94844451007125097</v>
      </c>
      <c r="F376">
        <v>0.77448527218599394</v>
      </c>
      <c r="G376">
        <v>0.31056518017648199</v>
      </c>
      <c r="H376">
        <v>0.13675823008429</v>
      </c>
      <c r="I376">
        <v>0.101446141042183</v>
      </c>
      <c r="J376">
        <v>8.9557203919325007E-2</v>
      </c>
      <c r="K376">
        <v>7.6377715910812993E-2</v>
      </c>
      <c r="L376">
        <v>1663.3557479113599</v>
      </c>
      <c r="M376">
        <v>30.279154054490402</v>
      </c>
      <c r="N376">
        <v>55.275066840298798</v>
      </c>
      <c r="O376">
        <v>54.696081146457601</v>
      </c>
      <c r="P376">
        <v>-0.126605375497371</v>
      </c>
      <c r="Q376">
        <v>8.5208997713961399E-2</v>
      </c>
      <c r="R376">
        <v>0.99640271550373705</v>
      </c>
      <c r="S376" t="s">
        <v>5116</v>
      </c>
      <c r="T376" t="s">
        <v>9478</v>
      </c>
      <c r="U376" t="s">
        <v>9478</v>
      </c>
      <c r="V376" t="s">
        <v>9478</v>
      </c>
      <c r="W376">
        <v>30</v>
      </c>
      <c r="X376" t="s">
        <v>9854</v>
      </c>
      <c r="Y376">
        <v>0.54655212995683478</v>
      </c>
      <c r="Z376" t="str">
        <f>HYPERLINK("Melting_Curves/meltCurve_sp_O94979_6_SC31A_HUMAN_.pdf", "Melting_Curves/meltCurve_sp_O94979_6_SC31A_HUMAN_.pdf")</f>
        <v>Melting_Curves/meltCurve_sp_O94979_6_SC31A_HUMAN_.pdf</v>
      </c>
      <c r="AA376" t="s">
        <v>14589</v>
      </c>
      <c r="AB376" t="s">
        <v>19211</v>
      </c>
    </row>
    <row r="377" spans="1:28" x14ac:dyDescent="0.25">
      <c r="A377" t="s">
        <v>381</v>
      </c>
      <c r="B377">
        <v>0.99904790336628502</v>
      </c>
      <c r="C377">
        <v>1.0092385945609601</v>
      </c>
      <c r="D377">
        <v>0.99644708989238195</v>
      </c>
      <c r="E377">
        <v>0.95788688293783597</v>
      </c>
      <c r="F377">
        <v>1.0186439947780299</v>
      </c>
      <c r="G377">
        <v>0.82052076277285702</v>
      </c>
      <c r="H377">
        <v>0.72661995354332298</v>
      </c>
      <c r="I377">
        <v>0.79179414543151405</v>
      </c>
      <c r="J377">
        <v>0.82326895150909296</v>
      </c>
      <c r="K377">
        <v>0.71249942759329399</v>
      </c>
      <c r="L377">
        <v>14184.5956643054</v>
      </c>
      <c r="M377">
        <v>250</v>
      </c>
      <c r="O377">
        <v>56.7347518062546</v>
      </c>
      <c r="P377">
        <v>-0.26048230376977899</v>
      </c>
      <c r="Q377">
        <v>0.76354561872999704</v>
      </c>
      <c r="R377">
        <v>0.92212661116457195</v>
      </c>
      <c r="S377" t="s">
        <v>5117</v>
      </c>
      <c r="T377" t="s">
        <v>9478</v>
      </c>
      <c r="U377" t="s">
        <v>9478</v>
      </c>
      <c r="V377" t="s">
        <v>9478</v>
      </c>
      <c r="W377">
        <v>9</v>
      </c>
      <c r="X377" t="s">
        <v>9855</v>
      </c>
      <c r="Y377">
        <v>0.89549796082572897</v>
      </c>
      <c r="Z377" t="str">
        <f>HYPERLINK("Melting_Curves/meltCurve_sp_O94992_HEXI1_HUMAN_.pdf", "Melting_Curves/meltCurve_sp_O94992_HEXI1_HUMAN_.pdf")</f>
        <v>Melting_Curves/meltCurve_sp_O94992_HEXI1_HUMAN_.pdf</v>
      </c>
      <c r="AA377" t="s">
        <v>14590</v>
      </c>
      <c r="AB377" t="s">
        <v>19212</v>
      </c>
    </row>
    <row r="378" spans="1:28" x14ac:dyDescent="0.25">
      <c r="A378" t="s">
        <v>382</v>
      </c>
      <c r="B378">
        <v>0.99904790336628502</v>
      </c>
      <c r="C378">
        <v>0.99747327969274002</v>
      </c>
      <c r="D378">
        <v>0.93611414551722305</v>
      </c>
      <c r="E378">
        <v>0.83477065286984098</v>
      </c>
      <c r="F378">
        <v>0.61294061655005605</v>
      </c>
      <c r="G378">
        <v>0.185856876094977</v>
      </c>
      <c r="H378">
        <v>9.2282972353564599E-2</v>
      </c>
      <c r="I378">
        <v>6.9870496280792699E-2</v>
      </c>
      <c r="J378">
        <v>6.0650990045186703E-2</v>
      </c>
      <c r="K378">
        <v>6.4511945423171305E-2</v>
      </c>
      <c r="L378">
        <v>1342.7178017536601</v>
      </c>
      <c r="M378">
        <v>25.108972536262801</v>
      </c>
      <c r="N378">
        <v>53.709674163376597</v>
      </c>
      <c r="O378">
        <v>53.139882665069798</v>
      </c>
      <c r="P378">
        <v>-0.112006546707392</v>
      </c>
      <c r="Q378">
        <v>5.1823249018734398E-2</v>
      </c>
      <c r="R378">
        <v>0.99684830565621296</v>
      </c>
      <c r="S378" t="s">
        <v>5118</v>
      </c>
      <c r="T378" t="s">
        <v>9478</v>
      </c>
      <c r="U378" t="s">
        <v>9478</v>
      </c>
      <c r="V378" t="s">
        <v>9478</v>
      </c>
      <c r="W378">
        <v>8</v>
      </c>
      <c r="X378" t="s">
        <v>9856</v>
      </c>
      <c r="Y378">
        <v>0.48641752289834628</v>
      </c>
      <c r="Z378" t="str">
        <f>HYPERLINK("Melting_Curves/meltCurve_sp_O95081_AGFG2_HUMAN_.pdf", "Melting_Curves/meltCurve_sp_O95081_AGFG2_HUMAN_.pdf")</f>
        <v>Melting_Curves/meltCurve_sp_O95081_AGFG2_HUMAN_.pdf</v>
      </c>
      <c r="AA378" t="s">
        <v>14591</v>
      </c>
      <c r="AB378" t="s">
        <v>19213</v>
      </c>
    </row>
    <row r="379" spans="1:28" x14ac:dyDescent="0.25">
      <c r="A379" t="s">
        <v>383</v>
      </c>
      <c r="B379">
        <v>0.99904790336628502</v>
      </c>
      <c r="C379">
        <v>0.95486381893317995</v>
      </c>
      <c r="D379">
        <v>0.93504335532598104</v>
      </c>
      <c r="E379">
        <v>0.93537881790257205</v>
      </c>
      <c r="F379">
        <v>0.90911329704741894</v>
      </c>
      <c r="G379">
        <v>0.79088374453300603</v>
      </c>
      <c r="H379">
        <v>0.67786053614223396</v>
      </c>
      <c r="I379">
        <v>0.68299364285268105</v>
      </c>
      <c r="J379">
        <v>0.70511078558318396</v>
      </c>
      <c r="K379">
        <v>0.73098665270188701</v>
      </c>
      <c r="L379">
        <v>1044.9793463759599</v>
      </c>
      <c r="M379">
        <v>19.2164618628696</v>
      </c>
      <c r="O379">
        <v>53.8007563827056</v>
      </c>
      <c r="P379">
        <v>-2.7840120829536401E-2</v>
      </c>
      <c r="Q379">
        <v>0.68823345034081396</v>
      </c>
      <c r="R379">
        <v>0.92973673809688995</v>
      </c>
      <c r="S379" t="s">
        <v>5119</v>
      </c>
      <c r="T379" t="s">
        <v>9478</v>
      </c>
      <c r="U379" t="s">
        <v>9478</v>
      </c>
      <c r="V379" t="s">
        <v>9478</v>
      </c>
      <c r="W379">
        <v>4</v>
      </c>
      <c r="X379" t="s">
        <v>9857</v>
      </c>
      <c r="Y379">
        <v>0.84214475671133016</v>
      </c>
      <c r="Z379" t="str">
        <f>HYPERLINK("Melting_Curves/meltCurve_sp_O95104_3_SFR15_HUMAN_.pdf", "Melting_Curves/meltCurve_sp_O95104_3_SFR15_HUMAN_.pdf")</f>
        <v>Melting_Curves/meltCurve_sp_O95104_3_SFR15_HUMAN_.pdf</v>
      </c>
      <c r="AA379" t="s">
        <v>14592</v>
      </c>
      <c r="AB379" t="s">
        <v>19214</v>
      </c>
    </row>
    <row r="380" spans="1:28" x14ac:dyDescent="0.25">
      <c r="A380" t="s">
        <v>384</v>
      </c>
      <c r="B380">
        <v>0.99904790336628502</v>
      </c>
      <c r="C380">
        <v>0.97809935997540498</v>
      </c>
      <c r="D380">
        <v>0.88737727638434305</v>
      </c>
      <c r="E380">
        <v>0.64493730369097402</v>
      </c>
      <c r="F380">
        <v>0.25824394804751499</v>
      </c>
      <c r="G380">
        <v>0.130613077753642</v>
      </c>
      <c r="H380">
        <v>0.100508405593838</v>
      </c>
      <c r="I380">
        <v>8.8722526499760201E-2</v>
      </c>
      <c r="J380">
        <v>8.0085631537088406E-2</v>
      </c>
      <c r="K380">
        <v>6.1919103353589799E-2</v>
      </c>
      <c r="L380">
        <v>1306.4337607733901</v>
      </c>
      <c r="M380">
        <v>25.826050119545901</v>
      </c>
      <c r="N380">
        <v>50.9118513075694</v>
      </c>
      <c r="O380">
        <v>50.2855184088775</v>
      </c>
      <c r="P380">
        <v>-0.118614072390533</v>
      </c>
      <c r="Q380">
        <v>7.6204127110575406E-2</v>
      </c>
      <c r="R380">
        <v>0.99622261255612798</v>
      </c>
      <c r="S380" t="s">
        <v>5120</v>
      </c>
      <c r="T380" t="s">
        <v>9478</v>
      </c>
      <c r="U380" t="s">
        <v>9478</v>
      </c>
      <c r="V380" t="s">
        <v>9478</v>
      </c>
      <c r="W380">
        <v>2</v>
      </c>
      <c r="X380" t="s">
        <v>9858</v>
      </c>
      <c r="Y380">
        <v>0.40996538687474893</v>
      </c>
      <c r="Z380" t="str">
        <f>HYPERLINK("Melting_Curves/meltCurve_sp_O95149_SPN1_HUMAN_.pdf", "Melting_Curves/meltCurve_sp_O95149_SPN1_HUMAN_.pdf")</f>
        <v>Melting_Curves/meltCurve_sp_O95149_SPN1_HUMAN_.pdf</v>
      </c>
      <c r="AA380" t="s">
        <v>14593</v>
      </c>
      <c r="AB380" t="s">
        <v>19215</v>
      </c>
    </row>
    <row r="381" spans="1:28" x14ac:dyDescent="0.25">
      <c r="A381" t="s">
        <v>385</v>
      </c>
      <c r="B381">
        <v>0.99904790336628502</v>
      </c>
      <c r="C381">
        <v>0.89780704609771</v>
      </c>
      <c r="D381">
        <v>0.88703160456195096</v>
      </c>
      <c r="E381">
        <v>0.45241061813300598</v>
      </c>
      <c r="F381">
        <v>0.13636012532501501</v>
      </c>
      <c r="G381">
        <v>7.3567542975021799E-2</v>
      </c>
      <c r="H381">
        <v>4.2757170261790003E-2</v>
      </c>
      <c r="I381">
        <v>3.1829519315148803E-2</v>
      </c>
      <c r="J381">
        <v>2.65969850338942E-2</v>
      </c>
      <c r="K381">
        <v>2.0001753588750799E-2</v>
      </c>
      <c r="L381">
        <v>1288.2020751432001</v>
      </c>
      <c r="M381">
        <v>26.080630720495201</v>
      </c>
      <c r="N381">
        <v>49.499045019069101</v>
      </c>
      <c r="O381">
        <v>49.105411822188501</v>
      </c>
      <c r="P381">
        <v>-0.12917442825391801</v>
      </c>
      <c r="Q381">
        <v>2.7156792080490402E-2</v>
      </c>
      <c r="R381">
        <v>0.99430967582777996</v>
      </c>
      <c r="S381" t="s">
        <v>5121</v>
      </c>
      <c r="T381" t="s">
        <v>9478</v>
      </c>
      <c r="U381" t="s">
        <v>9478</v>
      </c>
      <c r="V381" t="s">
        <v>9478</v>
      </c>
      <c r="W381">
        <v>13</v>
      </c>
      <c r="X381" t="s">
        <v>9859</v>
      </c>
      <c r="Y381">
        <v>0.33968648489646153</v>
      </c>
      <c r="Z381" t="str">
        <f>HYPERLINK("Melting_Curves/meltCurve_sp_O95154_ARK73_HUMAN_.pdf", "Melting_Curves/meltCurve_sp_O95154_ARK73_HUMAN_.pdf")</f>
        <v>Melting_Curves/meltCurve_sp_O95154_ARK73_HUMAN_.pdf</v>
      </c>
      <c r="AA381" t="s">
        <v>14594</v>
      </c>
      <c r="AB381" t="s">
        <v>19216</v>
      </c>
    </row>
    <row r="382" spans="1:28" x14ac:dyDescent="0.25">
      <c r="A382" t="s">
        <v>386</v>
      </c>
      <c r="B382">
        <v>0.99904790336628502</v>
      </c>
      <c r="C382">
        <v>1.05313596952138</v>
      </c>
      <c r="D382">
        <v>1.07237143416294</v>
      </c>
      <c r="E382">
        <v>0.941311976266901</v>
      </c>
      <c r="F382">
        <v>0.67972174462738399</v>
      </c>
      <c r="G382">
        <v>0.18639532797191799</v>
      </c>
      <c r="H382">
        <v>0.109837525995339</v>
      </c>
      <c r="I382">
        <v>6.8448794380209801E-2</v>
      </c>
      <c r="J382">
        <v>6.0906820449682299E-2</v>
      </c>
      <c r="K382">
        <v>4.49426610360351E-2</v>
      </c>
      <c r="L382">
        <v>1880.4606551946199</v>
      </c>
      <c r="M382">
        <v>34.831897572384499</v>
      </c>
      <c r="N382">
        <v>54.200484322792597</v>
      </c>
      <c r="O382">
        <v>53.809727153953297</v>
      </c>
      <c r="P382">
        <v>-0.15144443107993399</v>
      </c>
      <c r="Q382">
        <v>6.41734261290198E-2</v>
      </c>
      <c r="R382">
        <v>0.99501143052121599</v>
      </c>
      <c r="S382" t="s">
        <v>5122</v>
      </c>
      <c r="T382" t="s">
        <v>9478</v>
      </c>
      <c r="U382" t="s">
        <v>9478</v>
      </c>
      <c r="V382" t="s">
        <v>9478</v>
      </c>
      <c r="W382">
        <v>9</v>
      </c>
      <c r="X382" t="s">
        <v>9860</v>
      </c>
      <c r="Y382">
        <v>0.50506845662038224</v>
      </c>
      <c r="Z382" t="str">
        <f>HYPERLINK("Melting_Curves/meltCurve_sp_O95155_2_UBE4B_HUMAN_.pdf", "Melting_Curves/meltCurve_sp_O95155_2_UBE4B_HUMAN_.pdf")</f>
        <v>Melting_Curves/meltCurve_sp_O95155_2_UBE4B_HUMAN_.pdf</v>
      </c>
      <c r="AA382" t="s">
        <v>14595</v>
      </c>
      <c r="AB382" t="s">
        <v>19217</v>
      </c>
    </row>
    <row r="383" spans="1:28" x14ac:dyDescent="0.25">
      <c r="A383" t="s">
        <v>387</v>
      </c>
      <c r="B383">
        <v>0.99904790336628502</v>
      </c>
      <c r="C383">
        <v>0.992894064521463</v>
      </c>
      <c r="D383">
        <v>1.0048921717036401</v>
      </c>
      <c r="E383">
        <v>0.823179967805729</v>
      </c>
      <c r="F383">
        <v>0.56178371107932501</v>
      </c>
      <c r="G383">
        <v>0.21770674361675699</v>
      </c>
      <c r="H383">
        <v>8.4911705260005604E-2</v>
      </c>
      <c r="I383">
        <v>5.4245623510345703E-2</v>
      </c>
      <c r="J383">
        <v>3.9204611088084401E-2</v>
      </c>
      <c r="K383">
        <v>2.8147658817325501E-2</v>
      </c>
      <c r="L383">
        <v>1218.20116741079</v>
      </c>
      <c r="M383">
        <v>22.797181256303499</v>
      </c>
      <c r="N383">
        <v>53.5774050337467</v>
      </c>
      <c r="O383">
        <v>53.030404258037898</v>
      </c>
      <c r="P383">
        <v>-0.10434678593296901</v>
      </c>
      <c r="Q383">
        <v>2.91001739455823E-2</v>
      </c>
      <c r="R383">
        <v>0.99944609169221499</v>
      </c>
      <c r="S383" t="s">
        <v>5123</v>
      </c>
      <c r="T383" t="s">
        <v>9478</v>
      </c>
      <c r="U383" t="s">
        <v>9478</v>
      </c>
      <c r="V383" t="s">
        <v>9478</v>
      </c>
      <c r="W383">
        <v>12</v>
      </c>
      <c r="X383" t="s">
        <v>9861</v>
      </c>
      <c r="Y383">
        <v>0.4745530216178635</v>
      </c>
      <c r="Z383" t="str">
        <f>HYPERLINK("Melting_Curves/meltCurve_sp_O95163_ELP1_HUMAN_.pdf", "Melting_Curves/meltCurve_sp_O95163_ELP1_HUMAN_.pdf")</f>
        <v>Melting_Curves/meltCurve_sp_O95163_ELP1_HUMAN_.pdf</v>
      </c>
      <c r="AA383" t="s">
        <v>14596</v>
      </c>
      <c r="AB383" t="s">
        <v>19218</v>
      </c>
    </row>
    <row r="384" spans="1:28" x14ac:dyDescent="0.25">
      <c r="A384" t="s">
        <v>388</v>
      </c>
      <c r="B384">
        <v>0.99904790336628502</v>
      </c>
      <c r="C384">
        <v>1.0605342125025601</v>
      </c>
      <c r="D384">
        <v>1.03706055129189</v>
      </c>
      <c r="E384">
        <v>0.83666230184992996</v>
      </c>
      <c r="F384">
        <v>0.81186135197935205</v>
      </c>
      <c r="G384">
        <v>0.54270548573121102</v>
      </c>
      <c r="H384">
        <v>0.45148823727265502</v>
      </c>
      <c r="I384">
        <v>0.463944196127278</v>
      </c>
      <c r="J384">
        <v>0.48269011575946702</v>
      </c>
      <c r="K384">
        <v>0.48763863846707101</v>
      </c>
      <c r="L384">
        <v>1254.0753669834601</v>
      </c>
      <c r="M384">
        <v>23.461419877148199</v>
      </c>
      <c r="N384">
        <v>59.899712217833297</v>
      </c>
      <c r="O384">
        <v>53.068868941204002</v>
      </c>
      <c r="P384">
        <v>-5.9686184401094598E-2</v>
      </c>
      <c r="Q384">
        <v>0.45997756021854103</v>
      </c>
      <c r="R384">
        <v>0.97062605176413996</v>
      </c>
      <c r="S384" t="s">
        <v>5124</v>
      </c>
      <c r="T384" t="s">
        <v>9478</v>
      </c>
      <c r="U384" t="s">
        <v>9478</v>
      </c>
      <c r="V384" t="s">
        <v>9478</v>
      </c>
      <c r="W384">
        <v>4</v>
      </c>
      <c r="X384" t="s">
        <v>9862</v>
      </c>
      <c r="Y384">
        <v>0.70773668505671594</v>
      </c>
      <c r="Z384" t="str">
        <f>HYPERLINK("Melting_Curves/meltCurve_sp_O95202_LETM1_HUMAN_.pdf", "Melting_Curves/meltCurve_sp_O95202_LETM1_HUMAN_.pdf")</f>
        <v>Melting_Curves/meltCurve_sp_O95202_LETM1_HUMAN_.pdf</v>
      </c>
      <c r="AA384" t="s">
        <v>14597</v>
      </c>
      <c r="AB384" t="s">
        <v>19219</v>
      </c>
    </row>
    <row r="385" spans="1:28" x14ac:dyDescent="0.25">
      <c r="A385" t="s">
        <v>389</v>
      </c>
      <c r="B385">
        <v>0.99904790336628502</v>
      </c>
      <c r="C385">
        <v>1.0146370355102301</v>
      </c>
      <c r="D385">
        <v>0.95295989455141905</v>
      </c>
      <c r="E385">
        <v>0.89969474450736597</v>
      </c>
      <c r="F385">
        <v>0.89726476626625895</v>
      </c>
      <c r="G385">
        <v>0.70600762118123395</v>
      </c>
      <c r="H385">
        <v>0.62056990798429401</v>
      </c>
      <c r="I385">
        <v>0.58299055728524796</v>
      </c>
      <c r="J385">
        <v>0.64496077757655501</v>
      </c>
      <c r="K385">
        <v>0.66225388906931204</v>
      </c>
      <c r="L385">
        <v>1196.93341985399</v>
      </c>
      <c r="M385">
        <v>22.102382348151199</v>
      </c>
      <c r="O385">
        <v>53.716585852399298</v>
      </c>
      <c r="P385">
        <v>-3.9391870161353003E-2</v>
      </c>
      <c r="Q385">
        <v>0.61706383237902496</v>
      </c>
      <c r="R385">
        <v>0.95692653626743196</v>
      </c>
      <c r="S385" t="s">
        <v>5125</v>
      </c>
      <c r="T385" t="s">
        <v>9478</v>
      </c>
      <c r="U385" t="s">
        <v>9478</v>
      </c>
      <c r="V385" t="s">
        <v>9478</v>
      </c>
      <c r="W385">
        <v>11</v>
      </c>
      <c r="X385" t="s">
        <v>9863</v>
      </c>
      <c r="Y385">
        <v>0.8021362055559943</v>
      </c>
      <c r="Z385" t="str">
        <f>HYPERLINK("Melting_Curves/meltCurve_sp_O95210_STBD1_HUMAN_.pdf", "Melting_Curves/meltCurve_sp_O95210_STBD1_HUMAN_.pdf")</f>
        <v>Melting_Curves/meltCurve_sp_O95210_STBD1_HUMAN_.pdf</v>
      </c>
      <c r="AA385" t="s">
        <v>14598</v>
      </c>
      <c r="AB385" t="s">
        <v>19220</v>
      </c>
    </row>
    <row r="386" spans="1:28" x14ac:dyDescent="0.25">
      <c r="A386" t="s">
        <v>390</v>
      </c>
      <c r="B386">
        <v>0.99904790336628502</v>
      </c>
      <c r="C386">
        <v>1.0346301334591801</v>
      </c>
      <c r="D386">
        <v>0.98495064951343003</v>
      </c>
      <c r="E386">
        <v>0.99780962896095904</v>
      </c>
      <c r="F386">
        <v>1.04258720529698</v>
      </c>
      <c r="G386">
        <v>0.61662898096642405</v>
      </c>
      <c r="H386">
        <v>0.78281405290307204</v>
      </c>
      <c r="I386">
        <v>0.83200324091516997</v>
      </c>
      <c r="J386">
        <v>0.90823187738162703</v>
      </c>
      <c r="K386">
        <v>0.928012459157179</v>
      </c>
      <c r="L386">
        <v>5337.63942708796</v>
      </c>
      <c r="M386">
        <v>97.861859566630997</v>
      </c>
      <c r="O386">
        <v>54.519828265054002</v>
      </c>
      <c r="P386">
        <v>-8.33953687410523E-2</v>
      </c>
      <c r="Q386">
        <v>0.81415841502325703</v>
      </c>
      <c r="R386">
        <v>0.58626530270768296</v>
      </c>
      <c r="S386" t="s">
        <v>5126</v>
      </c>
      <c r="T386" t="s">
        <v>9478</v>
      </c>
      <c r="U386" t="s">
        <v>9478</v>
      </c>
      <c r="V386" t="s">
        <v>9478</v>
      </c>
      <c r="W386">
        <v>12</v>
      </c>
      <c r="X386" t="s">
        <v>9864</v>
      </c>
      <c r="Y386">
        <v>0.90436192505216617</v>
      </c>
      <c r="Z386" t="str">
        <f>HYPERLINK("Melting_Curves/meltCurve_sp_O95218_2_ZRAB2_HUMAN_.pdf", "Melting_Curves/meltCurve_sp_O95218_2_ZRAB2_HUMAN_.pdf")</f>
        <v>Melting_Curves/meltCurve_sp_O95218_2_ZRAB2_HUMAN_.pdf</v>
      </c>
      <c r="AA386" t="s">
        <v>14599</v>
      </c>
      <c r="AB386" t="s">
        <v>19221</v>
      </c>
    </row>
    <row r="387" spans="1:28" x14ac:dyDescent="0.25">
      <c r="A387" t="s">
        <v>391</v>
      </c>
      <c r="B387">
        <v>0.99904790336628502</v>
      </c>
      <c r="C387">
        <v>0.76210143094633698</v>
      </c>
      <c r="D387">
        <v>0.71221329058374705</v>
      </c>
      <c r="E387">
        <v>0.38988259754579402</v>
      </c>
      <c r="F387">
        <v>0.22643676372122401</v>
      </c>
      <c r="G387">
        <v>0.13625412181676699</v>
      </c>
      <c r="H387">
        <v>9.7576218224034506E-2</v>
      </c>
      <c r="I387">
        <v>6.5187113635040594E-2</v>
      </c>
      <c r="J387">
        <v>5.5071284553985501E-2</v>
      </c>
      <c r="K387">
        <v>4.4686657380474601E-2</v>
      </c>
      <c r="L387">
        <v>659.52943980414204</v>
      </c>
      <c r="M387">
        <v>13.719305968909699</v>
      </c>
      <c r="N387">
        <v>48.328290372169697</v>
      </c>
      <c r="O387">
        <v>47.086219953409703</v>
      </c>
      <c r="P387">
        <v>-7.0306299341567402E-2</v>
      </c>
      <c r="Q387">
        <v>3.4941275816291001E-2</v>
      </c>
      <c r="R387">
        <v>0.98820790492199995</v>
      </c>
      <c r="S387" t="s">
        <v>5127</v>
      </c>
      <c r="T387" t="s">
        <v>9478</v>
      </c>
      <c r="U387" t="s">
        <v>9478</v>
      </c>
      <c r="V387" t="s">
        <v>9478</v>
      </c>
      <c r="W387">
        <v>7</v>
      </c>
      <c r="X387" t="s">
        <v>9865</v>
      </c>
      <c r="Y387">
        <v>0.32405773164856622</v>
      </c>
      <c r="Z387" t="str">
        <f>HYPERLINK("Melting_Curves/meltCurve_sp_O95219_SNX4_HUMAN_.pdf", "Melting_Curves/meltCurve_sp_O95219_SNX4_HUMAN_.pdf")</f>
        <v>Melting_Curves/meltCurve_sp_O95219_SNX4_HUMAN_.pdf</v>
      </c>
      <c r="AA387" t="s">
        <v>14600</v>
      </c>
      <c r="AB387" t="s">
        <v>19222</v>
      </c>
    </row>
    <row r="388" spans="1:28" x14ac:dyDescent="0.25">
      <c r="A388" t="s">
        <v>392</v>
      </c>
      <c r="B388">
        <v>0.99904790336628502</v>
      </c>
      <c r="C388">
        <v>0.932918331497819</v>
      </c>
      <c r="D388">
        <v>1.0151762460059801</v>
      </c>
      <c r="E388">
        <v>0.98162019017572499</v>
      </c>
      <c r="F388">
        <v>0.86931910141912105</v>
      </c>
      <c r="G388">
        <v>0.67699386544922202</v>
      </c>
      <c r="H388">
        <v>0.50231287573489702</v>
      </c>
      <c r="I388">
        <v>0.33314208389994399</v>
      </c>
      <c r="J388">
        <v>0.27647950209997801</v>
      </c>
      <c r="K388">
        <v>0.22045281999595601</v>
      </c>
      <c r="L388">
        <v>918.24172392867604</v>
      </c>
      <c r="M388">
        <v>15.5374804483569</v>
      </c>
      <c r="N388">
        <v>60.526503457987403</v>
      </c>
      <c r="O388">
        <v>58.145496531516798</v>
      </c>
      <c r="P388">
        <v>-5.6558259138465197E-2</v>
      </c>
      <c r="Q388">
        <v>0.153448676521626</v>
      </c>
      <c r="R388">
        <v>0.99237705966339496</v>
      </c>
      <c r="S388" t="s">
        <v>5128</v>
      </c>
      <c r="T388" t="s">
        <v>9478</v>
      </c>
      <c r="U388" t="s">
        <v>9478</v>
      </c>
      <c r="V388" t="s">
        <v>9478</v>
      </c>
      <c r="W388">
        <v>7</v>
      </c>
      <c r="X388" t="s">
        <v>9866</v>
      </c>
      <c r="Y388">
        <v>0.70111814327558142</v>
      </c>
      <c r="Z388" t="str">
        <f>HYPERLINK("Melting_Curves/meltCurve_sp_O95232_LC7L3_HUMAN_.pdf", "Melting_Curves/meltCurve_sp_O95232_LC7L3_HUMAN_.pdf")</f>
        <v>Melting_Curves/meltCurve_sp_O95232_LC7L3_HUMAN_.pdf</v>
      </c>
      <c r="AA388" t="s">
        <v>14601</v>
      </c>
      <c r="AB388" t="s">
        <v>19223</v>
      </c>
    </row>
    <row r="389" spans="1:28" x14ac:dyDescent="0.25">
      <c r="A389" t="s">
        <v>393</v>
      </c>
      <c r="B389">
        <v>0.99904790336628502</v>
      </c>
      <c r="C389">
        <v>0.96848673973326904</v>
      </c>
      <c r="D389">
        <v>1.01613172410987</v>
      </c>
      <c r="E389">
        <v>1.0085085471825701</v>
      </c>
      <c r="F389">
        <v>1.11539251822832</v>
      </c>
      <c r="G389">
        <v>0.92529230319415701</v>
      </c>
      <c r="H389">
        <v>0.75626690813836395</v>
      </c>
      <c r="I389">
        <v>0.98817750546308503</v>
      </c>
      <c r="J389">
        <v>1.0324315206549599</v>
      </c>
      <c r="K389">
        <v>1.3262651992676799</v>
      </c>
      <c r="L389">
        <v>15000</v>
      </c>
      <c r="M389">
        <v>221.676015004991</v>
      </c>
      <c r="O389">
        <v>67.660821902366706</v>
      </c>
      <c r="P389">
        <v>0.26739928164344601</v>
      </c>
      <c r="Q389">
        <v>1.3264665774890101</v>
      </c>
      <c r="R389">
        <v>0.56979350149972896</v>
      </c>
      <c r="S389" t="s">
        <v>5129</v>
      </c>
      <c r="T389" t="s">
        <v>9478</v>
      </c>
      <c r="U389" t="s">
        <v>9478</v>
      </c>
      <c r="V389" t="s">
        <v>9478</v>
      </c>
      <c r="W389">
        <v>2</v>
      </c>
      <c r="X389" t="s">
        <v>9867</v>
      </c>
      <c r="Y389">
        <v>1.025348527758825</v>
      </c>
      <c r="Z389" t="str">
        <f>HYPERLINK("Melting_Curves/meltCurve_sp_O95243_3_MBD4_HUMAN_.pdf", "Melting_Curves/meltCurve_sp_O95243_3_MBD4_HUMAN_.pdf")</f>
        <v>Melting_Curves/meltCurve_sp_O95243_3_MBD4_HUMAN_.pdf</v>
      </c>
      <c r="AA389" t="s">
        <v>14602</v>
      </c>
      <c r="AB389" t="s">
        <v>19224</v>
      </c>
    </row>
    <row r="390" spans="1:28" x14ac:dyDescent="0.25">
      <c r="A390" t="s">
        <v>394</v>
      </c>
      <c r="B390">
        <v>0.99904790336628502</v>
      </c>
      <c r="C390">
        <v>0.81953495179466296</v>
      </c>
      <c r="D390">
        <v>0.86045798485080105</v>
      </c>
      <c r="E390">
        <v>0.74911121732179198</v>
      </c>
      <c r="F390">
        <v>0.64526435368145596</v>
      </c>
      <c r="G390">
        <v>0.41797245047814302</v>
      </c>
      <c r="H390">
        <v>0.37907402892240399</v>
      </c>
      <c r="I390">
        <v>0.35936648671538302</v>
      </c>
      <c r="J390">
        <v>0.35212337512152397</v>
      </c>
      <c r="K390">
        <v>0.29942610453345903</v>
      </c>
      <c r="L390">
        <v>496.25501451674802</v>
      </c>
      <c r="M390">
        <v>9.4240789946655905</v>
      </c>
      <c r="N390">
        <v>56.404031783327802</v>
      </c>
      <c r="O390">
        <v>50.450491291882798</v>
      </c>
      <c r="P390">
        <v>-3.5859214981060698E-2</v>
      </c>
      <c r="Q390">
        <v>0.23259879976553999</v>
      </c>
      <c r="R390">
        <v>0.96546841926904203</v>
      </c>
      <c r="S390" t="s">
        <v>5130</v>
      </c>
      <c r="T390" t="s">
        <v>9478</v>
      </c>
      <c r="U390" t="s">
        <v>9478</v>
      </c>
      <c r="V390" t="s">
        <v>9478</v>
      </c>
      <c r="W390">
        <v>4</v>
      </c>
      <c r="X390" t="s">
        <v>9868</v>
      </c>
      <c r="Y390">
        <v>0.58520354190322987</v>
      </c>
      <c r="Z390" t="str">
        <f>HYPERLINK("Melting_Curves/meltCurve_sp_O95248_MTMR5_HUMAN_.pdf", "Melting_Curves/meltCurve_sp_O95248_MTMR5_HUMAN_.pdf")</f>
        <v>Melting_Curves/meltCurve_sp_O95248_MTMR5_HUMAN_.pdf</v>
      </c>
      <c r="AA390" t="s">
        <v>14603</v>
      </c>
      <c r="AB390" t="s">
        <v>19225</v>
      </c>
    </row>
    <row r="391" spans="1:28" x14ac:dyDescent="0.25">
      <c r="A391" t="s">
        <v>395</v>
      </c>
      <c r="B391">
        <v>0.99904790336628502</v>
      </c>
      <c r="C391">
        <v>1.0054795527574401</v>
      </c>
      <c r="D391">
        <v>1.24117825212796</v>
      </c>
      <c r="E391">
        <v>0.92971655213027204</v>
      </c>
      <c r="F391">
        <v>0.88977943934186299</v>
      </c>
      <c r="G391">
        <v>0.87322467814861904</v>
      </c>
      <c r="H391">
        <v>0.79349451631984402</v>
      </c>
      <c r="I391">
        <v>0.81518391330692097</v>
      </c>
      <c r="J391">
        <v>1.3301083703097401</v>
      </c>
      <c r="K391">
        <v>1.14673475592623</v>
      </c>
      <c r="L391">
        <v>6109.3169800231299</v>
      </c>
      <c r="M391">
        <v>92.973595309050793</v>
      </c>
      <c r="O391">
        <v>65.679858904755505</v>
      </c>
      <c r="P391">
        <v>8.4601223279125295E-2</v>
      </c>
      <c r="Q391">
        <v>1.23906123139585</v>
      </c>
      <c r="R391">
        <v>0.33209410951012702</v>
      </c>
      <c r="S391" t="s">
        <v>5131</v>
      </c>
      <c r="T391" t="s">
        <v>9478</v>
      </c>
      <c r="U391" t="s">
        <v>9478</v>
      </c>
      <c r="V391" t="s">
        <v>9478</v>
      </c>
      <c r="W391">
        <v>1</v>
      </c>
      <c r="X391" t="s">
        <v>9869</v>
      </c>
      <c r="Y391">
        <v>1.0340061688249169</v>
      </c>
      <c r="Z391" t="str">
        <f>HYPERLINK("Melting_Curves/meltCurve_sp_O95251_2_KAT7_HUMAN_.pdf", "Melting_Curves/meltCurve_sp_O95251_2_KAT7_HUMAN_.pdf")</f>
        <v>Melting_Curves/meltCurve_sp_O95251_2_KAT7_HUMAN_.pdf</v>
      </c>
      <c r="AA391" t="s">
        <v>14604</v>
      </c>
      <c r="AB391" t="s">
        <v>19226</v>
      </c>
    </row>
    <row r="392" spans="1:28" x14ac:dyDescent="0.25">
      <c r="A392" t="s">
        <v>396</v>
      </c>
      <c r="B392">
        <v>0.99904790336628502</v>
      </c>
      <c r="C392">
        <v>1.14599865269843</v>
      </c>
      <c r="D392">
        <v>1.1554711680748999</v>
      </c>
      <c r="E392">
        <v>1.0904145073126801</v>
      </c>
      <c r="F392">
        <v>0.67059375510174501</v>
      </c>
      <c r="G392">
        <v>0.21369539647788</v>
      </c>
      <c r="H392">
        <v>0.104812265701899</v>
      </c>
      <c r="I392">
        <v>7.4450518065156401E-2</v>
      </c>
      <c r="J392">
        <v>6.3544357803644397E-2</v>
      </c>
      <c r="K392">
        <v>0.120243251585679</v>
      </c>
      <c r="L392">
        <v>2413.9306063496401</v>
      </c>
      <c r="M392">
        <v>44.841122938397902</v>
      </c>
      <c r="N392">
        <v>54.097489904046</v>
      </c>
      <c r="O392">
        <v>53.726227243644601</v>
      </c>
      <c r="P392">
        <v>-0.18811482318358499</v>
      </c>
      <c r="Q392">
        <v>9.8444837571519395E-2</v>
      </c>
      <c r="R392">
        <v>0.97023123674576495</v>
      </c>
      <c r="S392" t="s">
        <v>5132</v>
      </c>
      <c r="T392" t="s">
        <v>9478</v>
      </c>
      <c r="U392" t="s">
        <v>9478</v>
      </c>
      <c r="V392" t="s">
        <v>9478</v>
      </c>
      <c r="W392">
        <v>3</v>
      </c>
      <c r="X392" t="s">
        <v>9870</v>
      </c>
      <c r="Y392">
        <v>0.51681424009918886</v>
      </c>
      <c r="Z392" t="str">
        <f>HYPERLINK("Melting_Curves/meltCurve_sp_O95278_6_EPM2A_HUMAN_.pdf", "Melting_Curves/meltCurve_sp_O95278_6_EPM2A_HUMAN_.pdf")</f>
        <v>Melting_Curves/meltCurve_sp_O95278_6_EPM2A_HUMAN_.pdf</v>
      </c>
      <c r="AA392" t="s">
        <v>14605</v>
      </c>
      <c r="AB392" t="s">
        <v>19227</v>
      </c>
    </row>
    <row r="393" spans="1:28" x14ac:dyDescent="0.25">
      <c r="A393" t="s">
        <v>397</v>
      </c>
      <c r="B393">
        <v>0.99904790336628502</v>
      </c>
      <c r="C393">
        <v>0.98422100384424904</v>
      </c>
      <c r="D393">
        <v>0.92496504116758904</v>
      </c>
      <c r="E393">
        <v>0.88888850231176397</v>
      </c>
      <c r="F393">
        <v>0.87790228177838403</v>
      </c>
      <c r="G393">
        <v>0.62783171118116698</v>
      </c>
      <c r="H393">
        <v>0.51888325747808295</v>
      </c>
      <c r="I393">
        <v>0.50337027776026599</v>
      </c>
      <c r="J393">
        <v>0.56205379386402798</v>
      </c>
      <c r="K393">
        <v>0.52375601418561102</v>
      </c>
      <c r="L393">
        <v>1206.62124893429</v>
      </c>
      <c r="M393">
        <v>22.174773654509501</v>
      </c>
      <c r="O393">
        <v>53.977407971419197</v>
      </c>
      <c r="P393">
        <v>-5.0249863704628098E-2</v>
      </c>
      <c r="Q393">
        <v>0.51074158466764197</v>
      </c>
      <c r="R393">
        <v>0.96527729195061296</v>
      </c>
      <c r="S393" t="s">
        <v>5133</v>
      </c>
      <c r="T393" t="s">
        <v>9478</v>
      </c>
      <c r="U393" t="s">
        <v>9478</v>
      </c>
      <c r="V393" t="s">
        <v>9478</v>
      </c>
      <c r="W393">
        <v>12</v>
      </c>
      <c r="X393" t="s">
        <v>9871</v>
      </c>
      <c r="Y393">
        <v>0.75139808413853648</v>
      </c>
      <c r="Z393" t="str">
        <f>HYPERLINK("Melting_Curves/meltCurve_sp_O95292_VAPB_HUMAN_.pdf", "Melting_Curves/meltCurve_sp_O95292_VAPB_HUMAN_.pdf")</f>
        <v>Melting_Curves/meltCurve_sp_O95292_VAPB_HUMAN_.pdf</v>
      </c>
      <c r="AA393" t="s">
        <v>14606</v>
      </c>
      <c r="AB393" t="s">
        <v>19228</v>
      </c>
    </row>
    <row r="394" spans="1:28" x14ac:dyDescent="0.25">
      <c r="A394" t="s">
        <v>398</v>
      </c>
      <c r="B394">
        <v>0.99904790336628502</v>
      </c>
      <c r="C394">
        <v>0.97791709273512195</v>
      </c>
      <c r="D394">
        <v>0.98242687215395097</v>
      </c>
      <c r="E394">
        <v>0.972940609081551</v>
      </c>
      <c r="F394">
        <v>0.79959656338322005</v>
      </c>
      <c r="G394">
        <v>0.48505296718003599</v>
      </c>
      <c r="H394">
        <v>0.27552151050520701</v>
      </c>
      <c r="I394">
        <v>0.185476226651374</v>
      </c>
      <c r="J394">
        <v>0.18022655412712801</v>
      </c>
      <c r="K394">
        <v>0.109835104615392</v>
      </c>
      <c r="L394">
        <v>1197.8642008101101</v>
      </c>
      <c r="M394">
        <v>21.333510344940901</v>
      </c>
      <c r="N394">
        <v>56.933777167099301</v>
      </c>
      <c r="O394">
        <v>55.663035197823902</v>
      </c>
      <c r="P394">
        <v>-8.3617708825153403E-2</v>
      </c>
      <c r="Q394">
        <v>0.127326350284548</v>
      </c>
      <c r="R394">
        <v>0.99738629121441402</v>
      </c>
      <c r="S394" t="s">
        <v>5134</v>
      </c>
      <c r="T394" t="s">
        <v>9478</v>
      </c>
      <c r="U394" t="s">
        <v>9478</v>
      </c>
      <c r="V394" t="s">
        <v>9478</v>
      </c>
      <c r="W394">
        <v>5</v>
      </c>
      <c r="X394" t="s">
        <v>9872</v>
      </c>
      <c r="Y394">
        <v>0.60731327061115259</v>
      </c>
      <c r="Z394" t="str">
        <f>HYPERLINK("Melting_Curves/meltCurve_sp_O95295_SNAPN_HUMAN_.pdf", "Melting_Curves/meltCurve_sp_O95295_SNAPN_HUMAN_.pdf")</f>
        <v>Melting_Curves/meltCurve_sp_O95295_SNAPN_HUMAN_.pdf</v>
      </c>
      <c r="AA394" t="s">
        <v>14607</v>
      </c>
      <c r="AB394" t="s">
        <v>19229</v>
      </c>
    </row>
    <row r="395" spans="1:28" x14ac:dyDescent="0.25">
      <c r="A395" t="s">
        <v>399</v>
      </c>
      <c r="B395">
        <v>0.99904790336628502</v>
      </c>
      <c r="C395">
        <v>0.96769800696318498</v>
      </c>
      <c r="D395">
        <v>0.97814487182439203</v>
      </c>
      <c r="E395">
        <v>0.84357480552128705</v>
      </c>
      <c r="F395">
        <v>0.58121037022446698</v>
      </c>
      <c r="G395">
        <v>0.25002209058869601</v>
      </c>
      <c r="H395">
        <v>0.12911169829764799</v>
      </c>
      <c r="I395">
        <v>8.1972353499801101E-2</v>
      </c>
      <c r="J395">
        <v>5.5136957382539001E-2</v>
      </c>
      <c r="K395">
        <v>6.0572285729441601E-2</v>
      </c>
      <c r="L395">
        <v>1176.0623976509801</v>
      </c>
      <c r="M395">
        <v>21.9474203904308</v>
      </c>
      <c r="N395">
        <v>53.8684046628034</v>
      </c>
      <c r="O395">
        <v>53.146531105576898</v>
      </c>
      <c r="P395">
        <v>-9.7621203244504004E-2</v>
      </c>
      <c r="Q395">
        <v>5.4447137740995702E-2</v>
      </c>
      <c r="R395">
        <v>0.99926065046718004</v>
      </c>
      <c r="S395" t="s">
        <v>5135</v>
      </c>
      <c r="T395" t="s">
        <v>9478</v>
      </c>
      <c r="U395" t="s">
        <v>9478</v>
      </c>
      <c r="V395" t="s">
        <v>9478</v>
      </c>
      <c r="W395">
        <v>4</v>
      </c>
      <c r="X395" t="s">
        <v>9873</v>
      </c>
      <c r="Y395">
        <v>0.49367827153219751</v>
      </c>
      <c r="Z395" t="str">
        <f>HYPERLINK("Melting_Curves/meltCurve_sp_O95302_FKBP9_HUMAN_.pdf", "Melting_Curves/meltCurve_sp_O95302_FKBP9_HUMAN_.pdf")</f>
        <v>Melting_Curves/meltCurve_sp_O95302_FKBP9_HUMAN_.pdf</v>
      </c>
      <c r="AA395" t="s">
        <v>14608</v>
      </c>
      <c r="AB395" t="s">
        <v>19230</v>
      </c>
    </row>
    <row r="396" spans="1:28" x14ac:dyDescent="0.25">
      <c r="A396" t="s">
        <v>400</v>
      </c>
      <c r="B396">
        <v>0.99904790336628502</v>
      </c>
      <c r="C396">
        <v>0.96372310743316703</v>
      </c>
      <c r="D396">
        <v>0.91592725298342204</v>
      </c>
      <c r="E396">
        <v>0.95032121330198904</v>
      </c>
      <c r="F396">
        <v>0.926475742542889</v>
      </c>
      <c r="G396">
        <v>0.74135532691442396</v>
      </c>
      <c r="H396">
        <v>0.46705235692944302</v>
      </c>
      <c r="I396">
        <v>0.21985564324319401</v>
      </c>
      <c r="J396">
        <v>6.8476099626932393E-2</v>
      </c>
      <c r="K396">
        <v>4.4823549461524698E-2</v>
      </c>
      <c r="L396">
        <v>1229.3028254578201</v>
      </c>
      <c r="M396">
        <v>20.440842392065601</v>
      </c>
      <c r="N396">
        <v>60.139542065981999</v>
      </c>
      <c r="O396">
        <v>59.572836033272097</v>
      </c>
      <c r="P396">
        <v>-8.5783463824474507E-2</v>
      </c>
      <c r="Q396">
        <v>0</v>
      </c>
      <c r="R396">
        <v>0.99068848385207597</v>
      </c>
      <c r="S396" t="s">
        <v>5136</v>
      </c>
      <c r="T396" t="s">
        <v>9478</v>
      </c>
      <c r="U396" t="s">
        <v>9478</v>
      </c>
      <c r="V396" t="s">
        <v>9478</v>
      </c>
      <c r="W396">
        <v>10</v>
      </c>
      <c r="X396" t="s">
        <v>9874</v>
      </c>
      <c r="Y396">
        <v>0.67937973301432675</v>
      </c>
      <c r="Z396" t="str">
        <f>HYPERLINK("Melting_Curves/meltCurve_sp_O95336_6PGL_HUMAN_.pdf", "Melting_Curves/meltCurve_sp_O95336_6PGL_HUMAN_.pdf")</f>
        <v>Melting_Curves/meltCurve_sp_O95336_6PGL_HUMAN_.pdf</v>
      </c>
      <c r="AA396" t="s">
        <v>14609</v>
      </c>
      <c r="AB396" t="s">
        <v>19231</v>
      </c>
    </row>
    <row r="397" spans="1:28" x14ac:dyDescent="0.25">
      <c r="A397" t="s">
        <v>401</v>
      </c>
      <c r="B397">
        <v>0.99904790336628502</v>
      </c>
      <c r="C397">
        <v>0.856880981846737</v>
      </c>
      <c r="D397">
        <v>0.57143177205030904</v>
      </c>
      <c r="E397">
        <v>0.25424317456412099</v>
      </c>
      <c r="F397">
        <v>0.124243015720367</v>
      </c>
      <c r="G397">
        <v>7.2886984062902796E-2</v>
      </c>
      <c r="H397">
        <v>4.7281354403414001E-2</v>
      </c>
      <c r="I397">
        <v>3.4775471655327697E-2</v>
      </c>
      <c r="J397">
        <v>3.0456787951874901E-2</v>
      </c>
      <c r="K397">
        <v>2.2862387866401501E-2</v>
      </c>
      <c r="L397">
        <v>904.47547273387204</v>
      </c>
      <c r="M397">
        <v>19.3647019172368</v>
      </c>
      <c r="N397">
        <v>46.872998995775497</v>
      </c>
      <c r="O397">
        <v>46.217887020117097</v>
      </c>
      <c r="P397">
        <v>-0.101287896301608</v>
      </c>
      <c r="Q397">
        <v>3.3057268294555499E-2</v>
      </c>
      <c r="R397">
        <v>0.998416607224763</v>
      </c>
      <c r="S397" t="s">
        <v>5137</v>
      </c>
      <c r="T397" t="s">
        <v>9478</v>
      </c>
      <c r="U397" t="s">
        <v>9478</v>
      </c>
      <c r="V397" t="s">
        <v>9478</v>
      </c>
      <c r="W397">
        <v>30</v>
      </c>
      <c r="X397" t="s">
        <v>9875</v>
      </c>
      <c r="Y397">
        <v>0.26465738392481469</v>
      </c>
      <c r="Z397" t="str">
        <f>HYPERLINK("Melting_Curves/meltCurve_sp_O95340_PAPS2_HUMAN_.pdf", "Melting_Curves/meltCurve_sp_O95340_PAPS2_HUMAN_.pdf")</f>
        <v>Melting_Curves/meltCurve_sp_O95340_PAPS2_HUMAN_.pdf</v>
      </c>
      <c r="AA397" t="s">
        <v>14610</v>
      </c>
      <c r="AB397" t="s">
        <v>19232</v>
      </c>
    </row>
    <row r="398" spans="1:28" x14ac:dyDescent="0.25">
      <c r="A398" t="s">
        <v>402</v>
      </c>
      <c r="B398">
        <v>0.99904790336628502</v>
      </c>
      <c r="C398">
        <v>0.948538640341266</v>
      </c>
      <c r="D398">
        <v>0.94442351483236497</v>
      </c>
      <c r="E398">
        <v>0.540124821230339</v>
      </c>
      <c r="F398">
        <v>0.24149544577575499</v>
      </c>
      <c r="G398">
        <v>0.13083661775243699</v>
      </c>
      <c r="H398">
        <v>7.1899580133343396E-2</v>
      </c>
      <c r="I398">
        <v>5.2216373166533901E-2</v>
      </c>
      <c r="J398">
        <v>4.0799388095866702E-2</v>
      </c>
      <c r="K398">
        <v>2.93328759269046E-2</v>
      </c>
      <c r="L398">
        <v>1266.53568977947</v>
      </c>
      <c r="M398">
        <v>25.227427070159699</v>
      </c>
      <c r="N398">
        <v>50.417877448213297</v>
      </c>
      <c r="O398">
        <v>49.892433173061598</v>
      </c>
      <c r="P398">
        <v>-0.120016238970162</v>
      </c>
      <c r="Q398">
        <v>5.0584966274937401E-2</v>
      </c>
      <c r="R398">
        <v>0.99708401780261502</v>
      </c>
      <c r="S398" t="s">
        <v>5138</v>
      </c>
      <c r="T398" t="s">
        <v>9478</v>
      </c>
      <c r="U398" t="s">
        <v>9478</v>
      </c>
      <c r="V398" t="s">
        <v>9478</v>
      </c>
      <c r="W398">
        <v>15</v>
      </c>
      <c r="X398" t="s">
        <v>9876</v>
      </c>
      <c r="Y398">
        <v>0.38188592568959923</v>
      </c>
      <c r="Z398" t="str">
        <f>HYPERLINK("Melting_Curves/meltCurve_sp_O95352_ATG7_HUMAN_.pdf", "Melting_Curves/meltCurve_sp_O95352_ATG7_HUMAN_.pdf")</f>
        <v>Melting_Curves/meltCurve_sp_O95352_ATG7_HUMAN_.pdf</v>
      </c>
      <c r="AA398" t="s">
        <v>14611</v>
      </c>
      <c r="AB398" t="s">
        <v>19233</v>
      </c>
    </row>
    <row r="399" spans="1:28" x14ac:dyDescent="0.25">
      <c r="A399" t="s">
        <v>403</v>
      </c>
      <c r="B399">
        <v>0.99904790336628502</v>
      </c>
      <c r="C399">
        <v>0.86381463417218696</v>
      </c>
      <c r="D399">
        <v>0.48344292850195603</v>
      </c>
      <c r="E399">
        <v>0.16126221141291799</v>
      </c>
      <c r="F399">
        <v>7.6282251618081803E-2</v>
      </c>
      <c r="G399">
        <v>5.5164723395928497E-2</v>
      </c>
      <c r="H399">
        <v>3.4678101312018601E-2</v>
      </c>
      <c r="I399">
        <v>2.87914478834451E-2</v>
      </c>
      <c r="J399">
        <v>2.5300734464417898E-2</v>
      </c>
      <c r="K399">
        <v>1.9093790767118299E-2</v>
      </c>
      <c r="L399">
        <v>1136.5837852663001</v>
      </c>
      <c r="M399">
        <v>24.778392397301499</v>
      </c>
      <c r="N399">
        <v>46.000174124016503</v>
      </c>
      <c r="O399">
        <v>45.574329394455503</v>
      </c>
      <c r="P399">
        <v>-0.13132138973039401</v>
      </c>
      <c r="Q399">
        <v>3.3867981334722699E-2</v>
      </c>
      <c r="R399">
        <v>0.99852161092848302</v>
      </c>
      <c r="S399" t="s">
        <v>5139</v>
      </c>
      <c r="T399" t="s">
        <v>9478</v>
      </c>
      <c r="U399" t="s">
        <v>9478</v>
      </c>
      <c r="V399" t="s">
        <v>9478</v>
      </c>
      <c r="W399">
        <v>7</v>
      </c>
      <c r="X399" t="s">
        <v>9877</v>
      </c>
      <c r="Y399">
        <v>0.2320822298050684</v>
      </c>
      <c r="Z399" t="str">
        <f>HYPERLINK("Melting_Curves/meltCurve_sp_O95363_SYFM_HUMAN_.pdf", "Melting_Curves/meltCurve_sp_O95363_SYFM_HUMAN_.pdf")</f>
        <v>Melting_Curves/meltCurve_sp_O95363_SYFM_HUMAN_.pdf</v>
      </c>
      <c r="AA399" t="s">
        <v>14612</v>
      </c>
      <c r="AB399" t="s">
        <v>19234</v>
      </c>
    </row>
    <row r="400" spans="1:28" x14ac:dyDescent="0.25">
      <c r="A400" t="s">
        <v>404</v>
      </c>
      <c r="B400">
        <v>0.99904790336628502</v>
      </c>
      <c r="C400">
        <v>0.65376656004973899</v>
      </c>
      <c r="D400">
        <v>0.92098502560710904</v>
      </c>
      <c r="E400">
        <v>0.63461772475723899</v>
      </c>
      <c r="F400">
        <v>0.57019964374359</v>
      </c>
      <c r="G400">
        <v>0.37334886191003902</v>
      </c>
      <c r="H400">
        <v>0.203799682953269</v>
      </c>
      <c r="I400">
        <v>9.3074287976847803E-2</v>
      </c>
      <c r="J400">
        <v>0</v>
      </c>
      <c r="K400">
        <v>4.9026595653113597E-2</v>
      </c>
      <c r="L400">
        <v>556.35500198099601</v>
      </c>
      <c r="M400">
        <v>10.4872065940529</v>
      </c>
      <c r="N400">
        <v>53.050827100300097</v>
      </c>
      <c r="O400">
        <v>51.230737838080302</v>
      </c>
      <c r="P400">
        <v>-5.1197084501790301E-2</v>
      </c>
      <c r="Q400">
        <v>0</v>
      </c>
      <c r="R400">
        <v>0.91321340301987997</v>
      </c>
      <c r="S400" t="s">
        <v>5140</v>
      </c>
      <c r="T400" t="s">
        <v>9478</v>
      </c>
      <c r="U400" t="s">
        <v>9478</v>
      </c>
      <c r="V400" t="s">
        <v>9478</v>
      </c>
      <c r="W400">
        <v>1</v>
      </c>
      <c r="X400" t="s">
        <v>9878</v>
      </c>
      <c r="Y400">
        <v>0.46758797034761213</v>
      </c>
      <c r="Z400" t="str">
        <f>HYPERLINK("Melting_Curves/meltCurve_sp_O95365_ZBT7A_HUMAN_.pdf", "Melting_Curves/meltCurve_sp_O95365_ZBT7A_HUMAN_.pdf")</f>
        <v>Melting_Curves/meltCurve_sp_O95365_ZBT7A_HUMAN_.pdf</v>
      </c>
      <c r="AA400" t="s">
        <v>14613</v>
      </c>
      <c r="AB400" t="s">
        <v>19235</v>
      </c>
    </row>
    <row r="401" spans="1:28" x14ac:dyDescent="0.25">
      <c r="A401" t="s">
        <v>405</v>
      </c>
      <c r="B401">
        <v>0.99904790336628502</v>
      </c>
      <c r="C401">
        <v>1.02214565279878</v>
      </c>
      <c r="D401">
        <v>0.90529126718519204</v>
      </c>
      <c r="E401">
        <v>0.89342301915797995</v>
      </c>
      <c r="F401">
        <v>0.77886939102164798</v>
      </c>
      <c r="G401">
        <v>0.38737949338151101</v>
      </c>
      <c r="H401">
        <v>0.108921165857497</v>
      </c>
      <c r="I401">
        <v>7.5529075232874804E-2</v>
      </c>
      <c r="J401">
        <v>5.83304138597288E-2</v>
      </c>
      <c r="K401">
        <v>5.3222865653027501E-2</v>
      </c>
      <c r="L401">
        <v>1261.4997858716499</v>
      </c>
      <c r="M401">
        <v>22.710514609083901</v>
      </c>
      <c r="N401">
        <v>55.699668742848097</v>
      </c>
      <c r="O401">
        <v>55.121657109630597</v>
      </c>
      <c r="P401">
        <v>-9.9894687766289805E-2</v>
      </c>
      <c r="Q401">
        <v>3.0184706607869E-2</v>
      </c>
      <c r="R401">
        <v>0.99324963986808901</v>
      </c>
      <c r="S401" t="s">
        <v>5141</v>
      </c>
      <c r="T401" t="s">
        <v>9478</v>
      </c>
      <c r="U401" t="s">
        <v>9478</v>
      </c>
      <c r="V401" t="s">
        <v>9478</v>
      </c>
      <c r="W401">
        <v>6</v>
      </c>
      <c r="X401" t="s">
        <v>9879</v>
      </c>
      <c r="Y401">
        <v>0.54325587408087395</v>
      </c>
      <c r="Z401" t="str">
        <f>HYPERLINK("Melting_Curves/meltCurve_sp_O95372_LYPA2_HUMAN_.pdf", "Melting_Curves/meltCurve_sp_O95372_LYPA2_HUMAN_.pdf")</f>
        <v>Melting_Curves/meltCurve_sp_O95372_LYPA2_HUMAN_.pdf</v>
      </c>
      <c r="AA401" t="s">
        <v>14614</v>
      </c>
      <c r="AB401" t="s">
        <v>19236</v>
      </c>
    </row>
    <row r="402" spans="1:28" x14ac:dyDescent="0.25">
      <c r="A402" t="s">
        <v>406</v>
      </c>
      <c r="B402">
        <v>0.99904790336628502</v>
      </c>
      <c r="C402">
        <v>1.0096652833915201</v>
      </c>
      <c r="D402">
        <v>1.06523819074959</v>
      </c>
      <c r="E402">
        <v>1.00854138403492</v>
      </c>
      <c r="F402">
        <v>0.79635726860177702</v>
      </c>
      <c r="G402">
        <v>0.387406299154675</v>
      </c>
      <c r="H402">
        <v>7.6078419843117306E-2</v>
      </c>
      <c r="I402">
        <v>4.9668550340177198E-2</v>
      </c>
      <c r="J402">
        <v>4.8489978815049503E-2</v>
      </c>
      <c r="K402">
        <v>3.7722432450244703E-2</v>
      </c>
      <c r="L402">
        <v>1627.15031182658</v>
      </c>
      <c r="M402">
        <v>29.178357421793098</v>
      </c>
      <c r="N402">
        <v>55.882580024977003</v>
      </c>
      <c r="O402">
        <v>55.5056902168878</v>
      </c>
      <c r="P402">
        <v>-0.127529940155924</v>
      </c>
      <c r="Q402">
        <v>2.9611484756620399E-2</v>
      </c>
      <c r="R402">
        <v>0.99566321855983897</v>
      </c>
      <c r="S402" t="s">
        <v>5142</v>
      </c>
      <c r="T402" t="s">
        <v>9478</v>
      </c>
      <c r="U402" t="s">
        <v>9478</v>
      </c>
      <c r="V402" t="s">
        <v>9478</v>
      </c>
      <c r="W402">
        <v>18</v>
      </c>
      <c r="X402" t="s">
        <v>9880</v>
      </c>
      <c r="Y402">
        <v>0.54637663654813273</v>
      </c>
      <c r="Z402" t="str">
        <f>HYPERLINK("Melting_Curves/meltCurve_sp_O95373_IPO7_HUMAN_.pdf", "Melting_Curves/meltCurve_sp_O95373_IPO7_HUMAN_.pdf")</f>
        <v>Melting_Curves/meltCurve_sp_O95373_IPO7_HUMAN_.pdf</v>
      </c>
      <c r="AA402" t="s">
        <v>14615</v>
      </c>
      <c r="AB402" t="s">
        <v>19237</v>
      </c>
    </row>
    <row r="403" spans="1:28" x14ac:dyDescent="0.25">
      <c r="A403" t="s">
        <v>407</v>
      </c>
      <c r="B403">
        <v>0.99904790336628502</v>
      </c>
      <c r="C403">
        <v>0.98995438040190697</v>
      </c>
      <c r="D403">
        <v>0.95978142205682904</v>
      </c>
      <c r="E403">
        <v>0.874598853168985</v>
      </c>
      <c r="F403">
        <v>0.726295988753484</v>
      </c>
      <c r="G403">
        <v>0.29189882731008898</v>
      </c>
      <c r="H403">
        <v>0.13796817683003099</v>
      </c>
      <c r="I403">
        <v>9.0445727738723294E-2</v>
      </c>
      <c r="J403">
        <v>8.0255523975484203E-2</v>
      </c>
      <c r="K403">
        <v>9.5203197951580401E-2</v>
      </c>
      <c r="L403">
        <v>1354.4215748070201</v>
      </c>
      <c r="M403">
        <v>24.844040219683301</v>
      </c>
      <c r="N403">
        <v>54.876387389488997</v>
      </c>
      <c r="O403">
        <v>54.167440980366599</v>
      </c>
      <c r="P403">
        <v>-0.106055021938139</v>
      </c>
      <c r="Q403">
        <v>7.5086264180126497E-2</v>
      </c>
      <c r="R403">
        <v>0.99745857817699402</v>
      </c>
      <c r="S403" t="s">
        <v>5143</v>
      </c>
      <c r="T403" t="s">
        <v>9478</v>
      </c>
      <c r="U403" t="s">
        <v>9478</v>
      </c>
      <c r="V403" t="s">
        <v>9478</v>
      </c>
      <c r="W403">
        <v>6</v>
      </c>
      <c r="X403" t="s">
        <v>9881</v>
      </c>
      <c r="Y403">
        <v>0.53131167429936044</v>
      </c>
      <c r="Z403" t="str">
        <f>HYPERLINK("Melting_Curves/meltCurve_sp_O95376_ARI2_HUMAN_.pdf", "Melting_Curves/meltCurve_sp_O95376_ARI2_HUMAN_.pdf")</f>
        <v>Melting_Curves/meltCurve_sp_O95376_ARI2_HUMAN_.pdf</v>
      </c>
      <c r="AA403" t="s">
        <v>14616</v>
      </c>
      <c r="AB403" t="s">
        <v>19238</v>
      </c>
    </row>
    <row r="404" spans="1:28" x14ac:dyDescent="0.25">
      <c r="A404" t="s">
        <v>408</v>
      </c>
      <c r="B404">
        <v>0.99904790336628502</v>
      </c>
      <c r="C404">
        <v>0.89631196870705798</v>
      </c>
      <c r="D404">
        <v>0.91642889757492396</v>
      </c>
      <c r="E404">
        <v>0.657076437487215</v>
      </c>
      <c r="F404">
        <v>0.220876195001249</v>
      </c>
      <c r="G404">
        <v>0.10233510940294401</v>
      </c>
      <c r="H404">
        <v>5.2791158385483102E-2</v>
      </c>
      <c r="I404">
        <v>3.67882192676693E-2</v>
      </c>
      <c r="J404">
        <v>2.8582290924640898E-2</v>
      </c>
      <c r="K404">
        <v>2.0675212517938201E-2</v>
      </c>
      <c r="L404">
        <v>1452.69674695704</v>
      </c>
      <c r="M404">
        <v>28.601103761959902</v>
      </c>
      <c r="N404">
        <v>50.915668454052103</v>
      </c>
      <c r="O404">
        <v>50.545261956871997</v>
      </c>
      <c r="P404">
        <v>-0.136703530014121</v>
      </c>
      <c r="Q404">
        <v>3.3650852491785802E-2</v>
      </c>
      <c r="R404">
        <v>0.99076660357777002</v>
      </c>
      <c r="S404" t="s">
        <v>5144</v>
      </c>
      <c r="T404" t="s">
        <v>9478</v>
      </c>
      <c r="U404" t="s">
        <v>9478</v>
      </c>
      <c r="V404" t="s">
        <v>9478</v>
      </c>
      <c r="W404">
        <v>22</v>
      </c>
      <c r="X404" t="s">
        <v>9882</v>
      </c>
      <c r="Y404">
        <v>0.38793035850618751</v>
      </c>
      <c r="Z404" t="str">
        <f>HYPERLINK("Melting_Curves/meltCurve_sp_O95394_AGM1_HUMAN_.pdf", "Melting_Curves/meltCurve_sp_O95394_AGM1_HUMAN_.pdf")</f>
        <v>Melting_Curves/meltCurve_sp_O95394_AGM1_HUMAN_.pdf</v>
      </c>
      <c r="AA404" t="s">
        <v>14617</v>
      </c>
      <c r="AB404" t="s">
        <v>19239</v>
      </c>
    </row>
    <row r="405" spans="1:28" x14ac:dyDescent="0.25">
      <c r="A405" t="s">
        <v>409</v>
      </c>
      <c r="B405">
        <v>0.99904790336628502</v>
      </c>
      <c r="C405">
        <v>0.92201026799911301</v>
      </c>
      <c r="D405">
        <v>0.83777802738264795</v>
      </c>
      <c r="E405">
        <v>0.53508761577905195</v>
      </c>
      <c r="F405">
        <v>0.36175711954286299</v>
      </c>
      <c r="G405">
        <v>0.20819989676739001</v>
      </c>
      <c r="H405">
        <v>0.13466768127877199</v>
      </c>
      <c r="I405">
        <v>0.119970411514005</v>
      </c>
      <c r="J405">
        <v>0.10088108332075001</v>
      </c>
      <c r="K405">
        <v>7.7850452605349105E-2</v>
      </c>
      <c r="L405">
        <v>783.903098172515</v>
      </c>
      <c r="M405">
        <v>15.634101494093899</v>
      </c>
      <c r="N405">
        <v>50.714446731611503</v>
      </c>
      <c r="O405">
        <v>49.341766287258402</v>
      </c>
      <c r="P405">
        <v>-7.2797719295302696E-2</v>
      </c>
      <c r="Q405">
        <v>8.1070832635924198E-2</v>
      </c>
      <c r="R405">
        <v>0.99880237335927902</v>
      </c>
      <c r="S405" t="s">
        <v>5145</v>
      </c>
      <c r="T405" t="s">
        <v>9478</v>
      </c>
      <c r="U405" t="s">
        <v>9478</v>
      </c>
      <c r="V405" t="s">
        <v>9478</v>
      </c>
      <c r="W405">
        <v>12</v>
      </c>
      <c r="X405" t="s">
        <v>9883</v>
      </c>
      <c r="Y405">
        <v>0.41195819402217748</v>
      </c>
      <c r="Z405" t="str">
        <f>HYPERLINK("Melting_Curves/meltCurve_sp_O95396_MOCS3_HUMAN_.pdf", "Melting_Curves/meltCurve_sp_O95396_MOCS3_HUMAN_.pdf")</f>
        <v>Melting_Curves/meltCurve_sp_O95396_MOCS3_HUMAN_.pdf</v>
      </c>
      <c r="AA405" t="s">
        <v>14618</v>
      </c>
      <c r="AB405" t="s">
        <v>19240</v>
      </c>
    </row>
    <row r="406" spans="1:28" x14ac:dyDescent="0.25">
      <c r="A406" t="s">
        <v>410</v>
      </c>
      <c r="B406">
        <v>0.99904790336628502</v>
      </c>
      <c r="C406">
        <v>1.0487172985706099</v>
      </c>
      <c r="D406">
        <v>0.92076949241484396</v>
      </c>
      <c r="E406">
        <v>0.777264499097859</v>
      </c>
      <c r="F406">
        <v>0.66713626245275204</v>
      </c>
      <c r="G406">
        <v>0.46508904740263501</v>
      </c>
      <c r="H406">
        <v>0.33379945480200901</v>
      </c>
      <c r="I406">
        <v>0.218822623900887</v>
      </c>
      <c r="J406">
        <v>0.12825712880433901</v>
      </c>
      <c r="K406">
        <v>8.2439037334051002E-2</v>
      </c>
      <c r="L406">
        <v>629.89268184999901</v>
      </c>
      <c r="M406">
        <v>11.1715791053985</v>
      </c>
      <c r="N406">
        <v>56.383496359547301</v>
      </c>
      <c r="O406">
        <v>54.667348426951399</v>
      </c>
      <c r="P406">
        <v>-5.1105139810924599E-2</v>
      </c>
      <c r="Q406">
        <v>0</v>
      </c>
      <c r="R406">
        <v>0.99263011513259802</v>
      </c>
      <c r="S406" t="s">
        <v>5146</v>
      </c>
      <c r="T406" t="s">
        <v>9478</v>
      </c>
      <c r="U406" t="s">
        <v>9478</v>
      </c>
      <c r="V406" t="s">
        <v>9478</v>
      </c>
      <c r="W406">
        <v>1</v>
      </c>
      <c r="X406" t="s">
        <v>9884</v>
      </c>
      <c r="Y406">
        <v>0.56541638026722962</v>
      </c>
      <c r="Z406" t="str">
        <f>HYPERLINK("Melting_Curves/meltCurve_sp_O95399_UTS2_HUMAN_.pdf", "Melting_Curves/meltCurve_sp_O95399_UTS2_HUMAN_.pdf")</f>
        <v>Melting_Curves/meltCurve_sp_O95399_UTS2_HUMAN_.pdf</v>
      </c>
      <c r="AA406" t="s">
        <v>14619</v>
      </c>
      <c r="AB406" t="s">
        <v>19241</v>
      </c>
    </row>
    <row r="407" spans="1:28" x14ac:dyDescent="0.25">
      <c r="A407" t="s">
        <v>411</v>
      </c>
      <c r="B407">
        <v>0.99904790336628502</v>
      </c>
      <c r="C407">
        <v>1.0615804897166701</v>
      </c>
      <c r="D407">
        <v>0.82860073954212299</v>
      </c>
      <c r="E407">
        <v>0.89184947745672605</v>
      </c>
      <c r="F407">
        <v>0.55933929221496603</v>
      </c>
      <c r="G407">
        <v>0.43614286689535398</v>
      </c>
      <c r="H407">
        <v>0.36558292565781603</v>
      </c>
      <c r="I407">
        <v>0.39945500430475001</v>
      </c>
      <c r="J407">
        <v>0.29750904777558801</v>
      </c>
      <c r="K407">
        <v>0.24865569067999499</v>
      </c>
      <c r="L407">
        <v>876.43189193586704</v>
      </c>
      <c r="M407">
        <v>16.655245997378099</v>
      </c>
      <c r="N407">
        <v>55.5068134336653</v>
      </c>
      <c r="O407">
        <v>51.880923745089603</v>
      </c>
      <c r="P407">
        <v>-5.7018094677901698E-2</v>
      </c>
      <c r="Q407">
        <v>0.28960444633666299</v>
      </c>
      <c r="R407">
        <v>0.95091592296260297</v>
      </c>
      <c r="S407" t="s">
        <v>5147</v>
      </c>
      <c r="T407" t="s">
        <v>9478</v>
      </c>
      <c r="U407" t="s">
        <v>9478</v>
      </c>
      <c r="V407" t="s">
        <v>9478</v>
      </c>
      <c r="W407">
        <v>2</v>
      </c>
      <c r="X407" t="s">
        <v>9885</v>
      </c>
      <c r="Y407">
        <v>0.60175284123307671</v>
      </c>
      <c r="Z407" t="str">
        <f>HYPERLINK("Melting_Curves/meltCurve_sp_O95400_CD2B2_HUMAN_.pdf", "Melting_Curves/meltCurve_sp_O95400_CD2B2_HUMAN_.pdf")</f>
        <v>Melting_Curves/meltCurve_sp_O95400_CD2B2_HUMAN_.pdf</v>
      </c>
      <c r="AA407" t="s">
        <v>14620</v>
      </c>
      <c r="AB407" t="s">
        <v>19242</v>
      </c>
    </row>
    <row r="408" spans="1:28" x14ac:dyDescent="0.25">
      <c r="A408" t="s">
        <v>412</v>
      </c>
      <c r="B408">
        <v>0.99904790336628502</v>
      </c>
      <c r="C408">
        <v>1.00957584060741</v>
      </c>
      <c r="D408">
        <v>0.95439185008754301</v>
      </c>
      <c r="E408">
        <v>0.93979578029398503</v>
      </c>
      <c r="F408">
        <v>1.02671205547355</v>
      </c>
      <c r="G408">
        <v>0.798536321669576</v>
      </c>
      <c r="H408">
        <v>0.831963046203544</v>
      </c>
      <c r="I408">
        <v>0.84694208333068099</v>
      </c>
      <c r="J408">
        <v>0.78291507514327596</v>
      </c>
      <c r="K408">
        <v>0.80181403258770201</v>
      </c>
      <c r="L408">
        <v>9130.2868553023709</v>
      </c>
      <c r="M408">
        <v>165.92501764901999</v>
      </c>
      <c r="O408">
        <v>55.018590539039003</v>
      </c>
      <c r="P408">
        <v>-0.14137004733046599</v>
      </c>
      <c r="Q408">
        <v>0.81249408126695</v>
      </c>
      <c r="R408">
        <v>0.88867840263723497</v>
      </c>
      <c r="S408" t="s">
        <v>5148</v>
      </c>
      <c r="T408" t="s">
        <v>9478</v>
      </c>
      <c r="U408" t="s">
        <v>9478</v>
      </c>
      <c r="V408" t="s">
        <v>9478</v>
      </c>
      <c r="W408">
        <v>2</v>
      </c>
      <c r="X408" t="s">
        <v>9886</v>
      </c>
      <c r="Y408">
        <v>0.90645431207127869</v>
      </c>
      <c r="Z408" t="str">
        <f>HYPERLINK("Melting_Curves/meltCurve_sp_O95405_ZFYV9_HUMAN_.pdf", "Melting_Curves/meltCurve_sp_O95405_ZFYV9_HUMAN_.pdf")</f>
        <v>Melting_Curves/meltCurve_sp_O95405_ZFYV9_HUMAN_.pdf</v>
      </c>
      <c r="AA408" t="s">
        <v>14621</v>
      </c>
      <c r="AB408" t="s">
        <v>19243</v>
      </c>
    </row>
    <row r="409" spans="1:28" x14ac:dyDescent="0.25">
      <c r="A409" t="s">
        <v>413</v>
      </c>
      <c r="B409">
        <v>0.99904790336628502</v>
      </c>
      <c r="C409">
        <v>0.92457584729340903</v>
      </c>
      <c r="D409">
        <v>0.93103194378529497</v>
      </c>
      <c r="E409">
        <v>0.84707049127199296</v>
      </c>
      <c r="F409">
        <v>0.73965107358892002</v>
      </c>
      <c r="G409">
        <v>0.52206535619681904</v>
      </c>
      <c r="H409">
        <v>0.44541257709430399</v>
      </c>
      <c r="I409">
        <v>0.36751510950382099</v>
      </c>
      <c r="J409">
        <v>0.41641778343528701</v>
      </c>
      <c r="K409">
        <v>0.404941068607517</v>
      </c>
      <c r="L409">
        <v>844.80102753865003</v>
      </c>
      <c r="M409">
        <v>15.783677345388901</v>
      </c>
      <c r="N409">
        <v>58.435332036862199</v>
      </c>
      <c r="O409">
        <v>52.686647230311699</v>
      </c>
      <c r="P409">
        <v>-4.7388090281638602E-2</v>
      </c>
      <c r="Q409">
        <v>0.36731790908262701</v>
      </c>
      <c r="R409">
        <v>0.98433980561741496</v>
      </c>
      <c r="S409" t="s">
        <v>5149</v>
      </c>
      <c r="T409" t="s">
        <v>9478</v>
      </c>
      <c r="U409" t="s">
        <v>9478</v>
      </c>
      <c r="V409" t="s">
        <v>9478</v>
      </c>
      <c r="W409">
        <v>7</v>
      </c>
      <c r="X409" t="s">
        <v>9887</v>
      </c>
      <c r="Y409">
        <v>0.66494142386308386</v>
      </c>
      <c r="Z409" t="str">
        <f>HYPERLINK("Melting_Curves/meltCurve_sp_O95425_2_SVIL_HUMAN_.pdf", "Melting_Curves/meltCurve_sp_O95425_2_SVIL_HUMAN_.pdf")</f>
        <v>Melting_Curves/meltCurve_sp_O95425_2_SVIL_HUMAN_.pdf</v>
      </c>
      <c r="AA409" t="s">
        <v>14622</v>
      </c>
      <c r="AB409" t="s">
        <v>19244</v>
      </c>
    </row>
    <row r="410" spans="1:28" x14ac:dyDescent="0.25">
      <c r="A410" t="s">
        <v>414</v>
      </c>
      <c r="B410">
        <v>0.99904790336628502</v>
      </c>
      <c r="C410">
        <v>0.96926079264236997</v>
      </c>
      <c r="D410">
        <v>0.93843564746077102</v>
      </c>
      <c r="E410">
        <v>0.850271274887621</v>
      </c>
      <c r="F410">
        <v>0.74078884924679</v>
      </c>
      <c r="G410">
        <v>0.57397478222828102</v>
      </c>
      <c r="H410">
        <v>0.48692830227023898</v>
      </c>
      <c r="I410">
        <v>0.44442607380311799</v>
      </c>
      <c r="J410">
        <v>0.47719615422153699</v>
      </c>
      <c r="K410">
        <v>0.43015323316819998</v>
      </c>
      <c r="L410">
        <v>808.90903556659498</v>
      </c>
      <c r="M410">
        <v>15.14778772108</v>
      </c>
      <c r="N410">
        <v>60.747498984710099</v>
      </c>
      <c r="O410">
        <v>52.496405632710797</v>
      </c>
      <c r="P410">
        <v>-4.1847802259277603E-2</v>
      </c>
      <c r="Q410">
        <v>0.41994305169996898</v>
      </c>
      <c r="R410">
        <v>0.99540609352569698</v>
      </c>
      <c r="S410" t="s">
        <v>5150</v>
      </c>
      <c r="T410" t="s">
        <v>9478</v>
      </c>
      <c r="U410" t="s">
        <v>9478</v>
      </c>
      <c r="V410" t="s">
        <v>9478</v>
      </c>
      <c r="W410">
        <v>6</v>
      </c>
      <c r="X410" t="s">
        <v>9888</v>
      </c>
      <c r="Y410">
        <v>0.69115991074364513</v>
      </c>
      <c r="Z410" t="str">
        <f>HYPERLINK("Melting_Curves/meltCurve_sp_O95429_2_BAG4_HUMAN_.pdf", "Melting_Curves/meltCurve_sp_O95429_2_BAG4_HUMAN_.pdf")</f>
        <v>Melting_Curves/meltCurve_sp_O95429_2_BAG4_HUMAN_.pdf</v>
      </c>
      <c r="AA410" t="s">
        <v>14623</v>
      </c>
      <c r="AB410" t="s">
        <v>19245</v>
      </c>
    </row>
    <row r="411" spans="1:28" x14ac:dyDescent="0.25">
      <c r="A411" t="s">
        <v>415</v>
      </c>
      <c r="B411">
        <v>0.99904790336628502</v>
      </c>
      <c r="C411">
        <v>0.90323151451546102</v>
      </c>
      <c r="D411">
        <v>0.84714318262730903</v>
      </c>
      <c r="E411">
        <v>0.82733809466430497</v>
      </c>
      <c r="F411">
        <v>0.72460898485954806</v>
      </c>
      <c r="G411">
        <v>0.35664320324899501</v>
      </c>
      <c r="H411">
        <v>0.160545505053583</v>
      </c>
      <c r="I411">
        <v>9.1466202855839701E-2</v>
      </c>
      <c r="J411">
        <v>6.1519015724712203E-2</v>
      </c>
      <c r="K411">
        <v>4.53645732050727E-2</v>
      </c>
      <c r="L411">
        <v>857.08167343294997</v>
      </c>
      <c r="M411">
        <v>15.5339073430974</v>
      </c>
      <c r="N411">
        <v>55.174890461892602</v>
      </c>
      <c r="O411">
        <v>54.284764757043497</v>
      </c>
      <c r="P411">
        <v>-7.1545283146586494E-2</v>
      </c>
      <c r="Q411">
        <v>0</v>
      </c>
      <c r="R411">
        <v>0.98159223273833995</v>
      </c>
      <c r="S411" t="s">
        <v>5151</v>
      </c>
      <c r="T411" t="s">
        <v>9478</v>
      </c>
      <c r="U411" t="s">
        <v>9478</v>
      </c>
      <c r="V411" t="s">
        <v>9478</v>
      </c>
      <c r="W411">
        <v>12</v>
      </c>
      <c r="X411" t="s">
        <v>9889</v>
      </c>
      <c r="Y411">
        <v>0.52417551008982122</v>
      </c>
      <c r="Z411" t="str">
        <f>HYPERLINK("Melting_Curves/meltCurve_sp_O95433_AHSA1_HUMAN_.pdf", "Melting_Curves/meltCurve_sp_O95433_AHSA1_HUMAN_.pdf")</f>
        <v>Melting_Curves/meltCurve_sp_O95433_AHSA1_HUMAN_.pdf</v>
      </c>
      <c r="AA411" t="s">
        <v>14624</v>
      </c>
      <c r="AB411" t="s">
        <v>19246</v>
      </c>
    </row>
    <row r="412" spans="1:28" x14ac:dyDescent="0.25">
      <c r="A412" t="s">
        <v>416</v>
      </c>
      <c r="B412">
        <v>0.99904790336628502</v>
      </c>
      <c r="C412">
        <v>1.0411722178873599</v>
      </c>
      <c r="D412">
        <v>1.00371595534745</v>
      </c>
      <c r="E412">
        <v>0.90220476820131501</v>
      </c>
      <c r="F412">
        <v>0.56229703592021596</v>
      </c>
      <c r="G412">
        <v>0.231738748470534</v>
      </c>
      <c r="H412">
        <v>0.15016822635569799</v>
      </c>
      <c r="I412">
        <v>0.10117557525773101</v>
      </c>
      <c r="J412">
        <v>0.105492755333633</v>
      </c>
      <c r="K412">
        <v>0.110942598592552</v>
      </c>
      <c r="L412">
        <v>1596.46210355427</v>
      </c>
      <c r="M412">
        <v>30.023634148705401</v>
      </c>
      <c r="N412">
        <v>53.627969965690902</v>
      </c>
      <c r="O412">
        <v>52.939294771747498</v>
      </c>
      <c r="P412">
        <v>-0.125859048275451</v>
      </c>
      <c r="Q412">
        <v>0.112319957354166</v>
      </c>
      <c r="R412">
        <v>0.99790476927276495</v>
      </c>
      <c r="S412" t="s">
        <v>5152</v>
      </c>
      <c r="T412" t="s">
        <v>9478</v>
      </c>
      <c r="U412" t="s">
        <v>9478</v>
      </c>
      <c r="V412" t="s">
        <v>9478</v>
      </c>
      <c r="W412">
        <v>5</v>
      </c>
      <c r="X412" t="s">
        <v>9890</v>
      </c>
      <c r="Y412">
        <v>0.50787699746292814</v>
      </c>
      <c r="Z412" t="str">
        <f>HYPERLINK("Melting_Curves/meltCurve_sp_O95453_2_PARN_HUMAN_.pdf", "Melting_Curves/meltCurve_sp_O95453_2_PARN_HUMAN_.pdf")</f>
        <v>Melting_Curves/meltCurve_sp_O95453_2_PARN_HUMAN_.pdf</v>
      </c>
      <c r="AA412" t="s">
        <v>14625</v>
      </c>
      <c r="AB412" t="s">
        <v>19247</v>
      </c>
    </row>
    <row r="413" spans="1:28" x14ac:dyDescent="0.25">
      <c r="A413" t="s">
        <v>417</v>
      </c>
      <c r="B413">
        <v>0.99904790336628502</v>
      </c>
      <c r="C413">
        <v>1.07619242101</v>
      </c>
      <c r="D413">
        <v>1.0641436018530399</v>
      </c>
      <c r="E413">
        <v>1.03846444500083</v>
      </c>
      <c r="F413">
        <v>0.90319478618850502</v>
      </c>
      <c r="G413">
        <v>0.69714755152008201</v>
      </c>
      <c r="H413">
        <v>0.48172031719061398</v>
      </c>
      <c r="I413">
        <v>0.25434782188366101</v>
      </c>
      <c r="J413">
        <v>9.0858702925792706E-2</v>
      </c>
      <c r="K413">
        <v>5.7696122454102501E-2</v>
      </c>
      <c r="L413">
        <v>1121.6135311211499</v>
      </c>
      <c r="M413">
        <v>18.644645355056099</v>
      </c>
      <c r="N413">
        <v>60.157408188050297</v>
      </c>
      <c r="O413">
        <v>59.4781894474309</v>
      </c>
      <c r="P413">
        <v>-7.8370948771810195E-2</v>
      </c>
      <c r="Q413">
        <v>0</v>
      </c>
      <c r="R413">
        <v>0.98700541343370796</v>
      </c>
      <c r="S413" t="s">
        <v>5153</v>
      </c>
      <c r="T413" t="s">
        <v>9478</v>
      </c>
      <c r="U413" t="s">
        <v>9478</v>
      </c>
      <c r="V413" t="s">
        <v>9478</v>
      </c>
      <c r="W413">
        <v>4</v>
      </c>
      <c r="X413" t="s">
        <v>9891</v>
      </c>
      <c r="Y413">
        <v>0.67987658494101622</v>
      </c>
      <c r="Z413" t="str">
        <f>HYPERLINK("Melting_Curves/meltCurve_sp_O95456_PSMG1_HUMAN_.pdf", "Melting_Curves/meltCurve_sp_O95456_PSMG1_HUMAN_.pdf")</f>
        <v>Melting_Curves/meltCurve_sp_O95456_PSMG1_HUMAN_.pdf</v>
      </c>
      <c r="AA413" t="s">
        <v>14626</v>
      </c>
      <c r="AB413" t="s">
        <v>19248</v>
      </c>
    </row>
    <row r="414" spans="1:28" x14ac:dyDescent="0.25">
      <c r="A414" t="s">
        <v>418</v>
      </c>
      <c r="B414">
        <v>0.99904790336628502</v>
      </c>
      <c r="C414">
        <v>0.97099971732745805</v>
      </c>
      <c r="D414">
        <v>1.0354176959003401</v>
      </c>
      <c r="E414">
        <v>0.91325383747159505</v>
      </c>
      <c r="F414">
        <v>0.26043600458135902</v>
      </c>
      <c r="G414">
        <v>0.12993169875772601</v>
      </c>
      <c r="H414">
        <v>7.2740271971543993E-2</v>
      </c>
      <c r="I414">
        <v>6.0107290435900698E-2</v>
      </c>
      <c r="J414">
        <v>4.9667085329314402E-2</v>
      </c>
      <c r="K414">
        <v>3.9630042614030102E-2</v>
      </c>
      <c r="L414">
        <v>3159.1177469413101</v>
      </c>
      <c r="M414">
        <v>60.939934970757903</v>
      </c>
      <c r="N414">
        <v>51.966901592423397</v>
      </c>
      <c r="O414">
        <v>51.784124227313001</v>
      </c>
      <c r="P414">
        <v>-0.27384160535475099</v>
      </c>
      <c r="Q414">
        <v>6.9205293967468495E-2</v>
      </c>
      <c r="R414">
        <v>0.99643649836363801</v>
      </c>
      <c r="S414" t="s">
        <v>5154</v>
      </c>
      <c r="T414" t="s">
        <v>9478</v>
      </c>
      <c r="U414" t="s">
        <v>9478</v>
      </c>
      <c r="V414" t="s">
        <v>9478</v>
      </c>
      <c r="W414">
        <v>38</v>
      </c>
      <c r="X414" t="s">
        <v>9892</v>
      </c>
      <c r="Y414">
        <v>0.43798481565777059</v>
      </c>
      <c r="Z414" t="str">
        <f>HYPERLINK("Melting_Curves/meltCurve_sp_O95479_G6PE_HUMAN_.pdf", "Melting_Curves/meltCurve_sp_O95479_G6PE_HUMAN_.pdf")</f>
        <v>Melting_Curves/meltCurve_sp_O95479_G6PE_HUMAN_.pdf</v>
      </c>
      <c r="AA414" t="s">
        <v>14627</v>
      </c>
      <c r="AB414" t="s">
        <v>19249</v>
      </c>
    </row>
    <row r="415" spans="1:28" x14ac:dyDescent="0.25">
      <c r="A415" t="s">
        <v>419</v>
      </c>
      <c r="B415">
        <v>0.99904790336628502</v>
      </c>
      <c r="C415">
        <v>0.98895932176993995</v>
      </c>
      <c r="D415">
        <v>1.0484393958999401</v>
      </c>
      <c r="E415">
        <v>0.64073301545246697</v>
      </c>
      <c r="F415">
        <v>0.13636200421265701</v>
      </c>
      <c r="G415">
        <v>7.1381890953589294E-2</v>
      </c>
      <c r="H415">
        <v>4.3253208570766997E-2</v>
      </c>
      <c r="I415">
        <v>3.2053649543584799E-2</v>
      </c>
      <c r="J415">
        <v>2.9859394549756099E-2</v>
      </c>
      <c r="K415">
        <v>2.6162207702946801E-2</v>
      </c>
      <c r="L415">
        <v>2465.8234050671099</v>
      </c>
      <c r="M415">
        <v>48.784027157432099</v>
      </c>
      <c r="N415">
        <v>50.6331995612939</v>
      </c>
      <c r="O415">
        <v>50.460994909335703</v>
      </c>
      <c r="P415">
        <v>-0.23192312802861001</v>
      </c>
      <c r="Q415">
        <v>4.0418644286565997E-2</v>
      </c>
      <c r="R415">
        <v>0.99766316045773396</v>
      </c>
      <c r="S415" t="s">
        <v>5155</v>
      </c>
      <c r="T415" t="s">
        <v>9478</v>
      </c>
      <c r="U415" t="s">
        <v>9478</v>
      </c>
      <c r="V415" t="s">
        <v>9478</v>
      </c>
      <c r="W415">
        <v>19</v>
      </c>
      <c r="X415" t="s">
        <v>9893</v>
      </c>
      <c r="Y415">
        <v>0.37998234336686171</v>
      </c>
      <c r="Z415" t="str">
        <f>HYPERLINK("Melting_Curves/meltCurve_sp_O95486_SC24A_HUMAN_.pdf", "Melting_Curves/meltCurve_sp_O95486_SC24A_HUMAN_.pdf")</f>
        <v>Melting_Curves/meltCurve_sp_O95486_SC24A_HUMAN_.pdf</v>
      </c>
      <c r="AA415" t="s">
        <v>14628</v>
      </c>
      <c r="AB415" t="s">
        <v>19250</v>
      </c>
    </row>
    <row r="416" spans="1:28" x14ac:dyDescent="0.25">
      <c r="A416" t="s">
        <v>420</v>
      </c>
      <c r="B416">
        <v>0.99904790336628502</v>
      </c>
      <c r="C416">
        <v>0.82082916264638395</v>
      </c>
      <c r="D416">
        <v>0.839814365174122</v>
      </c>
      <c r="E416">
        <v>0.53475940812221201</v>
      </c>
      <c r="F416">
        <v>0.36706356649084698</v>
      </c>
      <c r="G416">
        <v>0.261219830367723</v>
      </c>
      <c r="H416">
        <v>0.193235385009319</v>
      </c>
      <c r="I416">
        <v>0.169076968476083</v>
      </c>
      <c r="J416">
        <v>0.13631629170763301</v>
      </c>
      <c r="K416">
        <v>0.16946839894139501</v>
      </c>
      <c r="L416">
        <v>687.19598129060205</v>
      </c>
      <c r="M416">
        <v>13.8647782826122</v>
      </c>
      <c r="N416">
        <v>50.694299546306702</v>
      </c>
      <c r="O416">
        <v>48.5672081404213</v>
      </c>
      <c r="P416">
        <v>-6.18894830669715E-2</v>
      </c>
      <c r="Q416">
        <v>0.132943541620963</v>
      </c>
      <c r="R416">
        <v>0.98581285320325696</v>
      </c>
      <c r="S416" t="s">
        <v>5156</v>
      </c>
      <c r="T416" t="s">
        <v>9478</v>
      </c>
      <c r="U416" t="s">
        <v>9478</v>
      </c>
      <c r="V416" t="s">
        <v>9478</v>
      </c>
      <c r="W416">
        <v>16</v>
      </c>
      <c r="X416" t="s">
        <v>9894</v>
      </c>
      <c r="Y416">
        <v>0.4335094190930186</v>
      </c>
      <c r="Z416" t="str">
        <f>HYPERLINK("Melting_Curves/meltCurve_sp_O95487_2_SC24B_HUMAN_.pdf", "Melting_Curves/meltCurve_sp_O95487_2_SC24B_HUMAN_.pdf")</f>
        <v>Melting_Curves/meltCurve_sp_O95487_2_SC24B_HUMAN_.pdf</v>
      </c>
      <c r="AA416" t="s">
        <v>14629</v>
      </c>
      <c r="AB416" t="s">
        <v>19251</v>
      </c>
    </row>
    <row r="417" spans="1:28" x14ac:dyDescent="0.25">
      <c r="A417" t="s">
        <v>421</v>
      </c>
      <c r="B417">
        <v>0.99904790336628502</v>
      </c>
      <c r="C417">
        <v>1.1062699797046001</v>
      </c>
      <c r="D417">
        <v>1.06110415922454</v>
      </c>
      <c r="E417">
        <v>1.1131592912897701</v>
      </c>
      <c r="F417">
        <v>1.0686611877814001</v>
      </c>
      <c r="G417">
        <v>0.77876308074837197</v>
      </c>
      <c r="H417">
        <v>0.71630303072849399</v>
      </c>
      <c r="I417">
        <v>0.69284958587110201</v>
      </c>
      <c r="J417">
        <v>0.61109989297046496</v>
      </c>
      <c r="K417">
        <v>0.39782170161663499</v>
      </c>
      <c r="L417">
        <v>823.345054233974</v>
      </c>
      <c r="M417">
        <v>12.618172327051299</v>
      </c>
      <c r="N417">
        <v>68.244852519281096</v>
      </c>
      <c r="O417">
        <v>63.6769491441271</v>
      </c>
      <c r="P417">
        <v>-3.9017286513415003E-2</v>
      </c>
      <c r="Q417">
        <v>0.21256138916747699</v>
      </c>
      <c r="R417">
        <v>0.87738028463516604</v>
      </c>
      <c r="S417" t="s">
        <v>5157</v>
      </c>
      <c r="T417" t="s">
        <v>9478</v>
      </c>
      <c r="U417" t="s">
        <v>9478</v>
      </c>
      <c r="V417" t="s">
        <v>9478</v>
      </c>
      <c r="W417">
        <v>2</v>
      </c>
      <c r="X417" t="s">
        <v>9895</v>
      </c>
      <c r="Y417">
        <v>0.84454732704339575</v>
      </c>
      <c r="Z417" t="str">
        <f>HYPERLINK("Melting_Curves/meltCurve_sp_O95497_VNN1_HUMAN_.pdf", "Melting_Curves/meltCurve_sp_O95497_VNN1_HUMAN_.pdf")</f>
        <v>Melting_Curves/meltCurve_sp_O95497_VNN1_HUMAN_.pdf</v>
      </c>
      <c r="AA417" t="s">
        <v>14630</v>
      </c>
      <c r="AB417" t="s">
        <v>19252</v>
      </c>
    </row>
    <row r="418" spans="1:28" x14ac:dyDescent="0.25">
      <c r="A418" t="s">
        <v>422</v>
      </c>
      <c r="B418">
        <v>0.99904790336628502</v>
      </c>
      <c r="C418">
        <v>1.07377369987473</v>
      </c>
      <c r="D418">
        <v>1.0319621476317899</v>
      </c>
      <c r="E418">
        <v>0.99195976913574602</v>
      </c>
      <c r="F418">
        <v>0.95229054245873701</v>
      </c>
      <c r="G418">
        <v>0.83070921703406098</v>
      </c>
      <c r="H418">
        <v>0.62700411694407399</v>
      </c>
      <c r="I418">
        <v>0.67823664882446899</v>
      </c>
      <c r="J418">
        <v>0.57705416871329496</v>
      </c>
      <c r="K418">
        <v>0.33785573885980402</v>
      </c>
      <c r="L418">
        <v>657.85409761413496</v>
      </c>
      <c r="M418">
        <v>9.8098554147099009</v>
      </c>
      <c r="N418">
        <v>67.060528410992006</v>
      </c>
      <c r="O418">
        <v>64.452014840316593</v>
      </c>
      <c r="P418">
        <v>-3.8070920718613899E-2</v>
      </c>
      <c r="Q418">
        <v>0</v>
      </c>
      <c r="R418">
        <v>0.93952813430483595</v>
      </c>
      <c r="S418" t="s">
        <v>5158</v>
      </c>
      <c r="T418" t="s">
        <v>9478</v>
      </c>
      <c r="U418" t="s">
        <v>9478</v>
      </c>
      <c r="V418" t="s">
        <v>9478</v>
      </c>
      <c r="W418">
        <v>3</v>
      </c>
      <c r="X418" t="s">
        <v>9896</v>
      </c>
      <c r="Y418">
        <v>0.81715311548152625</v>
      </c>
      <c r="Z418" t="str">
        <f>HYPERLINK("Melting_Curves/meltCurve_sp_O95544_NADK_HUMAN_.pdf", "Melting_Curves/meltCurve_sp_O95544_NADK_HUMAN_.pdf")</f>
        <v>Melting_Curves/meltCurve_sp_O95544_NADK_HUMAN_.pdf</v>
      </c>
      <c r="AA418" t="s">
        <v>14631</v>
      </c>
      <c r="AB418" t="s">
        <v>19253</v>
      </c>
    </row>
    <row r="419" spans="1:28" x14ac:dyDescent="0.25">
      <c r="A419" t="s">
        <v>423</v>
      </c>
      <c r="B419">
        <v>0.99904790336628502</v>
      </c>
      <c r="C419">
        <v>0.97355342753086904</v>
      </c>
      <c r="D419">
        <v>0.83776192506051705</v>
      </c>
      <c r="E419">
        <v>0.64028385982792102</v>
      </c>
      <c r="F419">
        <v>0.40003170280129502</v>
      </c>
      <c r="G419">
        <v>0.232356365808562</v>
      </c>
      <c r="H419">
        <v>0.16878523007041801</v>
      </c>
      <c r="I419">
        <v>0.108483863780613</v>
      </c>
      <c r="J419">
        <v>0.12705079640442701</v>
      </c>
      <c r="K419">
        <v>0.11513936879944101</v>
      </c>
      <c r="L419">
        <v>826.33813165393894</v>
      </c>
      <c r="M419">
        <v>16.223982504806301</v>
      </c>
      <c r="N419">
        <v>51.637719000771</v>
      </c>
      <c r="O419">
        <v>50.178166640434803</v>
      </c>
      <c r="P419">
        <v>-7.2811330063553503E-2</v>
      </c>
      <c r="Q419">
        <v>9.9291995976172401E-2</v>
      </c>
      <c r="R419">
        <v>0.99794602091745099</v>
      </c>
      <c r="S419" t="s">
        <v>5159</v>
      </c>
      <c r="T419" t="s">
        <v>9478</v>
      </c>
      <c r="U419" t="s">
        <v>9478</v>
      </c>
      <c r="V419" t="s">
        <v>9478</v>
      </c>
      <c r="W419">
        <v>5</v>
      </c>
      <c r="X419" t="s">
        <v>9897</v>
      </c>
      <c r="Y419">
        <v>0.44580002175262429</v>
      </c>
      <c r="Z419" t="str">
        <f>HYPERLINK("Melting_Curves/meltCurve_sp_O95551_TYDP2_HUMAN_.pdf", "Melting_Curves/meltCurve_sp_O95551_TYDP2_HUMAN_.pdf")</f>
        <v>Melting_Curves/meltCurve_sp_O95551_TYDP2_HUMAN_.pdf</v>
      </c>
      <c r="AA419" t="s">
        <v>14632</v>
      </c>
      <c r="AB419" t="s">
        <v>19254</v>
      </c>
    </row>
    <row r="420" spans="1:28" x14ac:dyDescent="0.25">
      <c r="A420" t="s">
        <v>424</v>
      </c>
      <c r="B420">
        <v>0.99904790336628502</v>
      </c>
      <c r="C420">
        <v>0.99909397877966</v>
      </c>
      <c r="D420">
        <v>0.97274423153637202</v>
      </c>
      <c r="E420">
        <v>0.91975148525080996</v>
      </c>
      <c r="F420">
        <v>0.87086038447671898</v>
      </c>
      <c r="G420">
        <v>0.64217589356666904</v>
      </c>
      <c r="H420">
        <v>0.36977706640519098</v>
      </c>
      <c r="I420">
        <v>0.139059025768176</v>
      </c>
      <c r="J420">
        <v>4.9041608670552003E-2</v>
      </c>
      <c r="K420">
        <v>4.1601995889728703E-2</v>
      </c>
      <c r="L420">
        <v>1114.0752585780299</v>
      </c>
      <c r="M420">
        <v>18.9846717647243</v>
      </c>
      <c r="N420">
        <v>58.682883338684803</v>
      </c>
      <c r="O420">
        <v>58.043409747968902</v>
      </c>
      <c r="P420">
        <v>-8.1772563253899699E-2</v>
      </c>
      <c r="Q420">
        <v>0</v>
      </c>
      <c r="R420">
        <v>0.99541482245123702</v>
      </c>
      <c r="S420" t="s">
        <v>5160</v>
      </c>
      <c r="T420" t="s">
        <v>9478</v>
      </c>
      <c r="U420" t="s">
        <v>9478</v>
      </c>
      <c r="V420" t="s">
        <v>9478</v>
      </c>
      <c r="W420">
        <v>15</v>
      </c>
      <c r="X420" t="s">
        <v>9898</v>
      </c>
      <c r="Y420">
        <v>0.63365490919604761</v>
      </c>
      <c r="Z420" t="str">
        <f>HYPERLINK("Melting_Curves/meltCurve_sp_O95571_ETHE1_HUMAN_.pdf", "Melting_Curves/meltCurve_sp_O95571_ETHE1_HUMAN_.pdf")</f>
        <v>Melting_Curves/meltCurve_sp_O95571_ETHE1_HUMAN_.pdf</v>
      </c>
      <c r="AA420" t="s">
        <v>14633</v>
      </c>
      <c r="AB420" t="s">
        <v>19255</v>
      </c>
    </row>
    <row r="421" spans="1:28" x14ac:dyDescent="0.25">
      <c r="A421" t="s">
        <v>425</v>
      </c>
      <c r="B421">
        <v>0.99904790336628502</v>
      </c>
      <c r="C421">
        <v>1.0581588006749101</v>
      </c>
      <c r="D421">
        <v>0.99881821112519897</v>
      </c>
      <c r="E421">
        <v>0.91497257400909104</v>
      </c>
      <c r="F421">
        <v>0.71276797948733495</v>
      </c>
      <c r="G421">
        <v>0.52926234759378898</v>
      </c>
      <c r="H421">
        <v>0.38027937530956502</v>
      </c>
      <c r="I421">
        <v>0.354401367941304</v>
      </c>
      <c r="J421">
        <v>0.22658354869171199</v>
      </c>
      <c r="K421">
        <v>0.22453994422406501</v>
      </c>
      <c r="L421">
        <v>869.29620978993398</v>
      </c>
      <c r="M421">
        <v>15.610185926209301</v>
      </c>
      <c r="N421">
        <v>57.677852962781799</v>
      </c>
      <c r="O421">
        <v>54.797880773297102</v>
      </c>
      <c r="P421">
        <v>-5.6393136383465998E-2</v>
      </c>
      <c r="Q421">
        <v>0.208220226421204</v>
      </c>
      <c r="R421">
        <v>0.988186852596037</v>
      </c>
      <c r="S421" t="s">
        <v>5161</v>
      </c>
      <c r="T421" t="s">
        <v>9478</v>
      </c>
      <c r="U421" t="s">
        <v>9478</v>
      </c>
      <c r="V421" t="s">
        <v>9478</v>
      </c>
      <c r="W421">
        <v>2</v>
      </c>
      <c r="X421" t="s">
        <v>9899</v>
      </c>
      <c r="Y421">
        <v>0.63617875169544535</v>
      </c>
      <c r="Z421" t="str">
        <f>HYPERLINK("Melting_Curves/meltCurve_sp_O95628_5_CNOT4_HUMAN_.pdf", "Melting_Curves/meltCurve_sp_O95628_5_CNOT4_HUMAN_.pdf")</f>
        <v>Melting_Curves/meltCurve_sp_O95628_5_CNOT4_HUMAN_.pdf</v>
      </c>
      <c r="AA421" t="s">
        <v>14634</v>
      </c>
      <c r="AB421" t="s">
        <v>19256</v>
      </c>
    </row>
    <row r="422" spans="1:28" x14ac:dyDescent="0.25">
      <c r="A422" t="s">
        <v>426</v>
      </c>
      <c r="B422">
        <v>0.99904790336628502</v>
      </c>
      <c r="C422">
        <v>0.99734589587222899</v>
      </c>
      <c r="D422">
        <v>0.97953092275877096</v>
      </c>
      <c r="E422">
        <v>0.91419637075152804</v>
      </c>
      <c r="F422">
        <v>0.84305475092091697</v>
      </c>
      <c r="G422">
        <v>0.38810414009784899</v>
      </c>
      <c r="H422">
        <v>0.16344000061499001</v>
      </c>
      <c r="I422">
        <v>0.111245502756582</v>
      </c>
      <c r="J422">
        <v>7.7253945615816805E-2</v>
      </c>
      <c r="K422">
        <v>4.8811353522834097E-2</v>
      </c>
      <c r="L422">
        <v>1456.7271380033501</v>
      </c>
      <c r="M422">
        <v>26.1028115497461</v>
      </c>
      <c r="N422">
        <v>56.096356652807003</v>
      </c>
      <c r="O422">
        <v>55.4828357602766</v>
      </c>
      <c r="P422">
        <v>-0.11021667972037399</v>
      </c>
      <c r="Q422">
        <v>6.2926311170093605E-2</v>
      </c>
      <c r="R422">
        <v>0.99749796397770696</v>
      </c>
      <c r="S422" t="s">
        <v>5162</v>
      </c>
      <c r="T422" t="s">
        <v>9478</v>
      </c>
      <c r="U422" t="s">
        <v>9478</v>
      </c>
      <c r="V422" t="s">
        <v>9478</v>
      </c>
      <c r="W422">
        <v>9</v>
      </c>
      <c r="X422" t="s">
        <v>9900</v>
      </c>
      <c r="Y422">
        <v>0.5646895459930843</v>
      </c>
      <c r="Z422" t="str">
        <f>HYPERLINK("Melting_Curves/meltCurve_sp_O95630_STABP_HUMAN_.pdf", "Melting_Curves/meltCurve_sp_O95630_STABP_HUMAN_.pdf")</f>
        <v>Melting_Curves/meltCurve_sp_O95630_STABP_HUMAN_.pdf</v>
      </c>
      <c r="AA422" t="s">
        <v>14635</v>
      </c>
      <c r="AB422" t="s">
        <v>19257</v>
      </c>
    </row>
    <row r="423" spans="1:28" x14ac:dyDescent="0.25">
      <c r="A423" t="s">
        <v>427</v>
      </c>
      <c r="B423">
        <v>0.99904790336628502</v>
      </c>
      <c r="C423">
        <v>0.940678314465626</v>
      </c>
      <c r="D423">
        <v>0.97177860155389095</v>
      </c>
      <c r="E423">
        <v>0.72999476298015398</v>
      </c>
      <c r="F423">
        <v>0.37285905069647801</v>
      </c>
      <c r="G423">
        <v>0.11721065239741101</v>
      </c>
      <c r="H423">
        <v>5.4757428206830903E-2</v>
      </c>
      <c r="I423">
        <v>4.4829362150900803E-2</v>
      </c>
      <c r="J423">
        <v>3.18512506651644E-2</v>
      </c>
      <c r="K423">
        <v>3.3034904059821901E-2</v>
      </c>
      <c r="L423">
        <v>1350.6060776725999</v>
      </c>
      <c r="M423">
        <v>26.0817885905259</v>
      </c>
      <c r="N423">
        <v>51.923666935300602</v>
      </c>
      <c r="O423">
        <v>51.481951064975803</v>
      </c>
      <c r="P423">
        <v>-0.122350786422303</v>
      </c>
      <c r="Q423">
        <v>3.3994859797922897E-2</v>
      </c>
      <c r="R423">
        <v>0.99812008022880405</v>
      </c>
      <c r="S423" t="s">
        <v>5163</v>
      </c>
      <c r="T423" t="s">
        <v>9478</v>
      </c>
      <c r="U423" t="s">
        <v>9478</v>
      </c>
      <c r="V423" t="s">
        <v>9478</v>
      </c>
      <c r="W423">
        <v>23</v>
      </c>
      <c r="X423" t="s">
        <v>9901</v>
      </c>
      <c r="Y423">
        <v>0.42152992569690279</v>
      </c>
      <c r="Z423" t="str">
        <f>HYPERLINK("Melting_Curves/meltCurve_sp_O95671_2_ASML_HUMAN_.pdf", "Melting_Curves/meltCurve_sp_O95671_2_ASML_HUMAN_.pdf")</f>
        <v>Melting_Curves/meltCurve_sp_O95671_2_ASML_HUMAN_.pdf</v>
      </c>
      <c r="AA423" t="s">
        <v>14636</v>
      </c>
      <c r="AB423" t="s">
        <v>19258</v>
      </c>
    </row>
    <row r="424" spans="1:28" x14ac:dyDescent="0.25">
      <c r="A424" t="s">
        <v>428</v>
      </c>
      <c r="B424">
        <v>0.99904790336628502</v>
      </c>
      <c r="C424">
        <v>0.97523098677893105</v>
      </c>
      <c r="D424">
        <v>1.1033415578436301</v>
      </c>
      <c r="E424">
        <v>0.95137791417059403</v>
      </c>
      <c r="F424">
        <v>0.97150354390423799</v>
      </c>
      <c r="G424">
        <v>0.61313238769582301</v>
      </c>
      <c r="H424">
        <v>0.44132028538054802</v>
      </c>
      <c r="I424">
        <v>0.465803023780337</v>
      </c>
      <c r="J424">
        <v>0.55619734248142705</v>
      </c>
      <c r="K424">
        <v>0.52323693180046005</v>
      </c>
      <c r="L424">
        <v>3254.6395985966301</v>
      </c>
      <c r="M424">
        <v>58.345201485807401</v>
      </c>
      <c r="N424">
        <v>60.979558378255803</v>
      </c>
      <c r="O424">
        <v>55.717054540969002</v>
      </c>
      <c r="P424">
        <v>-0.131802749155666</v>
      </c>
      <c r="Q424">
        <v>0.49653734064696198</v>
      </c>
      <c r="R424">
        <v>0.96340647582961603</v>
      </c>
      <c r="S424" t="s">
        <v>5164</v>
      </c>
      <c r="T424" t="s">
        <v>9478</v>
      </c>
      <c r="U424" t="s">
        <v>9478</v>
      </c>
      <c r="V424" t="s">
        <v>9478</v>
      </c>
      <c r="W424">
        <v>2</v>
      </c>
      <c r="X424" t="s">
        <v>9902</v>
      </c>
      <c r="Y424">
        <v>0.76230842678586497</v>
      </c>
      <c r="Z424" t="str">
        <f>HYPERLINK("Melting_Curves/meltCurve_sp_O95684_FR1OP_HUMAN_.pdf", "Melting_Curves/meltCurve_sp_O95684_FR1OP_HUMAN_.pdf")</f>
        <v>Melting_Curves/meltCurve_sp_O95684_FR1OP_HUMAN_.pdf</v>
      </c>
      <c r="AA424" t="s">
        <v>14637</v>
      </c>
      <c r="AB424" t="s">
        <v>19259</v>
      </c>
    </row>
    <row r="425" spans="1:28" x14ac:dyDescent="0.25">
      <c r="A425" t="s">
        <v>429</v>
      </c>
      <c r="B425">
        <v>0.99904790336628502</v>
      </c>
      <c r="C425">
        <v>0.99627618227233605</v>
      </c>
      <c r="D425">
        <v>0.97845474203328997</v>
      </c>
      <c r="E425">
        <v>0.96880935294932502</v>
      </c>
      <c r="F425">
        <v>0.94752711305203796</v>
      </c>
      <c r="G425">
        <v>0.65909052819012703</v>
      </c>
      <c r="H425">
        <v>0.65441652070112299</v>
      </c>
      <c r="I425">
        <v>0.57268052427011495</v>
      </c>
      <c r="J425">
        <v>0.67629386184481699</v>
      </c>
      <c r="K425">
        <v>0.57244593600645399</v>
      </c>
      <c r="L425">
        <v>2828.9960059844302</v>
      </c>
      <c r="M425">
        <v>51.623163508030899</v>
      </c>
      <c r="O425">
        <v>54.718840232066903</v>
      </c>
      <c r="P425">
        <v>-9.0216597450614305E-2</v>
      </c>
      <c r="Q425">
        <v>0.61749378854277903</v>
      </c>
      <c r="R425">
        <v>0.96857007926503202</v>
      </c>
      <c r="S425" t="s">
        <v>5165</v>
      </c>
      <c r="T425" t="s">
        <v>9478</v>
      </c>
      <c r="U425" t="s">
        <v>9478</v>
      </c>
      <c r="V425" t="s">
        <v>9478</v>
      </c>
      <c r="W425">
        <v>11</v>
      </c>
      <c r="X425" t="s">
        <v>9903</v>
      </c>
      <c r="Y425">
        <v>0.80707515402311947</v>
      </c>
      <c r="Z425" t="str">
        <f>HYPERLINK("Melting_Curves/meltCurve_sp_O95721_SNP29_HUMAN_.pdf", "Melting_Curves/meltCurve_sp_O95721_SNP29_HUMAN_.pdf")</f>
        <v>Melting_Curves/meltCurve_sp_O95721_SNP29_HUMAN_.pdf</v>
      </c>
      <c r="AA425" t="s">
        <v>14638</v>
      </c>
      <c r="AB425" t="s">
        <v>19260</v>
      </c>
    </row>
    <row r="426" spans="1:28" x14ac:dyDescent="0.25">
      <c r="A426" t="s">
        <v>430</v>
      </c>
      <c r="B426">
        <v>0.99904790336628502</v>
      </c>
      <c r="C426">
        <v>0.91218534096091197</v>
      </c>
      <c r="D426">
        <v>0.68727934345132302</v>
      </c>
      <c r="E426">
        <v>0.37974442602200398</v>
      </c>
      <c r="F426">
        <v>0.25445303343492898</v>
      </c>
      <c r="G426">
        <v>0.15080664095964799</v>
      </c>
      <c r="H426">
        <v>9.7760693786236905E-2</v>
      </c>
      <c r="I426">
        <v>6.9192725006572905E-2</v>
      </c>
      <c r="J426">
        <v>5.7428526965334098E-2</v>
      </c>
      <c r="K426">
        <v>4.5822260797270899E-2</v>
      </c>
      <c r="L426">
        <v>780.82142097908195</v>
      </c>
      <c r="M426">
        <v>16.187401480663301</v>
      </c>
      <c r="N426">
        <v>48.600110062975297</v>
      </c>
      <c r="O426">
        <v>47.518222106317403</v>
      </c>
      <c r="P426">
        <v>-8.0311692068399998E-2</v>
      </c>
      <c r="Q426">
        <v>5.7048631738177702E-2</v>
      </c>
      <c r="R426">
        <v>0.99712776325735097</v>
      </c>
      <c r="S426" t="s">
        <v>5166</v>
      </c>
      <c r="T426" t="s">
        <v>9478</v>
      </c>
      <c r="U426" t="s">
        <v>9478</v>
      </c>
      <c r="V426" t="s">
        <v>9478</v>
      </c>
      <c r="W426">
        <v>9</v>
      </c>
      <c r="X426" t="s">
        <v>9904</v>
      </c>
      <c r="Y426">
        <v>0.33656743098166009</v>
      </c>
      <c r="Z426" t="str">
        <f>HYPERLINK("Melting_Curves/meltCurve_sp_O95747_OXSR1_HUMAN_.pdf", "Melting_Curves/meltCurve_sp_O95747_OXSR1_HUMAN_.pdf")</f>
        <v>Melting_Curves/meltCurve_sp_O95747_OXSR1_HUMAN_.pdf</v>
      </c>
      <c r="AA426" t="s">
        <v>14639</v>
      </c>
      <c r="AB426" t="s">
        <v>19261</v>
      </c>
    </row>
    <row r="427" spans="1:28" x14ac:dyDescent="0.25">
      <c r="A427" t="s">
        <v>431</v>
      </c>
      <c r="B427">
        <v>0.99904790336628502</v>
      </c>
      <c r="C427">
        <v>0.91987902235344798</v>
      </c>
      <c r="D427">
        <v>0.94045215704545104</v>
      </c>
      <c r="E427">
        <v>0.47495656059448499</v>
      </c>
      <c r="F427">
        <v>0.2690312379566</v>
      </c>
      <c r="G427">
        <v>0.142917710556376</v>
      </c>
      <c r="H427">
        <v>9.3808923224193902E-2</v>
      </c>
      <c r="I427">
        <v>7.31516640214398E-2</v>
      </c>
      <c r="J427">
        <v>6.0985523768480897E-2</v>
      </c>
      <c r="K427">
        <v>4.8367066196145898E-2</v>
      </c>
      <c r="L427">
        <v>1176.53935010088</v>
      </c>
      <c r="M427">
        <v>23.6324981295292</v>
      </c>
      <c r="N427">
        <v>50.109878672265801</v>
      </c>
      <c r="O427">
        <v>49.4324416706515</v>
      </c>
      <c r="P427">
        <v>-0.111027158947074</v>
      </c>
      <c r="Q427">
        <v>7.1067101057169402E-2</v>
      </c>
      <c r="R427">
        <v>0.99303025732500805</v>
      </c>
      <c r="S427" t="s">
        <v>5167</v>
      </c>
      <c r="T427" t="s">
        <v>9478</v>
      </c>
      <c r="U427" t="s">
        <v>9478</v>
      </c>
      <c r="V427" t="s">
        <v>9478</v>
      </c>
      <c r="W427">
        <v>27</v>
      </c>
      <c r="X427" t="s">
        <v>9905</v>
      </c>
      <c r="Y427">
        <v>0.38332849234440919</v>
      </c>
      <c r="Z427" t="str">
        <f>HYPERLINK("Melting_Curves/meltCurve_sp_O95757_HS74L_HUMAN_.pdf", "Melting_Curves/meltCurve_sp_O95757_HS74L_HUMAN_.pdf")</f>
        <v>Melting_Curves/meltCurve_sp_O95757_HS74L_HUMAN_.pdf</v>
      </c>
      <c r="AA427" t="s">
        <v>14640</v>
      </c>
      <c r="AB427" t="s">
        <v>19262</v>
      </c>
    </row>
    <row r="428" spans="1:28" x14ac:dyDescent="0.25">
      <c r="A428" t="s">
        <v>432</v>
      </c>
      <c r="B428">
        <v>0.99904790336628502</v>
      </c>
      <c r="C428">
        <v>1.08486746835021</v>
      </c>
      <c r="D428">
        <v>1.10935367093335</v>
      </c>
      <c r="E428">
        <v>1.05572967280234</v>
      </c>
      <c r="F428">
        <v>1.0776851308658999</v>
      </c>
      <c r="G428">
        <v>0.90449725061022002</v>
      </c>
      <c r="H428">
        <v>0.73334941920823005</v>
      </c>
      <c r="I428">
        <v>0.69085513106848295</v>
      </c>
      <c r="J428">
        <v>0.63256693911581796</v>
      </c>
      <c r="K428">
        <v>0.46690120417494901</v>
      </c>
      <c r="L428">
        <v>1129.12559099329</v>
      </c>
      <c r="M428">
        <v>17.9942657919309</v>
      </c>
      <c r="O428">
        <v>61.989606517594702</v>
      </c>
      <c r="P428">
        <v>-4.0905184455494903E-2</v>
      </c>
      <c r="Q428">
        <v>0.43636022690152698</v>
      </c>
      <c r="R428">
        <v>0.91001342374727101</v>
      </c>
      <c r="S428" t="s">
        <v>5168</v>
      </c>
      <c r="T428" t="s">
        <v>9478</v>
      </c>
      <c r="U428" t="s">
        <v>9478</v>
      </c>
      <c r="V428" t="s">
        <v>9478</v>
      </c>
      <c r="W428">
        <v>5</v>
      </c>
      <c r="X428" t="s">
        <v>9906</v>
      </c>
      <c r="Y428">
        <v>0.86266340924600082</v>
      </c>
      <c r="Z428" t="str">
        <f>HYPERLINK("Melting_Curves/meltCurve_sp_O95777_NAA38_HUMAN_.pdf", "Melting_Curves/meltCurve_sp_O95777_NAA38_HUMAN_.pdf")</f>
        <v>Melting_Curves/meltCurve_sp_O95777_NAA38_HUMAN_.pdf</v>
      </c>
      <c r="AA428" t="s">
        <v>14641</v>
      </c>
      <c r="AB428" t="s">
        <v>19263</v>
      </c>
    </row>
    <row r="429" spans="1:28" x14ac:dyDescent="0.25">
      <c r="A429" t="s">
        <v>433</v>
      </c>
      <c r="B429">
        <v>0.99904790336628502</v>
      </c>
      <c r="C429">
        <v>0.99636895635395295</v>
      </c>
      <c r="D429">
        <v>1.03051499374307</v>
      </c>
      <c r="E429">
        <v>0.916907997102135</v>
      </c>
      <c r="F429">
        <v>0.68394718380682096</v>
      </c>
      <c r="G429">
        <v>0.32963068981019</v>
      </c>
      <c r="H429">
        <v>0.123757720450645</v>
      </c>
      <c r="I429">
        <v>5.9289608182596598E-2</v>
      </c>
      <c r="J429">
        <v>4.1138649131023497E-2</v>
      </c>
      <c r="K429">
        <v>3.1486357259271999E-2</v>
      </c>
      <c r="L429">
        <v>1241.1328584365101</v>
      </c>
      <c r="M429">
        <v>22.604423547879499</v>
      </c>
      <c r="N429">
        <v>55.036581255339499</v>
      </c>
      <c r="O429">
        <v>54.482330938321198</v>
      </c>
      <c r="P429">
        <v>-0.101030340603945</v>
      </c>
      <c r="Q429">
        <v>2.5985690030775999E-2</v>
      </c>
      <c r="R429">
        <v>0.998661382489064</v>
      </c>
      <c r="S429" t="s">
        <v>5169</v>
      </c>
      <c r="T429" t="s">
        <v>9478</v>
      </c>
      <c r="U429" t="s">
        <v>9478</v>
      </c>
      <c r="V429" t="s">
        <v>9478</v>
      </c>
      <c r="W429">
        <v>33</v>
      </c>
      <c r="X429" t="s">
        <v>9907</v>
      </c>
      <c r="Y429">
        <v>0.52066898478792256</v>
      </c>
      <c r="Z429" t="str">
        <f>HYPERLINK("Melting_Curves/meltCurve_sp_O95782_2_AP2A1_HUMAN_.pdf", "Melting_Curves/meltCurve_sp_O95782_2_AP2A1_HUMAN_.pdf")</f>
        <v>Melting_Curves/meltCurve_sp_O95782_2_AP2A1_HUMAN_.pdf</v>
      </c>
      <c r="AA429" t="s">
        <v>14642</v>
      </c>
      <c r="AB429" t="s">
        <v>19264</v>
      </c>
    </row>
    <row r="430" spans="1:28" x14ac:dyDescent="0.25">
      <c r="A430" t="s">
        <v>434</v>
      </c>
      <c r="B430">
        <v>0.99904790336628502</v>
      </c>
      <c r="C430">
        <v>0.94474509924238403</v>
      </c>
      <c r="D430">
        <v>0.90575827265879005</v>
      </c>
      <c r="E430">
        <v>0.45877164955409699</v>
      </c>
      <c r="F430">
        <v>0.21713670240833899</v>
      </c>
      <c r="G430">
        <v>0.11593905451310001</v>
      </c>
      <c r="H430">
        <v>7.0883166674067896E-2</v>
      </c>
      <c r="I430">
        <v>4.6812595814561701E-2</v>
      </c>
      <c r="J430">
        <v>3.3771093827692597E-2</v>
      </c>
      <c r="K430">
        <v>3.2784948077964601E-2</v>
      </c>
      <c r="L430">
        <v>1202.4875679638701</v>
      </c>
      <c r="M430">
        <v>24.248178027843299</v>
      </c>
      <c r="N430">
        <v>49.797786621014303</v>
      </c>
      <c r="O430">
        <v>49.257250833759301</v>
      </c>
      <c r="P430">
        <v>-0.11717233436671699</v>
      </c>
      <c r="Q430">
        <v>4.7928563362145002E-2</v>
      </c>
      <c r="R430">
        <v>0.99740307802364503</v>
      </c>
      <c r="S430" t="s">
        <v>5170</v>
      </c>
      <c r="T430" t="s">
        <v>9478</v>
      </c>
      <c r="U430" t="s">
        <v>9478</v>
      </c>
      <c r="V430" t="s">
        <v>9478</v>
      </c>
      <c r="W430">
        <v>12</v>
      </c>
      <c r="X430" t="s">
        <v>9908</v>
      </c>
      <c r="Y430">
        <v>0.36131831919947333</v>
      </c>
      <c r="Z430" t="str">
        <f>HYPERLINK("Melting_Curves/meltCurve_sp_O95786_2_DDX58_HUMAN_.pdf", "Melting_Curves/meltCurve_sp_O95786_2_DDX58_HUMAN_.pdf")</f>
        <v>Melting_Curves/meltCurve_sp_O95786_2_DDX58_HUMAN_.pdf</v>
      </c>
      <c r="AA430" t="s">
        <v>14643</v>
      </c>
      <c r="AB430" t="s">
        <v>19265</v>
      </c>
    </row>
    <row r="431" spans="1:28" x14ac:dyDescent="0.25">
      <c r="A431" t="s">
        <v>435</v>
      </c>
      <c r="B431">
        <v>0.99904790336628502</v>
      </c>
      <c r="C431">
        <v>0.929214310006927</v>
      </c>
      <c r="D431">
        <v>0.89606568882667603</v>
      </c>
      <c r="E431">
        <v>0.63650292391350205</v>
      </c>
      <c r="F431">
        <v>0.261129638649025</v>
      </c>
      <c r="G431">
        <v>0.13488466232997701</v>
      </c>
      <c r="H431">
        <v>8.8064223989668497E-2</v>
      </c>
      <c r="I431">
        <v>9.0582198339587999E-2</v>
      </c>
      <c r="J431">
        <v>7.5636775191677705E-2</v>
      </c>
      <c r="K431">
        <v>7.6848867062697807E-2</v>
      </c>
      <c r="L431">
        <v>1259.9055699892299</v>
      </c>
      <c r="M431">
        <v>24.928837842403301</v>
      </c>
      <c r="N431">
        <v>50.875547471633197</v>
      </c>
      <c r="O431">
        <v>50.218226017791302</v>
      </c>
      <c r="P431">
        <v>-0.114698571150358</v>
      </c>
      <c r="Q431">
        <v>7.5788378271609197E-2</v>
      </c>
      <c r="R431">
        <v>0.994850531641987</v>
      </c>
      <c r="S431" t="s">
        <v>5171</v>
      </c>
      <c r="T431" t="s">
        <v>9478</v>
      </c>
      <c r="U431" t="s">
        <v>9478</v>
      </c>
      <c r="V431" t="s">
        <v>9478</v>
      </c>
      <c r="W431">
        <v>5</v>
      </c>
      <c r="X431" t="s">
        <v>9909</v>
      </c>
      <c r="Y431">
        <v>0.40885203420253352</v>
      </c>
      <c r="Z431" t="str">
        <f>HYPERLINK("Melting_Curves/meltCurve_sp_O95801_TTC4_HUMAN_.pdf", "Melting_Curves/meltCurve_sp_O95801_TTC4_HUMAN_.pdf")</f>
        <v>Melting_Curves/meltCurve_sp_O95801_TTC4_HUMAN_.pdf</v>
      </c>
      <c r="AA431" t="s">
        <v>14644</v>
      </c>
      <c r="AB431" t="s">
        <v>19266</v>
      </c>
    </row>
    <row r="432" spans="1:28" x14ac:dyDescent="0.25">
      <c r="A432" t="s">
        <v>436</v>
      </c>
      <c r="B432">
        <v>0.99904790336628502</v>
      </c>
      <c r="C432">
        <v>1.03852822359993</v>
      </c>
      <c r="D432">
        <v>0.93093112417810997</v>
      </c>
      <c r="E432">
        <v>0.75638073484239698</v>
      </c>
      <c r="F432">
        <v>0.48130101216854299</v>
      </c>
      <c r="G432">
        <v>0.23953631635018099</v>
      </c>
      <c r="H432">
        <v>0.18308056270859699</v>
      </c>
      <c r="I432">
        <v>0.15902205482431001</v>
      </c>
      <c r="J432">
        <v>0.197542560002961</v>
      </c>
      <c r="K432">
        <v>0.17090107761229201</v>
      </c>
      <c r="L432">
        <v>1242.91799004421</v>
      </c>
      <c r="M432">
        <v>23.991550759725499</v>
      </c>
      <c r="N432">
        <v>52.701006963662202</v>
      </c>
      <c r="O432">
        <v>51.450579230395299</v>
      </c>
      <c r="P432">
        <v>-9.70798106824282E-2</v>
      </c>
      <c r="Q432">
        <v>0.16725121008503399</v>
      </c>
      <c r="R432">
        <v>0.996754919966227</v>
      </c>
      <c r="S432" t="s">
        <v>5172</v>
      </c>
      <c r="T432" t="s">
        <v>9478</v>
      </c>
      <c r="U432" t="s">
        <v>9478</v>
      </c>
      <c r="V432" t="s">
        <v>9478</v>
      </c>
      <c r="W432">
        <v>2</v>
      </c>
      <c r="X432" t="s">
        <v>9910</v>
      </c>
      <c r="Y432">
        <v>0.50319243325801044</v>
      </c>
      <c r="Z432" t="str">
        <f>HYPERLINK("Melting_Curves/meltCurve_sp_O95810_SDPR_HUMAN_.pdf", "Melting_Curves/meltCurve_sp_O95810_SDPR_HUMAN_.pdf")</f>
        <v>Melting_Curves/meltCurve_sp_O95810_SDPR_HUMAN_.pdf</v>
      </c>
      <c r="AA432" t="s">
        <v>14645</v>
      </c>
      <c r="AB432" t="s">
        <v>19267</v>
      </c>
    </row>
    <row r="433" spans="1:28" x14ac:dyDescent="0.25">
      <c r="A433" t="s">
        <v>437</v>
      </c>
      <c r="B433">
        <v>0.99904790336628502</v>
      </c>
      <c r="C433">
        <v>0.89305114725380697</v>
      </c>
      <c r="D433">
        <v>0.91483450984792403</v>
      </c>
      <c r="E433">
        <v>0.90947356023803105</v>
      </c>
      <c r="F433">
        <v>0.76174997490297303</v>
      </c>
      <c r="G433">
        <v>0.55116605198341495</v>
      </c>
      <c r="H433">
        <v>0.40280923358901999</v>
      </c>
      <c r="I433">
        <v>0.30911458600949998</v>
      </c>
      <c r="J433">
        <v>0.21418168609455099</v>
      </c>
      <c r="K433">
        <v>0.14555443004824101</v>
      </c>
      <c r="L433">
        <v>611.00296957311798</v>
      </c>
      <c r="M433">
        <v>10.414643404436699</v>
      </c>
      <c r="N433">
        <v>58.667672024957497</v>
      </c>
      <c r="O433">
        <v>56.628340610687303</v>
      </c>
      <c r="P433">
        <v>-4.5997193891651703E-2</v>
      </c>
      <c r="Q433">
        <v>0</v>
      </c>
      <c r="R433">
        <v>0.98741708565359998</v>
      </c>
      <c r="S433" t="s">
        <v>5173</v>
      </c>
      <c r="T433" t="s">
        <v>9478</v>
      </c>
      <c r="U433" t="s">
        <v>9478</v>
      </c>
      <c r="V433" t="s">
        <v>9478</v>
      </c>
      <c r="W433">
        <v>2</v>
      </c>
      <c r="X433" t="s">
        <v>9911</v>
      </c>
      <c r="Y433">
        <v>0.62894580720193916</v>
      </c>
      <c r="Z433" t="str">
        <f>HYPERLINK("Melting_Curves/meltCurve_sp_O95816_BAG2_HUMAN_.pdf", "Melting_Curves/meltCurve_sp_O95816_BAG2_HUMAN_.pdf")</f>
        <v>Melting_Curves/meltCurve_sp_O95816_BAG2_HUMAN_.pdf</v>
      </c>
      <c r="AA433" t="s">
        <v>14646</v>
      </c>
      <c r="AB433" t="s">
        <v>19268</v>
      </c>
    </row>
    <row r="434" spans="1:28" x14ac:dyDescent="0.25">
      <c r="A434" t="s">
        <v>438</v>
      </c>
      <c r="B434">
        <v>0.99904790336628502</v>
      </c>
      <c r="C434">
        <v>1.0265139550778699</v>
      </c>
      <c r="D434">
        <v>1.0726623521544101</v>
      </c>
      <c r="E434">
        <v>0.95873098543944901</v>
      </c>
      <c r="F434">
        <v>0.82817510788552495</v>
      </c>
      <c r="G434">
        <v>0.57751429519754705</v>
      </c>
      <c r="H434">
        <v>0.48823679456379698</v>
      </c>
      <c r="I434">
        <v>0.477065726136224</v>
      </c>
      <c r="J434">
        <v>0.50105270235447996</v>
      </c>
      <c r="K434">
        <v>0.51630885048636599</v>
      </c>
      <c r="L434">
        <v>1797.8622869181499</v>
      </c>
      <c r="M434">
        <v>33.251241976612299</v>
      </c>
      <c r="N434">
        <v>62.105385266320297</v>
      </c>
      <c r="O434">
        <v>53.874587344776799</v>
      </c>
      <c r="P434">
        <v>-7.8194002157215697E-2</v>
      </c>
      <c r="Q434">
        <v>0.49323380270970102</v>
      </c>
      <c r="R434">
        <v>0.98702926742840202</v>
      </c>
      <c r="S434" t="s">
        <v>5174</v>
      </c>
      <c r="T434" t="s">
        <v>9478</v>
      </c>
      <c r="U434" t="s">
        <v>9478</v>
      </c>
      <c r="V434" t="s">
        <v>9478</v>
      </c>
      <c r="W434">
        <v>3</v>
      </c>
      <c r="X434" t="s">
        <v>9912</v>
      </c>
      <c r="Y434">
        <v>0.73361757094818347</v>
      </c>
      <c r="Z434" t="str">
        <f>HYPERLINK("Melting_Curves/meltCurve_sp_O95817_BAG3_HUMAN_.pdf", "Melting_Curves/meltCurve_sp_O95817_BAG3_HUMAN_.pdf")</f>
        <v>Melting_Curves/meltCurve_sp_O95817_BAG3_HUMAN_.pdf</v>
      </c>
      <c r="AA434" t="s">
        <v>14647</v>
      </c>
      <c r="AB434" t="s">
        <v>19269</v>
      </c>
    </row>
    <row r="435" spans="1:28" x14ac:dyDescent="0.25">
      <c r="A435" t="s">
        <v>439</v>
      </c>
      <c r="B435">
        <v>0.99904790336628502</v>
      </c>
      <c r="C435">
        <v>0.89759669629261496</v>
      </c>
      <c r="D435">
        <v>0.94653287140120701</v>
      </c>
      <c r="E435">
        <v>0.53936727877910595</v>
      </c>
      <c r="F435">
        <v>0.21550397735524299</v>
      </c>
      <c r="G435">
        <v>9.1147161469308E-2</v>
      </c>
      <c r="H435">
        <v>4.8650531257906603E-2</v>
      </c>
      <c r="I435">
        <v>3.4403215804745597E-2</v>
      </c>
      <c r="J435">
        <v>2.8375535262088299E-2</v>
      </c>
      <c r="K435">
        <v>2.46155929372508E-2</v>
      </c>
      <c r="L435">
        <v>1322.51152027482</v>
      </c>
      <c r="M435">
        <v>26.350460698751998</v>
      </c>
      <c r="N435">
        <v>50.320245739589303</v>
      </c>
      <c r="O435">
        <v>49.902926178800897</v>
      </c>
      <c r="P435">
        <v>-0.127636167232867</v>
      </c>
      <c r="Q435">
        <v>3.31328184905735E-2</v>
      </c>
      <c r="R435">
        <v>0.993892814133289</v>
      </c>
      <c r="S435" t="s">
        <v>5175</v>
      </c>
      <c r="T435" t="s">
        <v>9478</v>
      </c>
      <c r="U435" t="s">
        <v>9478</v>
      </c>
      <c r="V435" t="s">
        <v>9478</v>
      </c>
      <c r="W435">
        <v>25</v>
      </c>
      <c r="X435" t="s">
        <v>9913</v>
      </c>
      <c r="Y435">
        <v>0.36931436367589382</v>
      </c>
      <c r="Z435" t="str">
        <f>HYPERLINK("Melting_Curves/meltCurve_sp_O95822_DCMC_HUMAN_.pdf", "Melting_Curves/meltCurve_sp_O95822_DCMC_HUMAN_.pdf")</f>
        <v>Melting_Curves/meltCurve_sp_O95822_DCMC_HUMAN_.pdf</v>
      </c>
      <c r="AA435" t="s">
        <v>14648</v>
      </c>
      <c r="AB435" t="s">
        <v>19270</v>
      </c>
    </row>
    <row r="436" spans="1:28" x14ac:dyDescent="0.25">
      <c r="A436" t="s">
        <v>440</v>
      </c>
      <c r="B436">
        <v>0.99904790336628502</v>
      </c>
      <c r="C436">
        <v>1.0838630905881701</v>
      </c>
      <c r="D436">
        <v>1.1019779690251299</v>
      </c>
      <c r="E436">
        <v>1.0659875894623101</v>
      </c>
      <c r="F436">
        <v>1.0305915873911</v>
      </c>
      <c r="G436">
        <v>0.85810542191137695</v>
      </c>
      <c r="H436">
        <v>0.52343546355530801</v>
      </c>
      <c r="I436">
        <v>7.8141931520839605E-2</v>
      </c>
      <c r="J436">
        <v>2.9720699878319701E-2</v>
      </c>
      <c r="K436">
        <v>3.83616024180864E-2</v>
      </c>
      <c r="L436">
        <v>2279.0114265995999</v>
      </c>
      <c r="M436">
        <v>37.448474179439501</v>
      </c>
      <c r="N436">
        <v>60.857257405154598</v>
      </c>
      <c r="O436">
        <v>60.684503898585398</v>
      </c>
      <c r="P436">
        <v>-0.154275710497775</v>
      </c>
      <c r="Q436">
        <v>0</v>
      </c>
      <c r="R436">
        <v>0.98262546113593197</v>
      </c>
      <c r="S436" t="s">
        <v>5176</v>
      </c>
      <c r="T436" t="s">
        <v>9478</v>
      </c>
      <c r="U436" t="s">
        <v>9478</v>
      </c>
      <c r="V436" t="s">
        <v>9478</v>
      </c>
      <c r="W436">
        <v>11</v>
      </c>
      <c r="X436" t="s">
        <v>9914</v>
      </c>
      <c r="Y436">
        <v>0.69947581695742567</v>
      </c>
      <c r="Z436" t="str">
        <f>HYPERLINK("Melting_Curves/meltCurve_sp_O95825_QORL1_HUMAN_.pdf", "Melting_Curves/meltCurve_sp_O95825_QORL1_HUMAN_.pdf")</f>
        <v>Melting_Curves/meltCurve_sp_O95825_QORL1_HUMAN_.pdf</v>
      </c>
      <c r="AA436" t="s">
        <v>14649</v>
      </c>
      <c r="AB436" t="s">
        <v>19271</v>
      </c>
    </row>
    <row r="437" spans="1:28" x14ac:dyDescent="0.25">
      <c r="A437" t="s">
        <v>441</v>
      </c>
      <c r="B437">
        <v>0.99904790336628502</v>
      </c>
      <c r="C437">
        <v>0.99496725608747405</v>
      </c>
      <c r="D437">
        <v>1.02572978728935</v>
      </c>
      <c r="E437">
        <v>0.97059562131489996</v>
      </c>
      <c r="F437">
        <v>0.85357661535636498</v>
      </c>
      <c r="G437">
        <v>0.69883133723018098</v>
      </c>
      <c r="H437">
        <v>0.43149038356556402</v>
      </c>
      <c r="I437">
        <v>0.20619847396164101</v>
      </c>
      <c r="J437">
        <v>5.2982997070518303E-2</v>
      </c>
      <c r="K437">
        <v>3.6263668725298501E-2</v>
      </c>
      <c r="L437">
        <v>1122.8972974517501</v>
      </c>
      <c r="M437">
        <v>18.872571215372702</v>
      </c>
      <c r="N437">
        <v>59.498903708334602</v>
      </c>
      <c r="O437">
        <v>58.8429420205496</v>
      </c>
      <c r="P437">
        <v>-8.0185242582560101E-2</v>
      </c>
      <c r="Q437">
        <v>0</v>
      </c>
      <c r="R437">
        <v>0.99362112519147505</v>
      </c>
      <c r="S437" t="s">
        <v>5177</v>
      </c>
      <c r="T437" t="s">
        <v>9478</v>
      </c>
      <c r="U437" t="s">
        <v>9478</v>
      </c>
      <c r="V437" t="s">
        <v>9478</v>
      </c>
      <c r="W437">
        <v>31</v>
      </c>
      <c r="X437" t="s">
        <v>9915</v>
      </c>
      <c r="Y437">
        <v>0.65941478472132098</v>
      </c>
      <c r="Z437" t="str">
        <f>HYPERLINK("Melting_Curves/meltCurve_sp_O95831_3_AIFM1_HUMAN_.pdf", "Melting_Curves/meltCurve_sp_O95831_3_AIFM1_HUMAN_.pdf")</f>
        <v>Melting_Curves/meltCurve_sp_O95831_3_AIFM1_HUMAN_.pdf</v>
      </c>
      <c r="AA437" t="s">
        <v>14650</v>
      </c>
      <c r="AB437" t="s">
        <v>19272</v>
      </c>
    </row>
    <row r="438" spans="1:28" x14ac:dyDescent="0.25">
      <c r="A438" t="s">
        <v>442</v>
      </c>
      <c r="B438">
        <v>0.99904790336628502</v>
      </c>
      <c r="C438">
        <v>1.01815697241551</v>
      </c>
      <c r="D438">
        <v>1.0587059553710301</v>
      </c>
      <c r="E438">
        <v>1.0123504570474999</v>
      </c>
      <c r="F438">
        <v>0.82385675653934298</v>
      </c>
      <c r="G438">
        <v>0.34677826882990598</v>
      </c>
      <c r="H438">
        <v>0.13708781500688699</v>
      </c>
      <c r="I438">
        <v>8.22250469939209E-2</v>
      </c>
      <c r="J438">
        <v>7.0504003602934198E-2</v>
      </c>
      <c r="K438">
        <v>6.2239205156455001E-2</v>
      </c>
      <c r="L438">
        <v>1793.1890548797201</v>
      </c>
      <c r="M438">
        <v>32.309458188801599</v>
      </c>
      <c r="N438">
        <v>55.764456161387002</v>
      </c>
      <c r="O438">
        <v>55.289120075803297</v>
      </c>
      <c r="P438">
        <v>-0.13573257633861599</v>
      </c>
      <c r="Q438">
        <v>7.0922421165497698E-2</v>
      </c>
      <c r="R438">
        <v>0.996820516785626</v>
      </c>
      <c r="S438" t="s">
        <v>5178</v>
      </c>
      <c r="T438" t="s">
        <v>9478</v>
      </c>
      <c r="U438" t="s">
        <v>9478</v>
      </c>
      <c r="V438" t="s">
        <v>9478</v>
      </c>
      <c r="W438">
        <v>15</v>
      </c>
      <c r="X438" t="s">
        <v>9916</v>
      </c>
      <c r="Y438">
        <v>0.55633605956237253</v>
      </c>
      <c r="Z438" t="str">
        <f>HYPERLINK("Melting_Curves/meltCurve_sp_O95834_EMAL2_HUMAN_.pdf", "Melting_Curves/meltCurve_sp_O95834_EMAL2_HUMAN_.pdf")</f>
        <v>Melting_Curves/meltCurve_sp_O95834_EMAL2_HUMAN_.pdf</v>
      </c>
      <c r="AA438" t="s">
        <v>14651</v>
      </c>
      <c r="AB438" t="s">
        <v>19273</v>
      </c>
    </row>
    <row r="439" spans="1:28" x14ac:dyDescent="0.25">
      <c r="A439" t="s">
        <v>443</v>
      </c>
      <c r="B439">
        <v>0.99904790336628502</v>
      </c>
      <c r="C439">
        <v>0.97164998057838803</v>
      </c>
      <c r="D439">
        <v>0.93415474315622005</v>
      </c>
      <c r="E439">
        <v>0.86594544443709098</v>
      </c>
      <c r="F439">
        <v>0.79903255779652205</v>
      </c>
      <c r="G439">
        <v>0.42392990305483902</v>
      </c>
      <c r="H439">
        <v>0.15328795625927599</v>
      </c>
      <c r="I439">
        <v>0.10018302744921399</v>
      </c>
      <c r="J439">
        <v>6.4475310703044894E-2</v>
      </c>
      <c r="K439">
        <v>3.6099841331528798E-2</v>
      </c>
      <c r="L439">
        <v>1095.1709654868901</v>
      </c>
      <c r="M439">
        <v>19.549978718219499</v>
      </c>
      <c r="N439">
        <v>56.105568176129601</v>
      </c>
      <c r="O439">
        <v>55.442783756479997</v>
      </c>
      <c r="P439">
        <v>-8.6847765740269506E-2</v>
      </c>
      <c r="Q439">
        <v>1.4851010494923199E-2</v>
      </c>
      <c r="R439">
        <v>0.994570995287967</v>
      </c>
      <c r="S439" t="s">
        <v>5179</v>
      </c>
      <c r="T439" t="s">
        <v>9478</v>
      </c>
      <c r="U439" t="s">
        <v>9478</v>
      </c>
      <c r="V439" t="s">
        <v>9478</v>
      </c>
      <c r="W439">
        <v>1</v>
      </c>
      <c r="X439" t="s">
        <v>9917</v>
      </c>
      <c r="Y439">
        <v>0.55396125798953433</v>
      </c>
      <c r="Z439" t="str">
        <f>HYPERLINK("Melting_Curves/meltCurve_sp_O95848_NUD14_HUMAN_.pdf", "Melting_Curves/meltCurve_sp_O95848_NUD14_HUMAN_.pdf")</f>
        <v>Melting_Curves/meltCurve_sp_O95848_NUD14_HUMAN_.pdf</v>
      </c>
      <c r="AA439" t="s">
        <v>14652</v>
      </c>
      <c r="AB439" t="s">
        <v>19274</v>
      </c>
    </row>
    <row r="440" spans="1:28" x14ac:dyDescent="0.25">
      <c r="A440" t="s">
        <v>444</v>
      </c>
      <c r="B440">
        <v>0.99904790336628502</v>
      </c>
      <c r="C440">
        <v>0.96786121937477998</v>
      </c>
      <c r="D440">
        <v>0.90949920277087504</v>
      </c>
      <c r="E440">
        <v>0.92869980376348804</v>
      </c>
      <c r="F440">
        <v>0.99385278158921098</v>
      </c>
      <c r="G440">
        <v>0.66016738493074301</v>
      </c>
      <c r="H440">
        <v>0.20565149818873499</v>
      </c>
      <c r="I440">
        <v>0.124819020413132</v>
      </c>
      <c r="J440">
        <v>9.1238851026394299E-2</v>
      </c>
      <c r="K440">
        <v>8.7785952072189102E-2</v>
      </c>
      <c r="L440">
        <v>2150.1745153134698</v>
      </c>
      <c r="M440">
        <v>37.189148833201301</v>
      </c>
      <c r="N440">
        <v>58.1302418495289</v>
      </c>
      <c r="O440">
        <v>57.6508465267571</v>
      </c>
      <c r="P440">
        <v>-0.14663725794135599</v>
      </c>
      <c r="Q440">
        <v>9.0730743646164305E-2</v>
      </c>
      <c r="R440">
        <v>0.990615364279958</v>
      </c>
      <c r="S440" t="s">
        <v>5180</v>
      </c>
      <c r="T440" t="s">
        <v>9478</v>
      </c>
      <c r="U440" t="s">
        <v>9478</v>
      </c>
      <c r="V440" t="s">
        <v>9478</v>
      </c>
      <c r="W440">
        <v>14</v>
      </c>
      <c r="X440" t="s">
        <v>9918</v>
      </c>
      <c r="Y440">
        <v>0.63485017136132715</v>
      </c>
      <c r="Z440" t="str">
        <f>HYPERLINK("Melting_Curves/meltCurve_sp_O95865_DDAH2_HUMAN_.pdf", "Melting_Curves/meltCurve_sp_O95865_DDAH2_HUMAN_.pdf")</f>
        <v>Melting_Curves/meltCurve_sp_O95865_DDAH2_HUMAN_.pdf</v>
      </c>
      <c r="AA440" t="s">
        <v>14653</v>
      </c>
      <c r="AB440" t="s">
        <v>19275</v>
      </c>
    </row>
    <row r="441" spans="1:28" x14ac:dyDescent="0.25">
      <c r="A441" t="s">
        <v>445</v>
      </c>
      <c r="B441">
        <v>0.99904790336628502</v>
      </c>
      <c r="C441">
        <v>0.89560910467601995</v>
      </c>
      <c r="D441">
        <v>0.89032364827591604</v>
      </c>
      <c r="E441">
        <v>0.91657337727967603</v>
      </c>
      <c r="F441">
        <v>0.924574193061106</v>
      </c>
      <c r="G441">
        <v>0.74896597222700501</v>
      </c>
      <c r="H441">
        <v>0.470444842098028</v>
      </c>
      <c r="I441">
        <v>0.38640239524896502</v>
      </c>
      <c r="J441">
        <v>0.37568244024808001</v>
      </c>
      <c r="K441">
        <v>0.35811211177327101</v>
      </c>
      <c r="L441">
        <v>1272.38361569009</v>
      </c>
      <c r="M441">
        <v>21.998326327064799</v>
      </c>
      <c r="N441">
        <v>60.858649806780001</v>
      </c>
      <c r="O441">
        <v>57.368412978805701</v>
      </c>
      <c r="P441">
        <v>-6.4030912238628598E-2</v>
      </c>
      <c r="Q441">
        <v>0.33208195042682898</v>
      </c>
      <c r="R441">
        <v>0.95551169567008298</v>
      </c>
      <c r="S441" t="s">
        <v>5181</v>
      </c>
      <c r="T441" t="s">
        <v>9478</v>
      </c>
      <c r="U441" t="s">
        <v>9478</v>
      </c>
      <c r="V441" t="s">
        <v>9478</v>
      </c>
      <c r="W441">
        <v>6</v>
      </c>
      <c r="X441" t="s">
        <v>9919</v>
      </c>
      <c r="Y441">
        <v>0.73618801920238441</v>
      </c>
      <c r="Z441" t="str">
        <f>HYPERLINK("Melting_Curves/meltCurve_sp_O95881_TXD12_HUMAN_.pdf", "Melting_Curves/meltCurve_sp_O95881_TXD12_HUMAN_.pdf")</f>
        <v>Melting_Curves/meltCurve_sp_O95881_TXD12_HUMAN_.pdf</v>
      </c>
      <c r="AA441" t="s">
        <v>14654</v>
      </c>
      <c r="AB441" t="s">
        <v>19276</v>
      </c>
    </row>
    <row r="442" spans="1:28" x14ac:dyDescent="0.25">
      <c r="A442" t="s">
        <v>446</v>
      </c>
      <c r="B442">
        <v>0.99904790336628502</v>
      </c>
      <c r="C442">
        <v>0.99005949823883999</v>
      </c>
      <c r="D442">
        <v>0.85874149659395904</v>
      </c>
      <c r="E442">
        <v>0.30056255842088397</v>
      </c>
      <c r="F442">
        <v>0.113818648538378</v>
      </c>
      <c r="G442">
        <v>6.5085140599335498E-2</v>
      </c>
      <c r="H442">
        <v>3.7913338829521699E-2</v>
      </c>
      <c r="I442">
        <v>2.6348613429351801E-2</v>
      </c>
      <c r="J442">
        <v>2.1545402900597199E-2</v>
      </c>
      <c r="K442">
        <v>1.72752631800497E-2</v>
      </c>
      <c r="L442">
        <v>1511.0593407410699</v>
      </c>
      <c r="M442">
        <v>31.130728597204499</v>
      </c>
      <c r="N442">
        <v>48.6453597177387</v>
      </c>
      <c r="O442">
        <v>48.340174893943299</v>
      </c>
      <c r="P442">
        <v>-0.15570981155109201</v>
      </c>
      <c r="Q442">
        <v>3.28529180573357E-2</v>
      </c>
      <c r="R442">
        <v>0.99917446220926798</v>
      </c>
      <c r="S442" t="s">
        <v>5182</v>
      </c>
      <c r="T442" t="s">
        <v>9478</v>
      </c>
      <c r="U442" t="s">
        <v>9478</v>
      </c>
      <c r="V442" t="s">
        <v>9478</v>
      </c>
      <c r="W442">
        <v>39</v>
      </c>
      <c r="X442" t="s">
        <v>9920</v>
      </c>
      <c r="Y442">
        <v>0.31356454917699589</v>
      </c>
      <c r="Z442" t="str">
        <f>HYPERLINK("Melting_Curves/meltCurve_sp_O95954_FTCD_HUMAN_.pdf", "Melting_Curves/meltCurve_sp_O95954_FTCD_HUMAN_.pdf")</f>
        <v>Melting_Curves/meltCurve_sp_O95954_FTCD_HUMAN_.pdf</v>
      </c>
      <c r="AA442" t="s">
        <v>14655</v>
      </c>
      <c r="AB442" t="s">
        <v>19277</v>
      </c>
    </row>
    <row r="443" spans="1:28" x14ac:dyDescent="0.25">
      <c r="A443" t="s">
        <v>447</v>
      </c>
      <c r="B443">
        <v>0.99904790336628502</v>
      </c>
      <c r="C443">
        <v>1.0171178638126701</v>
      </c>
      <c r="D443">
        <v>1.0392025926194901</v>
      </c>
      <c r="E443">
        <v>1.0664188026836801</v>
      </c>
      <c r="F443">
        <v>0.80532889035247202</v>
      </c>
      <c r="G443">
        <v>0.47820825254128002</v>
      </c>
      <c r="H443">
        <v>0.179821137402632</v>
      </c>
      <c r="I443">
        <v>0.103655819154945</v>
      </c>
      <c r="J443">
        <v>0.17299268226077799</v>
      </c>
      <c r="K443">
        <v>4.9149213058058597E-2</v>
      </c>
      <c r="L443">
        <v>1532.39148637332</v>
      </c>
      <c r="M443">
        <v>27.265201588264102</v>
      </c>
      <c r="N443">
        <v>56.628423039497498</v>
      </c>
      <c r="O443">
        <v>55.903444535118197</v>
      </c>
      <c r="P443">
        <v>-0.11064398730574</v>
      </c>
      <c r="Q443">
        <v>9.2568832522404498E-2</v>
      </c>
      <c r="R443">
        <v>0.98744327221578398</v>
      </c>
      <c r="S443" t="s">
        <v>5183</v>
      </c>
      <c r="T443" t="s">
        <v>9478</v>
      </c>
      <c r="U443" t="s">
        <v>9478</v>
      </c>
      <c r="V443" t="s">
        <v>9478</v>
      </c>
      <c r="W443">
        <v>5</v>
      </c>
      <c r="X443" t="s">
        <v>9921</v>
      </c>
      <c r="Y443">
        <v>0.58985321402207125</v>
      </c>
      <c r="Z443" t="str">
        <f>HYPERLINK("Melting_Curves/meltCurve_sp_O95985_TOP3B_HUMAN_.pdf", "Melting_Curves/meltCurve_sp_O95985_TOP3B_HUMAN_.pdf")</f>
        <v>Melting_Curves/meltCurve_sp_O95985_TOP3B_HUMAN_.pdf</v>
      </c>
      <c r="AA443" t="s">
        <v>14656</v>
      </c>
      <c r="AB443" t="s">
        <v>19278</v>
      </c>
    </row>
    <row r="444" spans="1:28" x14ac:dyDescent="0.25">
      <c r="A444" t="s">
        <v>448</v>
      </c>
      <c r="B444">
        <v>0.99904790336628502</v>
      </c>
      <c r="C444">
        <v>1.01526795025127</v>
      </c>
      <c r="D444">
        <v>0.95215700155785998</v>
      </c>
      <c r="E444">
        <v>0.87949023053872399</v>
      </c>
      <c r="F444">
        <v>0.95599730718115805</v>
      </c>
      <c r="G444">
        <v>0.60664371787811799</v>
      </c>
      <c r="H444">
        <v>0.24479198811852201</v>
      </c>
      <c r="I444">
        <v>8.1079979557014598E-2</v>
      </c>
      <c r="J444">
        <v>4.1681266185804297E-2</v>
      </c>
      <c r="K444">
        <v>3.7748894616850298E-2</v>
      </c>
      <c r="L444">
        <v>1452.97414652733</v>
      </c>
      <c r="M444">
        <v>25.047474533182399</v>
      </c>
      <c r="N444">
        <v>58.063556370277801</v>
      </c>
      <c r="O444">
        <v>57.642840939852803</v>
      </c>
      <c r="P444">
        <v>-0.10736531844109699</v>
      </c>
      <c r="Q444">
        <v>1.16753169419313E-2</v>
      </c>
      <c r="R444">
        <v>0.99092832724857904</v>
      </c>
      <c r="S444" t="s">
        <v>5184</v>
      </c>
      <c r="T444" t="s">
        <v>9478</v>
      </c>
      <c r="U444" t="s">
        <v>9478</v>
      </c>
      <c r="V444" t="s">
        <v>9478</v>
      </c>
      <c r="W444">
        <v>5</v>
      </c>
      <c r="X444" t="s">
        <v>9922</v>
      </c>
      <c r="Y444">
        <v>0.61353087647110016</v>
      </c>
      <c r="Z444" t="str">
        <f>HYPERLINK("Melting_Curves/meltCurve_sp_O95989_NUDT3_HUMAN_.pdf", "Melting_Curves/meltCurve_sp_O95989_NUDT3_HUMAN_.pdf")</f>
        <v>Melting_Curves/meltCurve_sp_O95989_NUDT3_HUMAN_.pdf</v>
      </c>
      <c r="AA444" t="s">
        <v>14657</v>
      </c>
      <c r="AB444" t="s">
        <v>19279</v>
      </c>
    </row>
    <row r="445" spans="1:28" x14ac:dyDescent="0.25">
      <c r="A445" t="s">
        <v>449</v>
      </c>
      <c r="B445">
        <v>0.99904790336628502</v>
      </c>
      <c r="C445">
        <v>1.1996257260757801</v>
      </c>
      <c r="D445">
        <v>1.12294897617558</v>
      </c>
      <c r="E445">
        <v>1.03620918210437</v>
      </c>
      <c r="F445">
        <v>0.788871427801622</v>
      </c>
      <c r="G445">
        <v>0.55031312396602905</v>
      </c>
      <c r="H445">
        <v>0.45980235120479102</v>
      </c>
      <c r="I445">
        <v>0.38344278645051899</v>
      </c>
      <c r="J445">
        <v>0.52371545491061899</v>
      </c>
      <c r="K445">
        <v>0.35035981953927298</v>
      </c>
      <c r="L445">
        <v>1792.9110375751</v>
      </c>
      <c r="M445">
        <v>33.014856613233903</v>
      </c>
      <c r="N445">
        <v>57.677006988338697</v>
      </c>
      <c r="O445">
        <v>54.108107829215299</v>
      </c>
      <c r="P445">
        <v>-8.7347202815143493E-2</v>
      </c>
      <c r="Q445">
        <v>0.427388606661466</v>
      </c>
      <c r="R445">
        <v>0.91689358481518601</v>
      </c>
      <c r="S445" t="s">
        <v>5185</v>
      </c>
      <c r="T445" t="s">
        <v>9478</v>
      </c>
      <c r="U445" t="s">
        <v>9478</v>
      </c>
      <c r="V445" t="s">
        <v>9478</v>
      </c>
      <c r="W445">
        <v>5</v>
      </c>
      <c r="X445" t="s">
        <v>9923</v>
      </c>
      <c r="Y445">
        <v>0.70358641252185938</v>
      </c>
      <c r="Z445" t="str">
        <f>HYPERLINK("Melting_Curves/meltCurve_sp_O95999_BCL10_HUMAN_.pdf", "Melting_Curves/meltCurve_sp_O95999_BCL10_HUMAN_.pdf")</f>
        <v>Melting_Curves/meltCurve_sp_O95999_BCL10_HUMAN_.pdf</v>
      </c>
      <c r="AA445" t="s">
        <v>14658</v>
      </c>
      <c r="AB445" t="s">
        <v>19280</v>
      </c>
    </row>
    <row r="446" spans="1:28" x14ac:dyDescent="0.25">
      <c r="A446" t="s">
        <v>450</v>
      </c>
      <c r="B446">
        <v>0.99904790336628502</v>
      </c>
      <c r="C446">
        <v>1.7607936037866401</v>
      </c>
      <c r="D446">
        <v>1.8492472570927101</v>
      </c>
      <c r="E446">
        <v>0.91851902791355999</v>
      </c>
      <c r="F446">
        <v>0.41912124879304202</v>
      </c>
      <c r="G446">
        <v>0.18905014109266499</v>
      </c>
      <c r="H446">
        <v>0.122965383110529</v>
      </c>
      <c r="I446">
        <v>0.10345262027268</v>
      </c>
      <c r="J446">
        <v>5.2548031675637402E-2</v>
      </c>
      <c r="K446">
        <v>2.0099780394045301E-2</v>
      </c>
      <c r="L446">
        <v>2594.1857589522401</v>
      </c>
      <c r="M446">
        <v>49.485287242263396</v>
      </c>
      <c r="N446">
        <v>52.641827491567199</v>
      </c>
      <c r="O446">
        <v>52.337987070430003</v>
      </c>
      <c r="P446">
        <v>-0.214431497632873</v>
      </c>
      <c r="Q446">
        <v>9.2829305654437005E-2</v>
      </c>
      <c r="R446">
        <v>0.70506093761700805</v>
      </c>
      <c r="S446" t="s">
        <v>5186</v>
      </c>
      <c r="T446" t="s">
        <v>9478</v>
      </c>
      <c r="U446" t="s">
        <v>9478</v>
      </c>
      <c r="V446" t="s">
        <v>9478</v>
      </c>
      <c r="W446">
        <v>1</v>
      </c>
      <c r="X446" t="s">
        <v>9924</v>
      </c>
      <c r="Y446">
        <v>0.47064166081586722</v>
      </c>
      <c r="Z446" t="str">
        <f>HYPERLINK("Melting_Curves/meltCurve_sp_O96006_ZBED1_HUMAN_.pdf", "Melting_Curves/meltCurve_sp_O96006_ZBED1_HUMAN_.pdf")</f>
        <v>Melting_Curves/meltCurve_sp_O96006_ZBED1_HUMAN_.pdf</v>
      </c>
      <c r="AA446" t="s">
        <v>14659</v>
      </c>
      <c r="AB446" t="s">
        <v>19281</v>
      </c>
    </row>
    <row r="447" spans="1:28" x14ac:dyDescent="0.25">
      <c r="A447" t="s">
        <v>451</v>
      </c>
      <c r="B447">
        <v>0.99904790336628502</v>
      </c>
      <c r="C447">
        <v>1.0197157125330001</v>
      </c>
      <c r="D447">
        <v>0.94618229126629005</v>
      </c>
      <c r="E447">
        <v>0.882273008619752</v>
      </c>
      <c r="F447">
        <v>0.899347576726648</v>
      </c>
      <c r="G447">
        <v>0.77598602651447401</v>
      </c>
      <c r="H447">
        <v>0.69451998303283402</v>
      </c>
      <c r="I447">
        <v>0.66159421635473503</v>
      </c>
      <c r="J447">
        <v>0.59563628159470206</v>
      </c>
      <c r="K447">
        <v>0.49156257382892099</v>
      </c>
      <c r="L447">
        <v>406.65897642515199</v>
      </c>
      <c r="M447">
        <v>5.7694819183383803</v>
      </c>
      <c r="O447">
        <v>63.396441265743697</v>
      </c>
      <c r="P447">
        <v>-2.2836282426042801E-2</v>
      </c>
      <c r="Q447">
        <v>0</v>
      </c>
      <c r="R447">
        <v>0.98020047613476302</v>
      </c>
      <c r="S447" t="s">
        <v>5187</v>
      </c>
      <c r="T447" t="s">
        <v>9478</v>
      </c>
      <c r="U447" t="s">
        <v>9478</v>
      </c>
      <c r="V447" t="s">
        <v>9478</v>
      </c>
      <c r="W447">
        <v>7</v>
      </c>
      <c r="X447" t="s">
        <v>9925</v>
      </c>
      <c r="Y447">
        <v>0.80350260153465924</v>
      </c>
      <c r="Z447" t="str">
        <f>HYPERLINK("Melting_Curves/meltCurve_sp_O96007_MOC2B_HUMAN_.pdf", "Melting_Curves/meltCurve_sp_O96007_MOC2B_HUMAN_.pdf")</f>
        <v>Melting_Curves/meltCurve_sp_O96007_MOC2B_HUMAN_.pdf</v>
      </c>
      <c r="AA447" t="s">
        <v>14660</v>
      </c>
      <c r="AB447" t="s">
        <v>19282</v>
      </c>
    </row>
    <row r="448" spans="1:28" x14ac:dyDescent="0.25">
      <c r="A448" t="s">
        <v>452</v>
      </c>
      <c r="B448">
        <v>0.99904790336628502</v>
      </c>
      <c r="C448">
        <v>0.91071082479703402</v>
      </c>
      <c r="D448">
        <v>0.74063367151608805</v>
      </c>
      <c r="E448">
        <v>0.325499865219956</v>
      </c>
      <c r="F448">
        <v>0.20083183361676099</v>
      </c>
      <c r="G448">
        <v>8.6408708564611497E-2</v>
      </c>
      <c r="H448">
        <v>4.92858493875434E-2</v>
      </c>
      <c r="I448">
        <v>5.0828221726707402E-2</v>
      </c>
      <c r="J448">
        <v>5.0255183853513498E-2</v>
      </c>
      <c r="K448">
        <v>4.0412300916368701E-2</v>
      </c>
      <c r="L448">
        <v>961.95193453886498</v>
      </c>
      <c r="M448">
        <v>19.995374847801902</v>
      </c>
      <c r="N448">
        <v>48.3321927115433</v>
      </c>
      <c r="O448">
        <v>47.635287000410202</v>
      </c>
      <c r="P448">
        <v>-0.100310249168022</v>
      </c>
      <c r="Q448">
        <v>4.4148587566417298E-2</v>
      </c>
      <c r="R448">
        <v>0.99855553670971697</v>
      </c>
      <c r="S448" t="s">
        <v>5188</v>
      </c>
      <c r="T448" t="s">
        <v>9478</v>
      </c>
      <c r="U448" t="s">
        <v>9478</v>
      </c>
      <c r="V448" t="s">
        <v>9478</v>
      </c>
      <c r="W448">
        <v>3</v>
      </c>
      <c r="X448" t="s">
        <v>9926</v>
      </c>
      <c r="Y448">
        <v>0.31606760709448251</v>
      </c>
      <c r="Z448" t="str">
        <f>HYPERLINK("Melting_Curves/meltCurve_sp_O96013_4_PAK4_HUMAN_.pdf", "Melting_Curves/meltCurve_sp_O96013_4_PAK4_HUMAN_.pdf")</f>
        <v>Melting_Curves/meltCurve_sp_O96013_4_PAK4_HUMAN_.pdf</v>
      </c>
      <c r="AA448" t="s">
        <v>14661</v>
      </c>
      <c r="AB448" t="s">
        <v>19283</v>
      </c>
    </row>
    <row r="449" spans="1:28" x14ac:dyDescent="0.25">
      <c r="A449" t="s">
        <v>453</v>
      </c>
      <c r="B449">
        <v>0.99904790336628502</v>
      </c>
      <c r="C449">
        <v>1.1681627293155601</v>
      </c>
      <c r="D449">
        <v>1.11522177301897</v>
      </c>
      <c r="E449">
        <v>0.88488180918257497</v>
      </c>
      <c r="F449">
        <v>0.54905621777910396</v>
      </c>
      <c r="G449">
        <v>0.21116800732391999</v>
      </c>
      <c r="H449">
        <v>0.15473645152704499</v>
      </c>
      <c r="I449">
        <v>0.12432009392791001</v>
      </c>
      <c r="J449">
        <v>0.12966892625580601</v>
      </c>
      <c r="K449">
        <v>0.118841301158221</v>
      </c>
      <c r="L449">
        <v>1793.24016906926</v>
      </c>
      <c r="M449">
        <v>33.895161277524203</v>
      </c>
      <c r="N449">
        <v>53.382207700816998</v>
      </c>
      <c r="O449">
        <v>52.722355412094998</v>
      </c>
      <c r="P449">
        <v>-0.13973684215899199</v>
      </c>
      <c r="Q449">
        <v>0.13058671266042801</v>
      </c>
      <c r="R449">
        <v>0.97620215382406905</v>
      </c>
      <c r="S449" t="s">
        <v>5189</v>
      </c>
      <c r="T449" t="s">
        <v>9478</v>
      </c>
      <c r="U449" t="s">
        <v>9478</v>
      </c>
      <c r="V449" t="s">
        <v>9478</v>
      </c>
      <c r="W449">
        <v>7</v>
      </c>
      <c r="X449" t="s">
        <v>9927</v>
      </c>
      <c r="Y449">
        <v>0.50901686116054556</v>
      </c>
      <c r="Z449" t="str">
        <f>HYPERLINK("Melting_Curves/meltCurve_sp_O96019_ACL6A_HUMAN_.pdf", "Melting_Curves/meltCurve_sp_O96019_ACL6A_HUMAN_.pdf")</f>
        <v>Melting_Curves/meltCurve_sp_O96019_ACL6A_HUMAN_.pdf</v>
      </c>
      <c r="AA449" t="s">
        <v>14662</v>
      </c>
      <c r="AB449" t="s">
        <v>19284</v>
      </c>
    </row>
    <row r="450" spans="1:28" x14ac:dyDescent="0.25">
      <c r="A450" t="s">
        <v>454</v>
      </c>
      <c r="B450">
        <v>0.99904790336628502</v>
      </c>
      <c r="C450">
        <v>1.0203896620713799</v>
      </c>
      <c r="D450">
        <v>1.00890954693921</v>
      </c>
      <c r="E450">
        <v>1.0980788291743799</v>
      </c>
      <c r="F450">
        <v>1.09709349719829</v>
      </c>
      <c r="G450">
        <v>0.77198648432193295</v>
      </c>
      <c r="H450">
        <v>0.62879039109316104</v>
      </c>
      <c r="I450">
        <v>0.59587470240264595</v>
      </c>
      <c r="J450">
        <v>0.51405031117431699</v>
      </c>
      <c r="K450">
        <v>0.43489686589094401</v>
      </c>
      <c r="L450">
        <v>1618.16684729849</v>
      </c>
      <c r="M450">
        <v>27.647980348874398</v>
      </c>
      <c r="N450">
        <v>68.411989442990205</v>
      </c>
      <c r="O450">
        <v>58.223870837833303</v>
      </c>
      <c r="P450">
        <v>-6.04505291025575E-2</v>
      </c>
      <c r="Q450">
        <v>0.49079360914717302</v>
      </c>
      <c r="R450">
        <v>0.93553383221957198</v>
      </c>
      <c r="S450" t="s">
        <v>5190</v>
      </c>
      <c r="T450" t="s">
        <v>9478</v>
      </c>
      <c r="U450" t="s">
        <v>9478</v>
      </c>
      <c r="V450" t="s">
        <v>9478</v>
      </c>
      <c r="W450">
        <v>7</v>
      </c>
      <c r="X450" t="s">
        <v>9928</v>
      </c>
      <c r="Y450">
        <v>0.80902124498186723</v>
      </c>
      <c r="Z450" t="str">
        <f>HYPERLINK("Melting_Curves/meltCurve_sp_O96033_MOC2A_HUMAN_.pdf", "Melting_Curves/meltCurve_sp_O96033_MOC2A_HUMAN_.pdf")</f>
        <v>Melting_Curves/meltCurve_sp_O96033_MOC2A_HUMAN_.pdf</v>
      </c>
      <c r="AA450" t="s">
        <v>14660</v>
      </c>
      <c r="AB450" t="s">
        <v>19285</v>
      </c>
    </row>
    <row r="451" spans="1:28" x14ac:dyDescent="0.25">
      <c r="A451" t="s">
        <v>455</v>
      </c>
      <c r="B451">
        <v>0.99904790336628502</v>
      </c>
      <c r="C451">
        <v>0.94728896800718998</v>
      </c>
      <c r="D451">
        <v>1.0025877147273801</v>
      </c>
      <c r="E451">
        <v>0.97746931317329799</v>
      </c>
      <c r="F451">
        <v>0.97571975972526404</v>
      </c>
      <c r="G451">
        <v>0.82447654030359996</v>
      </c>
      <c r="H451">
        <v>0.62602920574826904</v>
      </c>
      <c r="I451">
        <v>0.346297241386537</v>
      </c>
      <c r="J451">
        <v>0.20408884828023999</v>
      </c>
      <c r="K451">
        <v>0.104882629979348</v>
      </c>
      <c r="L451">
        <v>1191.83960605072</v>
      </c>
      <c r="M451">
        <v>19.162642239308301</v>
      </c>
      <c r="N451">
        <v>62.195998347054903</v>
      </c>
      <c r="O451">
        <v>61.530540179283101</v>
      </c>
      <c r="P451">
        <v>-7.78612571778899E-2</v>
      </c>
      <c r="Q451">
        <v>0</v>
      </c>
      <c r="R451">
        <v>0.99528838591708202</v>
      </c>
      <c r="S451" t="s">
        <v>5191</v>
      </c>
      <c r="T451" t="s">
        <v>9478</v>
      </c>
      <c r="U451" t="s">
        <v>9478</v>
      </c>
      <c r="V451" t="s">
        <v>9478</v>
      </c>
      <c r="W451">
        <v>37</v>
      </c>
      <c r="X451" t="s">
        <v>9929</v>
      </c>
      <c r="Y451">
        <v>0.74162257043929758</v>
      </c>
      <c r="Z451" t="str">
        <f>HYPERLINK("Melting_Curves/meltCurve_sp_P00325_ADH1B_HUMAN_.pdf", "Melting_Curves/meltCurve_sp_P00325_ADH1B_HUMAN_.pdf")</f>
        <v>Melting_Curves/meltCurve_sp_P00325_ADH1B_HUMAN_.pdf</v>
      </c>
      <c r="AA451" t="s">
        <v>14663</v>
      </c>
      <c r="AB451" t="s">
        <v>19286</v>
      </c>
    </row>
    <row r="452" spans="1:28" x14ac:dyDescent="0.25">
      <c r="A452" t="s">
        <v>456</v>
      </c>
      <c r="B452">
        <v>0.99904790336628502</v>
      </c>
      <c r="C452">
        <v>0.89248756625673198</v>
      </c>
      <c r="D452">
        <v>0.95951077754358205</v>
      </c>
      <c r="E452">
        <v>0.98620384017184404</v>
      </c>
      <c r="F452">
        <v>0.97761504062701599</v>
      </c>
      <c r="G452">
        <v>0.90479084839448098</v>
      </c>
      <c r="H452">
        <v>0.76642041389717497</v>
      </c>
      <c r="I452">
        <v>0.62372496761172902</v>
      </c>
      <c r="J452">
        <v>0.41832168587178198</v>
      </c>
      <c r="K452">
        <v>0.18287877853557799</v>
      </c>
      <c r="L452">
        <v>1186.8391419504301</v>
      </c>
      <c r="M452">
        <v>18.160169635632201</v>
      </c>
      <c r="N452">
        <v>65.353961238395897</v>
      </c>
      <c r="O452">
        <v>64.576971506852999</v>
      </c>
      <c r="P452">
        <v>-7.0307720888956093E-2</v>
      </c>
      <c r="Q452">
        <v>0</v>
      </c>
      <c r="R452">
        <v>0.973690683467903</v>
      </c>
      <c r="S452" t="s">
        <v>5192</v>
      </c>
      <c r="T452" t="s">
        <v>9478</v>
      </c>
      <c r="U452" t="s">
        <v>9478</v>
      </c>
      <c r="V452" t="s">
        <v>9478</v>
      </c>
      <c r="W452">
        <v>29</v>
      </c>
      <c r="X452" t="s">
        <v>9930</v>
      </c>
      <c r="Y452">
        <v>0.82614843485906519</v>
      </c>
      <c r="Z452" t="str">
        <f>HYPERLINK("Melting_Curves/meltCurve_sp_P00326_ADH1G_HUMAN_.pdf", "Melting_Curves/meltCurve_sp_P00326_ADH1G_HUMAN_.pdf")</f>
        <v>Melting_Curves/meltCurve_sp_P00326_ADH1G_HUMAN_.pdf</v>
      </c>
      <c r="AA452" t="s">
        <v>14664</v>
      </c>
      <c r="AB452" t="s">
        <v>19287</v>
      </c>
    </row>
    <row r="453" spans="1:28" x14ac:dyDescent="0.25">
      <c r="A453" t="s">
        <v>457</v>
      </c>
      <c r="B453">
        <v>0.99904790336628502</v>
      </c>
      <c r="C453">
        <v>1.0633405460829799</v>
      </c>
      <c r="D453">
        <v>1.10189574390569</v>
      </c>
      <c r="E453">
        <v>1.0322516917581499</v>
      </c>
      <c r="F453">
        <v>0.89148722507191802</v>
      </c>
      <c r="G453">
        <v>0.72586178898728604</v>
      </c>
      <c r="H453">
        <v>0.19085278630653599</v>
      </c>
      <c r="I453">
        <v>7.0013436256214798E-2</v>
      </c>
      <c r="J453">
        <v>3.9475079628295898E-2</v>
      </c>
      <c r="K453">
        <v>3.26717740068675E-2</v>
      </c>
      <c r="L453">
        <v>1994.44304680553</v>
      </c>
      <c r="M453">
        <v>34.158799888454602</v>
      </c>
      <c r="N453">
        <v>58.470807192061201</v>
      </c>
      <c r="O453">
        <v>58.188366514446002</v>
      </c>
      <c r="P453">
        <v>-0.14326975953222401</v>
      </c>
      <c r="Q453">
        <v>2.3782970273740399E-2</v>
      </c>
      <c r="R453">
        <v>0.98861079872009505</v>
      </c>
      <c r="S453" t="s">
        <v>5193</v>
      </c>
      <c r="T453" t="s">
        <v>9478</v>
      </c>
      <c r="U453" t="s">
        <v>9478</v>
      </c>
      <c r="V453" t="s">
        <v>9478</v>
      </c>
      <c r="W453">
        <v>26</v>
      </c>
      <c r="X453" t="s">
        <v>9931</v>
      </c>
      <c r="Y453">
        <v>0.62724328301427568</v>
      </c>
      <c r="Z453" t="str">
        <f>HYPERLINK("Melting_Curves/meltCurve_sp_P00338_LDHA_HUMAN_.pdf", "Melting_Curves/meltCurve_sp_P00338_LDHA_HUMAN_.pdf")</f>
        <v>Melting_Curves/meltCurve_sp_P00338_LDHA_HUMAN_.pdf</v>
      </c>
      <c r="AA453" t="s">
        <v>14665</v>
      </c>
      <c r="AB453" t="s">
        <v>19288</v>
      </c>
    </row>
    <row r="454" spans="1:28" x14ac:dyDescent="0.25">
      <c r="A454" t="s">
        <v>458</v>
      </c>
      <c r="B454">
        <v>0.99904790336628502</v>
      </c>
      <c r="C454">
        <v>0.78053134222246801</v>
      </c>
      <c r="D454">
        <v>1.18350719152325</v>
      </c>
      <c r="E454">
        <v>1.07790838251521</v>
      </c>
      <c r="F454">
        <v>0.76416241148992003</v>
      </c>
      <c r="G454">
        <v>0.70737172814170002</v>
      </c>
      <c r="H454">
        <v>0.58120747489309399</v>
      </c>
      <c r="I454">
        <v>0.50785104162113504</v>
      </c>
      <c r="J454">
        <v>0.41163027883650699</v>
      </c>
      <c r="K454">
        <v>0.18612850301668599</v>
      </c>
      <c r="L454">
        <v>661.74926776568702</v>
      </c>
      <c r="M454">
        <v>10.497754085598499</v>
      </c>
      <c r="N454">
        <v>63.037233276189802</v>
      </c>
      <c r="O454">
        <v>60.878613925441798</v>
      </c>
      <c r="P454">
        <v>-4.31267739921702E-2</v>
      </c>
      <c r="Q454">
        <v>0</v>
      </c>
      <c r="R454">
        <v>0.84761629508743097</v>
      </c>
      <c r="S454" t="s">
        <v>5194</v>
      </c>
      <c r="T454" t="s">
        <v>9478</v>
      </c>
      <c r="U454" t="s">
        <v>9478</v>
      </c>
      <c r="V454" t="s">
        <v>9478</v>
      </c>
      <c r="W454">
        <v>47</v>
      </c>
      <c r="X454" t="s">
        <v>9932</v>
      </c>
      <c r="Y454">
        <v>0.73962692973638589</v>
      </c>
      <c r="Z454" t="str">
        <f>HYPERLINK("Melting_Curves/meltCurve_sp_P00352_AL1A1_HUMAN_.pdf", "Melting_Curves/meltCurve_sp_P00352_AL1A1_HUMAN_.pdf")</f>
        <v>Melting_Curves/meltCurve_sp_P00352_AL1A1_HUMAN_.pdf</v>
      </c>
      <c r="AA454" t="s">
        <v>14666</v>
      </c>
      <c r="AB454" t="s">
        <v>19289</v>
      </c>
    </row>
    <row r="455" spans="1:28" x14ac:dyDescent="0.25">
      <c r="A455" t="s">
        <v>459</v>
      </c>
      <c r="B455">
        <v>0.99904790336628502</v>
      </c>
      <c r="C455">
        <v>0.44568606805251298</v>
      </c>
      <c r="D455">
        <v>0.256810498844809</v>
      </c>
      <c r="E455">
        <v>0.16110344484907299</v>
      </c>
      <c r="F455">
        <v>0.101446993736257</v>
      </c>
      <c r="G455">
        <v>4.7668903665802502E-2</v>
      </c>
      <c r="H455">
        <v>3.1740609890817E-2</v>
      </c>
      <c r="I455">
        <v>2.4736198623910601E-2</v>
      </c>
      <c r="J455">
        <v>2.1561029759430399E-2</v>
      </c>
      <c r="K455">
        <v>1.7456199931659699E-2</v>
      </c>
      <c r="L455">
        <v>1194.1821475294601</v>
      </c>
      <c r="M455">
        <v>27.830463887858699</v>
      </c>
      <c r="N455">
        <v>43.103575171002902</v>
      </c>
      <c r="O455">
        <v>42.689473156092703</v>
      </c>
      <c r="P455">
        <v>-0.15337142815190699</v>
      </c>
      <c r="Q455">
        <v>5.8975654313494497E-2</v>
      </c>
      <c r="R455">
        <v>0.95571380907685699</v>
      </c>
      <c r="S455" t="s">
        <v>5195</v>
      </c>
      <c r="T455" t="s">
        <v>9478</v>
      </c>
      <c r="U455" t="s">
        <v>9478</v>
      </c>
      <c r="V455" t="s">
        <v>9478</v>
      </c>
      <c r="W455">
        <v>5</v>
      </c>
      <c r="X455" t="s">
        <v>9933</v>
      </c>
      <c r="Y455">
        <v>0.16093653038876279</v>
      </c>
      <c r="Z455" t="str">
        <f>HYPERLINK("Melting_Curves/meltCurve_sp_P00374_DYR_HUMAN_.pdf", "Melting_Curves/meltCurve_sp_P00374_DYR_HUMAN_.pdf")</f>
        <v>Melting_Curves/meltCurve_sp_P00374_DYR_HUMAN_.pdf</v>
      </c>
      <c r="AA455" t="s">
        <v>14667</v>
      </c>
      <c r="AB455" t="s">
        <v>19290</v>
      </c>
    </row>
    <row r="456" spans="1:28" x14ac:dyDescent="0.25">
      <c r="A456" t="s">
        <v>460</v>
      </c>
      <c r="B456">
        <v>0.99904790336628502</v>
      </c>
      <c r="C456">
        <v>1.05522469060146</v>
      </c>
      <c r="D456">
        <v>0.86321641428191798</v>
      </c>
      <c r="E456">
        <v>0.45951741793134399</v>
      </c>
      <c r="F456">
        <v>0.189851891527133</v>
      </c>
      <c r="G456">
        <v>5.4287620764413201E-2</v>
      </c>
      <c r="H456">
        <v>2.25885523287346E-2</v>
      </c>
      <c r="I456">
        <v>2.13317127899301E-2</v>
      </c>
      <c r="J456">
        <v>1.30767985650533E-2</v>
      </c>
      <c r="K456">
        <v>5.4579937049511803E-3</v>
      </c>
      <c r="L456">
        <v>1239.6163198388299</v>
      </c>
      <c r="M456">
        <v>24.970417104646401</v>
      </c>
      <c r="N456">
        <v>49.698104389549698</v>
      </c>
      <c r="O456">
        <v>49.328290990825899</v>
      </c>
      <c r="P456">
        <v>-0.124838288929265</v>
      </c>
      <c r="Q456">
        <v>1.35565598822187E-2</v>
      </c>
      <c r="R456">
        <v>0.99657724722603902</v>
      </c>
      <c r="S456" t="s">
        <v>5196</v>
      </c>
      <c r="T456" t="s">
        <v>9478</v>
      </c>
      <c r="U456" t="s">
        <v>9478</v>
      </c>
      <c r="V456" t="s">
        <v>9478</v>
      </c>
      <c r="W456">
        <v>3</v>
      </c>
      <c r="X456" t="s">
        <v>9934</v>
      </c>
      <c r="Y456">
        <v>0.33945263956402222</v>
      </c>
      <c r="Z456" t="str">
        <f>HYPERLINK("Melting_Curves/meltCurve_sp_P00387_2_NB5R3_HUMAN_.pdf", "Melting_Curves/meltCurve_sp_P00387_2_NB5R3_HUMAN_.pdf")</f>
        <v>Melting_Curves/meltCurve_sp_P00387_2_NB5R3_HUMAN_.pdf</v>
      </c>
      <c r="AA456" t="s">
        <v>14668</v>
      </c>
      <c r="AB456" t="s">
        <v>19291</v>
      </c>
    </row>
    <row r="457" spans="1:28" x14ac:dyDescent="0.25">
      <c r="A457" t="s">
        <v>461</v>
      </c>
      <c r="B457">
        <v>0.99904790336628502</v>
      </c>
      <c r="C457">
        <v>0.98923736098384696</v>
      </c>
      <c r="D457">
        <v>1.0394469810364599</v>
      </c>
      <c r="E457">
        <v>0.98402826522063902</v>
      </c>
      <c r="F457">
        <v>0.63238798779474104</v>
      </c>
      <c r="G457">
        <v>0.64997482547062502</v>
      </c>
      <c r="H457">
        <v>0.345399064261107</v>
      </c>
      <c r="I457">
        <v>0.21998205394352299</v>
      </c>
      <c r="J457">
        <v>0.10989348037509999</v>
      </c>
      <c r="K457">
        <v>4.9946989639872298E-2</v>
      </c>
      <c r="L457">
        <v>813.551762654149</v>
      </c>
      <c r="M457">
        <v>14.010433911284199</v>
      </c>
      <c r="N457">
        <v>58.0675637244535</v>
      </c>
      <c r="O457">
        <v>56.922951266809697</v>
      </c>
      <c r="P457">
        <v>-6.1540562590858501E-2</v>
      </c>
      <c r="Q457">
        <v>0</v>
      </c>
      <c r="R457">
        <v>0.96807904231550401</v>
      </c>
      <c r="S457" t="s">
        <v>5197</v>
      </c>
      <c r="T457" t="s">
        <v>9478</v>
      </c>
      <c r="U457" t="s">
        <v>9478</v>
      </c>
      <c r="V457" t="s">
        <v>9478</v>
      </c>
      <c r="W457">
        <v>22</v>
      </c>
      <c r="X457" t="s">
        <v>9935</v>
      </c>
      <c r="Y457">
        <v>0.61552353950577254</v>
      </c>
      <c r="Z457" t="str">
        <f>HYPERLINK("Melting_Curves/meltCurve_sp_P00390_2_GSHR_HUMAN_.pdf", "Melting_Curves/meltCurve_sp_P00390_2_GSHR_HUMAN_.pdf")</f>
        <v>Melting_Curves/meltCurve_sp_P00390_2_GSHR_HUMAN_.pdf</v>
      </c>
      <c r="AA457" t="s">
        <v>14669</v>
      </c>
      <c r="AB457" t="s">
        <v>19292</v>
      </c>
    </row>
    <row r="458" spans="1:28" x14ac:dyDescent="0.25">
      <c r="A458" t="s">
        <v>462</v>
      </c>
      <c r="B458">
        <v>0.99904790336628502</v>
      </c>
      <c r="C458">
        <v>1.42899137178526</v>
      </c>
      <c r="D458">
        <v>0.96291880102143201</v>
      </c>
      <c r="E458">
        <v>0.51639926707541195</v>
      </c>
      <c r="F458">
        <v>0.28109008620078002</v>
      </c>
      <c r="G458">
        <v>8.7539408782683306E-2</v>
      </c>
      <c r="H458">
        <v>8.5712220436694395E-2</v>
      </c>
      <c r="I458">
        <v>6.2109934307345203E-2</v>
      </c>
      <c r="J458">
        <v>6.0024609898929701E-2</v>
      </c>
      <c r="K458">
        <v>3.3974654278571402E-2</v>
      </c>
      <c r="L458">
        <v>1534.70649537648</v>
      </c>
      <c r="M458">
        <v>30.5675386147478</v>
      </c>
      <c r="N458">
        <v>50.441248282056698</v>
      </c>
      <c r="O458">
        <v>49.993658056581999</v>
      </c>
      <c r="P458">
        <v>-0.14274615462710799</v>
      </c>
      <c r="Q458">
        <v>6.6151964434252003E-2</v>
      </c>
      <c r="R458">
        <v>0.91473294766090396</v>
      </c>
      <c r="S458" t="s">
        <v>5198</v>
      </c>
      <c r="T458" t="s">
        <v>9478</v>
      </c>
      <c r="U458" t="s">
        <v>9478</v>
      </c>
      <c r="V458" t="s">
        <v>9478</v>
      </c>
      <c r="W458">
        <v>1</v>
      </c>
      <c r="X458" t="s">
        <v>9936</v>
      </c>
      <c r="Y458">
        <v>0.38946056791228251</v>
      </c>
      <c r="Z458" t="str">
        <f>HYPERLINK("Melting_Curves/meltCurve_sp_P00403_COX2_HUMAN_.pdf", "Melting_Curves/meltCurve_sp_P00403_COX2_HUMAN_.pdf")</f>
        <v>Melting_Curves/meltCurve_sp_P00403_COX2_HUMAN_.pdf</v>
      </c>
      <c r="AA458" t="s">
        <v>14670</v>
      </c>
      <c r="AB458" t="s">
        <v>19293</v>
      </c>
    </row>
    <row r="459" spans="1:28" x14ac:dyDescent="0.25">
      <c r="A459" t="s">
        <v>463</v>
      </c>
      <c r="B459">
        <v>0.99904790336628502</v>
      </c>
      <c r="C459">
        <v>0.89214323870561396</v>
      </c>
      <c r="D459">
        <v>0.80908960788003403</v>
      </c>
      <c r="E459">
        <v>0.51855571123873201</v>
      </c>
      <c r="F459">
        <v>0.23833952116671001</v>
      </c>
      <c r="G459">
        <v>0.108856980283233</v>
      </c>
      <c r="H459">
        <v>6.3012262568845095E-2</v>
      </c>
      <c r="I459">
        <v>4.2050393736090999E-2</v>
      </c>
      <c r="J459">
        <v>3.17169447610674E-2</v>
      </c>
      <c r="K459">
        <v>2.5343031182617701E-2</v>
      </c>
      <c r="L459">
        <v>855.30576441126505</v>
      </c>
      <c r="M459">
        <v>17.198649869300699</v>
      </c>
      <c r="N459">
        <v>49.832450712585803</v>
      </c>
      <c r="O459">
        <v>49.073251615905399</v>
      </c>
      <c r="P459">
        <v>-8.6114718207195004E-2</v>
      </c>
      <c r="Q459">
        <v>1.7206704901477798E-2</v>
      </c>
      <c r="R459">
        <v>0.99664286278472602</v>
      </c>
      <c r="S459" t="s">
        <v>5199</v>
      </c>
      <c r="T459" t="s">
        <v>9478</v>
      </c>
      <c r="U459" t="s">
        <v>9478</v>
      </c>
      <c r="V459" t="s">
        <v>9478</v>
      </c>
      <c r="W459">
        <v>33</v>
      </c>
      <c r="X459" t="s">
        <v>9937</v>
      </c>
      <c r="Y459">
        <v>0.35434307608280469</v>
      </c>
      <c r="Z459" t="str">
        <f>HYPERLINK("Melting_Curves/meltCurve_sp_P00439_PH4H_HUMAN_.pdf", "Melting_Curves/meltCurve_sp_P00439_PH4H_HUMAN_.pdf")</f>
        <v>Melting_Curves/meltCurve_sp_P00439_PH4H_HUMAN_.pdf</v>
      </c>
      <c r="AA459" t="s">
        <v>14671</v>
      </c>
      <c r="AB459" t="s">
        <v>19294</v>
      </c>
    </row>
    <row r="460" spans="1:28" x14ac:dyDescent="0.25">
      <c r="A460" t="s">
        <v>464</v>
      </c>
      <c r="B460">
        <v>0.99904790336628502</v>
      </c>
      <c r="C460">
        <v>0.97723730420319399</v>
      </c>
      <c r="D460">
        <v>1.05213062063808</v>
      </c>
      <c r="E460">
        <v>1.01040033886397</v>
      </c>
      <c r="F460">
        <v>0.85501872532387202</v>
      </c>
      <c r="G460">
        <v>0.415034523042345</v>
      </c>
      <c r="H460">
        <v>0.23579198757986</v>
      </c>
      <c r="I460">
        <v>0.18328249012041201</v>
      </c>
      <c r="J460">
        <v>0.16094592533181401</v>
      </c>
      <c r="K460">
        <v>0.116670467049698</v>
      </c>
      <c r="L460">
        <v>1754.31246288389</v>
      </c>
      <c r="M460">
        <v>31.5166107565028</v>
      </c>
      <c r="N460">
        <v>56.322819392377298</v>
      </c>
      <c r="O460">
        <v>55.440444450621598</v>
      </c>
      <c r="P460">
        <v>-0.120184937660782</v>
      </c>
      <c r="Q460">
        <v>0.15434172252467701</v>
      </c>
      <c r="R460">
        <v>0.99511509912142804</v>
      </c>
      <c r="S460" t="s">
        <v>5200</v>
      </c>
      <c r="T460" t="s">
        <v>9478</v>
      </c>
      <c r="U460" t="s">
        <v>9478</v>
      </c>
      <c r="V460" t="s">
        <v>9478</v>
      </c>
      <c r="W460">
        <v>28</v>
      </c>
      <c r="X460" t="s">
        <v>9938</v>
      </c>
      <c r="Y460">
        <v>0.60099956047687209</v>
      </c>
      <c r="Z460" t="str">
        <f>HYPERLINK("Melting_Curves/meltCurve_sp_P00450_CERU_HUMAN_.pdf", "Melting_Curves/meltCurve_sp_P00450_CERU_HUMAN_.pdf")</f>
        <v>Melting_Curves/meltCurve_sp_P00450_CERU_HUMAN_.pdf</v>
      </c>
      <c r="AA460" t="s">
        <v>14672</v>
      </c>
      <c r="AB460" t="s">
        <v>19295</v>
      </c>
    </row>
    <row r="461" spans="1:28" x14ac:dyDescent="0.25">
      <c r="A461" t="s">
        <v>465</v>
      </c>
      <c r="B461">
        <v>0.99904790336628502</v>
      </c>
      <c r="C461">
        <v>0.88162897101815196</v>
      </c>
      <c r="D461">
        <v>0.94975694287400603</v>
      </c>
      <c r="E461">
        <v>0.92141252713282396</v>
      </c>
      <c r="F461">
        <v>0.88633782786849202</v>
      </c>
      <c r="G461">
        <v>0.83659372675655197</v>
      </c>
      <c r="H461">
        <v>0.59942874044043204</v>
      </c>
      <c r="I461">
        <v>0.124583747995494</v>
      </c>
      <c r="J461">
        <v>3.0556809004866702E-2</v>
      </c>
      <c r="K461">
        <v>2.9874199272151201E-2</v>
      </c>
      <c r="L461">
        <v>2049.5694761894101</v>
      </c>
      <c r="M461">
        <v>33.482446552766397</v>
      </c>
      <c r="N461">
        <v>61.2132312215399</v>
      </c>
      <c r="O461">
        <v>60.996129773121901</v>
      </c>
      <c r="P461">
        <v>-0.13723241675216299</v>
      </c>
      <c r="Q461">
        <v>0</v>
      </c>
      <c r="R461">
        <v>0.96502936959669094</v>
      </c>
      <c r="S461" t="s">
        <v>5201</v>
      </c>
      <c r="T461" t="s">
        <v>9478</v>
      </c>
      <c r="U461" t="s">
        <v>9478</v>
      </c>
      <c r="V461" t="s">
        <v>9478</v>
      </c>
      <c r="W461">
        <v>27</v>
      </c>
      <c r="X461" t="s">
        <v>9939</v>
      </c>
      <c r="Y461">
        <v>0.71189866080211295</v>
      </c>
      <c r="Z461" t="str">
        <f>HYPERLINK("Melting_Curves/meltCurve_sp_P00480_OTC_HUMAN_.pdf", "Melting_Curves/meltCurve_sp_P00480_OTC_HUMAN_.pdf")</f>
        <v>Melting_Curves/meltCurve_sp_P00480_OTC_HUMAN_.pdf</v>
      </c>
      <c r="AA461" t="s">
        <v>14673</v>
      </c>
      <c r="AB461" t="s">
        <v>19296</v>
      </c>
    </row>
    <row r="462" spans="1:28" x14ac:dyDescent="0.25">
      <c r="A462" t="s">
        <v>466</v>
      </c>
      <c r="B462">
        <v>0.99904790336628502</v>
      </c>
      <c r="C462">
        <v>1.00760053185206</v>
      </c>
      <c r="D462">
        <v>1.01063430483876</v>
      </c>
      <c r="E462">
        <v>0.93303681571348396</v>
      </c>
      <c r="F462">
        <v>0.82875588235071995</v>
      </c>
      <c r="G462">
        <v>0.750983361571263</v>
      </c>
      <c r="H462">
        <v>0.57442979227208701</v>
      </c>
      <c r="I462">
        <v>0.48912929965589502</v>
      </c>
      <c r="J462">
        <v>0.33494363216560502</v>
      </c>
      <c r="K462">
        <v>0.12337908054265299</v>
      </c>
      <c r="L462">
        <v>729.49358412032996</v>
      </c>
      <c r="M462">
        <v>11.691891054894</v>
      </c>
      <c r="N462">
        <v>62.393121948899498</v>
      </c>
      <c r="O462">
        <v>60.651746521575298</v>
      </c>
      <c r="P462">
        <v>-4.8205569265710201E-2</v>
      </c>
      <c r="Q462">
        <v>0</v>
      </c>
      <c r="R462">
        <v>0.97917584285989401</v>
      </c>
      <c r="S462" t="s">
        <v>5202</v>
      </c>
      <c r="T462" t="s">
        <v>9478</v>
      </c>
      <c r="U462" t="s">
        <v>9478</v>
      </c>
      <c r="V462" t="s">
        <v>9478</v>
      </c>
      <c r="W462">
        <v>12</v>
      </c>
      <c r="X462" t="s">
        <v>9940</v>
      </c>
      <c r="Y462">
        <v>0.73059273095173338</v>
      </c>
      <c r="Z462" t="str">
        <f>HYPERLINK("Melting_Curves/meltCurve_sp_P00491_PNPH_HUMAN_.pdf", "Melting_Curves/meltCurve_sp_P00491_PNPH_HUMAN_.pdf")</f>
        <v>Melting_Curves/meltCurve_sp_P00491_PNPH_HUMAN_.pdf</v>
      </c>
      <c r="AA462" t="s">
        <v>14674</v>
      </c>
      <c r="AB462" t="s">
        <v>19297</v>
      </c>
    </row>
    <row r="463" spans="1:28" x14ac:dyDescent="0.25">
      <c r="A463" t="s">
        <v>467</v>
      </c>
      <c r="B463">
        <v>0.99904790336628502</v>
      </c>
      <c r="C463">
        <v>0.97294261757297695</v>
      </c>
      <c r="D463">
        <v>1.0186328676207399</v>
      </c>
      <c r="E463">
        <v>0.98033198933987198</v>
      </c>
      <c r="F463">
        <v>0.93389760585942105</v>
      </c>
      <c r="G463">
        <v>0.79119699517110798</v>
      </c>
      <c r="H463">
        <v>0.64760841394593804</v>
      </c>
      <c r="I463">
        <v>0.61969315756841303</v>
      </c>
      <c r="J463">
        <v>0.57155990645545995</v>
      </c>
      <c r="K463">
        <v>0.39858920703916001</v>
      </c>
      <c r="L463">
        <v>670.55745236413395</v>
      </c>
      <c r="M463">
        <v>10.627609655324299</v>
      </c>
      <c r="N463">
        <v>67.425836339278106</v>
      </c>
      <c r="O463">
        <v>60.984777311782899</v>
      </c>
      <c r="P463">
        <v>-3.2804220525327797E-2</v>
      </c>
      <c r="Q463">
        <v>0.24732355213437299</v>
      </c>
      <c r="R463">
        <v>0.973735010109534</v>
      </c>
      <c r="S463" t="s">
        <v>5203</v>
      </c>
      <c r="T463" t="s">
        <v>9478</v>
      </c>
      <c r="U463" t="s">
        <v>9478</v>
      </c>
      <c r="V463" t="s">
        <v>9478</v>
      </c>
      <c r="W463">
        <v>13</v>
      </c>
      <c r="X463" t="s">
        <v>9941</v>
      </c>
      <c r="Y463">
        <v>0.80566409500667358</v>
      </c>
      <c r="Z463" t="str">
        <f>HYPERLINK("Melting_Curves/meltCurve_sp_P00492_HPRT_HUMAN_.pdf", "Melting_Curves/meltCurve_sp_P00492_HPRT_HUMAN_.pdf")</f>
        <v>Melting_Curves/meltCurve_sp_P00492_HPRT_HUMAN_.pdf</v>
      </c>
      <c r="AA463" t="s">
        <v>14675</v>
      </c>
      <c r="AB463" t="s">
        <v>19298</v>
      </c>
    </row>
    <row r="464" spans="1:28" x14ac:dyDescent="0.25">
      <c r="A464" t="s">
        <v>468</v>
      </c>
      <c r="B464">
        <v>0.99904790336628502</v>
      </c>
      <c r="C464">
        <v>1.08540186243829</v>
      </c>
      <c r="D464">
        <v>1.1099087196801101</v>
      </c>
      <c r="E464">
        <v>1.1904148810940001</v>
      </c>
      <c r="F464">
        <v>0.88467773602672795</v>
      </c>
      <c r="G464">
        <v>1.04549165574308</v>
      </c>
      <c r="H464">
        <v>0.58317156866313302</v>
      </c>
      <c r="I464">
        <v>0.42295158376736203</v>
      </c>
      <c r="J464">
        <v>0.30176784820823199</v>
      </c>
      <c r="K464">
        <v>0.13492170094132899</v>
      </c>
      <c r="L464">
        <v>1774.5353899090301</v>
      </c>
      <c r="M464">
        <v>28.728543918245698</v>
      </c>
      <c r="N464">
        <v>62.638159551559802</v>
      </c>
      <c r="O464">
        <v>61.472097472306302</v>
      </c>
      <c r="P464">
        <v>-9.7631648635104804E-2</v>
      </c>
      <c r="Q464">
        <v>0.16437453112330799</v>
      </c>
      <c r="R464">
        <v>0.92827242950825395</v>
      </c>
      <c r="S464" t="s">
        <v>5204</v>
      </c>
      <c r="T464" t="s">
        <v>9478</v>
      </c>
      <c r="U464" t="s">
        <v>9478</v>
      </c>
      <c r="V464" t="s">
        <v>9478</v>
      </c>
      <c r="W464">
        <v>45</v>
      </c>
      <c r="X464" t="s">
        <v>9942</v>
      </c>
      <c r="Y464">
        <v>0.77489725266487475</v>
      </c>
      <c r="Z464" t="str">
        <f>HYPERLINK("Melting_Curves/meltCurve_sp_P00505_AATM_HUMAN_.pdf", "Melting_Curves/meltCurve_sp_P00505_AATM_HUMAN_.pdf")</f>
        <v>Melting_Curves/meltCurve_sp_P00505_AATM_HUMAN_.pdf</v>
      </c>
      <c r="AA464" t="s">
        <v>14676</v>
      </c>
      <c r="AB464" t="s">
        <v>19299</v>
      </c>
    </row>
    <row r="465" spans="1:28" x14ac:dyDescent="0.25">
      <c r="A465" t="s">
        <v>469</v>
      </c>
      <c r="B465">
        <v>0.99904790336628502</v>
      </c>
      <c r="C465">
        <v>0.94563235429240899</v>
      </c>
      <c r="D465">
        <v>0.96657009959451901</v>
      </c>
      <c r="E465">
        <v>0.95351972793228501</v>
      </c>
      <c r="F465">
        <v>0.29380867097225499</v>
      </c>
      <c r="G465">
        <v>8.8256061943920702E-2</v>
      </c>
      <c r="H465">
        <v>4.50248892766675E-2</v>
      </c>
      <c r="I465">
        <v>3.1278500912489501E-2</v>
      </c>
      <c r="J465">
        <v>2.16149016713875E-2</v>
      </c>
      <c r="K465">
        <v>1.8683560065316698E-2</v>
      </c>
      <c r="L465">
        <v>3445.4515577628599</v>
      </c>
      <c r="M465">
        <v>66.021478995606003</v>
      </c>
      <c r="N465">
        <v>52.2527599864938</v>
      </c>
      <c r="O465">
        <v>52.139010416003501</v>
      </c>
      <c r="P465">
        <v>-0.30391456284045198</v>
      </c>
      <c r="Q465">
        <v>3.9960913488590301E-2</v>
      </c>
      <c r="R465">
        <v>0.99638735701380998</v>
      </c>
      <c r="S465" t="s">
        <v>5205</v>
      </c>
      <c r="T465" t="s">
        <v>9478</v>
      </c>
      <c r="U465" t="s">
        <v>9478</v>
      </c>
      <c r="V465" t="s">
        <v>9478</v>
      </c>
      <c r="W465">
        <v>37</v>
      </c>
      <c r="X465" t="s">
        <v>9943</v>
      </c>
      <c r="Y465">
        <v>0.43121978628757429</v>
      </c>
      <c r="Z465" t="str">
        <f>HYPERLINK("Melting_Curves/meltCurve_sp_P00558_PGK1_HUMAN_.pdf", "Melting_Curves/meltCurve_sp_P00558_PGK1_HUMAN_.pdf")</f>
        <v>Melting_Curves/meltCurve_sp_P00558_PGK1_HUMAN_.pdf</v>
      </c>
      <c r="AA465" t="s">
        <v>14677</v>
      </c>
      <c r="AB465" t="s">
        <v>19300</v>
      </c>
    </row>
    <row r="466" spans="1:28" x14ac:dyDescent="0.25">
      <c r="A466" t="s">
        <v>470</v>
      </c>
      <c r="B466">
        <v>0.99904790336628502</v>
      </c>
      <c r="C466">
        <v>0.96196555557266406</v>
      </c>
      <c r="D466">
        <v>0.91109966425479305</v>
      </c>
      <c r="E466">
        <v>0.81272959114330001</v>
      </c>
      <c r="F466">
        <v>0.44624869896441499</v>
      </c>
      <c r="G466">
        <v>0.16059566170431799</v>
      </c>
      <c r="H466">
        <v>9.1262137959157996E-2</v>
      </c>
      <c r="I466">
        <v>6.8306177055365597E-2</v>
      </c>
      <c r="J466">
        <v>6.3167708869212899E-2</v>
      </c>
      <c r="K466">
        <v>6.4305789139231503E-2</v>
      </c>
      <c r="L466">
        <v>1354.15715715944</v>
      </c>
      <c r="M466">
        <v>25.8636885599233</v>
      </c>
      <c r="N466">
        <v>52.624116661155298</v>
      </c>
      <c r="O466">
        <v>52.0474676566282</v>
      </c>
      <c r="P466">
        <v>-0.116602982174859</v>
      </c>
      <c r="Q466">
        <v>6.1414828788854202E-2</v>
      </c>
      <c r="R466">
        <v>0.99607987483998295</v>
      </c>
      <c r="S466" t="s">
        <v>5206</v>
      </c>
      <c r="T466" t="s">
        <v>9478</v>
      </c>
      <c r="U466" t="s">
        <v>9478</v>
      </c>
      <c r="V466" t="s">
        <v>9478</v>
      </c>
      <c r="W466">
        <v>19</v>
      </c>
      <c r="X466" t="s">
        <v>9944</v>
      </c>
      <c r="Y466">
        <v>0.45608789035715008</v>
      </c>
      <c r="Z466" t="str">
        <f>HYPERLINK("Melting_Curves/meltCurve_sp_P00568_KAD1_HUMAN_.pdf", "Melting_Curves/meltCurve_sp_P00568_KAD1_HUMAN_.pdf")</f>
        <v>Melting_Curves/meltCurve_sp_P00568_KAD1_HUMAN_.pdf</v>
      </c>
      <c r="AA466" t="s">
        <v>14678</v>
      </c>
      <c r="AB466" t="s">
        <v>19301</v>
      </c>
    </row>
    <row r="467" spans="1:28" x14ac:dyDescent="0.25">
      <c r="A467" t="s">
        <v>471</v>
      </c>
      <c r="B467">
        <v>0.99904790336628502</v>
      </c>
      <c r="C467">
        <v>0.95163839719612298</v>
      </c>
      <c r="D467">
        <v>0.97602857402960097</v>
      </c>
      <c r="E467">
        <v>0.84325786272298497</v>
      </c>
      <c r="F467">
        <v>0.58516604040548803</v>
      </c>
      <c r="G467">
        <v>0.19366206990339799</v>
      </c>
      <c r="H467">
        <v>0.115167984143473</v>
      </c>
      <c r="I467">
        <v>8.1304249275136797E-2</v>
      </c>
      <c r="J467">
        <v>8.0816319957718902E-2</v>
      </c>
      <c r="K467">
        <v>6.0933638453719997E-2</v>
      </c>
      <c r="L467">
        <v>1370.08445584372</v>
      </c>
      <c r="M467">
        <v>25.704342861876398</v>
      </c>
      <c r="N467">
        <v>53.604943424394897</v>
      </c>
      <c r="O467">
        <v>52.9821797962951</v>
      </c>
      <c r="P467">
        <v>-0.11308125070679099</v>
      </c>
      <c r="Q467">
        <v>6.7671759929307101E-2</v>
      </c>
      <c r="R467">
        <v>0.99781202205451003</v>
      </c>
      <c r="S467" t="s">
        <v>5207</v>
      </c>
      <c r="T467" t="s">
        <v>9478</v>
      </c>
      <c r="U467" t="s">
        <v>9478</v>
      </c>
      <c r="V467" t="s">
        <v>9478</v>
      </c>
      <c r="W467">
        <v>11</v>
      </c>
      <c r="X467" t="s">
        <v>9945</v>
      </c>
      <c r="Y467">
        <v>0.48922137507925301</v>
      </c>
      <c r="Z467" t="str">
        <f>HYPERLINK("Melting_Curves/meltCurve_sp_P00734_THRB_HUMAN_.pdf", "Melting_Curves/meltCurve_sp_P00734_THRB_HUMAN_.pdf")</f>
        <v>Melting_Curves/meltCurve_sp_P00734_THRB_HUMAN_.pdf</v>
      </c>
      <c r="AA467" t="s">
        <v>14679</v>
      </c>
      <c r="AB467" t="s">
        <v>19302</v>
      </c>
    </row>
    <row r="468" spans="1:28" x14ac:dyDescent="0.25">
      <c r="A468" t="s">
        <v>472</v>
      </c>
      <c r="B468">
        <v>0.99904790336628502</v>
      </c>
      <c r="C468">
        <v>0.95644289911868297</v>
      </c>
      <c r="D468">
        <v>0.92336333800848303</v>
      </c>
      <c r="E468">
        <v>0.65508415624164495</v>
      </c>
      <c r="F468">
        <v>0.39434405688941498</v>
      </c>
      <c r="G468">
        <v>0.19533244410536499</v>
      </c>
      <c r="H468">
        <v>9.3723385213833998E-2</v>
      </c>
      <c r="I468">
        <v>6.0261699608485202E-2</v>
      </c>
      <c r="J468">
        <v>3.99361556490253E-2</v>
      </c>
      <c r="K468">
        <v>3.0373324493492102E-2</v>
      </c>
      <c r="L468">
        <v>926.09257838089502</v>
      </c>
      <c r="M468">
        <v>17.921461762184801</v>
      </c>
      <c r="N468">
        <v>51.8462875743772</v>
      </c>
      <c r="O468">
        <v>51.044537529850302</v>
      </c>
      <c r="P468">
        <v>-8.5255734879412307E-2</v>
      </c>
      <c r="Q468">
        <v>2.8735227687579499E-2</v>
      </c>
      <c r="R468">
        <v>0.999191720856348</v>
      </c>
      <c r="S468" t="s">
        <v>5208</v>
      </c>
      <c r="T468" t="s">
        <v>9478</v>
      </c>
      <c r="U468" t="s">
        <v>9478</v>
      </c>
      <c r="V468" t="s">
        <v>9478</v>
      </c>
      <c r="W468">
        <v>10</v>
      </c>
      <c r="X468" t="s">
        <v>9946</v>
      </c>
      <c r="Y468">
        <v>0.42307703781364192</v>
      </c>
      <c r="Z468" t="str">
        <f>HYPERLINK("Melting_Curves/meltCurve_sp_P00736_C1R_HUMAN_.pdf", "Melting_Curves/meltCurve_sp_P00736_C1R_HUMAN_.pdf")</f>
        <v>Melting_Curves/meltCurve_sp_P00736_C1R_HUMAN_.pdf</v>
      </c>
      <c r="AA468" t="s">
        <v>14680</v>
      </c>
      <c r="AB468" t="s">
        <v>19303</v>
      </c>
    </row>
    <row r="469" spans="1:28" x14ac:dyDescent="0.25">
      <c r="A469" t="s">
        <v>473</v>
      </c>
      <c r="B469">
        <v>0.99904790336628502</v>
      </c>
      <c r="C469">
        <v>1.08244489455924</v>
      </c>
      <c r="D469">
        <v>1.16481460146728</v>
      </c>
      <c r="E469">
        <v>1.0981809992472999</v>
      </c>
      <c r="F469">
        <v>1.0376344835664899</v>
      </c>
      <c r="G469">
        <v>0.87936243603919995</v>
      </c>
      <c r="H469">
        <v>0.56258945460554199</v>
      </c>
      <c r="I469">
        <v>0.30083060046404803</v>
      </c>
      <c r="J469">
        <v>0.25149103165606501</v>
      </c>
      <c r="K469">
        <v>0.22578483460052201</v>
      </c>
      <c r="L469">
        <v>1980.85080602587</v>
      </c>
      <c r="M469">
        <v>32.788082026107503</v>
      </c>
      <c r="N469">
        <v>61.459406566059599</v>
      </c>
      <c r="O469">
        <v>60.190351252284998</v>
      </c>
      <c r="P469">
        <v>-0.107071275081704</v>
      </c>
      <c r="Q469">
        <v>0.213784138238132</v>
      </c>
      <c r="R469">
        <v>0.96434357856078001</v>
      </c>
      <c r="S469" t="s">
        <v>5209</v>
      </c>
      <c r="T469" t="s">
        <v>9478</v>
      </c>
      <c r="U469" t="s">
        <v>9478</v>
      </c>
      <c r="V469" t="s">
        <v>9478</v>
      </c>
      <c r="W469">
        <v>33</v>
      </c>
      <c r="X469" t="s">
        <v>9947</v>
      </c>
      <c r="Y469">
        <v>0.75289955796125596</v>
      </c>
      <c r="Z469" t="str">
        <f>HYPERLINK("Melting_Curves/meltCurve_sp_P00738_HPT_HUMAN_.pdf", "Melting_Curves/meltCurve_sp_P00738_HPT_HUMAN_.pdf")</f>
        <v>Melting_Curves/meltCurve_sp_P00738_HPT_HUMAN_.pdf</v>
      </c>
      <c r="AA469" t="s">
        <v>14681</v>
      </c>
      <c r="AB469" t="s">
        <v>19304</v>
      </c>
    </row>
    <row r="470" spans="1:28" x14ac:dyDescent="0.25">
      <c r="A470" t="s">
        <v>474</v>
      </c>
      <c r="B470">
        <v>0.99904790336628502</v>
      </c>
      <c r="C470">
        <v>0.81088047548957498</v>
      </c>
      <c r="D470">
        <v>0.81533903931011598</v>
      </c>
      <c r="E470">
        <v>0.62225177327569103</v>
      </c>
      <c r="F470">
        <v>0.48932035981211802</v>
      </c>
      <c r="G470">
        <v>0.17162735781810901</v>
      </c>
      <c r="H470">
        <v>7.8974175044155603E-2</v>
      </c>
      <c r="I470">
        <v>5.4764765499395102E-2</v>
      </c>
      <c r="J470">
        <v>1.1063282096384901E-2</v>
      </c>
      <c r="K470">
        <v>1.74931955732608E-2</v>
      </c>
      <c r="L470">
        <v>679.97368028790504</v>
      </c>
      <c r="M470">
        <v>13.1915794735598</v>
      </c>
      <c r="N470">
        <v>51.546039802558198</v>
      </c>
      <c r="O470">
        <v>50.404672582215902</v>
      </c>
      <c r="P470">
        <v>-6.5439274758276905E-2</v>
      </c>
      <c r="Q470">
        <v>0</v>
      </c>
      <c r="R470">
        <v>0.97898914536230996</v>
      </c>
      <c r="S470" t="s">
        <v>5210</v>
      </c>
      <c r="T470" t="s">
        <v>9478</v>
      </c>
      <c r="U470" t="s">
        <v>9478</v>
      </c>
      <c r="V470" t="s">
        <v>9478</v>
      </c>
      <c r="W470">
        <v>18</v>
      </c>
      <c r="X470" t="s">
        <v>9948</v>
      </c>
      <c r="Y470">
        <v>0.41247014818467981</v>
      </c>
      <c r="Z470" t="str">
        <f>HYPERLINK("Melting_Curves/meltCurve_sp_P00739_HPTR_HUMAN_.pdf", "Melting_Curves/meltCurve_sp_P00739_HPTR_HUMAN_.pdf")</f>
        <v>Melting_Curves/meltCurve_sp_P00739_HPTR_HUMAN_.pdf</v>
      </c>
      <c r="AA470" t="s">
        <v>14682</v>
      </c>
      <c r="AB470" t="s">
        <v>19305</v>
      </c>
    </row>
    <row r="471" spans="1:28" x14ac:dyDescent="0.25">
      <c r="A471" t="s">
        <v>475</v>
      </c>
      <c r="B471">
        <v>0.99904790336628502</v>
      </c>
      <c r="C471">
        <v>1.00865285402022</v>
      </c>
      <c r="D471">
        <v>1.0698538919948899</v>
      </c>
      <c r="E471">
        <v>0.86136333465680204</v>
      </c>
      <c r="F471">
        <v>0.673203778831716</v>
      </c>
      <c r="G471">
        <v>0.39247697742248</v>
      </c>
      <c r="H471">
        <v>0.29867952540236897</v>
      </c>
      <c r="I471">
        <v>0.2826094941617</v>
      </c>
      <c r="J471">
        <v>0.25965624212603</v>
      </c>
      <c r="K471">
        <v>0.26904341697458301</v>
      </c>
      <c r="L471">
        <v>1334.8380681927299</v>
      </c>
      <c r="M471">
        <v>24.998102099995101</v>
      </c>
      <c r="N471">
        <v>55.066052221213603</v>
      </c>
      <c r="O471">
        <v>53.0593827913833</v>
      </c>
      <c r="P471">
        <v>-8.6505550968170003E-2</v>
      </c>
      <c r="Q471">
        <v>0.265565147596936</v>
      </c>
      <c r="R471">
        <v>0.99279489266375098</v>
      </c>
      <c r="S471" t="s">
        <v>5211</v>
      </c>
      <c r="T471" t="s">
        <v>9478</v>
      </c>
      <c r="U471" t="s">
        <v>9478</v>
      </c>
      <c r="V471" t="s">
        <v>9478</v>
      </c>
      <c r="W471">
        <v>3</v>
      </c>
      <c r="X471" t="s">
        <v>9949</v>
      </c>
      <c r="Y471">
        <v>0.60033343046305465</v>
      </c>
      <c r="Z471" t="str">
        <f>HYPERLINK("Melting_Curves/meltCurve_sp_P00740_FA9_HUMAN_.pdf", "Melting_Curves/meltCurve_sp_P00740_FA9_HUMAN_.pdf")</f>
        <v>Melting_Curves/meltCurve_sp_P00740_FA9_HUMAN_.pdf</v>
      </c>
      <c r="AA471" t="s">
        <v>14683</v>
      </c>
      <c r="AB471" t="s">
        <v>19306</v>
      </c>
    </row>
    <row r="472" spans="1:28" x14ac:dyDescent="0.25">
      <c r="A472" t="s">
        <v>476</v>
      </c>
      <c r="B472">
        <v>0.99904790336628502</v>
      </c>
      <c r="C472">
        <v>0.97872905992354597</v>
      </c>
      <c r="D472">
        <v>0.99206747806087103</v>
      </c>
      <c r="E472">
        <v>0.74696832043452899</v>
      </c>
      <c r="F472">
        <v>0.53247070189911305</v>
      </c>
      <c r="G472">
        <v>0.30860976784748501</v>
      </c>
      <c r="H472">
        <v>0.18790022748514201</v>
      </c>
      <c r="I472">
        <v>0.13282142978681799</v>
      </c>
      <c r="J472">
        <v>8.9282371117297102E-2</v>
      </c>
      <c r="K472">
        <v>9.4689166297772798E-2</v>
      </c>
      <c r="L472">
        <v>920.04440455419694</v>
      </c>
      <c r="M472">
        <v>17.344181743229999</v>
      </c>
      <c r="N472">
        <v>53.616792227165902</v>
      </c>
      <c r="O472">
        <v>52.356158022055901</v>
      </c>
      <c r="P472">
        <v>-7.5844223359018803E-2</v>
      </c>
      <c r="Q472">
        <v>8.4260848006845399E-2</v>
      </c>
      <c r="R472">
        <v>0.99706152136250104</v>
      </c>
      <c r="S472" t="s">
        <v>5212</v>
      </c>
      <c r="T472" t="s">
        <v>9478</v>
      </c>
      <c r="U472" t="s">
        <v>9478</v>
      </c>
      <c r="V472" t="s">
        <v>9478</v>
      </c>
      <c r="W472">
        <v>4</v>
      </c>
      <c r="X472" t="s">
        <v>9950</v>
      </c>
      <c r="Y472">
        <v>0.49837713311821519</v>
      </c>
      <c r="Z472" t="str">
        <f>HYPERLINK("Melting_Curves/meltCurve_sp_P00742_FA10_HUMAN_.pdf", "Melting_Curves/meltCurve_sp_P00742_FA10_HUMAN_.pdf")</f>
        <v>Melting_Curves/meltCurve_sp_P00742_FA10_HUMAN_.pdf</v>
      </c>
      <c r="AA472" t="s">
        <v>14684</v>
      </c>
      <c r="AB472" t="s">
        <v>19307</v>
      </c>
    </row>
    <row r="473" spans="1:28" x14ac:dyDescent="0.25">
      <c r="A473" t="s">
        <v>477</v>
      </c>
      <c r="B473">
        <v>0.99904790336628502</v>
      </c>
      <c r="C473">
        <v>0.986309902690091</v>
      </c>
      <c r="D473">
        <v>0.92105586448240695</v>
      </c>
      <c r="E473">
        <v>0.60527853958834699</v>
      </c>
      <c r="F473">
        <v>0.33450424810907697</v>
      </c>
      <c r="G473">
        <v>0.18197239520866201</v>
      </c>
      <c r="H473">
        <v>0.133063503891894</v>
      </c>
      <c r="I473">
        <v>0.105310228255769</v>
      </c>
      <c r="J473">
        <v>0.105914191325037</v>
      </c>
      <c r="K473">
        <v>9.0211140768034798E-2</v>
      </c>
      <c r="L473">
        <v>1129.95755702817</v>
      </c>
      <c r="M473">
        <v>22.341193987527699</v>
      </c>
      <c r="N473">
        <v>51.099981252798003</v>
      </c>
      <c r="O473">
        <v>50.177320248137598</v>
      </c>
      <c r="P473">
        <v>-9.9943804256845695E-2</v>
      </c>
      <c r="Q473">
        <v>0.102141645023615</v>
      </c>
      <c r="R473">
        <v>0.99953948589297503</v>
      </c>
      <c r="S473" t="s">
        <v>5213</v>
      </c>
      <c r="T473" t="s">
        <v>9478</v>
      </c>
      <c r="U473" t="s">
        <v>9478</v>
      </c>
      <c r="V473" t="s">
        <v>9478</v>
      </c>
      <c r="W473">
        <v>14</v>
      </c>
      <c r="X473" t="s">
        <v>9951</v>
      </c>
      <c r="Y473">
        <v>0.42878228871987201</v>
      </c>
      <c r="Z473" t="str">
        <f>HYPERLINK("Melting_Curves/meltCurve_sp_P00747_PLMN_HUMAN_.pdf", "Melting_Curves/meltCurve_sp_P00747_PLMN_HUMAN_.pdf")</f>
        <v>Melting_Curves/meltCurve_sp_P00747_PLMN_HUMAN_.pdf</v>
      </c>
      <c r="AA473" t="s">
        <v>14685</v>
      </c>
      <c r="AB473" t="s">
        <v>19308</v>
      </c>
    </row>
    <row r="474" spans="1:28" x14ac:dyDescent="0.25">
      <c r="A474" t="s">
        <v>478</v>
      </c>
      <c r="B474">
        <v>0.99904790336628502</v>
      </c>
      <c r="C474">
        <v>0.89860542168916102</v>
      </c>
      <c r="D474">
        <v>0.90968540383852603</v>
      </c>
      <c r="E474">
        <v>0.781135982467282</v>
      </c>
      <c r="F474">
        <v>0.61959801083999799</v>
      </c>
      <c r="G474">
        <v>0.33598725139131203</v>
      </c>
      <c r="H474">
        <v>0.11520077042471701</v>
      </c>
      <c r="I474">
        <v>6.3915276389462997E-2</v>
      </c>
      <c r="J474">
        <v>7.1248301746860601E-2</v>
      </c>
      <c r="K474">
        <v>5.51257436015999E-2</v>
      </c>
      <c r="L474">
        <v>819.97244696793496</v>
      </c>
      <c r="M474">
        <v>15.1137198465919</v>
      </c>
      <c r="N474">
        <v>54.253516516411501</v>
      </c>
      <c r="O474">
        <v>53.330296775528502</v>
      </c>
      <c r="P474">
        <v>-7.0856544683014402E-2</v>
      </c>
      <c r="Q474">
        <v>0</v>
      </c>
      <c r="R474">
        <v>0.99132515686400502</v>
      </c>
      <c r="S474" t="s">
        <v>5214</v>
      </c>
      <c r="T474" t="s">
        <v>9478</v>
      </c>
      <c r="U474" t="s">
        <v>9478</v>
      </c>
      <c r="V474" t="s">
        <v>9478</v>
      </c>
      <c r="W474">
        <v>7</v>
      </c>
      <c r="X474" t="s">
        <v>9952</v>
      </c>
      <c r="Y474">
        <v>0.49516360553338529</v>
      </c>
      <c r="Z474" t="str">
        <f>HYPERLINK("Melting_Curves/meltCurve_sp_P00748_FA12_HUMAN_.pdf", "Melting_Curves/meltCurve_sp_P00748_FA12_HUMAN_.pdf")</f>
        <v>Melting_Curves/meltCurve_sp_P00748_FA12_HUMAN_.pdf</v>
      </c>
      <c r="AA474" t="s">
        <v>14686</v>
      </c>
      <c r="AB474" t="s">
        <v>19309</v>
      </c>
    </row>
    <row r="475" spans="1:28" x14ac:dyDescent="0.25">
      <c r="A475" t="s">
        <v>479</v>
      </c>
      <c r="B475">
        <v>0.99904790336628502</v>
      </c>
      <c r="C475">
        <v>1.1312703633796199</v>
      </c>
      <c r="D475">
        <v>1.02221469728678</v>
      </c>
      <c r="E475">
        <v>0.60029148883083305</v>
      </c>
      <c r="F475">
        <v>0.38462034391910899</v>
      </c>
      <c r="G475">
        <v>0.27075127877751598</v>
      </c>
      <c r="H475">
        <v>0.16336996908979401</v>
      </c>
      <c r="I475">
        <v>5.03037737436514E-2</v>
      </c>
      <c r="J475">
        <v>3.3132440053007597E-2</v>
      </c>
      <c r="K475">
        <v>2.6952306336644499E-2</v>
      </c>
      <c r="L475">
        <v>1024.0913887131701</v>
      </c>
      <c r="M475">
        <v>19.860929323004701</v>
      </c>
      <c r="N475">
        <v>51.903358277657198</v>
      </c>
      <c r="O475">
        <v>51.048905639532201</v>
      </c>
      <c r="P475">
        <v>-9.1330543106081102E-2</v>
      </c>
      <c r="Q475">
        <v>6.1037223829446E-2</v>
      </c>
      <c r="R475">
        <v>0.96980318337646099</v>
      </c>
      <c r="S475" t="s">
        <v>5215</v>
      </c>
      <c r="T475" t="s">
        <v>9478</v>
      </c>
      <c r="U475" t="s">
        <v>9478</v>
      </c>
      <c r="V475" t="s">
        <v>9478</v>
      </c>
      <c r="W475">
        <v>41</v>
      </c>
      <c r="X475" t="s">
        <v>9953</v>
      </c>
      <c r="Y475">
        <v>0.4361296478873477</v>
      </c>
      <c r="Z475" t="str">
        <f>HYPERLINK("Melting_Curves/meltCurve_sp_P00966_ASSY_HUMAN_.pdf", "Melting_Curves/meltCurve_sp_P00966_ASSY_HUMAN_.pdf")</f>
        <v>Melting_Curves/meltCurve_sp_P00966_ASSY_HUMAN_.pdf</v>
      </c>
      <c r="AA475" t="s">
        <v>14687</v>
      </c>
      <c r="AB475" t="s">
        <v>19310</v>
      </c>
    </row>
    <row r="476" spans="1:28" x14ac:dyDescent="0.25">
      <c r="A476" t="s">
        <v>480</v>
      </c>
      <c r="B476">
        <v>0.99904790336628502</v>
      </c>
      <c r="C476">
        <v>0.98159255364750997</v>
      </c>
      <c r="D476">
        <v>0.96634356368388397</v>
      </c>
      <c r="E476">
        <v>0.97787781761453796</v>
      </c>
      <c r="F476">
        <v>0.90050872927277004</v>
      </c>
      <c r="G476">
        <v>0.81351099833178597</v>
      </c>
      <c r="H476">
        <v>0.541902731165542</v>
      </c>
      <c r="I476">
        <v>0.383855131724892</v>
      </c>
      <c r="J476">
        <v>0.30128776536615898</v>
      </c>
      <c r="K476">
        <v>0.23341046937377</v>
      </c>
      <c r="L476">
        <v>1039.15953467535</v>
      </c>
      <c r="M476">
        <v>17.170948475562</v>
      </c>
      <c r="N476">
        <v>61.887290186143701</v>
      </c>
      <c r="O476">
        <v>59.7155339537968</v>
      </c>
      <c r="P476">
        <v>-6.0532307854900699E-2</v>
      </c>
      <c r="Q476">
        <v>0.15799542139984199</v>
      </c>
      <c r="R476">
        <v>0.996075394809809</v>
      </c>
      <c r="S476" t="s">
        <v>5216</v>
      </c>
      <c r="T476" t="s">
        <v>9478</v>
      </c>
      <c r="U476" t="s">
        <v>9478</v>
      </c>
      <c r="V476" t="s">
        <v>9478</v>
      </c>
      <c r="W476">
        <v>23</v>
      </c>
      <c r="X476" t="s">
        <v>9954</v>
      </c>
      <c r="Y476">
        <v>0.73931201106924149</v>
      </c>
      <c r="Z476" t="str">
        <f>HYPERLINK("Melting_Curves/meltCurve_sp_P01009_A1AT_HUMAN_.pdf", "Melting_Curves/meltCurve_sp_P01009_A1AT_HUMAN_.pdf")</f>
        <v>Melting_Curves/meltCurve_sp_P01009_A1AT_HUMAN_.pdf</v>
      </c>
      <c r="AA476" t="s">
        <v>14688</v>
      </c>
      <c r="AB476" t="s">
        <v>19311</v>
      </c>
    </row>
    <row r="477" spans="1:28" x14ac:dyDescent="0.25">
      <c r="A477" t="s">
        <v>481</v>
      </c>
      <c r="B477">
        <v>0.99904790336628502</v>
      </c>
      <c r="C477">
        <v>1.00036040209259</v>
      </c>
      <c r="D477">
        <v>0.92057972543036004</v>
      </c>
      <c r="E477">
        <v>0.87128671379200295</v>
      </c>
      <c r="F477">
        <v>0.79419160277429202</v>
      </c>
      <c r="G477">
        <v>0.59384820035290098</v>
      </c>
      <c r="H477">
        <v>0.235353981109688</v>
      </c>
      <c r="I477">
        <v>0.137261076327928</v>
      </c>
      <c r="J477">
        <v>9.1128127329842407E-2</v>
      </c>
      <c r="K477">
        <v>6.0040533592972699E-2</v>
      </c>
      <c r="L477">
        <v>935.552271163917</v>
      </c>
      <c r="M477">
        <v>16.289638898111701</v>
      </c>
      <c r="N477">
        <v>57.432352015267199</v>
      </c>
      <c r="O477">
        <v>56.587744846515797</v>
      </c>
      <c r="P477">
        <v>-7.19715509718927E-2</v>
      </c>
      <c r="Q477">
        <v>0</v>
      </c>
      <c r="R477">
        <v>0.991235674251702</v>
      </c>
      <c r="S477" t="s">
        <v>5217</v>
      </c>
      <c r="T477" t="s">
        <v>9478</v>
      </c>
      <c r="U477" t="s">
        <v>9478</v>
      </c>
      <c r="V477" t="s">
        <v>9478</v>
      </c>
      <c r="W477">
        <v>15</v>
      </c>
      <c r="X477" t="s">
        <v>9955</v>
      </c>
      <c r="Y477">
        <v>0.59529477389038032</v>
      </c>
      <c r="Z477" t="str">
        <f>HYPERLINK("Melting_Curves/meltCurve_sp_P01011_AACT_HUMAN_.pdf", "Melting_Curves/meltCurve_sp_P01011_AACT_HUMAN_.pdf")</f>
        <v>Melting_Curves/meltCurve_sp_P01011_AACT_HUMAN_.pdf</v>
      </c>
      <c r="AA477" t="s">
        <v>14689</v>
      </c>
      <c r="AB477" t="s">
        <v>19312</v>
      </c>
    </row>
    <row r="478" spans="1:28" x14ac:dyDescent="0.25">
      <c r="A478" t="s">
        <v>482</v>
      </c>
      <c r="B478">
        <v>0.99904790336628502</v>
      </c>
      <c r="C478">
        <v>1.04994329411304</v>
      </c>
      <c r="D478">
        <v>1.08626775000553</v>
      </c>
      <c r="E478">
        <v>1.05777932370272</v>
      </c>
      <c r="F478">
        <v>1.00170198147963</v>
      </c>
      <c r="G478">
        <v>0.73706963231934297</v>
      </c>
      <c r="H478">
        <v>0.39556299316615501</v>
      </c>
      <c r="I478">
        <v>0.10599841721316</v>
      </c>
      <c r="J478">
        <v>6.1237501558882398E-2</v>
      </c>
      <c r="K478">
        <v>2.7571724334620899E-2</v>
      </c>
      <c r="L478">
        <v>1576.3287016520601</v>
      </c>
      <c r="M478">
        <v>26.430102854266099</v>
      </c>
      <c r="N478">
        <v>59.647569280330003</v>
      </c>
      <c r="O478">
        <v>59.303115342344498</v>
      </c>
      <c r="P478">
        <v>-0.111268678495284</v>
      </c>
      <c r="Q478">
        <v>1.3646258624252501E-3</v>
      </c>
      <c r="R478">
        <v>0.98946031322910499</v>
      </c>
      <c r="S478" t="s">
        <v>5218</v>
      </c>
      <c r="T478" t="s">
        <v>9478</v>
      </c>
      <c r="U478" t="s">
        <v>9478</v>
      </c>
      <c r="V478" t="s">
        <v>9478</v>
      </c>
      <c r="W478">
        <v>8</v>
      </c>
      <c r="X478" t="s">
        <v>9956</v>
      </c>
      <c r="Y478">
        <v>0.66246499852359264</v>
      </c>
      <c r="Z478" t="str">
        <f>HYPERLINK("Melting_Curves/meltCurve_sp_P01019_ANGT_HUMAN_.pdf", "Melting_Curves/meltCurve_sp_P01019_ANGT_HUMAN_.pdf")</f>
        <v>Melting_Curves/meltCurve_sp_P01019_ANGT_HUMAN_.pdf</v>
      </c>
      <c r="AA478" t="s">
        <v>14690</v>
      </c>
      <c r="AB478" t="s">
        <v>19313</v>
      </c>
    </row>
    <row r="479" spans="1:28" x14ac:dyDescent="0.25">
      <c r="A479" t="s">
        <v>483</v>
      </c>
      <c r="B479">
        <v>0.99904790336628502</v>
      </c>
      <c r="C479">
        <v>1.06645303969564</v>
      </c>
      <c r="D479">
        <v>1.06807023134042</v>
      </c>
      <c r="E479">
        <v>1.0267728811021799</v>
      </c>
      <c r="F479">
        <v>0.84725943356748801</v>
      </c>
      <c r="G479">
        <v>0.71964587801875302</v>
      </c>
      <c r="H479">
        <v>0.53364162917837199</v>
      </c>
      <c r="I479">
        <v>0.36243049982980802</v>
      </c>
      <c r="J479">
        <v>0.28472022973972899</v>
      </c>
      <c r="K479">
        <v>0.16719278831088699</v>
      </c>
      <c r="L479">
        <v>866.33869780614202</v>
      </c>
      <c r="M479">
        <v>14.2627696396974</v>
      </c>
      <c r="N479">
        <v>61.330822040832103</v>
      </c>
      <c r="O479">
        <v>59.584625559245602</v>
      </c>
      <c r="P479">
        <v>-5.6015868960711999E-2</v>
      </c>
      <c r="Q479">
        <v>6.4060069616731705E-2</v>
      </c>
      <c r="R479">
        <v>0.98203066896885005</v>
      </c>
      <c r="S479" t="s">
        <v>5219</v>
      </c>
      <c r="T479" t="s">
        <v>9478</v>
      </c>
      <c r="U479" t="s">
        <v>9478</v>
      </c>
      <c r="V479" t="s">
        <v>9478</v>
      </c>
      <c r="W479">
        <v>33</v>
      </c>
      <c r="X479" t="s">
        <v>9957</v>
      </c>
      <c r="Y479">
        <v>0.71363491316910677</v>
      </c>
      <c r="Z479" t="str">
        <f>HYPERLINK("Melting_Curves/meltCurve_sp_P01023_A2MG_HUMAN_.pdf", "Melting_Curves/meltCurve_sp_P01023_A2MG_HUMAN_.pdf")</f>
        <v>Melting_Curves/meltCurve_sp_P01023_A2MG_HUMAN_.pdf</v>
      </c>
      <c r="AA479" t="s">
        <v>14691</v>
      </c>
      <c r="AB479" t="s">
        <v>19314</v>
      </c>
    </row>
    <row r="480" spans="1:28" x14ac:dyDescent="0.25">
      <c r="A480" t="s">
        <v>484</v>
      </c>
      <c r="B480">
        <v>0.99904790336628502</v>
      </c>
      <c r="C480">
        <v>0.95505937711281097</v>
      </c>
      <c r="D480">
        <v>1.0342452418413901</v>
      </c>
      <c r="E480">
        <v>1.0132568841404599</v>
      </c>
      <c r="F480">
        <v>0.92634811780665205</v>
      </c>
      <c r="G480">
        <v>0.66133125513065805</v>
      </c>
      <c r="H480">
        <v>0.188391133833784</v>
      </c>
      <c r="I480">
        <v>0.114637092900798</v>
      </c>
      <c r="J480">
        <v>8.3668617169726706E-2</v>
      </c>
      <c r="K480">
        <v>6.2802715959735703E-2</v>
      </c>
      <c r="L480">
        <v>1955.8647874197</v>
      </c>
      <c r="M480">
        <v>33.810840421874403</v>
      </c>
      <c r="N480">
        <v>58.096667051437798</v>
      </c>
      <c r="O480">
        <v>57.646036841507303</v>
      </c>
      <c r="P480">
        <v>-0.136726737058603</v>
      </c>
      <c r="Q480">
        <v>6.7550893068322598E-2</v>
      </c>
      <c r="R480">
        <v>0.996882355697016</v>
      </c>
      <c r="S480" t="s">
        <v>5220</v>
      </c>
      <c r="T480" t="s">
        <v>9478</v>
      </c>
      <c r="U480" t="s">
        <v>9478</v>
      </c>
      <c r="V480" t="s">
        <v>9478</v>
      </c>
      <c r="W480">
        <v>93</v>
      </c>
      <c r="X480" t="s">
        <v>9958</v>
      </c>
      <c r="Y480">
        <v>0.62727467001868087</v>
      </c>
      <c r="Z480" t="str">
        <f>HYPERLINK("Melting_Curves/meltCurve_sp_P01024_CO3_HUMAN_.pdf", "Melting_Curves/meltCurve_sp_P01024_CO3_HUMAN_.pdf")</f>
        <v>Melting_Curves/meltCurve_sp_P01024_CO3_HUMAN_.pdf</v>
      </c>
      <c r="AA480" t="s">
        <v>14692</v>
      </c>
      <c r="AB480" t="s">
        <v>19315</v>
      </c>
    </row>
    <row r="481" spans="1:28" x14ac:dyDescent="0.25">
      <c r="A481" t="s">
        <v>485</v>
      </c>
      <c r="B481">
        <v>0.99904790336628502</v>
      </c>
      <c r="C481">
        <v>0.95351433352042503</v>
      </c>
      <c r="D481">
        <v>0.90799389272782105</v>
      </c>
      <c r="E481">
        <v>0.953124891612116</v>
      </c>
      <c r="F481">
        <v>0.94218538000632002</v>
      </c>
      <c r="G481">
        <v>0.81852936252330999</v>
      </c>
      <c r="H481">
        <v>0.68570913536872402</v>
      </c>
      <c r="I481">
        <v>0.60558279080451005</v>
      </c>
      <c r="J481">
        <v>0.49864850636923103</v>
      </c>
      <c r="K481">
        <v>0.25991345716205899</v>
      </c>
      <c r="L481">
        <v>720.08799359238901</v>
      </c>
      <c r="M481">
        <v>10.973767930944099</v>
      </c>
      <c r="N481">
        <v>65.619018200077804</v>
      </c>
      <c r="O481">
        <v>63.552879569192498</v>
      </c>
      <c r="P481">
        <v>-4.3182561424186597E-2</v>
      </c>
      <c r="Q481">
        <v>0</v>
      </c>
      <c r="R481">
        <v>0.96349028058062902</v>
      </c>
      <c r="S481" t="s">
        <v>5221</v>
      </c>
      <c r="T481" t="s">
        <v>9478</v>
      </c>
      <c r="U481" t="s">
        <v>9478</v>
      </c>
      <c r="V481" t="s">
        <v>9478</v>
      </c>
      <c r="W481">
        <v>3</v>
      </c>
      <c r="X481" t="s">
        <v>9959</v>
      </c>
      <c r="Y481">
        <v>0.79962706663457095</v>
      </c>
      <c r="Z481" t="str">
        <f>HYPERLINK("Melting_Curves/meltCurve_sp_P01034_CYTC_HUMAN_.pdf", "Melting_Curves/meltCurve_sp_P01034_CYTC_HUMAN_.pdf")</f>
        <v>Melting_Curves/meltCurve_sp_P01034_CYTC_HUMAN_.pdf</v>
      </c>
      <c r="AA481" t="s">
        <v>14693</v>
      </c>
      <c r="AB481" t="s">
        <v>19316</v>
      </c>
    </row>
    <row r="482" spans="1:28" x14ac:dyDescent="0.25">
      <c r="A482" t="s">
        <v>486</v>
      </c>
      <c r="B482">
        <v>0.99904790336628502</v>
      </c>
      <c r="C482">
        <v>0.96410609609834397</v>
      </c>
      <c r="D482">
        <v>1.02931478139424</v>
      </c>
      <c r="E482">
        <v>1.06636611757758</v>
      </c>
      <c r="F482">
        <v>0.83332026520541302</v>
      </c>
      <c r="G482">
        <v>0.93903231855445801</v>
      </c>
      <c r="H482">
        <v>0.67454956224987395</v>
      </c>
      <c r="I482">
        <v>0.83320605277232795</v>
      </c>
      <c r="J482">
        <v>1.09002515853693</v>
      </c>
      <c r="K482">
        <v>0.87268960770388704</v>
      </c>
      <c r="L482">
        <v>12878.0615195384</v>
      </c>
      <c r="M482">
        <v>250</v>
      </c>
      <c r="O482">
        <v>51.508931791573801</v>
      </c>
      <c r="P482">
        <v>-0.153132596433181</v>
      </c>
      <c r="Q482">
        <v>0.873796812753872</v>
      </c>
      <c r="R482">
        <v>0.317418569478716</v>
      </c>
      <c r="S482" t="s">
        <v>5222</v>
      </c>
      <c r="T482" t="s">
        <v>9478</v>
      </c>
      <c r="U482" t="s">
        <v>9478</v>
      </c>
      <c r="V482" t="s">
        <v>9478</v>
      </c>
      <c r="W482">
        <v>3</v>
      </c>
      <c r="X482" t="s">
        <v>9960</v>
      </c>
      <c r="Y482">
        <v>0.92223762683876465</v>
      </c>
      <c r="Z482" t="str">
        <f>HYPERLINK("Melting_Curves/meltCurve_sp_P01040_CYTA_HUMAN_.pdf", "Melting_Curves/meltCurve_sp_P01040_CYTA_HUMAN_.pdf")</f>
        <v>Melting_Curves/meltCurve_sp_P01040_CYTA_HUMAN_.pdf</v>
      </c>
      <c r="AA482" t="s">
        <v>14694</v>
      </c>
      <c r="AB482" t="s">
        <v>19317</v>
      </c>
    </row>
    <row r="483" spans="1:28" x14ac:dyDescent="0.25">
      <c r="A483" t="s">
        <v>487</v>
      </c>
      <c r="B483">
        <v>0.99904790336628502</v>
      </c>
      <c r="C483">
        <v>0.94785744298085295</v>
      </c>
      <c r="D483">
        <v>0.95457104609771704</v>
      </c>
      <c r="E483">
        <v>0.899011140354398</v>
      </c>
      <c r="F483">
        <v>0.84994120148904095</v>
      </c>
      <c r="G483">
        <v>0.65627794339161805</v>
      </c>
      <c r="H483">
        <v>0.47509516485195902</v>
      </c>
      <c r="I483">
        <v>0.38393361145410299</v>
      </c>
      <c r="J483">
        <v>0.31362300375694102</v>
      </c>
      <c r="K483">
        <v>0.24663280259688999</v>
      </c>
      <c r="L483">
        <v>685.64595029620705</v>
      </c>
      <c r="M483">
        <v>11.5725195969151</v>
      </c>
      <c r="N483">
        <v>60.719106830741602</v>
      </c>
      <c r="O483">
        <v>57.561493483549697</v>
      </c>
      <c r="P483">
        <v>-4.4128361088146599E-2</v>
      </c>
      <c r="Q483">
        <v>0.12226894991779901</v>
      </c>
      <c r="R483">
        <v>0.99594963217548504</v>
      </c>
      <c r="S483" t="s">
        <v>5223</v>
      </c>
      <c r="T483" t="s">
        <v>9478</v>
      </c>
      <c r="U483" t="s">
        <v>9478</v>
      </c>
      <c r="V483" t="s">
        <v>9478</v>
      </c>
      <c r="W483">
        <v>16</v>
      </c>
      <c r="X483" t="s">
        <v>9961</v>
      </c>
      <c r="Y483">
        <v>0.69051043431924553</v>
      </c>
      <c r="Z483" t="str">
        <f>HYPERLINK("Melting_Curves/meltCurve_sp_P01042_2_KNG1_HUMAN_.pdf", "Melting_Curves/meltCurve_sp_P01042_2_KNG1_HUMAN_.pdf")</f>
        <v>Melting_Curves/meltCurve_sp_P01042_2_KNG1_HUMAN_.pdf</v>
      </c>
      <c r="AA483" t="s">
        <v>14695</v>
      </c>
      <c r="AB483" t="s">
        <v>19318</v>
      </c>
    </row>
    <row r="484" spans="1:28" x14ac:dyDescent="0.25">
      <c r="A484" t="s">
        <v>488</v>
      </c>
      <c r="B484">
        <v>0.99904790336628502</v>
      </c>
      <c r="C484">
        <v>0.89855643122104401</v>
      </c>
      <c r="D484">
        <v>0.76855053309516796</v>
      </c>
      <c r="E484">
        <v>0.499358090516072</v>
      </c>
      <c r="F484">
        <v>0.33966933319339998</v>
      </c>
      <c r="G484">
        <v>0.225253558298047</v>
      </c>
      <c r="H484">
        <v>0.120481133439287</v>
      </c>
      <c r="I484">
        <v>6.9265227509508101E-2</v>
      </c>
      <c r="J484">
        <v>5.3791382514609402E-2</v>
      </c>
      <c r="K484">
        <v>3.4011359430313901E-2</v>
      </c>
      <c r="L484">
        <v>640.30506317978802</v>
      </c>
      <c r="M484">
        <v>12.768735402489</v>
      </c>
      <c r="N484">
        <v>50.303315634454698</v>
      </c>
      <c r="O484">
        <v>48.964089070758298</v>
      </c>
      <c r="P484">
        <v>-6.3932994055920997E-2</v>
      </c>
      <c r="Q484">
        <v>1.9533948678147901E-2</v>
      </c>
      <c r="R484">
        <v>0.99749573328534302</v>
      </c>
      <c r="S484" t="s">
        <v>5224</v>
      </c>
      <c r="T484" t="s">
        <v>9478</v>
      </c>
      <c r="U484" t="s">
        <v>9478</v>
      </c>
      <c r="V484" t="s">
        <v>9478</v>
      </c>
      <c r="W484">
        <v>6</v>
      </c>
      <c r="X484" t="s">
        <v>9962</v>
      </c>
      <c r="Y484">
        <v>0.3816519112879655</v>
      </c>
      <c r="Z484" t="str">
        <f>HYPERLINK("Melting_Curves/meltCurve_sp_P01111_RASN_HUMAN_.pdf", "Melting_Curves/meltCurve_sp_P01111_RASN_HUMAN_.pdf")</f>
        <v>Melting_Curves/meltCurve_sp_P01111_RASN_HUMAN_.pdf</v>
      </c>
      <c r="AA484" t="s">
        <v>14696</v>
      </c>
      <c r="AB484" t="s">
        <v>19319</v>
      </c>
    </row>
    <row r="485" spans="1:28" x14ac:dyDescent="0.25">
      <c r="A485" t="s">
        <v>489</v>
      </c>
      <c r="B485">
        <v>0.99904790336628502</v>
      </c>
      <c r="C485">
        <v>0.81659927784238395</v>
      </c>
      <c r="D485">
        <v>0.81496481540770305</v>
      </c>
      <c r="E485">
        <v>0.61041296381320698</v>
      </c>
      <c r="F485">
        <v>0.40406746059732301</v>
      </c>
      <c r="G485">
        <v>0.20596345233497201</v>
      </c>
      <c r="H485">
        <v>0.106957111204132</v>
      </c>
      <c r="I485">
        <v>6.19981213390687E-2</v>
      </c>
      <c r="J485">
        <v>4.88567883068576E-2</v>
      </c>
      <c r="K485">
        <v>3.7439075449652102E-2</v>
      </c>
      <c r="L485">
        <v>630.044567064239</v>
      </c>
      <c r="M485">
        <v>12.3026332219855</v>
      </c>
      <c r="N485">
        <v>51.212171908644997</v>
      </c>
      <c r="O485">
        <v>49.9154829567698</v>
      </c>
      <c r="P485">
        <v>-6.1630807520383399E-2</v>
      </c>
      <c r="Q485">
        <v>0</v>
      </c>
      <c r="R485">
        <v>0.989477888895543</v>
      </c>
      <c r="S485" t="s">
        <v>5225</v>
      </c>
      <c r="T485" t="s">
        <v>9478</v>
      </c>
      <c r="U485" t="s">
        <v>9478</v>
      </c>
      <c r="V485" t="s">
        <v>9478</v>
      </c>
      <c r="W485">
        <v>7</v>
      </c>
      <c r="X485" t="s">
        <v>9963</v>
      </c>
      <c r="Y485">
        <v>0.40481744247811791</v>
      </c>
      <c r="Z485" t="str">
        <f>HYPERLINK("Melting_Curves/meltCurve_sp_P01116_2_RASK_HUMAN_.pdf", "Melting_Curves/meltCurve_sp_P01116_2_RASK_HUMAN_.pdf")</f>
        <v>Melting_Curves/meltCurve_sp_P01116_2_RASK_HUMAN_.pdf</v>
      </c>
      <c r="AA485" t="s">
        <v>14697</v>
      </c>
      <c r="AB485" t="s">
        <v>19320</v>
      </c>
    </row>
    <row r="486" spans="1:28" x14ac:dyDescent="0.25">
      <c r="A486" t="s">
        <v>490</v>
      </c>
      <c r="B486">
        <v>0.99904790336628502</v>
      </c>
      <c r="C486">
        <v>0.82866526729050105</v>
      </c>
      <c r="D486">
        <v>0.71685794097604005</v>
      </c>
      <c r="E486">
        <v>0.51563141355770703</v>
      </c>
      <c r="F486">
        <v>0.38496283455292202</v>
      </c>
      <c r="G486">
        <v>0.187344264784608</v>
      </c>
      <c r="H486">
        <v>9.15310316172981E-2</v>
      </c>
      <c r="I486">
        <v>9.5997604734156E-2</v>
      </c>
      <c r="J486">
        <v>2.0450920000712601E-2</v>
      </c>
      <c r="K486">
        <v>0</v>
      </c>
      <c r="L486">
        <v>577.98115094841501</v>
      </c>
      <c r="M486">
        <v>11.5393525400314</v>
      </c>
      <c r="N486">
        <v>50.087831936247298</v>
      </c>
      <c r="O486">
        <v>48.6544429477742</v>
      </c>
      <c r="P486">
        <v>-5.9309021290586399E-2</v>
      </c>
      <c r="Q486">
        <v>0</v>
      </c>
      <c r="R486">
        <v>0.99176752346813202</v>
      </c>
      <c r="S486" t="s">
        <v>5226</v>
      </c>
      <c r="T486" t="s">
        <v>9478</v>
      </c>
      <c r="U486" t="s">
        <v>9478</v>
      </c>
      <c r="V486" t="s">
        <v>9478</v>
      </c>
      <c r="W486">
        <v>6</v>
      </c>
      <c r="X486" t="s">
        <v>9964</v>
      </c>
      <c r="Y486">
        <v>0.3728242160353028</v>
      </c>
      <c r="Z486" t="str">
        <f>HYPERLINK("Melting_Curves/meltCurve_sp_P01116_RASK_HUMAN_.pdf", "Melting_Curves/meltCurve_sp_P01116_RASK_HUMAN_.pdf")</f>
        <v>Melting_Curves/meltCurve_sp_P01116_RASK_HUMAN_.pdf</v>
      </c>
      <c r="AA486" t="s">
        <v>14697</v>
      </c>
      <c r="AB486" t="s">
        <v>19321</v>
      </c>
    </row>
    <row r="487" spans="1:28" x14ac:dyDescent="0.25">
      <c r="A487" t="s">
        <v>491</v>
      </c>
      <c r="B487">
        <v>0.99904790336628502</v>
      </c>
      <c r="C487">
        <v>0.96161770654497303</v>
      </c>
      <c r="D487">
        <v>1.01206533824832</v>
      </c>
      <c r="E487">
        <v>0.87270523622415896</v>
      </c>
      <c r="F487">
        <v>0.63222854058297795</v>
      </c>
      <c r="G487">
        <v>0.47064041858884698</v>
      </c>
      <c r="H487">
        <v>0.313404901358037</v>
      </c>
      <c r="I487">
        <v>0.23284188506217601</v>
      </c>
      <c r="J487">
        <v>0.14487864156706101</v>
      </c>
      <c r="K487">
        <v>0.11011823702092099</v>
      </c>
      <c r="L487">
        <v>763.33759866581704</v>
      </c>
      <c r="M487">
        <v>13.702825278469399</v>
      </c>
      <c r="N487">
        <v>56.3728443891372</v>
      </c>
      <c r="O487">
        <v>54.560353374395902</v>
      </c>
      <c r="P487">
        <v>-5.8101924605643701E-2</v>
      </c>
      <c r="Q487">
        <v>7.4758562409661805E-2</v>
      </c>
      <c r="R487">
        <v>0.991228890702472</v>
      </c>
      <c r="S487" t="s">
        <v>5227</v>
      </c>
      <c r="T487" t="s">
        <v>9478</v>
      </c>
      <c r="U487" t="s">
        <v>9478</v>
      </c>
      <c r="V487" t="s">
        <v>9478</v>
      </c>
      <c r="W487">
        <v>1</v>
      </c>
      <c r="X487" t="s">
        <v>9965</v>
      </c>
      <c r="Y487">
        <v>0.57735612018368576</v>
      </c>
      <c r="Z487" t="str">
        <f>HYPERLINK("Melting_Curves/meltCurve_sp_P01598_KV106_HUMAN_.pdf", "Melting_Curves/meltCurve_sp_P01598_KV106_HUMAN_.pdf")</f>
        <v>Melting_Curves/meltCurve_sp_P01598_KV106_HUMAN_.pdf</v>
      </c>
      <c r="AB487" t="s">
        <v>19322</v>
      </c>
    </row>
    <row r="488" spans="1:28" x14ac:dyDescent="0.25">
      <c r="A488" t="s">
        <v>492</v>
      </c>
      <c r="B488">
        <v>0.99904790336628502</v>
      </c>
      <c r="C488">
        <v>1.0340299868668501</v>
      </c>
      <c r="D488">
        <v>1.01031536338849</v>
      </c>
      <c r="E488">
        <v>0.68435314598556296</v>
      </c>
      <c r="F488">
        <v>0.17840492216440501</v>
      </c>
      <c r="G488">
        <v>0.110893723394064</v>
      </c>
      <c r="H488">
        <v>6.4310990650970998E-2</v>
      </c>
      <c r="I488">
        <v>4.16601170763366E-2</v>
      </c>
      <c r="J488">
        <v>3.92170432493157E-2</v>
      </c>
      <c r="K488">
        <v>3.5462796293648298E-2</v>
      </c>
      <c r="L488">
        <v>2257.43012318402</v>
      </c>
      <c r="M488">
        <v>44.458154394179097</v>
      </c>
      <c r="N488">
        <v>50.912388655103598</v>
      </c>
      <c r="O488">
        <v>50.6741143906155</v>
      </c>
      <c r="P488">
        <v>-0.20706496260488899</v>
      </c>
      <c r="Q488">
        <v>5.5937731296193102E-2</v>
      </c>
      <c r="R488">
        <v>0.99739298819254496</v>
      </c>
      <c r="S488" t="s">
        <v>5228</v>
      </c>
      <c r="T488" t="s">
        <v>9478</v>
      </c>
      <c r="U488" t="s">
        <v>9478</v>
      </c>
      <c r="V488" t="s">
        <v>9478</v>
      </c>
      <c r="W488">
        <v>2</v>
      </c>
      <c r="X488" t="s">
        <v>9966</v>
      </c>
      <c r="Y488">
        <v>0.39773936672274579</v>
      </c>
      <c r="Z488" t="str">
        <f>HYPERLINK("Melting_Curves/meltCurve_sp_P01608_KV116_HUMAN_.pdf", "Melting_Curves/meltCurve_sp_P01608_KV116_HUMAN_.pdf")</f>
        <v>Melting_Curves/meltCurve_sp_P01608_KV116_HUMAN_.pdf</v>
      </c>
      <c r="AB488" t="s">
        <v>19323</v>
      </c>
    </row>
    <row r="489" spans="1:28" x14ac:dyDescent="0.25">
      <c r="A489" t="s">
        <v>493</v>
      </c>
      <c r="B489">
        <v>0.99904790336628502</v>
      </c>
      <c r="C489">
        <v>0.90996625289427302</v>
      </c>
      <c r="D489">
        <v>0.97539540989709195</v>
      </c>
      <c r="E489">
        <v>0.95940712280667495</v>
      </c>
      <c r="F489">
        <v>0.95620094402643996</v>
      </c>
      <c r="G489">
        <v>0.69878094104300603</v>
      </c>
      <c r="H489">
        <v>0.57033583689654899</v>
      </c>
      <c r="I489">
        <v>0.43971482852030902</v>
      </c>
      <c r="J489">
        <v>0.328598716626955</v>
      </c>
      <c r="K489">
        <v>0.21799769631365001</v>
      </c>
      <c r="L489">
        <v>763.44714657513805</v>
      </c>
      <c r="M489">
        <v>12.3415675162098</v>
      </c>
      <c r="N489">
        <v>62.385906483991803</v>
      </c>
      <c r="O489">
        <v>60.302991219114297</v>
      </c>
      <c r="P489">
        <v>-4.8646745728654198E-2</v>
      </c>
      <c r="Q489">
        <v>4.9420537730353799E-2</v>
      </c>
      <c r="R489">
        <v>0.98094355474874695</v>
      </c>
      <c r="S489" t="s">
        <v>5229</v>
      </c>
      <c r="T489" t="s">
        <v>9478</v>
      </c>
      <c r="U489" t="s">
        <v>9478</v>
      </c>
      <c r="V489" t="s">
        <v>9478</v>
      </c>
      <c r="W489">
        <v>1</v>
      </c>
      <c r="X489" t="s">
        <v>9967</v>
      </c>
      <c r="Y489">
        <v>0.73350435679801018</v>
      </c>
      <c r="Z489" t="str">
        <f>HYPERLINK("Melting_Curves/meltCurve_sp_P01617_KV204_HUMAN_.pdf", "Melting_Curves/meltCurve_sp_P01617_KV204_HUMAN_.pdf")</f>
        <v>Melting_Curves/meltCurve_sp_P01617_KV204_HUMAN_.pdf</v>
      </c>
      <c r="AB489" t="s">
        <v>19324</v>
      </c>
    </row>
    <row r="490" spans="1:28" x14ac:dyDescent="0.25">
      <c r="A490" t="s">
        <v>494</v>
      </c>
      <c r="B490">
        <v>0.99904790336628502</v>
      </c>
      <c r="C490">
        <v>0.94493727803068095</v>
      </c>
      <c r="D490">
        <v>0.80047623627554798</v>
      </c>
      <c r="E490">
        <v>0.90102362714555995</v>
      </c>
      <c r="F490">
        <v>0.89162986584544701</v>
      </c>
      <c r="G490">
        <v>0.85467723229233605</v>
      </c>
      <c r="H490">
        <v>0.55056865889888396</v>
      </c>
      <c r="I490">
        <v>0.53157644649082803</v>
      </c>
      <c r="J490">
        <v>0.20056435175540199</v>
      </c>
      <c r="K490">
        <v>0.22697191882446199</v>
      </c>
      <c r="L490">
        <v>805.72010399779106</v>
      </c>
      <c r="M490">
        <v>12.8420056476568</v>
      </c>
      <c r="N490">
        <v>62.740986596105401</v>
      </c>
      <c r="O490">
        <v>61.277994582347603</v>
      </c>
      <c r="P490">
        <v>-5.2402092526941203E-2</v>
      </c>
      <c r="Q490">
        <v>0</v>
      </c>
      <c r="R490">
        <v>0.91026251040361095</v>
      </c>
      <c r="S490" t="s">
        <v>5230</v>
      </c>
      <c r="T490" t="s">
        <v>9478</v>
      </c>
      <c r="U490" t="s">
        <v>9478</v>
      </c>
      <c r="V490" t="s">
        <v>9478</v>
      </c>
      <c r="W490">
        <v>1</v>
      </c>
      <c r="X490" t="s">
        <v>9968</v>
      </c>
      <c r="Y490">
        <v>0.74405245297360334</v>
      </c>
      <c r="Z490" t="str">
        <f>HYPERLINK("Melting_Curves/meltCurve_sp_P01743_HV102_HUMAN_.pdf", "Melting_Curves/meltCurve_sp_P01743_HV102_HUMAN_.pdf")</f>
        <v>Melting_Curves/meltCurve_sp_P01743_HV102_HUMAN_.pdf</v>
      </c>
      <c r="AB490" t="s">
        <v>19325</v>
      </c>
    </row>
    <row r="491" spans="1:28" x14ac:dyDescent="0.25">
      <c r="A491" t="s">
        <v>495</v>
      </c>
      <c r="B491">
        <v>0.99904790336628502</v>
      </c>
      <c r="C491">
        <v>1.20668907243408</v>
      </c>
      <c r="D491">
        <v>1.25404443983096</v>
      </c>
      <c r="E491">
        <v>1.2095152179833399</v>
      </c>
      <c r="F491">
        <v>1.0534689266108399</v>
      </c>
      <c r="G491">
        <v>0.853568585518791</v>
      </c>
      <c r="H491">
        <v>0.52972517986968004</v>
      </c>
      <c r="I491">
        <v>0.40127595710792002</v>
      </c>
      <c r="J491">
        <v>0.22491515460745101</v>
      </c>
      <c r="K491">
        <v>0.14156298842784601</v>
      </c>
      <c r="L491">
        <v>1479.6288438650799</v>
      </c>
      <c r="M491">
        <v>24.225360612412501</v>
      </c>
      <c r="N491">
        <v>61.843783452328204</v>
      </c>
      <c r="O491">
        <v>60.666053162485298</v>
      </c>
      <c r="P491">
        <v>-8.6891382364504693E-2</v>
      </c>
      <c r="Q491">
        <v>0.12962667804290201</v>
      </c>
      <c r="R491">
        <v>0.89982969083113096</v>
      </c>
      <c r="S491" t="s">
        <v>5231</v>
      </c>
      <c r="T491" t="s">
        <v>9478</v>
      </c>
      <c r="U491" t="s">
        <v>9478</v>
      </c>
      <c r="V491" t="s">
        <v>9478</v>
      </c>
      <c r="W491">
        <v>1</v>
      </c>
      <c r="X491" t="s">
        <v>9969</v>
      </c>
      <c r="Y491">
        <v>0.74655537674931849</v>
      </c>
      <c r="Z491" t="str">
        <f>HYPERLINK("Melting_Curves/meltCurve_sp_P01764_HV303_HUMAN_.pdf", "Melting_Curves/meltCurve_sp_P01764_HV303_HUMAN_.pdf")</f>
        <v>Melting_Curves/meltCurve_sp_P01764_HV303_HUMAN_.pdf</v>
      </c>
      <c r="AB491" t="s">
        <v>19326</v>
      </c>
    </row>
    <row r="492" spans="1:28" x14ac:dyDescent="0.25">
      <c r="A492" t="s">
        <v>496</v>
      </c>
      <c r="B492">
        <v>0.99904790336628502</v>
      </c>
      <c r="C492">
        <v>1.1270036835400501</v>
      </c>
      <c r="D492">
        <v>1.10603500721482</v>
      </c>
      <c r="E492">
        <v>1.1123411087452399</v>
      </c>
      <c r="F492">
        <v>0.97167895507576996</v>
      </c>
      <c r="G492">
        <v>0.92043491801273303</v>
      </c>
      <c r="H492">
        <v>0.52511560955036196</v>
      </c>
      <c r="I492">
        <v>0.43000186781360999</v>
      </c>
      <c r="J492">
        <v>0.30483436442369999</v>
      </c>
      <c r="K492">
        <v>0.181338481641064</v>
      </c>
      <c r="L492">
        <v>1543.22411163268</v>
      </c>
      <c r="M492">
        <v>25.355922896726899</v>
      </c>
      <c r="N492">
        <v>62.109973131673797</v>
      </c>
      <c r="O492">
        <v>60.487691769073898</v>
      </c>
      <c r="P492">
        <v>-8.3887893242023004E-2</v>
      </c>
      <c r="Q492">
        <v>0.199536871449112</v>
      </c>
      <c r="R492">
        <v>0.95660343025221195</v>
      </c>
      <c r="S492" t="s">
        <v>5232</v>
      </c>
      <c r="T492" t="s">
        <v>9478</v>
      </c>
      <c r="U492" t="s">
        <v>9478</v>
      </c>
      <c r="V492" t="s">
        <v>9478</v>
      </c>
      <c r="W492">
        <v>2</v>
      </c>
      <c r="X492" t="s">
        <v>9970</v>
      </c>
      <c r="Y492">
        <v>0.76132522666091706</v>
      </c>
      <c r="Z492" t="str">
        <f>HYPERLINK("Melting_Curves/meltCurve_sp_P01766_HV305_HUMAN_.pdf", "Melting_Curves/meltCurve_sp_P01766_HV305_HUMAN_.pdf")</f>
        <v>Melting_Curves/meltCurve_sp_P01766_HV305_HUMAN_.pdf</v>
      </c>
      <c r="AB492" t="s">
        <v>19327</v>
      </c>
    </row>
    <row r="493" spans="1:28" x14ac:dyDescent="0.25">
      <c r="A493" t="s">
        <v>497</v>
      </c>
      <c r="B493">
        <v>0.99904790336628502</v>
      </c>
      <c r="C493">
        <v>0.96167613737454705</v>
      </c>
      <c r="D493">
        <v>0.93263816454828896</v>
      </c>
      <c r="E493">
        <v>0.95935977197994604</v>
      </c>
      <c r="F493">
        <v>0.80458543439604302</v>
      </c>
      <c r="G493">
        <v>0.82349335237082</v>
      </c>
      <c r="H493">
        <v>0.60203619535713204</v>
      </c>
      <c r="I493">
        <v>0.50731900906624405</v>
      </c>
      <c r="J493">
        <v>0.30344259319385603</v>
      </c>
      <c r="K493">
        <v>0.19995475946968699</v>
      </c>
      <c r="L493">
        <v>732.79653869091896</v>
      </c>
      <c r="M493">
        <v>11.6270159522483</v>
      </c>
      <c r="N493">
        <v>63.025331854541598</v>
      </c>
      <c r="O493">
        <v>61.247530288751001</v>
      </c>
      <c r="P493">
        <v>-4.7472041171329998E-2</v>
      </c>
      <c r="Q493">
        <v>0</v>
      </c>
      <c r="R493">
        <v>0.97246863636917302</v>
      </c>
      <c r="S493" t="s">
        <v>5233</v>
      </c>
      <c r="T493" t="s">
        <v>9478</v>
      </c>
      <c r="U493" t="s">
        <v>9478</v>
      </c>
      <c r="V493" t="s">
        <v>9478</v>
      </c>
      <c r="W493">
        <v>3</v>
      </c>
      <c r="X493" t="s">
        <v>9971</v>
      </c>
      <c r="Y493">
        <v>0.74576393778446615</v>
      </c>
      <c r="Z493" t="str">
        <f>HYPERLINK("Melting_Curves/meltCurve_sp_P01834_IGKC_HUMAN_.pdf", "Melting_Curves/meltCurve_sp_P01834_IGKC_HUMAN_.pdf")</f>
        <v>Melting_Curves/meltCurve_sp_P01834_IGKC_HUMAN_.pdf</v>
      </c>
      <c r="AA493" t="s">
        <v>14698</v>
      </c>
      <c r="AB493" t="s">
        <v>19328</v>
      </c>
    </row>
    <row r="494" spans="1:28" x14ac:dyDescent="0.25">
      <c r="A494" t="s">
        <v>498</v>
      </c>
      <c r="B494">
        <v>0.99904790336628502</v>
      </c>
      <c r="C494">
        <v>0.95795051465348002</v>
      </c>
      <c r="D494">
        <v>0.99755205078591402</v>
      </c>
      <c r="E494">
        <v>1.02709354158891</v>
      </c>
      <c r="F494">
        <v>0.90831479642710899</v>
      </c>
      <c r="G494">
        <v>0.87447284875603404</v>
      </c>
      <c r="H494">
        <v>0.59934493344831596</v>
      </c>
      <c r="I494">
        <v>0.45267879670713501</v>
      </c>
      <c r="J494">
        <v>0.34708278008772597</v>
      </c>
      <c r="K494">
        <v>0.23298048739674099</v>
      </c>
      <c r="L494">
        <v>1067.4357047736301</v>
      </c>
      <c r="M494">
        <v>17.259895846438699</v>
      </c>
      <c r="N494">
        <v>63.104632196661598</v>
      </c>
      <c r="O494">
        <v>61.032569236572797</v>
      </c>
      <c r="P494">
        <v>-6.0399637442237503E-2</v>
      </c>
      <c r="Q494">
        <v>0.14573517896889701</v>
      </c>
      <c r="R494">
        <v>0.99023018016013997</v>
      </c>
      <c r="S494" t="s">
        <v>5234</v>
      </c>
      <c r="T494" t="s">
        <v>9478</v>
      </c>
      <c r="U494" t="s">
        <v>9478</v>
      </c>
      <c r="V494" t="s">
        <v>9478</v>
      </c>
      <c r="W494">
        <v>9</v>
      </c>
      <c r="X494" t="s">
        <v>9972</v>
      </c>
      <c r="Y494">
        <v>0.7689747280515874</v>
      </c>
      <c r="Z494" t="str">
        <f>HYPERLINK("Melting_Curves/meltCurve_sp_P01857_IGHG1_HUMAN_.pdf", "Melting_Curves/meltCurve_sp_P01857_IGHG1_HUMAN_.pdf")</f>
        <v>Melting_Curves/meltCurve_sp_P01857_IGHG1_HUMAN_.pdf</v>
      </c>
      <c r="AA494" t="s">
        <v>14699</v>
      </c>
      <c r="AB494" t="s">
        <v>19329</v>
      </c>
    </row>
    <row r="495" spans="1:28" x14ac:dyDescent="0.25">
      <c r="A495" t="s">
        <v>499</v>
      </c>
      <c r="B495">
        <v>0.99904790336628502</v>
      </c>
      <c r="C495">
        <v>1.0580876479218599</v>
      </c>
      <c r="D495">
        <v>1.0384336411303099</v>
      </c>
      <c r="E495">
        <v>1.13821065269782</v>
      </c>
      <c r="F495">
        <v>1.00489126256496</v>
      </c>
      <c r="G495">
        <v>0.92984836165072704</v>
      </c>
      <c r="H495">
        <v>0.63848107939186005</v>
      </c>
      <c r="I495">
        <v>0.47136177137677698</v>
      </c>
      <c r="J495">
        <v>0.29811376016806401</v>
      </c>
      <c r="K495">
        <v>0.12739250167017099</v>
      </c>
      <c r="L495">
        <v>1289.06630312978</v>
      </c>
      <c r="M495">
        <v>20.4023507186924</v>
      </c>
      <c r="N495">
        <v>63.413900456028799</v>
      </c>
      <c r="O495">
        <v>62.5846440135143</v>
      </c>
      <c r="P495">
        <v>-7.8574910834946096E-2</v>
      </c>
      <c r="Q495">
        <v>3.5908176086490898E-2</v>
      </c>
      <c r="R495">
        <v>0.97371354170333002</v>
      </c>
      <c r="S495" t="s">
        <v>5235</v>
      </c>
      <c r="T495" t="s">
        <v>9478</v>
      </c>
      <c r="U495" t="s">
        <v>9478</v>
      </c>
      <c r="V495" t="s">
        <v>9478</v>
      </c>
      <c r="W495">
        <v>7</v>
      </c>
      <c r="X495" t="s">
        <v>9973</v>
      </c>
      <c r="Y495">
        <v>0.77969342031522693</v>
      </c>
      <c r="Z495" t="str">
        <f>HYPERLINK("Melting_Curves/meltCurve_sp_P01859_IGHG2_HUMAN_.pdf", "Melting_Curves/meltCurve_sp_P01859_IGHG2_HUMAN_.pdf")</f>
        <v>Melting_Curves/meltCurve_sp_P01859_IGHG2_HUMAN_.pdf</v>
      </c>
      <c r="AA495" t="s">
        <v>14700</v>
      </c>
      <c r="AB495" t="s">
        <v>19330</v>
      </c>
    </row>
    <row r="496" spans="1:28" x14ac:dyDescent="0.25">
      <c r="A496" t="s">
        <v>500</v>
      </c>
      <c r="B496">
        <v>0.99904790336628502</v>
      </c>
      <c r="C496">
        <v>0.99520694657127595</v>
      </c>
      <c r="D496">
        <v>1.0973991685</v>
      </c>
      <c r="E496">
        <v>1.1188133657628501</v>
      </c>
      <c r="F496">
        <v>0.99277732234838201</v>
      </c>
      <c r="G496">
        <v>0.86088494261842896</v>
      </c>
      <c r="H496">
        <v>0.61849424359277205</v>
      </c>
      <c r="I496">
        <v>0.52540111930876898</v>
      </c>
      <c r="J496">
        <v>0.36066234061012498</v>
      </c>
      <c r="K496">
        <v>0.192689878577646</v>
      </c>
      <c r="L496">
        <v>1049.47986451676</v>
      </c>
      <c r="M496">
        <v>16.568200301261101</v>
      </c>
      <c r="N496">
        <v>63.828355461289803</v>
      </c>
      <c r="O496">
        <v>62.441815192764601</v>
      </c>
      <c r="P496">
        <v>-6.2412887071846002E-2</v>
      </c>
      <c r="Q496">
        <v>5.9183879810049099E-2</v>
      </c>
      <c r="R496">
        <v>0.96528963403743395</v>
      </c>
      <c r="S496" t="s">
        <v>5236</v>
      </c>
      <c r="T496" t="s">
        <v>9478</v>
      </c>
      <c r="U496" t="s">
        <v>9478</v>
      </c>
      <c r="V496" t="s">
        <v>9478</v>
      </c>
      <c r="W496">
        <v>9</v>
      </c>
      <c r="X496" t="s">
        <v>9974</v>
      </c>
      <c r="Y496">
        <v>0.78390638024112935</v>
      </c>
      <c r="Z496" t="str">
        <f>HYPERLINK("Melting_Curves/meltCurve_sp_P01860_IGHG3_HUMAN_.pdf", "Melting_Curves/meltCurve_sp_P01860_IGHG3_HUMAN_.pdf")</f>
        <v>Melting_Curves/meltCurve_sp_P01860_IGHG3_HUMAN_.pdf</v>
      </c>
      <c r="AA496" t="s">
        <v>14701</v>
      </c>
      <c r="AB496" t="s">
        <v>19331</v>
      </c>
    </row>
    <row r="497" spans="1:28" x14ac:dyDescent="0.25">
      <c r="A497" t="s">
        <v>501</v>
      </c>
      <c r="B497">
        <v>0.99904790336628502</v>
      </c>
      <c r="C497">
        <v>1.0164708432076599</v>
      </c>
      <c r="D497">
        <v>0.99989135927010897</v>
      </c>
      <c r="E497">
        <v>0.98348651335649795</v>
      </c>
      <c r="F497">
        <v>0.84959555448755797</v>
      </c>
      <c r="G497">
        <v>0.69479619290627204</v>
      </c>
      <c r="H497">
        <v>0.46265125044397198</v>
      </c>
      <c r="I497">
        <v>0.42475301689162698</v>
      </c>
      <c r="J497">
        <v>0.26109993184254399</v>
      </c>
      <c r="K497">
        <v>0.179884213576502</v>
      </c>
      <c r="L497">
        <v>783.36017173145797</v>
      </c>
      <c r="M497">
        <v>12.9788540421411</v>
      </c>
      <c r="N497">
        <v>60.988765152280102</v>
      </c>
      <c r="O497">
        <v>58.977690266153203</v>
      </c>
      <c r="P497">
        <v>-5.1562874820479603E-2</v>
      </c>
      <c r="Q497">
        <v>6.2931568493439699E-2</v>
      </c>
      <c r="R497">
        <v>0.99172124359000302</v>
      </c>
      <c r="S497" t="s">
        <v>5237</v>
      </c>
      <c r="T497" t="s">
        <v>9478</v>
      </c>
      <c r="U497" t="s">
        <v>9478</v>
      </c>
      <c r="V497" t="s">
        <v>9478</v>
      </c>
      <c r="W497">
        <v>10</v>
      </c>
      <c r="X497" t="s">
        <v>9975</v>
      </c>
      <c r="Y497">
        <v>0.70105923336938969</v>
      </c>
      <c r="Z497" t="str">
        <f>HYPERLINK("Melting_Curves/meltCurve_sp_P01871_IGHM_HUMAN_.pdf", "Melting_Curves/meltCurve_sp_P01871_IGHM_HUMAN_.pdf")</f>
        <v>Melting_Curves/meltCurve_sp_P01871_IGHM_HUMAN_.pdf</v>
      </c>
      <c r="AA497" t="s">
        <v>14702</v>
      </c>
      <c r="AB497" t="s">
        <v>19332</v>
      </c>
    </row>
    <row r="498" spans="1:28" x14ac:dyDescent="0.25">
      <c r="A498" t="s">
        <v>502</v>
      </c>
      <c r="B498">
        <v>0.99904790336628502</v>
      </c>
      <c r="C498">
        <v>0.94525964289526898</v>
      </c>
      <c r="D498">
        <v>1.0043400233687301</v>
      </c>
      <c r="E498">
        <v>1.02732499597853</v>
      </c>
      <c r="F498">
        <v>1.0103279053298899</v>
      </c>
      <c r="G498">
        <v>0.87038667906857703</v>
      </c>
      <c r="H498">
        <v>0.66810831948843297</v>
      </c>
      <c r="I498">
        <v>0.60498301617663097</v>
      </c>
      <c r="J498">
        <v>0.41632305046539297</v>
      </c>
      <c r="K498">
        <v>0.233387868582381</v>
      </c>
      <c r="L498">
        <v>943.99641186086899</v>
      </c>
      <c r="M498">
        <v>14.513866817751101</v>
      </c>
      <c r="N498">
        <v>65.041000094010997</v>
      </c>
      <c r="O498">
        <v>63.843675439671003</v>
      </c>
      <c r="P498">
        <v>-5.68401452675103E-2</v>
      </c>
      <c r="Q498">
        <v>0</v>
      </c>
      <c r="R498">
        <v>0.98136759060315903</v>
      </c>
      <c r="S498" t="s">
        <v>5238</v>
      </c>
      <c r="T498" t="s">
        <v>9478</v>
      </c>
      <c r="U498" t="s">
        <v>9478</v>
      </c>
      <c r="V498" t="s">
        <v>9478</v>
      </c>
      <c r="W498">
        <v>12</v>
      </c>
      <c r="X498" t="s">
        <v>9976</v>
      </c>
      <c r="Y498">
        <v>0.80688765991600275</v>
      </c>
      <c r="Z498" t="str">
        <f>HYPERLINK("Melting_Curves/meltCurve_sp_P01876_IGHA1_HUMAN_.pdf", "Melting_Curves/meltCurve_sp_P01876_IGHA1_HUMAN_.pdf")</f>
        <v>Melting_Curves/meltCurve_sp_P01876_IGHA1_HUMAN_.pdf</v>
      </c>
      <c r="AA498" t="s">
        <v>14703</v>
      </c>
      <c r="AB498" t="s">
        <v>19333</v>
      </c>
    </row>
    <row r="499" spans="1:28" x14ac:dyDescent="0.25">
      <c r="A499" t="s">
        <v>503</v>
      </c>
      <c r="B499">
        <v>0.99904790336628502</v>
      </c>
      <c r="C499">
        <v>0.94168835789415495</v>
      </c>
      <c r="D499">
        <v>0.95893528302123399</v>
      </c>
      <c r="E499">
        <v>0.93306016364118605</v>
      </c>
      <c r="F499">
        <v>0.94526382421592803</v>
      </c>
      <c r="G499">
        <v>0.79136625773768698</v>
      </c>
      <c r="H499">
        <v>0.67489978641602</v>
      </c>
      <c r="I499">
        <v>0.61296896025555403</v>
      </c>
      <c r="J499">
        <v>0.55553314419737199</v>
      </c>
      <c r="K499">
        <v>0.38826507745710698</v>
      </c>
      <c r="L499">
        <v>541.73124426714696</v>
      </c>
      <c r="M499">
        <v>8.0450491594927005</v>
      </c>
      <c r="N499">
        <v>67.337219782939897</v>
      </c>
      <c r="O499">
        <v>63.559138970758497</v>
      </c>
      <c r="P499">
        <v>-3.1678996427093598E-2</v>
      </c>
      <c r="Q499">
        <v>0</v>
      </c>
      <c r="R499">
        <v>0.976731254246055</v>
      </c>
      <c r="S499" t="s">
        <v>5239</v>
      </c>
      <c r="T499" t="s">
        <v>9478</v>
      </c>
      <c r="U499" t="s">
        <v>9478</v>
      </c>
      <c r="V499" t="s">
        <v>9478</v>
      </c>
      <c r="W499">
        <v>8</v>
      </c>
      <c r="X499" t="s">
        <v>9977</v>
      </c>
      <c r="Y499">
        <v>0.80051812379995824</v>
      </c>
      <c r="Z499" t="str">
        <f>HYPERLINK("Melting_Curves/meltCurve_sp_P01877_IGHA2_HUMAN_.pdf", "Melting_Curves/meltCurve_sp_P01877_IGHA2_HUMAN_.pdf")</f>
        <v>Melting_Curves/meltCurve_sp_P01877_IGHA2_HUMAN_.pdf</v>
      </c>
      <c r="AA499" t="s">
        <v>14704</v>
      </c>
      <c r="AB499" t="s">
        <v>19334</v>
      </c>
    </row>
    <row r="500" spans="1:28" x14ac:dyDescent="0.25">
      <c r="A500" t="s">
        <v>504</v>
      </c>
      <c r="B500">
        <v>0.99904790336628502</v>
      </c>
      <c r="C500">
        <v>1.16698268329821</v>
      </c>
      <c r="D500">
        <v>1.1226026833829099</v>
      </c>
      <c r="E500">
        <v>1.09087641844827</v>
      </c>
      <c r="F500">
        <v>1.01034493035863</v>
      </c>
      <c r="G500">
        <v>0.78777988246316699</v>
      </c>
      <c r="H500">
        <v>0.452541754851705</v>
      </c>
      <c r="I500">
        <v>0.16733006041597101</v>
      </c>
      <c r="J500">
        <v>6.4158197730759606E-2</v>
      </c>
      <c r="K500">
        <v>2.1092285014911099E-2</v>
      </c>
      <c r="L500">
        <v>1589.9014230847799</v>
      </c>
      <c r="M500">
        <v>26.355207615702799</v>
      </c>
      <c r="N500">
        <v>60.325892556875999</v>
      </c>
      <c r="O500">
        <v>59.981789631110999</v>
      </c>
      <c r="P500">
        <v>-0.109847901985383</v>
      </c>
      <c r="Q500">
        <v>0</v>
      </c>
      <c r="R500">
        <v>0.97161067173340099</v>
      </c>
      <c r="S500" t="s">
        <v>5240</v>
      </c>
      <c r="T500" t="s">
        <v>9478</v>
      </c>
      <c r="U500" t="s">
        <v>9478</v>
      </c>
      <c r="V500" t="s">
        <v>9478</v>
      </c>
      <c r="W500">
        <v>1</v>
      </c>
      <c r="X500" t="s">
        <v>9978</v>
      </c>
      <c r="Y500">
        <v>0.68432295590406</v>
      </c>
      <c r="Z500" t="str">
        <f>HYPERLINK("Melting_Curves/meltCurve_sp_P02008_HBAZ_HUMAN_.pdf", "Melting_Curves/meltCurve_sp_P02008_HBAZ_HUMAN_.pdf")</f>
        <v>Melting_Curves/meltCurve_sp_P02008_HBAZ_HUMAN_.pdf</v>
      </c>
      <c r="AA500" t="s">
        <v>14705</v>
      </c>
      <c r="AB500" t="s">
        <v>19335</v>
      </c>
    </row>
    <row r="501" spans="1:28" x14ac:dyDescent="0.25">
      <c r="A501" t="s">
        <v>505</v>
      </c>
      <c r="B501">
        <v>0.99904790336628502</v>
      </c>
      <c r="C501">
        <v>1.0075903322078199</v>
      </c>
      <c r="D501">
        <v>1.0339837617022301</v>
      </c>
      <c r="E501">
        <v>1.04909292834734</v>
      </c>
      <c r="F501">
        <v>1.0106660425698799</v>
      </c>
      <c r="G501">
        <v>0.83655885814884801</v>
      </c>
      <c r="H501">
        <v>0.38670898222740901</v>
      </c>
      <c r="I501">
        <v>9.2949101392879596E-2</v>
      </c>
      <c r="J501">
        <v>7.6058064997334002E-2</v>
      </c>
      <c r="K501">
        <v>6.9824174693838406E-2</v>
      </c>
      <c r="L501">
        <v>2107.0238241697102</v>
      </c>
      <c r="M501">
        <v>35.243630069152303</v>
      </c>
      <c r="N501">
        <v>59.955745697145801</v>
      </c>
      <c r="O501">
        <v>59.593033639607597</v>
      </c>
      <c r="P501">
        <v>-0.14077279579164401</v>
      </c>
      <c r="Q501">
        <v>4.7879147267489798E-2</v>
      </c>
      <c r="R501">
        <v>0.99604025354544101</v>
      </c>
      <c r="S501" t="s">
        <v>5241</v>
      </c>
      <c r="T501" t="s">
        <v>9478</v>
      </c>
      <c r="U501" t="s">
        <v>9478</v>
      </c>
      <c r="V501" t="s">
        <v>9478</v>
      </c>
      <c r="W501">
        <v>2</v>
      </c>
      <c r="X501" t="s">
        <v>9979</v>
      </c>
      <c r="Y501">
        <v>0.6804091865362708</v>
      </c>
      <c r="Z501" t="str">
        <f>HYPERLINK("Melting_Curves/meltCurve_sp_P02452_CO1A1_HUMAN_.pdf", "Melting_Curves/meltCurve_sp_P02452_CO1A1_HUMAN_.pdf")</f>
        <v>Melting_Curves/meltCurve_sp_P02452_CO1A1_HUMAN_.pdf</v>
      </c>
      <c r="AA501" t="s">
        <v>14706</v>
      </c>
      <c r="AB501" t="s">
        <v>19336</v>
      </c>
    </row>
    <row r="502" spans="1:28" x14ac:dyDescent="0.25">
      <c r="A502" t="s">
        <v>506</v>
      </c>
      <c r="B502">
        <v>0.99904790336628502</v>
      </c>
      <c r="C502">
        <v>1.10816485414834</v>
      </c>
      <c r="D502">
        <v>1.06906532479051</v>
      </c>
      <c r="E502">
        <v>1.10930938344095</v>
      </c>
      <c r="F502">
        <v>0.88715509749941301</v>
      </c>
      <c r="G502">
        <v>0.754558171382683</v>
      </c>
      <c r="H502">
        <v>0.45834813942257702</v>
      </c>
      <c r="I502">
        <v>0.163665964679892</v>
      </c>
      <c r="J502">
        <v>0.14173465507568</v>
      </c>
      <c r="K502">
        <v>6.8890088547956099E-2</v>
      </c>
      <c r="L502">
        <v>1330.6686017095601</v>
      </c>
      <c r="M502">
        <v>22.220052446</v>
      </c>
      <c r="N502">
        <v>60.061401855771003</v>
      </c>
      <c r="O502">
        <v>59.407233311915498</v>
      </c>
      <c r="P502">
        <v>-9.0570714217106205E-2</v>
      </c>
      <c r="Q502">
        <v>3.14265224423061E-2</v>
      </c>
      <c r="R502">
        <v>0.97541288076841304</v>
      </c>
      <c r="S502" t="s">
        <v>5242</v>
      </c>
      <c r="T502" t="s">
        <v>9478</v>
      </c>
      <c r="U502" t="s">
        <v>9478</v>
      </c>
      <c r="V502" t="s">
        <v>9478</v>
      </c>
      <c r="W502">
        <v>2</v>
      </c>
      <c r="X502" t="s">
        <v>9980</v>
      </c>
      <c r="Y502">
        <v>0.68142637756456614</v>
      </c>
      <c r="Z502" t="str">
        <f>HYPERLINK("Melting_Curves/meltCurve_sp_P02458_3_CO2A1_HUMAN_.pdf", "Melting_Curves/meltCurve_sp_P02458_3_CO2A1_HUMAN_.pdf")</f>
        <v>Melting_Curves/meltCurve_sp_P02458_3_CO2A1_HUMAN_.pdf</v>
      </c>
      <c r="AA502" t="s">
        <v>14707</v>
      </c>
      <c r="AB502" t="s">
        <v>19337</v>
      </c>
    </row>
    <row r="503" spans="1:28" x14ac:dyDescent="0.25">
      <c r="A503" t="s">
        <v>507</v>
      </c>
      <c r="B503">
        <v>0.99904790336628502</v>
      </c>
      <c r="C503">
        <v>1.0341387207941299</v>
      </c>
      <c r="D503">
        <v>1.2026090181033899</v>
      </c>
      <c r="E503">
        <v>1.0174426713629701</v>
      </c>
      <c r="F503">
        <v>1.0399728453275101</v>
      </c>
      <c r="G503">
        <v>0.66060587030130902</v>
      </c>
      <c r="H503">
        <v>0.28370226874503701</v>
      </c>
      <c r="I503">
        <v>9.4771124452444302E-2</v>
      </c>
      <c r="J503">
        <v>6.9997066772487404E-2</v>
      </c>
      <c r="K503">
        <v>5.2975536155851197E-2</v>
      </c>
      <c r="L503">
        <v>1812.5426861569799</v>
      </c>
      <c r="M503">
        <v>31.044152510547899</v>
      </c>
      <c r="N503">
        <v>58.593128560228799</v>
      </c>
      <c r="O503">
        <v>58.145294548744701</v>
      </c>
      <c r="P503">
        <v>-0.12653972184310999</v>
      </c>
      <c r="Q503">
        <v>5.1976384446354801E-2</v>
      </c>
      <c r="R503">
        <v>0.97410176139202498</v>
      </c>
      <c r="S503" t="s">
        <v>5243</v>
      </c>
      <c r="T503" t="s">
        <v>9478</v>
      </c>
      <c r="U503" t="s">
        <v>9478</v>
      </c>
      <c r="V503" t="s">
        <v>9478</v>
      </c>
      <c r="W503">
        <v>2</v>
      </c>
      <c r="X503" t="s">
        <v>9981</v>
      </c>
      <c r="Y503">
        <v>0.6388418532029857</v>
      </c>
      <c r="Z503" t="str">
        <f>HYPERLINK("Melting_Curves/meltCurve_sp_P02462_CO4A1_HUMAN_.pdf", "Melting_Curves/meltCurve_sp_P02462_CO4A1_HUMAN_.pdf")</f>
        <v>Melting_Curves/meltCurve_sp_P02462_CO4A1_HUMAN_.pdf</v>
      </c>
      <c r="AA503" t="s">
        <v>14708</v>
      </c>
      <c r="AB503" t="s">
        <v>19338</v>
      </c>
    </row>
    <row r="504" spans="1:28" x14ac:dyDescent="0.25">
      <c r="A504" t="s">
        <v>508</v>
      </c>
      <c r="B504">
        <v>0.99904790336628502</v>
      </c>
      <c r="C504">
        <v>0.86182574580749305</v>
      </c>
      <c r="D504">
        <v>0.74540706626441899</v>
      </c>
      <c r="E504">
        <v>1.4758152130145501</v>
      </c>
      <c r="F504">
        <v>0.20975176562467099</v>
      </c>
      <c r="G504">
        <v>10.375091788857601</v>
      </c>
      <c r="H504">
        <v>0.121455824063379</v>
      </c>
      <c r="I504">
        <v>0.37408617962496199</v>
      </c>
      <c r="J504">
        <v>0.13455234263229701</v>
      </c>
      <c r="K504">
        <v>0.27984132358516001</v>
      </c>
      <c r="L504">
        <v>10953.445095998801</v>
      </c>
      <c r="M504">
        <v>183.63213127907099</v>
      </c>
      <c r="N504">
        <v>59.843938194226098</v>
      </c>
      <c r="O504">
        <v>59.6417736934416</v>
      </c>
      <c r="P504">
        <v>-0.59637082055413004</v>
      </c>
      <c r="Q504">
        <v>0.225220266590381</v>
      </c>
      <c r="R504">
        <v>-8.2677006074540794E-3</v>
      </c>
      <c r="S504" t="s">
        <v>5244</v>
      </c>
      <c r="T504" t="s">
        <v>9478</v>
      </c>
      <c r="U504" t="s">
        <v>9478</v>
      </c>
      <c r="V504" t="s">
        <v>9478</v>
      </c>
      <c r="W504">
        <v>28</v>
      </c>
      <c r="X504" t="s">
        <v>9982</v>
      </c>
      <c r="Y504">
        <v>0.73282159689820725</v>
      </c>
      <c r="Z504" t="str">
        <f>HYPERLINK("Melting_Curves/meltCurve_sp_P02533_K1C14_HUMAN_.pdf", "Melting_Curves/meltCurve_sp_P02533_K1C14_HUMAN_.pdf")</f>
        <v>Melting_Curves/meltCurve_sp_P02533_K1C14_HUMAN_.pdf</v>
      </c>
      <c r="AA504" t="s">
        <v>14709</v>
      </c>
      <c r="AB504" t="s">
        <v>19339</v>
      </c>
    </row>
    <row r="505" spans="1:28" x14ac:dyDescent="0.25">
      <c r="A505" t="s">
        <v>509</v>
      </c>
      <c r="B505">
        <v>0.99904790336628502</v>
      </c>
      <c r="C505">
        <v>0.86350670262579599</v>
      </c>
      <c r="D505">
        <v>0.81219593833624004</v>
      </c>
      <c r="E505">
        <v>1.07907516425901</v>
      </c>
      <c r="F505">
        <v>0.236226511079525</v>
      </c>
      <c r="G505">
        <v>10.945201073022</v>
      </c>
      <c r="H505">
        <v>5.8550212930044802E-2</v>
      </c>
      <c r="I505">
        <v>0.28703216277609001</v>
      </c>
      <c r="J505">
        <v>0.24531765423514301</v>
      </c>
      <c r="K505">
        <v>0.163914694688404</v>
      </c>
      <c r="L505">
        <v>14862.502155685401</v>
      </c>
      <c r="M505">
        <v>250</v>
      </c>
      <c r="N505">
        <v>59.562723576385302</v>
      </c>
      <c r="O505">
        <v>59.446205341748097</v>
      </c>
      <c r="P505">
        <v>-0.85322795522568395</v>
      </c>
      <c r="Q505">
        <v>0.188461388633442</v>
      </c>
      <c r="R505">
        <v>-6.11862212947156E-3</v>
      </c>
      <c r="S505" t="s">
        <v>5245</v>
      </c>
      <c r="T505" t="s">
        <v>9478</v>
      </c>
      <c r="U505" t="s">
        <v>9478</v>
      </c>
      <c r="V505" t="s">
        <v>9478</v>
      </c>
      <c r="W505">
        <v>29</v>
      </c>
      <c r="X505" t="s">
        <v>9983</v>
      </c>
      <c r="Y505">
        <v>0.71469382586522534</v>
      </c>
      <c r="Z505" t="str">
        <f>HYPERLINK("Melting_Curves/meltCurve_sp_P02538_K2C6A_HUMAN_.pdf", "Melting_Curves/meltCurve_sp_P02538_K2C6A_HUMAN_.pdf")</f>
        <v>Melting_Curves/meltCurve_sp_P02538_K2C6A_HUMAN_.pdf</v>
      </c>
      <c r="AA505" t="s">
        <v>14710</v>
      </c>
      <c r="AB505" t="s">
        <v>19340</v>
      </c>
    </row>
    <row r="506" spans="1:28" x14ac:dyDescent="0.25">
      <c r="A506" t="s">
        <v>510</v>
      </c>
      <c r="B506">
        <v>0.99904790336628502</v>
      </c>
      <c r="C506">
        <v>1.0219849838981201</v>
      </c>
      <c r="D506">
        <v>1.04068697818682</v>
      </c>
      <c r="E506">
        <v>1.0008322645219401</v>
      </c>
      <c r="F506">
        <v>0.99586691493677404</v>
      </c>
      <c r="G506">
        <v>0.78280634262819204</v>
      </c>
      <c r="H506">
        <v>0.53314339327026805</v>
      </c>
      <c r="I506">
        <v>0.421625588234459</v>
      </c>
      <c r="J506">
        <v>0.391786871734571</v>
      </c>
      <c r="K506">
        <v>0.35735674730912298</v>
      </c>
      <c r="L506">
        <v>1601.35017785984</v>
      </c>
      <c r="M506">
        <v>27.325189377256802</v>
      </c>
      <c r="N506">
        <v>61.512586661185999</v>
      </c>
      <c r="O506">
        <v>58.292246840287397</v>
      </c>
      <c r="P506">
        <v>-7.4688414251360094E-2</v>
      </c>
      <c r="Q506">
        <v>0.362680924273665</v>
      </c>
      <c r="R506">
        <v>0.99536555473120802</v>
      </c>
      <c r="S506" t="s">
        <v>5246</v>
      </c>
      <c r="T506" t="s">
        <v>9478</v>
      </c>
      <c r="U506" t="s">
        <v>9478</v>
      </c>
      <c r="V506" t="s">
        <v>9478</v>
      </c>
      <c r="W506">
        <v>62</v>
      </c>
      <c r="X506" t="s">
        <v>9984</v>
      </c>
      <c r="Y506">
        <v>0.76265086928166326</v>
      </c>
      <c r="Z506" t="str">
        <f>HYPERLINK("Melting_Curves/meltCurve_sp_P02545_LMNA_HUMAN_.pdf", "Melting_Curves/meltCurve_sp_P02545_LMNA_HUMAN_.pdf")</f>
        <v>Melting_Curves/meltCurve_sp_P02545_LMNA_HUMAN_.pdf</v>
      </c>
      <c r="AA506" t="s">
        <v>14711</v>
      </c>
      <c r="AB506" t="s">
        <v>19341</v>
      </c>
    </row>
    <row r="507" spans="1:28" x14ac:dyDescent="0.25">
      <c r="A507" t="s">
        <v>511</v>
      </c>
      <c r="B507">
        <v>0.99904790336628502</v>
      </c>
      <c r="C507">
        <v>0.98974019506071198</v>
      </c>
      <c r="D507">
        <v>0.97259297820683299</v>
      </c>
      <c r="E507">
        <v>0.87043463903117702</v>
      </c>
      <c r="F507">
        <v>0.73873060510251298</v>
      </c>
      <c r="G507">
        <v>0.50876400429842905</v>
      </c>
      <c r="H507">
        <v>0.408039986444931</v>
      </c>
      <c r="I507">
        <v>0.37682142272255098</v>
      </c>
      <c r="J507">
        <v>0.36092167917171503</v>
      </c>
      <c r="K507">
        <v>0.29765616722326399</v>
      </c>
      <c r="L507">
        <v>932.36522904031403</v>
      </c>
      <c r="M507">
        <v>17.1655467832338</v>
      </c>
      <c r="N507">
        <v>57.633610865432502</v>
      </c>
      <c r="O507">
        <v>53.594991556717297</v>
      </c>
      <c r="P507">
        <v>-5.4943235660730699E-2</v>
      </c>
      <c r="Q507">
        <v>0.31385649855200498</v>
      </c>
      <c r="R507">
        <v>0.997317520230943</v>
      </c>
      <c r="S507" t="s">
        <v>5247</v>
      </c>
      <c r="T507" t="s">
        <v>9478</v>
      </c>
      <c r="U507" t="s">
        <v>9478</v>
      </c>
      <c r="V507" t="s">
        <v>9478</v>
      </c>
      <c r="W507">
        <v>26</v>
      </c>
      <c r="X507" t="s">
        <v>9985</v>
      </c>
      <c r="Y507">
        <v>0.65291647803225417</v>
      </c>
      <c r="Z507" t="str">
        <f>HYPERLINK("Melting_Curves/meltCurve_sp_P02647_APOA1_HUMAN_.pdf", "Melting_Curves/meltCurve_sp_P02647_APOA1_HUMAN_.pdf")</f>
        <v>Melting_Curves/meltCurve_sp_P02647_APOA1_HUMAN_.pdf</v>
      </c>
      <c r="AA507" t="s">
        <v>14712</v>
      </c>
      <c r="AB507" t="s">
        <v>19342</v>
      </c>
    </row>
    <row r="508" spans="1:28" x14ac:dyDescent="0.25">
      <c r="A508" t="s">
        <v>512</v>
      </c>
      <c r="B508">
        <v>0.99904790336628502</v>
      </c>
      <c r="C508">
        <v>0.93223963559730605</v>
      </c>
      <c r="D508">
        <v>0.863385816098583</v>
      </c>
      <c r="E508">
        <v>0.73243387106109104</v>
      </c>
      <c r="F508">
        <v>0.63157341008537904</v>
      </c>
      <c r="G508">
        <v>0.38418127484495701</v>
      </c>
      <c r="H508">
        <v>0.24832655646601301</v>
      </c>
      <c r="I508">
        <v>0.179727077522333</v>
      </c>
      <c r="J508">
        <v>0.14421611597123701</v>
      </c>
      <c r="K508">
        <v>0.117834554819197</v>
      </c>
      <c r="L508">
        <v>589.98397222097799</v>
      </c>
      <c r="M508">
        <v>10.806057083865801</v>
      </c>
      <c r="N508">
        <v>54.837218177497</v>
      </c>
      <c r="O508">
        <v>52.827492412010102</v>
      </c>
      <c r="P508">
        <v>-4.9976826367098798E-2</v>
      </c>
      <c r="Q508">
        <v>2.3067551165044501E-2</v>
      </c>
      <c r="R508">
        <v>0.99668533540473203</v>
      </c>
      <c r="S508" t="s">
        <v>5248</v>
      </c>
      <c r="T508" t="s">
        <v>9478</v>
      </c>
      <c r="U508" t="s">
        <v>9478</v>
      </c>
      <c r="V508" t="s">
        <v>9478</v>
      </c>
      <c r="W508">
        <v>15</v>
      </c>
      <c r="X508" t="s">
        <v>9986</v>
      </c>
      <c r="Y508">
        <v>0.52428101017217399</v>
      </c>
      <c r="Z508" t="str">
        <f>HYPERLINK("Melting_Curves/meltCurve_sp_P02649_APOE_HUMAN_.pdf", "Melting_Curves/meltCurve_sp_P02649_APOE_HUMAN_.pdf")</f>
        <v>Melting_Curves/meltCurve_sp_P02649_APOE_HUMAN_.pdf</v>
      </c>
      <c r="AA508" t="s">
        <v>14713</v>
      </c>
      <c r="AB508" t="s">
        <v>19343</v>
      </c>
    </row>
    <row r="509" spans="1:28" x14ac:dyDescent="0.25">
      <c r="A509" t="s">
        <v>513</v>
      </c>
      <c r="B509">
        <v>0.99904790336628502</v>
      </c>
      <c r="C509">
        <v>1.0635127382021401</v>
      </c>
      <c r="D509">
        <v>0.930003814761309</v>
      </c>
      <c r="E509">
        <v>0.80281192801550405</v>
      </c>
      <c r="F509">
        <v>0.79103974998309301</v>
      </c>
      <c r="G509">
        <v>0.522276901904699</v>
      </c>
      <c r="H509">
        <v>0.44830701472600099</v>
      </c>
      <c r="I509">
        <v>0.39703748945732897</v>
      </c>
      <c r="J509">
        <v>0.47712384031786598</v>
      </c>
      <c r="K509">
        <v>0.390489789300627</v>
      </c>
      <c r="L509">
        <v>889.06169818527496</v>
      </c>
      <c r="M509">
        <v>16.623543155458801</v>
      </c>
      <c r="N509">
        <v>58.959130774031898</v>
      </c>
      <c r="O509">
        <v>52.726110013160699</v>
      </c>
      <c r="P509">
        <v>-4.7826284831302503E-2</v>
      </c>
      <c r="Q509">
        <v>0.39326440799846502</v>
      </c>
      <c r="R509">
        <v>0.96666488000661699</v>
      </c>
      <c r="S509" t="s">
        <v>5249</v>
      </c>
      <c r="T509" t="s">
        <v>9478</v>
      </c>
      <c r="U509" t="s">
        <v>9478</v>
      </c>
      <c r="V509" t="s">
        <v>9478</v>
      </c>
      <c r="W509">
        <v>2</v>
      </c>
      <c r="X509" t="s">
        <v>9987</v>
      </c>
      <c r="Y509">
        <v>0.67701421541999907</v>
      </c>
      <c r="Z509" t="str">
        <f>HYPERLINK("Melting_Curves/meltCurve_sp_P02652_APOA2_HUMAN_.pdf", "Melting_Curves/meltCurve_sp_P02652_APOA2_HUMAN_.pdf")</f>
        <v>Melting_Curves/meltCurve_sp_P02652_APOA2_HUMAN_.pdf</v>
      </c>
      <c r="AA509" t="s">
        <v>14714</v>
      </c>
      <c r="AB509" t="s">
        <v>19344</v>
      </c>
    </row>
    <row r="510" spans="1:28" x14ac:dyDescent="0.25">
      <c r="A510" t="s">
        <v>514</v>
      </c>
      <c r="B510">
        <v>0.99904790336628502</v>
      </c>
      <c r="C510">
        <v>1.03960913853791</v>
      </c>
      <c r="D510">
        <v>0.80320096274085895</v>
      </c>
      <c r="E510">
        <v>0.49481659128890199</v>
      </c>
      <c r="F510">
        <v>0.31995575826804501</v>
      </c>
      <c r="G510">
        <v>0.20778514457812899</v>
      </c>
      <c r="H510">
        <v>0.17089407812701199</v>
      </c>
      <c r="I510">
        <v>0.114794899648181</v>
      </c>
      <c r="J510">
        <v>0.115037468601302</v>
      </c>
      <c r="K510">
        <v>9.0420616397383802E-2</v>
      </c>
      <c r="L510">
        <v>941.43839461641005</v>
      </c>
      <c r="M510">
        <v>19.0404203633042</v>
      </c>
      <c r="N510">
        <v>50.146639431816197</v>
      </c>
      <c r="O510">
        <v>48.908469922228903</v>
      </c>
      <c r="P510">
        <v>-8.5937799845733701E-2</v>
      </c>
      <c r="Q510">
        <v>0.117052682851034</v>
      </c>
      <c r="R510">
        <v>0.99128931400353304</v>
      </c>
      <c r="S510" t="s">
        <v>5250</v>
      </c>
      <c r="T510" t="s">
        <v>9478</v>
      </c>
      <c r="U510" t="s">
        <v>9478</v>
      </c>
      <c r="V510" t="s">
        <v>9478</v>
      </c>
      <c r="W510">
        <v>4</v>
      </c>
      <c r="X510" t="s">
        <v>9988</v>
      </c>
      <c r="Y510">
        <v>0.40860101109574598</v>
      </c>
      <c r="Z510" t="str">
        <f>HYPERLINK("Melting_Curves/meltCurve_sp_P02656_APOC3_HUMAN_.pdf", "Melting_Curves/meltCurve_sp_P02656_APOC3_HUMAN_.pdf")</f>
        <v>Melting_Curves/meltCurve_sp_P02656_APOC3_HUMAN_.pdf</v>
      </c>
      <c r="AA510" t="s">
        <v>14715</v>
      </c>
      <c r="AB510" t="s">
        <v>19345</v>
      </c>
    </row>
    <row r="511" spans="1:28" x14ac:dyDescent="0.25">
      <c r="A511" t="s">
        <v>515</v>
      </c>
      <c r="B511">
        <v>0.99904790336628502</v>
      </c>
      <c r="C511">
        <v>1.0235560739601399</v>
      </c>
      <c r="D511">
        <v>1.0165999504079</v>
      </c>
      <c r="E511">
        <v>0.72342462306750099</v>
      </c>
      <c r="F511">
        <v>0.29161786405071</v>
      </c>
      <c r="G511">
        <v>0.184655578787014</v>
      </c>
      <c r="H511">
        <v>0.14008317487433</v>
      </c>
      <c r="I511">
        <v>0.123548630776705</v>
      </c>
      <c r="J511">
        <v>0.11677441684748401</v>
      </c>
      <c r="K511">
        <v>0.115290891276165</v>
      </c>
      <c r="L511">
        <v>1966.43240707877</v>
      </c>
      <c r="M511">
        <v>38.558154519467799</v>
      </c>
      <c r="N511">
        <v>51.4072296472754</v>
      </c>
      <c r="O511">
        <v>50.8625329786733</v>
      </c>
      <c r="P511">
        <v>-0.16453448823320399</v>
      </c>
      <c r="Q511">
        <v>0.13184426952389799</v>
      </c>
      <c r="R511">
        <v>0.99769463364321698</v>
      </c>
      <c r="S511" t="s">
        <v>5251</v>
      </c>
      <c r="T511" t="s">
        <v>9478</v>
      </c>
      <c r="U511" t="s">
        <v>9478</v>
      </c>
      <c r="V511" t="s">
        <v>9478</v>
      </c>
      <c r="W511">
        <v>34</v>
      </c>
      <c r="X511" t="s">
        <v>9989</v>
      </c>
      <c r="Y511">
        <v>0.4534380409832694</v>
      </c>
      <c r="Z511" t="str">
        <f>HYPERLINK("Melting_Curves/meltCurve_sp_P02671_2_FIBA_HUMAN_.pdf", "Melting_Curves/meltCurve_sp_P02671_2_FIBA_HUMAN_.pdf")</f>
        <v>Melting_Curves/meltCurve_sp_P02671_2_FIBA_HUMAN_.pdf</v>
      </c>
      <c r="AA511" t="s">
        <v>14716</v>
      </c>
      <c r="AB511" t="s">
        <v>19346</v>
      </c>
    </row>
    <row r="512" spans="1:28" x14ac:dyDescent="0.25">
      <c r="A512" t="s">
        <v>516</v>
      </c>
      <c r="B512">
        <v>0.99904790336628502</v>
      </c>
      <c r="C512">
        <v>0.94056246051739001</v>
      </c>
      <c r="D512">
        <v>0.99189806835705696</v>
      </c>
      <c r="E512">
        <v>0.73141723733021102</v>
      </c>
      <c r="F512">
        <v>0.19330209054134401</v>
      </c>
      <c r="G512">
        <v>0.10927083147866901</v>
      </c>
      <c r="H512">
        <v>6.80866229380621E-2</v>
      </c>
      <c r="I512">
        <v>5.0749169969191599E-2</v>
      </c>
      <c r="J512">
        <v>4.39419574132245E-2</v>
      </c>
      <c r="K512">
        <v>3.6507261067904202E-2</v>
      </c>
      <c r="L512">
        <v>2338.1287023702498</v>
      </c>
      <c r="M512">
        <v>45.856845027839697</v>
      </c>
      <c r="N512">
        <v>51.127863048740799</v>
      </c>
      <c r="O512">
        <v>50.8908577073801</v>
      </c>
      <c r="P512">
        <v>-0.21195290319009699</v>
      </c>
      <c r="Q512">
        <v>5.9119147015244698E-2</v>
      </c>
      <c r="R512">
        <v>0.99636753686319401</v>
      </c>
      <c r="S512" t="s">
        <v>5252</v>
      </c>
      <c r="T512" t="s">
        <v>9478</v>
      </c>
      <c r="U512" t="s">
        <v>9478</v>
      </c>
      <c r="V512" t="s">
        <v>9478</v>
      </c>
      <c r="W512">
        <v>33</v>
      </c>
      <c r="X512" t="s">
        <v>9990</v>
      </c>
      <c r="Y512">
        <v>0.40623694468109089</v>
      </c>
      <c r="Z512" t="str">
        <f>HYPERLINK("Melting_Curves/meltCurve_sp_P02675_FIBB_HUMAN_.pdf", "Melting_Curves/meltCurve_sp_P02675_FIBB_HUMAN_.pdf")</f>
        <v>Melting_Curves/meltCurve_sp_P02675_FIBB_HUMAN_.pdf</v>
      </c>
      <c r="AA512" t="s">
        <v>14717</v>
      </c>
      <c r="AB512" t="s">
        <v>19347</v>
      </c>
    </row>
    <row r="513" spans="1:28" x14ac:dyDescent="0.25">
      <c r="A513" t="s">
        <v>517</v>
      </c>
      <c r="B513">
        <v>0.99904790336628502</v>
      </c>
      <c r="C513">
        <v>1.13059683530611</v>
      </c>
      <c r="D513">
        <v>1.06928149771285</v>
      </c>
      <c r="E513">
        <v>0.74458950456062201</v>
      </c>
      <c r="F513">
        <v>0.17274361707256899</v>
      </c>
      <c r="G513">
        <v>8.2354644260011003E-2</v>
      </c>
      <c r="H513">
        <v>4.7280356325859703E-2</v>
      </c>
      <c r="I513">
        <v>3.2245240875234699E-2</v>
      </c>
      <c r="J513">
        <v>3.11674030354878E-2</v>
      </c>
      <c r="K513">
        <v>2.45708426300374E-2</v>
      </c>
      <c r="L513">
        <v>2547.7855621571098</v>
      </c>
      <c r="M513">
        <v>49.927654619758201</v>
      </c>
      <c r="N513">
        <v>51.1203979548444</v>
      </c>
      <c r="O513">
        <v>50.947880731328503</v>
      </c>
      <c r="P513">
        <v>-0.234592948462892</v>
      </c>
      <c r="Q513">
        <v>4.2454256189112201E-2</v>
      </c>
      <c r="R513">
        <v>0.98865432986247503</v>
      </c>
      <c r="S513" t="s">
        <v>5253</v>
      </c>
      <c r="T513" t="s">
        <v>9478</v>
      </c>
      <c r="U513" t="s">
        <v>9478</v>
      </c>
      <c r="V513" t="s">
        <v>9478</v>
      </c>
      <c r="W513">
        <v>16</v>
      </c>
      <c r="X513" t="s">
        <v>9991</v>
      </c>
      <c r="Y513">
        <v>0.3966590205026958</v>
      </c>
      <c r="Z513" t="str">
        <f>HYPERLINK("Melting_Curves/meltCurve_sp_P02679_2_FIBG_HUMAN_.pdf", "Melting_Curves/meltCurve_sp_P02679_2_FIBG_HUMAN_.pdf")</f>
        <v>Melting_Curves/meltCurve_sp_P02679_2_FIBG_HUMAN_.pdf</v>
      </c>
      <c r="AA513" t="s">
        <v>14718</v>
      </c>
      <c r="AB513" t="s">
        <v>19348</v>
      </c>
    </row>
    <row r="514" spans="1:28" x14ac:dyDescent="0.25">
      <c r="A514" t="s">
        <v>518</v>
      </c>
      <c r="B514">
        <v>0.99904790336628502</v>
      </c>
      <c r="C514">
        <v>1.1147444723145199</v>
      </c>
      <c r="D514">
        <v>1.1309807141725501</v>
      </c>
      <c r="E514">
        <v>1.2260902591552001</v>
      </c>
      <c r="F514">
        <v>0.84151405470678897</v>
      </c>
      <c r="G514">
        <v>1.17235794753429</v>
      </c>
      <c r="H514">
        <v>0.63500480492875999</v>
      </c>
      <c r="I514">
        <v>0.37579581578409899</v>
      </c>
      <c r="J514">
        <v>0.25975022321354102</v>
      </c>
      <c r="K514">
        <v>0.15749589042525899</v>
      </c>
      <c r="L514">
        <v>2834.2281077412099</v>
      </c>
      <c r="M514">
        <v>46.074165180333999</v>
      </c>
      <c r="N514">
        <v>62.262896796268699</v>
      </c>
      <c r="O514">
        <v>61.398932028154903</v>
      </c>
      <c r="P514">
        <v>-0.14771347658742601</v>
      </c>
      <c r="Q514">
        <v>0.21262265974496999</v>
      </c>
      <c r="R514">
        <v>0.89712687748234698</v>
      </c>
      <c r="S514" t="s">
        <v>5254</v>
      </c>
      <c r="T514" t="s">
        <v>9478</v>
      </c>
      <c r="U514" t="s">
        <v>9478</v>
      </c>
      <c r="V514" t="s">
        <v>9478</v>
      </c>
      <c r="W514">
        <v>6</v>
      </c>
      <c r="X514" t="s">
        <v>9992</v>
      </c>
      <c r="Y514">
        <v>0.77962922267231893</v>
      </c>
      <c r="Z514" t="str">
        <f>HYPERLINK("Melting_Curves/meltCurve_sp_P02743_SAMP_HUMAN_.pdf", "Melting_Curves/meltCurve_sp_P02743_SAMP_HUMAN_.pdf")</f>
        <v>Melting_Curves/meltCurve_sp_P02743_SAMP_HUMAN_.pdf</v>
      </c>
      <c r="AA514" t="s">
        <v>14719</v>
      </c>
      <c r="AB514" t="s">
        <v>19349</v>
      </c>
    </row>
    <row r="515" spans="1:28" x14ac:dyDescent="0.25">
      <c r="A515" t="s">
        <v>519</v>
      </c>
      <c r="B515">
        <v>0.99904790336628502</v>
      </c>
      <c r="C515">
        <v>0.92770828480691103</v>
      </c>
      <c r="D515">
        <v>0.93041883628618005</v>
      </c>
      <c r="E515">
        <v>0.87002387902296996</v>
      </c>
      <c r="F515">
        <v>0.504472895861519</v>
      </c>
      <c r="G515">
        <v>0.207194383465752</v>
      </c>
      <c r="H515">
        <v>0.124272731257628</v>
      </c>
      <c r="I515">
        <v>9.3032613975810599E-2</v>
      </c>
      <c r="J515">
        <v>6.4316683161923294E-2</v>
      </c>
      <c r="K515">
        <v>4.7875232188236402E-2</v>
      </c>
      <c r="L515">
        <v>1345.0824739269301</v>
      </c>
      <c r="M515">
        <v>25.401193092192099</v>
      </c>
      <c r="N515">
        <v>53.267149733219902</v>
      </c>
      <c r="O515">
        <v>52.628586450928701</v>
      </c>
      <c r="P515">
        <v>-0.112283089423429</v>
      </c>
      <c r="Q515">
        <v>6.9456994864865798E-2</v>
      </c>
      <c r="R515">
        <v>0.99286203185115596</v>
      </c>
      <c r="S515" t="s">
        <v>5255</v>
      </c>
      <c r="T515" t="s">
        <v>9478</v>
      </c>
      <c r="U515" t="s">
        <v>9478</v>
      </c>
      <c r="V515" t="s">
        <v>9478</v>
      </c>
      <c r="W515">
        <v>13</v>
      </c>
      <c r="X515" t="s">
        <v>9993</v>
      </c>
      <c r="Y515">
        <v>0.47956216066739621</v>
      </c>
      <c r="Z515" t="str">
        <f>HYPERLINK("Melting_Curves/meltCurve_sp_P02748_CO9_HUMAN_.pdf", "Melting_Curves/meltCurve_sp_P02748_CO9_HUMAN_.pdf")</f>
        <v>Melting_Curves/meltCurve_sp_P02748_CO9_HUMAN_.pdf</v>
      </c>
      <c r="AA515" t="s">
        <v>14720</v>
      </c>
      <c r="AB515" t="s">
        <v>19350</v>
      </c>
    </row>
    <row r="516" spans="1:28" x14ac:dyDescent="0.25">
      <c r="A516" t="s">
        <v>520</v>
      </c>
      <c r="B516">
        <v>0.99904790336628502</v>
      </c>
      <c r="C516">
        <v>0.90150578617090904</v>
      </c>
      <c r="D516">
        <v>0.89496209241675995</v>
      </c>
      <c r="E516">
        <v>0.90156946055229004</v>
      </c>
      <c r="F516">
        <v>0.77571658024339796</v>
      </c>
      <c r="G516">
        <v>0.63195251267763397</v>
      </c>
      <c r="H516">
        <v>0.42780558155555598</v>
      </c>
      <c r="I516">
        <v>0.36781802697375998</v>
      </c>
      <c r="J516">
        <v>0.31473836814313699</v>
      </c>
      <c r="K516">
        <v>0.29627189892467498</v>
      </c>
      <c r="L516">
        <v>605.99616274192101</v>
      </c>
      <c r="M516">
        <v>10.4899893577439</v>
      </c>
      <c r="N516">
        <v>59.9264917176491</v>
      </c>
      <c r="O516">
        <v>55.788012729073202</v>
      </c>
      <c r="P516">
        <v>-3.9631316127213399E-2</v>
      </c>
      <c r="Q516">
        <v>0.15726972060070599</v>
      </c>
      <c r="R516">
        <v>0.98137417515036096</v>
      </c>
      <c r="S516" t="s">
        <v>5256</v>
      </c>
      <c r="T516" t="s">
        <v>9478</v>
      </c>
      <c r="U516" t="s">
        <v>9478</v>
      </c>
      <c r="V516" t="s">
        <v>9478</v>
      </c>
      <c r="W516">
        <v>6</v>
      </c>
      <c r="X516" t="s">
        <v>9994</v>
      </c>
      <c r="Y516">
        <v>0.66666534466277894</v>
      </c>
      <c r="Z516" t="str">
        <f>HYPERLINK("Melting_Curves/meltCurve_sp_P02749_APOH_HUMAN_.pdf", "Melting_Curves/meltCurve_sp_P02749_APOH_HUMAN_.pdf")</f>
        <v>Melting_Curves/meltCurve_sp_P02749_APOH_HUMAN_.pdf</v>
      </c>
      <c r="AA516" t="s">
        <v>14721</v>
      </c>
      <c r="AB516" t="s">
        <v>19351</v>
      </c>
    </row>
    <row r="517" spans="1:28" x14ac:dyDescent="0.25">
      <c r="A517" t="s">
        <v>521</v>
      </c>
      <c r="B517">
        <v>0.99904790336628502</v>
      </c>
      <c r="C517">
        <v>0.89943896873080498</v>
      </c>
      <c r="D517">
        <v>0.83894666032503695</v>
      </c>
      <c r="E517">
        <v>0.85157245354299804</v>
      </c>
      <c r="F517">
        <v>0.63282424567661</v>
      </c>
      <c r="G517">
        <v>0.47523793194682501</v>
      </c>
      <c r="H517">
        <v>0.34167859970249598</v>
      </c>
      <c r="I517">
        <v>0.28036285420589302</v>
      </c>
      <c r="J517">
        <v>0.24815509386167001</v>
      </c>
      <c r="K517">
        <v>0.14783054973423401</v>
      </c>
      <c r="L517">
        <v>491.562524943634</v>
      </c>
      <c r="M517">
        <v>8.6518964097914495</v>
      </c>
      <c r="N517">
        <v>56.856368816409997</v>
      </c>
      <c r="O517">
        <v>54.0249425578128</v>
      </c>
      <c r="P517">
        <v>-3.99462927413426E-2</v>
      </c>
      <c r="Q517">
        <v>3.0955335982068501E-3</v>
      </c>
      <c r="R517">
        <v>0.98338763503677395</v>
      </c>
      <c r="S517" t="s">
        <v>5257</v>
      </c>
      <c r="T517" t="s">
        <v>9478</v>
      </c>
      <c r="U517" t="s">
        <v>9478</v>
      </c>
      <c r="V517" t="s">
        <v>9478</v>
      </c>
      <c r="W517">
        <v>3</v>
      </c>
      <c r="X517" t="s">
        <v>9995</v>
      </c>
      <c r="Y517">
        <v>0.57678910973024633</v>
      </c>
      <c r="Z517" t="str">
        <f>HYPERLINK("Melting_Curves/meltCurve_sp_P02750_A2GL_HUMAN_.pdf", "Melting_Curves/meltCurve_sp_P02750_A2GL_HUMAN_.pdf")</f>
        <v>Melting_Curves/meltCurve_sp_P02750_A2GL_HUMAN_.pdf</v>
      </c>
      <c r="AA517" t="s">
        <v>14722</v>
      </c>
      <c r="AB517" t="s">
        <v>19352</v>
      </c>
    </row>
    <row r="518" spans="1:28" x14ac:dyDescent="0.25">
      <c r="A518" t="s">
        <v>522</v>
      </c>
      <c r="B518">
        <v>0.99904790336628502</v>
      </c>
      <c r="C518">
        <v>0.97656251850402798</v>
      </c>
      <c r="D518">
        <v>0.93053027578272896</v>
      </c>
      <c r="E518">
        <v>0.83835220881968997</v>
      </c>
      <c r="F518">
        <v>0.670163660032849</v>
      </c>
      <c r="G518">
        <v>0.57067656623160101</v>
      </c>
      <c r="H518">
        <v>0.459933967334126</v>
      </c>
      <c r="I518">
        <v>0.40111618833754697</v>
      </c>
      <c r="J518">
        <v>0.31807846414776603</v>
      </c>
      <c r="K518">
        <v>0.25024604688398</v>
      </c>
      <c r="L518">
        <v>530.64582871919504</v>
      </c>
      <c r="M518">
        <v>9.3036078920336802</v>
      </c>
      <c r="N518">
        <v>59.209503645084297</v>
      </c>
      <c r="O518">
        <v>54.587328293374703</v>
      </c>
      <c r="P518">
        <v>-3.6469862118526798E-2</v>
      </c>
      <c r="Q518">
        <v>0.144625046827104</v>
      </c>
      <c r="R518">
        <v>0.99320716668892495</v>
      </c>
      <c r="S518" t="s">
        <v>5258</v>
      </c>
      <c r="T518" t="s">
        <v>9478</v>
      </c>
      <c r="U518" t="s">
        <v>9478</v>
      </c>
      <c r="V518" t="s">
        <v>9478</v>
      </c>
      <c r="W518">
        <v>15</v>
      </c>
      <c r="X518" t="s">
        <v>9996</v>
      </c>
      <c r="Y518">
        <v>0.64290736845008911</v>
      </c>
      <c r="Z518" t="str">
        <f>HYPERLINK("Melting_Curves/meltCurve_sp_P02751_10_FINC_HUMAN_.pdf", "Melting_Curves/meltCurve_sp_P02751_10_FINC_HUMAN_.pdf")</f>
        <v>Melting_Curves/meltCurve_sp_P02751_10_FINC_HUMAN_.pdf</v>
      </c>
      <c r="AA518" t="s">
        <v>14723</v>
      </c>
      <c r="AB518" t="s">
        <v>19353</v>
      </c>
    </row>
    <row r="519" spans="1:28" x14ac:dyDescent="0.25">
      <c r="A519" t="s">
        <v>523</v>
      </c>
      <c r="B519">
        <v>0.99904790336628502</v>
      </c>
      <c r="C519">
        <v>0.94549495402884398</v>
      </c>
      <c r="D519">
        <v>0.91799464243706397</v>
      </c>
      <c r="E519">
        <v>0.91347159491052299</v>
      </c>
      <c r="F519">
        <v>0.95030843792733599</v>
      </c>
      <c r="G519">
        <v>0.706235776462525</v>
      </c>
      <c r="H519">
        <v>0.49363773661601001</v>
      </c>
      <c r="I519">
        <v>0.42102511194729397</v>
      </c>
      <c r="J519">
        <v>0.36387426610707202</v>
      </c>
      <c r="K519">
        <v>0.33670835950880801</v>
      </c>
      <c r="L519">
        <v>1101.3150596235801</v>
      </c>
      <c r="M519">
        <v>18.989920594959401</v>
      </c>
      <c r="N519">
        <v>61.156289820061502</v>
      </c>
      <c r="O519">
        <v>57.3630614340371</v>
      </c>
      <c r="P519">
        <v>-5.6887378883841697E-2</v>
      </c>
      <c r="Q519">
        <v>0.31266594093581301</v>
      </c>
      <c r="R519">
        <v>0.97833331928948697</v>
      </c>
      <c r="S519" t="s">
        <v>5259</v>
      </c>
      <c r="T519" t="s">
        <v>9478</v>
      </c>
      <c r="U519" t="s">
        <v>9478</v>
      </c>
      <c r="V519" t="s">
        <v>9478</v>
      </c>
      <c r="W519">
        <v>14</v>
      </c>
      <c r="X519" t="s">
        <v>9997</v>
      </c>
      <c r="Y519">
        <v>0.73310820615683592</v>
      </c>
      <c r="Z519" t="str">
        <f>HYPERLINK("Melting_Curves/meltCurve_sp_P02760_AMBP_HUMAN_.pdf", "Melting_Curves/meltCurve_sp_P02760_AMBP_HUMAN_.pdf")</f>
        <v>Melting_Curves/meltCurve_sp_P02760_AMBP_HUMAN_.pdf</v>
      </c>
      <c r="AA519" t="s">
        <v>14724</v>
      </c>
      <c r="AB519" t="s">
        <v>19354</v>
      </c>
    </row>
    <row r="520" spans="1:28" x14ac:dyDescent="0.25">
      <c r="A520" t="s">
        <v>524</v>
      </c>
      <c r="B520">
        <v>0.99904790336628502</v>
      </c>
      <c r="C520">
        <v>0.98349134748690903</v>
      </c>
      <c r="D520">
        <v>0.94355804429838097</v>
      </c>
      <c r="E520">
        <v>0.94323869768797197</v>
      </c>
      <c r="F520">
        <v>0.89893401690542096</v>
      </c>
      <c r="G520">
        <v>0.78225257850510799</v>
      </c>
      <c r="H520">
        <v>0.74667372836245705</v>
      </c>
      <c r="I520">
        <v>0.69191859391170296</v>
      </c>
      <c r="J520">
        <v>0.68809798964550395</v>
      </c>
      <c r="K520">
        <v>0.64362196791270398</v>
      </c>
      <c r="L520">
        <v>594.26699565726597</v>
      </c>
      <c r="M520">
        <v>10.355824473119499</v>
      </c>
      <c r="O520">
        <v>55.368649434232701</v>
      </c>
      <c r="P520">
        <v>-1.8823710540053998E-2</v>
      </c>
      <c r="Q520">
        <v>0.59759838530635301</v>
      </c>
      <c r="R520">
        <v>0.98558485689868103</v>
      </c>
      <c r="S520" t="s">
        <v>5260</v>
      </c>
      <c r="T520" t="s">
        <v>9478</v>
      </c>
      <c r="U520" t="s">
        <v>9478</v>
      </c>
      <c r="V520" t="s">
        <v>9478</v>
      </c>
      <c r="W520">
        <v>13</v>
      </c>
      <c r="X520" t="s">
        <v>9998</v>
      </c>
      <c r="Y520">
        <v>0.83645924249395165</v>
      </c>
      <c r="Z520" t="str">
        <f>HYPERLINK("Melting_Curves/meltCurve_sp_P02763_A1AG1_HUMAN_.pdf", "Melting_Curves/meltCurve_sp_P02763_A1AG1_HUMAN_.pdf")</f>
        <v>Melting_Curves/meltCurve_sp_P02763_A1AG1_HUMAN_.pdf</v>
      </c>
      <c r="AA520" t="s">
        <v>14725</v>
      </c>
      <c r="AB520" t="s">
        <v>19355</v>
      </c>
    </row>
    <row r="521" spans="1:28" x14ac:dyDescent="0.25">
      <c r="A521" t="s">
        <v>525</v>
      </c>
      <c r="B521">
        <v>0.99904790336628502</v>
      </c>
      <c r="C521">
        <v>1.0096018706302801</v>
      </c>
      <c r="D521">
        <v>0.95889723470919896</v>
      </c>
      <c r="E521">
        <v>0.93805937599496403</v>
      </c>
      <c r="F521">
        <v>0.95453304179934795</v>
      </c>
      <c r="G521">
        <v>0.71702622900985202</v>
      </c>
      <c r="H521">
        <v>0.73433437783758204</v>
      </c>
      <c r="I521">
        <v>0.69127009326107203</v>
      </c>
      <c r="J521">
        <v>0.67719668757390405</v>
      </c>
      <c r="K521">
        <v>0.56665865746953503</v>
      </c>
      <c r="L521">
        <v>703.83892124706301</v>
      </c>
      <c r="M521">
        <v>12.211667012862801</v>
      </c>
      <c r="O521">
        <v>56.1563448022982</v>
      </c>
      <c r="P521">
        <v>-2.3404864330585001E-2</v>
      </c>
      <c r="Q521">
        <v>0.56958030098872803</v>
      </c>
      <c r="R521">
        <v>0.93016546224586005</v>
      </c>
      <c r="S521" t="s">
        <v>5261</v>
      </c>
      <c r="T521" t="s">
        <v>9478</v>
      </c>
      <c r="U521" t="s">
        <v>9478</v>
      </c>
      <c r="V521" t="s">
        <v>9478</v>
      </c>
      <c r="W521">
        <v>9</v>
      </c>
      <c r="X521" t="s">
        <v>9999</v>
      </c>
      <c r="Y521">
        <v>0.82880594769504268</v>
      </c>
      <c r="Z521" t="str">
        <f>HYPERLINK("Melting_Curves/meltCurve_sp_P02765_FETUA_HUMAN_.pdf", "Melting_Curves/meltCurve_sp_P02765_FETUA_HUMAN_.pdf")</f>
        <v>Melting_Curves/meltCurve_sp_P02765_FETUA_HUMAN_.pdf</v>
      </c>
      <c r="AA521" t="s">
        <v>14726</v>
      </c>
      <c r="AB521" t="s">
        <v>19356</v>
      </c>
    </row>
    <row r="522" spans="1:28" x14ac:dyDescent="0.25">
      <c r="A522" t="s">
        <v>526</v>
      </c>
      <c r="B522">
        <v>0.99904790336628502</v>
      </c>
      <c r="C522">
        <v>0.92234853743559497</v>
      </c>
      <c r="D522">
        <v>0.91690178417498602</v>
      </c>
      <c r="E522">
        <v>0.922800917978708</v>
      </c>
      <c r="F522">
        <v>0.889716570260079</v>
      </c>
      <c r="G522">
        <v>0.70165392640067104</v>
      </c>
      <c r="H522">
        <v>0.55736168739408698</v>
      </c>
      <c r="I522">
        <v>0.53297827492481997</v>
      </c>
      <c r="J522">
        <v>0.479682174774821</v>
      </c>
      <c r="K522">
        <v>0.399078464997007</v>
      </c>
      <c r="L522">
        <v>587.93617999208197</v>
      </c>
      <c r="M522">
        <v>9.8575108559937092</v>
      </c>
      <c r="N522">
        <v>64.832047098937295</v>
      </c>
      <c r="O522">
        <v>57.3444318392594</v>
      </c>
      <c r="P522">
        <v>-3.1266246072525997E-2</v>
      </c>
      <c r="Q522">
        <v>0.27282884818415198</v>
      </c>
      <c r="R522">
        <v>0.97355240820245303</v>
      </c>
      <c r="S522" t="s">
        <v>5262</v>
      </c>
      <c r="T522" t="s">
        <v>9478</v>
      </c>
      <c r="U522" t="s">
        <v>9478</v>
      </c>
      <c r="V522" t="s">
        <v>9478</v>
      </c>
      <c r="W522">
        <v>6</v>
      </c>
      <c r="X522" t="s">
        <v>10000</v>
      </c>
      <c r="Y522">
        <v>0.74762829770602324</v>
      </c>
      <c r="Z522" t="str">
        <f>HYPERLINK("Melting_Curves/meltCurve_sp_P02766_TTHY_HUMAN_.pdf", "Melting_Curves/meltCurve_sp_P02766_TTHY_HUMAN_.pdf")</f>
        <v>Melting_Curves/meltCurve_sp_P02766_TTHY_HUMAN_.pdf</v>
      </c>
      <c r="AA522" t="s">
        <v>14727</v>
      </c>
      <c r="AB522" t="s">
        <v>19357</v>
      </c>
    </row>
    <row r="523" spans="1:28" x14ac:dyDescent="0.25">
      <c r="A523" t="s">
        <v>527</v>
      </c>
      <c r="B523">
        <v>0.99904790336628502</v>
      </c>
      <c r="C523">
        <v>1.0517473728937199</v>
      </c>
      <c r="D523">
        <v>0.975196339861922</v>
      </c>
      <c r="E523">
        <v>1.0271153868607801</v>
      </c>
      <c r="F523">
        <v>1.0401398569984099</v>
      </c>
      <c r="G523">
        <v>0.89934040310157604</v>
      </c>
      <c r="H523">
        <v>0.73407206025373795</v>
      </c>
      <c r="I523">
        <v>0.60905378770006502</v>
      </c>
      <c r="J523">
        <v>0.31953504962380802</v>
      </c>
      <c r="K523">
        <v>0.181223817330708</v>
      </c>
      <c r="L523">
        <v>1247.9492565011401</v>
      </c>
      <c r="M523">
        <v>19.277963802986399</v>
      </c>
      <c r="N523">
        <v>64.734495309571699</v>
      </c>
      <c r="O523">
        <v>64.050015373287295</v>
      </c>
      <c r="P523">
        <v>-7.5248596450621E-2</v>
      </c>
      <c r="Q523">
        <v>0</v>
      </c>
      <c r="R523">
        <v>0.98600960934162596</v>
      </c>
      <c r="S523" t="s">
        <v>5263</v>
      </c>
      <c r="T523" t="s">
        <v>9478</v>
      </c>
      <c r="U523" t="s">
        <v>9478</v>
      </c>
      <c r="V523" t="s">
        <v>9478</v>
      </c>
      <c r="W523">
        <v>5</v>
      </c>
      <c r="X523" t="s">
        <v>10001</v>
      </c>
      <c r="Y523">
        <v>0.81278040834682663</v>
      </c>
      <c r="Z523" t="str">
        <f>HYPERLINK("Melting_Curves/meltCurve_sp_P02771_FETA_HUMAN_.pdf", "Melting_Curves/meltCurve_sp_P02771_FETA_HUMAN_.pdf")</f>
        <v>Melting_Curves/meltCurve_sp_P02771_FETA_HUMAN_.pdf</v>
      </c>
      <c r="AA523" t="s">
        <v>14728</v>
      </c>
      <c r="AB523" t="s">
        <v>19358</v>
      </c>
    </row>
    <row r="524" spans="1:28" x14ac:dyDescent="0.25">
      <c r="A524" t="s">
        <v>528</v>
      </c>
      <c r="B524">
        <v>0.99904790336628502</v>
      </c>
      <c r="C524">
        <v>0.95837223226465795</v>
      </c>
      <c r="D524">
        <v>1.01249267068847</v>
      </c>
      <c r="E524">
        <v>1.0069947487495301</v>
      </c>
      <c r="F524">
        <v>0.99893342436714905</v>
      </c>
      <c r="G524">
        <v>0.80583603725540798</v>
      </c>
      <c r="H524">
        <v>0.72385476644861502</v>
      </c>
      <c r="I524">
        <v>0.70741439657890404</v>
      </c>
      <c r="J524">
        <v>0.53318026655041795</v>
      </c>
      <c r="K524">
        <v>0.35579111551457099</v>
      </c>
      <c r="L524">
        <v>738.56040802342</v>
      </c>
      <c r="M524">
        <v>10.9701985118756</v>
      </c>
      <c r="N524">
        <v>67.3242505871291</v>
      </c>
      <c r="O524">
        <v>65.203120834250996</v>
      </c>
      <c r="P524">
        <v>-4.2075983496530599E-2</v>
      </c>
      <c r="Q524">
        <v>0</v>
      </c>
      <c r="R524">
        <v>0.96125588764500702</v>
      </c>
      <c r="S524" t="s">
        <v>5264</v>
      </c>
      <c r="T524" t="s">
        <v>9478</v>
      </c>
      <c r="U524" t="s">
        <v>9478</v>
      </c>
      <c r="V524" t="s">
        <v>9478</v>
      </c>
      <c r="W524">
        <v>28</v>
      </c>
      <c r="X524" t="s">
        <v>10002</v>
      </c>
      <c r="Y524">
        <v>0.8328649767397811</v>
      </c>
      <c r="Z524" t="str">
        <f>HYPERLINK("Melting_Curves/meltCurve_sp_P02774_VTDB_HUMAN_.pdf", "Melting_Curves/meltCurve_sp_P02774_VTDB_HUMAN_.pdf")</f>
        <v>Melting_Curves/meltCurve_sp_P02774_VTDB_HUMAN_.pdf</v>
      </c>
      <c r="AA524" t="s">
        <v>14729</v>
      </c>
      <c r="AB524" t="s">
        <v>19359</v>
      </c>
    </row>
    <row r="525" spans="1:28" x14ac:dyDescent="0.25">
      <c r="A525" t="s">
        <v>529</v>
      </c>
      <c r="B525">
        <v>0.99904790336628502</v>
      </c>
      <c r="C525">
        <v>0.83186163189371298</v>
      </c>
      <c r="D525">
        <v>0.84485907781598402</v>
      </c>
      <c r="E525">
        <v>0.83038309713307901</v>
      </c>
      <c r="F525">
        <v>0.782267644355922</v>
      </c>
      <c r="G525">
        <v>0.69582620796148897</v>
      </c>
      <c r="H525">
        <v>0.55524738879498103</v>
      </c>
      <c r="I525">
        <v>0.47262921022955201</v>
      </c>
      <c r="J525">
        <v>0.34644198210911398</v>
      </c>
      <c r="K525">
        <v>0.2051023952404</v>
      </c>
      <c r="L525">
        <v>435.78445122628301</v>
      </c>
      <c r="M525">
        <v>7.0691880142539096</v>
      </c>
      <c r="N525">
        <v>61.6456161692509</v>
      </c>
      <c r="O525">
        <v>57.282638918859199</v>
      </c>
      <c r="P525">
        <v>-3.09073992100431E-2</v>
      </c>
      <c r="Q525">
        <v>0</v>
      </c>
      <c r="R525">
        <v>0.93576170222270005</v>
      </c>
      <c r="S525" t="s">
        <v>5265</v>
      </c>
      <c r="T525" t="s">
        <v>9478</v>
      </c>
      <c r="U525" t="s">
        <v>9478</v>
      </c>
      <c r="V525" t="s">
        <v>9478</v>
      </c>
      <c r="W525">
        <v>18</v>
      </c>
      <c r="X525" t="s">
        <v>10003</v>
      </c>
      <c r="Y525">
        <v>0.67915666171836442</v>
      </c>
      <c r="Z525" t="str">
        <f>HYPERLINK("Melting_Curves/meltCurve_sp_P02790_HEMO_HUMAN_.pdf", "Melting_Curves/meltCurve_sp_P02790_HEMO_HUMAN_.pdf")</f>
        <v>Melting_Curves/meltCurve_sp_P02790_HEMO_HUMAN_.pdf</v>
      </c>
      <c r="AA525" t="s">
        <v>14730</v>
      </c>
      <c r="AB525" t="s">
        <v>19360</v>
      </c>
    </row>
    <row r="526" spans="1:28" x14ac:dyDescent="0.25">
      <c r="A526" t="s">
        <v>530</v>
      </c>
      <c r="B526">
        <v>0.99904790336628502</v>
      </c>
      <c r="C526">
        <v>1.1878641692843099</v>
      </c>
      <c r="D526">
        <v>1.2623029720992101</v>
      </c>
      <c r="E526">
        <v>1.2422168577122199</v>
      </c>
      <c r="F526">
        <v>0.79531616069281896</v>
      </c>
      <c r="G526">
        <v>0.97340822358169199</v>
      </c>
      <c r="H526">
        <v>0.53339912715277404</v>
      </c>
      <c r="I526">
        <v>0.42039142824383202</v>
      </c>
      <c r="J526">
        <v>0.33699047599847098</v>
      </c>
      <c r="K526">
        <v>0.20803132721433701</v>
      </c>
      <c r="L526">
        <v>1679.9005454021501</v>
      </c>
      <c r="M526">
        <v>27.6830556214395</v>
      </c>
      <c r="N526">
        <v>62.1432029730029</v>
      </c>
      <c r="O526">
        <v>60.369316641752597</v>
      </c>
      <c r="P526">
        <v>-8.7235070474862703E-2</v>
      </c>
      <c r="Q526">
        <v>0.23906141483663701</v>
      </c>
      <c r="R526">
        <v>0.84643906371973299</v>
      </c>
      <c r="S526" t="s">
        <v>5266</v>
      </c>
      <c r="T526" t="s">
        <v>9478</v>
      </c>
      <c r="U526" t="s">
        <v>9478</v>
      </c>
      <c r="V526" t="s">
        <v>9478</v>
      </c>
      <c r="W526">
        <v>13</v>
      </c>
      <c r="X526" t="s">
        <v>10004</v>
      </c>
      <c r="Y526">
        <v>0.76840666905754706</v>
      </c>
      <c r="Z526" t="str">
        <f>HYPERLINK("Melting_Curves/meltCurve_sp_P02792_FRIL_HUMAN_.pdf", "Melting_Curves/meltCurve_sp_P02792_FRIL_HUMAN_.pdf")</f>
        <v>Melting_Curves/meltCurve_sp_P02792_FRIL_HUMAN_.pdf</v>
      </c>
      <c r="AA526" t="s">
        <v>14731</v>
      </c>
      <c r="AB526" t="s">
        <v>19361</v>
      </c>
    </row>
    <row r="527" spans="1:28" x14ac:dyDescent="0.25">
      <c r="A527" t="s">
        <v>531</v>
      </c>
      <c r="B527">
        <v>0.99904790336628502</v>
      </c>
      <c r="C527">
        <v>1.6183772674188801</v>
      </c>
      <c r="D527">
        <v>1.64593645354068</v>
      </c>
      <c r="E527">
        <v>1.71194379497173</v>
      </c>
      <c r="F527">
        <v>1.1378024824731701</v>
      </c>
      <c r="G527">
        <v>1.2431474390863599</v>
      </c>
      <c r="H527">
        <v>0.68501022458903904</v>
      </c>
      <c r="I527">
        <v>0.46633975155761997</v>
      </c>
      <c r="J527">
        <v>0.33707363619915398</v>
      </c>
      <c r="K527">
        <v>0.265727147447958</v>
      </c>
      <c r="L527">
        <v>3055.9647397513299</v>
      </c>
      <c r="M527">
        <v>49.636382748166298</v>
      </c>
      <c r="N527">
        <v>62.819464443059502</v>
      </c>
      <c r="O527">
        <v>61.467345462391997</v>
      </c>
      <c r="P527">
        <v>-0.13846347072118101</v>
      </c>
      <c r="Q527">
        <v>0.31413418543308602</v>
      </c>
      <c r="R527">
        <v>0.49020164216037598</v>
      </c>
      <c r="S527" t="s">
        <v>5267</v>
      </c>
      <c r="T527" t="s">
        <v>9478</v>
      </c>
      <c r="U527" t="s">
        <v>9478</v>
      </c>
      <c r="V527" t="s">
        <v>9478</v>
      </c>
      <c r="W527">
        <v>7</v>
      </c>
      <c r="X527" t="s">
        <v>10005</v>
      </c>
      <c r="Y527">
        <v>0.80899685066899418</v>
      </c>
      <c r="Z527" t="str">
        <f>HYPERLINK("Melting_Curves/meltCurve_sp_P02794_FRIH_HUMAN_.pdf", "Melting_Curves/meltCurve_sp_P02794_FRIH_HUMAN_.pdf")</f>
        <v>Melting_Curves/meltCurve_sp_P02794_FRIH_HUMAN_.pdf</v>
      </c>
      <c r="AA527" t="s">
        <v>14732</v>
      </c>
      <c r="AB527" t="s">
        <v>19362</v>
      </c>
    </row>
    <row r="528" spans="1:28" x14ac:dyDescent="0.25">
      <c r="A528" t="s">
        <v>532</v>
      </c>
      <c r="B528">
        <v>0.99904790336628502</v>
      </c>
      <c r="C528">
        <v>1.3304348711702301</v>
      </c>
      <c r="D528">
        <v>1.22365259592467</v>
      </c>
      <c r="E528">
        <v>1.26444857800899</v>
      </c>
      <c r="F528">
        <v>1.65723838738292</v>
      </c>
      <c r="G528">
        <v>1.2701719752698799</v>
      </c>
      <c r="H528">
        <v>1.7109152946056501</v>
      </c>
      <c r="I528">
        <v>2.2984593031403802</v>
      </c>
      <c r="J528">
        <v>3.7124522181818498</v>
      </c>
      <c r="K528">
        <v>4.7466467955656597</v>
      </c>
      <c r="L528">
        <v>858.00089930494198</v>
      </c>
      <c r="M528">
        <v>19.400532170208599</v>
      </c>
      <c r="O528">
        <v>43.763761569679602</v>
      </c>
      <c r="P528">
        <v>5.54146645705988E-2</v>
      </c>
      <c r="Q528">
        <v>1.5</v>
      </c>
      <c r="R528">
        <v>-0.17237003827424299</v>
      </c>
      <c r="S528" t="s">
        <v>5268</v>
      </c>
      <c r="T528" t="s">
        <v>9478</v>
      </c>
      <c r="U528" t="s">
        <v>9478</v>
      </c>
      <c r="V528" t="s">
        <v>9478</v>
      </c>
      <c r="W528">
        <v>6</v>
      </c>
      <c r="X528" t="s">
        <v>10006</v>
      </c>
      <c r="Y528">
        <v>1.4195148074346899</v>
      </c>
      <c r="Z528" t="str">
        <f>HYPERLINK("Melting_Curves/meltCurve_sp_P02795_MT2_HUMAN_.pdf", "Melting_Curves/meltCurve_sp_P02795_MT2_HUMAN_.pdf")</f>
        <v>Melting_Curves/meltCurve_sp_P02795_MT2_HUMAN_.pdf</v>
      </c>
      <c r="AA528" t="s">
        <v>14733</v>
      </c>
      <c r="AB528" t="s">
        <v>19363</v>
      </c>
    </row>
    <row r="529" spans="1:28" x14ac:dyDescent="0.25">
      <c r="A529" t="s">
        <v>533</v>
      </c>
      <c r="B529">
        <v>0.99904790336628502</v>
      </c>
      <c r="C529">
        <v>0.984462008956694</v>
      </c>
      <c r="D529">
        <v>1.0368051849453801</v>
      </c>
      <c r="E529">
        <v>1.04556260242271</v>
      </c>
      <c r="F529">
        <v>1.0536280050326601</v>
      </c>
      <c r="G529">
        <v>0.93926690247034095</v>
      </c>
      <c r="H529">
        <v>0.66203823675553397</v>
      </c>
      <c r="I529">
        <v>0.423898222320157</v>
      </c>
      <c r="J529">
        <v>7.0934554084531698E-2</v>
      </c>
      <c r="K529">
        <v>4.8233854402395297E-2</v>
      </c>
      <c r="L529">
        <v>1821.6455175685401</v>
      </c>
      <c r="M529">
        <v>29.038735001832201</v>
      </c>
      <c r="N529">
        <v>62.731576077088697</v>
      </c>
      <c r="O529">
        <v>62.436337206602602</v>
      </c>
      <c r="P529">
        <v>-0.116274246736236</v>
      </c>
      <c r="Q529">
        <v>0</v>
      </c>
      <c r="R529">
        <v>0.98873122716260797</v>
      </c>
      <c r="S529" t="s">
        <v>5269</v>
      </c>
      <c r="T529" t="s">
        <v>9478</v>
      </c>
      <c r="U529" t="s">
        <v>9478</v>
      </c>
      <c r="V529" t="s">
        <v>9478</v>
      </c>
      <c r="W529">
        <v>6</v>
      </c>
      <c r="X529" t="s">
        <v>10007</v>
      </c>
      <c r="Y529">
        <v>0.76134395423623102</v>
      </c>
      <c r="Z529" t="str">
        <f>HYPERLINK("Melting_Curves/meltCurve_sp_P03950_ANGI_HUMAN_.pdf", "Melting_Curves/meltCurve_sp_P03950_ANGI_HUMAN_.pdf")</f>
        <v>Melting_Curves/meltCurve_sp_P03950_ANGI_HUMAN_.pdf</v>
      </c>
      <c r="AA529" t="s">
        <v>14734</v>
      </c>
      <c r="AB529" t="s">
        <v>19364</v>
      </c>
    </row>
    <row r="530" spans="1:28" x14ac:dyDescent="0.25">
      <c r="A530" t="s">
        <v>534</v>
      </c>
      <c r="B530">
        <v>0.99904790336628502</v>
      </c>
      <c r="C530">
        <v>0.78882813449225198</v>
      </c>
      <c r="D530">
        <v>0.80351900315134095</v>
      </c>
      <c r="E530">
        <v>0.64592044191479803</v>
      </c>
      <c r="F530">
        <v>0.58836267055545499</v>
      </c>
      <c r="G530">
        <v>0.34622604855323003</v>
      </c>
      <c r="H530">
        <v>0.20319080219455499</v>
      </c>
      <c r="I530">
        <v>0.18941656979996199</v>
      </c>
      <c r="J530">
        <v>0.18207996726633099</v>
      </c>
      <c r="K530">
        <v>0.13773173418849599</v>
      </c>
      <c r="L530">
        <v>447.35054506216102</v>
      </c>
      <c r="M530">
        <v>8.3720039639619106</v>
      </c>
      <c r="N530">
        <v>53.434105327302397</v>
      </c>
      <c r="O530">
        <v>50.646255583591298</v>
      </c>
      <c r="P530">
        <v>-4.1365301169235202E-2</v>
      </c>
      <c r="Q530">
        <v>0</v>
      </c>
      <c r="R530">
        <v>0.97421011760948795</v>
      </c>
      <c r="S530" t="s">
        <v>5270</v>
      </c>
      <c r="T530" t="s">
        <v>9478</v>
      </c>
      <c r="U530" t="s">
        <v>9478</v>
      </c>
      <c r="V530" t="s">
        <v>9478</v>
      </c>
      <c r="W530">
        <v>1</v>
      </c>
      <c r="X530" t="s">
        <v>10008</v>
      </c>
      <c r="Y530">
        <v>0.48467990186698778</v>
      </c>
      <c r="Z530" t="str">
        <f>HYPERLINK("Melting_Curves/meltCurve_sp_P03952_KLKB1_HUMAN_.pdf", "Melting_Curves/meltCurve_sp_P03952_KLKB1_HUMAN_.pdf")</f>
        <v>Melting_Curves/meltCurve_sp_P03952_KLKB1_HUMAN_.pdf</v>
      </c>
      <c r="AA530" t="s">
        <v>14735</v>
      </c>
      <c r="AB530" t="s">
        <v>19365</v>
      </c>
    </row>
    <row r="531" spans="1:28" x14ac:dyDescent="0.25">
      <c r="A531" t="s">
        <v>535</v>
      </c>
      <c r="B531">
        <v>0.99904790336628502</v>
      </c>
      <c r="C531">
        <v>0.90334648585570398</v>
      </c>
      <c r="D531">
        <v>0.89349281165531702</v>
      </c>
      <c r="E531">
        <v>0.78977684035956897</v>
      </c>
      <c r="F531">
        <v>0.69489503646501205</v>
      </c>
      <c r="G531">
        <v>0.54098750304883703</v>
      </c>
      <c r="H531">
        <v>0.35990723562062099</v>
      </c>
      <c r="I531">
        <v>0.345514353255437</v>
      </c>
      <c r="J531">
        <v>0.31111912997357299</v>
      </c>
      <c r="K531">
        <v>0.281920979611408</v>
      </c>
      <c r="L531">
        <v>543.73561248971998</v>
      </c>
      <c r="M531">
        <v>9.8499786836193195</v>
      </c>
      <c r="N531">
        <v>57.782440397357497</v>
      </c>
      <c r="O531">
        <v>53.070827461893401</v>
      </c>
      <c r="P531">
        <v>-3.81624757109853E-2</v>
      </c>
      <c r="Q531">
        <v>0.1779592089632</v>
      </c>
      <c r="R531">
        <v>0.99066416072281804</v>
      </c>
      <c r="S531" t="s">
        <v>5271</v>
      </c>
      <c r="T531" t="s">
        <v>9478</v>
      </c>
      <c r="U531" t="s">
        <v>9478</v>
      </c>
      <c r="V531" t="s">
        <v>9478</v>
      </c>
      <c r="W531">
        <v>7</v>
      </c>
      <c r="X531" t="s">
        <v>10009</v>
      </c>
      <c r="Y531">
        <v>0.6151091700021365</v>
      </c>
      <c r="Z531" t="str">
        <f>HYPERLINK("Melting_Curves/meltCurve_sp_P04003_C4BPA_HUMAN_.pdf", "Melting_Curves/meltCurve_sp_P04003_C4BPA_HUMAN_.pdf")</f>
        <v>Melting_Curves/meltCurve_sp_P04003_C4BPA_HUMAN_.pdf</v>
      </c>
      <c r="AA531" t="s">
        <v>14736</v>
      </c>
      <c r="AB531" t="s">
        <v>19366</v>
      </c>
    </row>
    <row r="532" spans="1:28" x14ac:dyDescent="0.25">
      <c r="A532" t="s">
        <v>536</v>
      </c>
      <c r="B532">
        <v>0.99904790336628502</v>
      </c>
      <c r="C532">
        <v>0.99916483116658095</v>
      </c>
      <c r="D532">
        <v>1.00734977299983</v>
      </c>
      <c r="E532">
        <v>0.96817431099601103</v>
      </c>
      <c r="F532">
        <v>0.900481025180217</v>
      </c>
      <c r="G532">
        <v>0.57991795273507696</v>
      </c>
      <c r="H532">
        <v>0.323774784835484</v>
      </c>
      <c r="I532">
        <v>0.290390410903758</v>
      </c>
      <c r="J532">
        <v>0.27425784582451501</v>
      </c>
      <c r="K532">
        <v>0.31695914033376998</v>
      </c>
      <c r="L532">
        <v>1752.3991936632999</v>
      </c>
      <c r="M532">
        <v>31.153916251826701</v>
      </c>
      <c r="N532">
        <v>57.797485269065</v>
      </c>
      <c r="O532">
        <v>56.019481737626897</v>
      </c>
      <c r="P532">
        <v>-9.9699465484837907E-2</v>
      </c>
      <c r="Q532">
        <v>0.28290478445666101</v>
      </c>
      <c r="R532">
        <v>0.99789901756578603</v>
      </c>
      <c r="S532" t="s">
        <v>5272</v>
      </c>
      <c r="T532" t="s">
        <v>9478</v>
      </c>
      <c r="U532" t="s">
        <v>9478</v>
      </c>
      <c r="V532" t="s">
        <v>9478</v>
      </c>
      <c r="W532">
        <v>5</v>
      </c>
      <c r="X532" t="s">
        <v>10010</v>
      </c>
      <c r="Y532">
        <v>0.67578920373739138</v>
      </c>
      <c r="Z532" t="str">
        <f>HYPERLINK("Melting_Curves/meltCurve_sp_P04004_VTNC_HUMAN_.pdf", "Melting_Curves/meltCurve_sp_P04004_VTNC_HUMAN_.pdf")</f>
        <v>Melting_Curves/meltCurve_sp_P04004_VTNC_HUMAN_.pdf</v>
      </c>
      <c r="AA532" t="s">
        <v>14737</v>
      </c>
      <c r="AB532" t="s">
        <v>19367</v>
      </c>
    </row>
    <row r="533" spans="1:28" x14ac:dyDescent="0.25">
      <c r="A533" t="s">
        <v>537</v>
      </c>
      <c r="B533">
        <v>0.99904790336628502</v>
      </c>
      <c r="C533">
        <v>0.92533836541693204</v>
      </c>
      <c r="D533">
        <v>0.89928708050169004</v>
      </c>
      <c r="E533">
        <v>0.77396149145202897</v>
      </c>
      <c r="F533">
        <v>0.63269031107942997</v>
      </c>
      <c r="G533">
        <v>0.35152451551451802</v>
      </c>
      <c r="H533">
        <v>0.110542543166744</v>
      </c>
      <c r="I533">
        <v>4.5526298101985198E-2</v>
      </c>
      <c r="J533">
        <v>2.9290009097503299E-2</v>
      </c>
      <c r="K533">
        <v>2.4276463517415799E-2</v>
      </c>
      <c r="L533">
        <v>865.86832093634303</v>
      </c>
      <c r="M533">
        <v>15.944085788724299</v>
      </c>
      <c r="N533">
        <v>54.3065519166855</v>
      </c>
      <c r="O533">
        <v>53.473803023672197</v>
      </c>
      <c r="P533">
        <v>-7.4547501237510097E-2</v>
      </c>
      <c r="Q533">
        <v>0</v>
      </c>
      <c r="R533">
        <v>0.99216226221784598</v>
      </c>
      <c r="S533" t="s">
        <v>5273</v>
      </c>
      <c r="T533" t="s">
        <v>9478</v>
      </c>
      <c r="U533" t="s">
        <v>9478</v>
      </c>
      <c r="V533" t="s">
        <v>9478</v>
      </c>
      <c r="W533">
        <v>9</v>
      </c>
      <c r="X533" t="s">
        <v>10011</v>
      </c>
      <c r="Y533">
        <v>0.49559003648975519</v>
      </c>
      <c r="Z533" t="str">
        <f>HYPERLINK("Melting_Curves/meltCurve_sp_P04066_FUCO_HUMAN_.pdf", "Melting_Curves/meltCurve_sp_P04066_FUCO_HUMAN_.pdf")</f>
        <v>Melting_Curves/meltCurve_sp_P04066_FUCO_HUMAN_.pdf</v>
      </c>
      <c r="AA533" t="s">
        <v>14738</v>
      </c>
      <c r="AB533" t="s">
        <v>19368</v>
      </c>
    </row>
    <row r="534" spans="1:28" x14ac:dyDescent="0.25">
      <c r="A534" t="s">
        <v>538</v>
      </c>
      <c r="B534">
        <v>0.99904790336628502</v>
      </c>
      <c r="C534">
        <v>1.0579648164897899</v>
      </c>
      <c r="D534">
        <v>1.0250774686869</v>
      </c>
      <c r="E534">
        <v>1.0584130193708801</v>
      </c>
      <c r="F534">
        <v>0.79154363806251804</v>
      </c>
      <c r="G534">
        <v>0.88279583214730994</v>
      </c>
      <c r="H534">
        <v>0.58576522894014604</v>
      </c>
      <c r="I534">
        <v>0.51348859305807504</v>
      </c>
      <c r="J534">
        <v>0.45147618787593602</v>
      </c>
      <c r="K534">
        <v>0.406038614326312</v>
      </c>
      <c r="L534">
        <v>968.497193652693</v>
      </c>
      <c r="M534">
        <v>16.190301039853701</v>
      </c>
      <c r="N534">
        <v>64.5407147037469</v>
      </c>
      <c r="O534">
        <v>58.929308576042203</v>
      </c>
      <c r="P534">
        <v>-4.4853334916460097E-2</v>
      </c>
      <c r="Q534">
        <v>0.34702184926030799</v>
      </c>
      <c r="R534">
        <v>0.93851253302425097</v>
      </c>
      <c r="S534" t="s">
        <v>5274</v>
      </c>
      <c r="T534" t="s">
        <v>9478</v>
      </c>
      <c r="U534" t="s">
        <v>9478</v>
      </c>
      <c r="V534" t="s">
        <v>9478</v>
      </c>
      <c r="W534">
        <v>5</v>
      </c>
      <c r="X534" t="s">
        <v>10012</v>
      </c>
      <c r="Y534">
        <v>0.78381585925338604</v>
      </c>
      <c r="Z534" t="str">
        <f>HYPERLINK("Melting_Curves/meltCurve_sp_P04080_CYTB_HUMAN_.pdf", "Melting_Curves/meltCurve_sp_P04080_CYTB_HUMAN_.pdf")</f>
        <v>Melting_Curves/meltCurve_sp_P04080_CYTB_HUMAN_.pdf</v>
      </c>
      <c r="AA534" t="s">
        <v>14739</v>
      </c>
      <c r="AB534" t="s">
        <v>19369</v>
      </c>
    </row>
    <row r="535" spans="1:28" x14ac:dyDescent="0.25">
      <c r="A535" t="s">
        <v>539</v>
      </c>
      <c r="B535">
        <v>0.99904790336628502</v>
      </c>
      <c r="C535">
        <v>1.09891719738428</v>
      </c>
      <c r="D535">
        <v>1.1091627118834999</v>
      </c>
      <c r="E535">
        <v>0.98073763183435003</v>
      </c>
      <c r="F535">
        <v>0.770866250284444</v>
      </c>
      <c r="G535">
        <v>0.54645181448743696</v>
      </c>
      <c r="H535">
        <v>0.30348838121228799</v>
      </c>
      <c r="I535">
        <v>0.191284922633319</v>
      </c>
      <c r="J535">
        <v>0.108643210496144</v>
      </c>
      <c r="K535">
        <v>6.9227499362444003E-2</v>
      </c>
      <c r="L535">
        <v>1028.5585819738901</v>
      </c>
      <c r="M535">
        <v>17.942101478152999</v>
      </c>
      <c r="N535">
        <v>57.650433009598402</v>
      </c>
      <c r="O535">
        <v>56.628637151438603</v>
      </c>
      <c r="P535">
        <v>-7.5415608358369607E-2</v>
      </c>
      <c r="Q535">
        <v>4.7944361291154897E-2</v>
      </c>
      <c r="R535">
        <v>0.98146289077739501</v>
      </c>
      <c r="S535" t="s">
        <v>5275</v>
      </c>
      <c r="T535" t="s">
        <v>9478</v>
      </c>
      <c r="U535" t="s">
        <v>9478</v>
      </c>
      <c r="V535" t="s">
        <v>9478</v>
      </c>
      <c r="W535">
        <v>58</v>
      </c>
      <c r="X535" t="s">
        <v>10013</v>
      </c>
      <c r="Y535">
        <v>0.61052540752945672</v>
      </c>
      <c r="Z535" t="str">
        <f>HYPERLINK("Melting_Curves/meltCurve_sp_P04114_APOB_HUMAN_.pdf", "Melting_Curves/meltCurve_sp_P04114_APOB_HUMAN_.pdf")</f>
        <v>Melting_Curves/meltCurve_sp_P04114_APOB_HUMAN_.pdf</v>
      </c>
      <c r="AA535" t="s">
        <v>14740</v>
      </c>
      <c r="AB535" t="s">
        <v>19370</v>
      </c>
    </row>
    <row r="536" spans="1:28" x14ac:dyDescent="0.25">
      <c r="A536" t="s">
        <v>540</v>
      </c>
      <c r="B536">
        <v>0.99904790336628502</v>
      </c>
      <c r="C536">
        <v>0.95481814779113905</v>
      </c>
      <c r="D536">
        <v>0.91483815791928502</v>
      </c>
      <c r="E536">
        <v>0.92507998201240005</v>
      </c>
      <c r="F536">
        <v>0.88792367085243296</v>
      </c>
      <c r="G536">
        <v>0.69004057727603696</v>
      </c>
      <c r="H536">
        <v>0.59870776233702505</v>
      </c>
      <c r="I536">
        <v>0.56748489728180795</v>
      </c>
      <c r="J536">
        <v>0.57807821112302205</v>
      </c>
      <c r="K536">
        <v>0.54763190870610101</v>
      </c>
      <c r="L536">
        <v>927.71796605184397</v>
      </c>
      <c r="M536">
        <v>16.795155943984302</v>
      </c>
      <c r="O536">
        <v>54.471962195890697</v>
      </c>
      <c r="P536">
        <v>-3.59389716736059E-2</v>
      </c>
      <c r="Q536">
        <v>0.53378473578845698</v>
      </c>
      <c r="R536">
        <v>0.96953742582105595</v>
      </c>
      <c r="S536" t="s">
        <v>5276</v>
      </c>
      <c r="T536" t="s">
        <v>9478</v>
      </c>
      <c r="U536" t="s">
        <v>9478</v>
      </c>
      <c r="V536" t="s">
        <v>9478</v>
      </c>
      <c r="W536">
        <v>7</v>
      </c>
      <c r="X536" t="s">
        <v>10014</v>
      </c>
      <c r="Y536">
        <v>0.77837030260649531</v>
      </c>
      <c r="Z536" t="str">
        <f>HYPERLINK("Melting_Curves/meltCurve_sp_P04150_7_GCR_HUMAN_.pdf", "Melting_Curves/meltCurve_sp_P04150_7_GCR_HUMAN_.pdf")</f>
        <v>Melting_Curves/meltCurve_sp_P04150_7_GCR_HUMAN_.pdf</v>
      </c>
      <c r="AA536" t="s">
        <v>14741</v>
      </c>
      <c r="AB536" t="s">
        <v>19371</v>
      </c>
    </row>
    <row r="537" spans="1:28" x14ac:dyDescent="0.25">
      <c r="A537" t="s">
        <v>541</v>
      </c>
      <c r="B537">
        <v>0.99904790336628502</v>
      </c>
      <c r="C537">
        <v>1.4427794835246199</v>
      </c>
      <c r="D537">
        <v>1.4708517109444701</v>
      </c>
      <c r="E537">
        <v>1.42596576696489</v>
      </c>
      <c r="F537">
        <v>0.90338514210837795</v>
      </c>
      <c r="G537">
        <v>1.0809830619043601</v>
      </c>
      <c r="H537">
        <v>0.58704938259019002</v>
      </c>
      <c r="I537">
        <v>0.459394676834956</v>
      </c>
      <c r="J537">
        <v>0.47596169417837197</v>
      </c>
      <c r="K537">
        <v>0.45852746839292202</v>
      </c>
      <c r="L537">
        <v>15000</v>
      </c>
      <c r="M537">
        <v>247.11749414905401</v>
      </c>
      <c r="N537">
        <v>61.357509936015902</v>
      </c>
      <c r="O537">
        <v>60.6958999735267</v>
      </c>
      <c r="P537">
        <v>-0.54492945586020902</v>
      </c>
      <c r="Q537">
        <v>0.46462744238532799</v>
      </c>
      <c r="R537">
        <v>0.61477953032011401</v>
      </c>
      <c r="S537" t="s">
        <v>5277</v>
      </c>
      <c r="T537" t="s">
        <v>9478</v>
      </c>
      <c r="U537" t="s">
        <v>9478</v>
      </c>
      <c r="V537" t="s">
        <v>9478</v>
      </c>
      <c r="W537">
        <v>10</v>
      </c>
      <c r="X537" t="s">
        <v>10015</v>
      </c>
      <c r="Y537">
        <v>0.83409057420025878</v>
      </c>
      <c r="Z537" t="str">
        <f>HYPERLINK("Melting_Curves/meltCurve_sp_P04179_SODM_HUMAN_.pdf", "Melting_Curves/meltCurve_sp_P04179_SODM_HUMAN_.pdf")</f>
        <v>Melting_Curves/meltCurve_sp_P04179_SODM_HUMAN_.pdf</v>
      </c>
      <c r="AA537" t="s">
        <v>14742</v>
      </c>
      <c r="AB537" t="s">
        <v>19372</v>
      </c>
    </row>
    <row r="538" spans="1:28" x14ac:dyDescent="0.25">
      <c r="A538" t="s">
        <v>542</v>
      </c>
      <c r="B538">
        <v>0.99904790336628502</v>
      </c>
      <c r="C538">
        <v>0.76352453656321895</v>
      </c>
      <c r="D538">
        <v>0.58442675496270302</v>
      </c>
      <c r="E538">
        <v>0.35559628761123102</v>
      </c>
      <c r="F538">
        <v>0.25216138111582997</v>
      </c>
      <c r="G538">
        <v>0.168711065590747</v>
      </c>
      <c r="H538">
        <v>0.110513338158156</v>
      </c>
      <c r="I538">
        <v>8.4191264094454196E-2</v>
      </c>
      <c r="J538">
        <v>4.6207802216443099E-2</v>
      </c>
      <c r="K538">
        <v>2.3925728249818399E-2</v>
      </c>
      <c r="L538">
        <v>597.17726024842602</v>
      </c>
      <c r="M538">
        <v>12.6193443377589</v>
      </c>
      <c r="N538">
        <v>47.638730407814897</v>
      </c>
      <c r="O538">
        <v>46.181199961380401</v>
      </c>
      <c r="P538">
        <v>-6.5581653266092693E-2</v>
      </c>
      <c r="Q538">
        <v>4.0191355259885098E-2</v>
      </c>
      <c r="R538">
        <v>0.98864362835484199</v>
      </c>
      <c r="S538" t="s">
        <v>5278</v>
      </c>
      <c r="T538" t="s">
        <v>9478</v>
      </c>
      <c r="U538" t="s">
        <v>9478</v>
      </c>
      <c r="V538" t="s">
        <v>9478</v>
      </c>
      <c r="W538">
        <v>9</v>
      </c>
      <c r="X538" t="s">
        <v>10016</v>
      </c>
      <c r="Y538">
        <v>0.31033114345007518</v>
      </c>
      <c r="Z538" t="str">
        <f>HYPERLINK("Melting_Curves/meltCurve_sp_P04181_OAT_HUMAN_.pdf", "Melting_Curves/meltCurve_sp_P04181_OAT_HUMAN_.pdf")</f>
        <v>Melting_Curves/meltCurve_sp_P04181_OAT_HUMAN_.pdf</v>
      </c>
      <c r="AA538" t="s">
        <v>14743</v>
      </c>
      <c r="AB538" t="s">
        <v>19373</v>
      </c>
    </row>
    <row r="539" spans="1:28" x14ac:dyDescent="0.25">
      <c r="A539" t="s">
        <v>543</v>
      </c>
      <c r="B539">
        <v>0.99904790336628502</v>
      </c>
      <c r="C539">
        <v>0.999720239514719</v>
      </c>
      <c r="D539">
        <v>1.05156691221471</v>
      </c>
      <c r="E539">
        <v>1.0012649697309199</v>
      </c>
      <c r="F539">
        <v>0.90314376795120199</v>
      </c>
      <c r="G539">
        <v>0.72527402335814795</v>
      </c>
      <c r="H539">
        <v>0.56303154330593796</v>
      </c>
      <c r="I539">
        <v>0.54567666475186305</v>
      </c>
      <c r="J539">
        <v>0.48037059145144601</v>
      </c>
      <c r="K539">
        <v>0.32675048268420498</v>
      </c>
      <c r="L539">
        <v>865.731269804009</v>
      </c>
      <c r="M539">
        <v>14.5925285769724</v>
      </c>
      <c r="N539">
        <v>63.828619900776701</v>
      </c>
      <c r="O539">
        <v>58.246274084981998</v>
      </c>
      <c r="P539">
        <v>-4.2510838785196001E-2</v>
      </c>
      <c r="Q539">
        <v>0.32134603190870697</v>
      </c>
      <c r="R539">
        <v>0.97363909725612197</v>
      </c>
      <c r="S539" t="s">
        <v>5279</v>
      </c>
      <c r="T539" t="s">
        <v>9478</v>
      </c>
      <c r="U539" t="s">
        <v>9478</v>
      </c>
      <c r="V539" t="s">
        <v>9478</v>
      </c>
      <c r="W539">
        <v>13</v>
      </c>
      <c r="X539" t="s">
        <v>10017</v>
      </c>
      <c r="Y539">
        <v>0.76477120796392406</v>
      </c>
      <c r="Z539" t="str">
        <f>HYPERLINK("Melting_Curves/meltCurve_sp_P04196_HRG_HUMAN_.pdf", "Melting_Curves/meltCurve_sp_P04196_HRG_HUMAN_.pdf")</f>
        <v>Melting_Curves/meltCurve_sp_P04196_HRG_HUMAN_.pdf</v>
      </c>
      <c r="AA539" t="s">
        <v>14744</v>
      </c>
      <c r="AB539" t="s">
        <v>19374</v>
      </c>
    </row>
    <row r="540" spans="1:28" x14ac:dyDescent="0.25">
      <c r="A540" t="s">
        <v>544</v>
      </c>
      <c r="B540">
        <v>0.99904790336628502</v>
      </c>
      <c r="C540">
        <v>0.87320765415880297</v>
      </c>
      <c r="D540">
        <v>1.29117280652455</v>
      </c>
      <c r="E540">
        <v>1.24989173518619</v>
      </c>
      <c r="F540">
        <v>1.1900982260451001</v>
      </c>
      <c r="G540">
        <v>1.0228505300581201</v>
      </c>
      <c r="H540">
        <v>0.71376334760822702</v>
      </c>
      <c r="I540">
        <v>0.60424031048467897</v>
      </c>
      <c r="J540">
        <v>0.41325376641478401</v>
      </c>
      <c r="K540">
        <v>0.28939386181629501</v>
      </c>
      <c r="L540">
        <v>1655.1066578878099</v>
      </c>
      <c r="M540">
        <v>26.207892308699801</v>
      </c>
      <c r="N540">
        <v>64.968039551725695</v>
      </c>
      <c r="O540">
        <v>62.788725075724699</v>
      </c>
      <c r="P540">
        <v>-7.7264050793690406E-2</v>
      </c>
      <c r="Q540">
        <v>0.259572976431653</v>
      </c>
      <c r="R540">
        <v>0.80632349305443296</v>
      </c>
      <c r="S540" t="s">
        <v>5280</v>
      </c>
      <c r="T540" t="s">
        <v>9478</v>
      </c>
      <c r="U540" t="s">
        <v>9478</v>
      </c>
      <c r="V540" t="s">
        <v>9478</v>
      </c>
      <c r="W540">
        <v>1</v>
      </c>
      <c r="X540" t="s">
        <v>10018</v>
      </c>
      <c r="Y540">
        <v>0.83267018126496717</v>
      </c>
      <c r="Z540" t="str">
        <f>HYPERLINK("Melting_Curves/meltCurve_sp_P04206_KV307_HUMAN_.pdf", "Melting_Curves/meltCurve_sp_P04206_KV307_HUMAN_.pdf")</f>
        <v>Melting_Curves/meltCurve_sp_P04206_KV307_HUMAN_.pdf</v>
      </c>
      <c r="AB540" t="s">
        <v>19375</v>
      </c>
    </row>
    <row r="541" spans="1:28" x14ac:dyDescent="0.25">
      <c r="A541" t="s">
        <v>545</v>
      </c>
      <c r="B541">
        <v>0.99904790336628502</v>
      </c>
      <c r="C541">
        <v>0.97179707100543</v>
      </c>
      <c r="D541">
        <v>0.96729449556587499</v>
      </c>
      <c r="E541">
        <v>0.87931280768723996</v>
      </c>
      <c r="F541">
        <v>0.77718443686761396</v>
      </c>
      <c r="G541">
        <v>0.48910787040550102</v>
      </c>
      <c r="H541">
        <v>0.315361527706913</v>
      </c>
      <c r="I541">
        <v>0.241716476023698</v>
      </c>
      <c r="J541">
        <v>0.23794575221289399</v>
      </c>
      <c r="K541">
        <v>0.177445587875107</v>
      </c>
      <c r="L541">
        <v>958.34493383541906</v>
      </c>
      <c r="M541">
        <v>17.223195511269999</v>
      </c>
      <c r="N541">
        <v>57.006123898528401</v>
      </c>
      <c r="O541">
        <v>54.908818297531099</v>
      </c>
      <c r="P541">
        <v>-6.5182858901134802E-2</v>
      </c>
      <c r="Q541">
        <v>0.16881774071324299</v>
      </c>
      <c r="R541">
        <v>0.99753389165945805</v>
      </c>
      <c r="S541" t="s">
        <v>5281</v>
      </c>
      <c r="T541" t="s">
        <v>9478</v>
      </c>
      <c r="U541" t="s">
        <v>9478</v>
      </c>
      <c r="V541" t="s">
        <v>9478</v>
      </c>
      <c r="W541">
        <v>12</v>
      </c>
      <c r="X541" t="s">
        <v>10019</v>
      </c>
      <c r="Y541">
        <v>0.61538734677133988</v>
      </c>
      <c r="Z541" t="str">
        <f>HYPERLINK("Melting_Curves/meltCurve_sp_P04217_A1BG_HUMAN_.pdf", "Melting_Curves/meltCurve_sp_P04217_A1BG_HUMAN_.pdf")</f>
        <v>Melting_Curves/meltCurve_sp_P04217_A1BG_HUMAN_.pdf</v>
      </c>
      <c r="AA541" t="s">
        <v>14745</v>
      </c>
      <c r="AB541" t="s">
        <v>19376</v>
      </c>
    </row>
    <row r="542" spans="1:28" x14ac:dyDescent="0.25">
      <c r="A542" t="s">
        <v>546</v>
      </c>
      <c r="B542">
        <v>0.99904790336628502</v>
      </c>
      <c r="C542">
        <v>0.85404346041857004</v>
      </c>
      <c r="D542">
        <v>0.74888248218326703</v>
      </c>
      <c r="E542">
        <v>2.7374882411765999</v>
      </c>
      <c r="F542">
        <v>0</v>
      </c>
      <c r="G542">
        <v>60.944195425427502</v>
      </c>
      <c r="H542">
        <v>0</v>
      </c>
      <c r="I542">
        <v>0.50369504230260498</v>
      </c>
      <c r="J542">
        <v>0.29155503939930399</v>
      </c>
      <c r="K542">
        <v>0.153427920842967</v>
      </c>
      <c r="S542" t="s">
        <v>5282</v>
      </c>
      <c r="T542" t="s">
        <v>9478</v>
      </c>
      <c r="U542" t="s">
        <v>9479</v>
      </c>
      <c r="V542" t="s">
        <v>9478</v>
      </c>
      <c r="W542">
        <v>29</v>
      </c>
      <c r="X542" t="s">
        <v>10020</v>
      </c>
      <c r="Z542" t="str">
        <f>HYPERLINK("Melting_Curves/meltCurve_sp_P04259_K2C6B_HUMAN_.pdf", "Melting_Curves/meltCurve_sp_P04259_K2C6B_HUMAN_.pdf")</f>
        <v>Melting_Curves/meltCurve_sp_P04259_K2C6B_HUMAN_.pdf</v>
      </c>
      <c r="AA542" t="s">
        <v>14746</v>
      </c>
      <c r="AB542" t="s">
        <v>19377</v>
      </c>
    </row>
    <row r="543" spans="1:28" x14ac:dyDescent="0.25">
      <c r="A543" t="s">
        <v>547</v>
      </c>
      <c r="B543">
        <v>0.99904790336628502</v>
      </c>
      <c r="C543">
        <v>0.61615110075386004</v>
      </c>
      <c r="D543">
        <v>0.584504934856789</v>
      </c>
      <c r="E543">
        <v>2.2264460427033801</v>
      </c>
      <c r="F543">
        <v>0.17271709768877899</v>
      </c>
      <c r="G543">
        <v>2.1205138589827501</v>
      </c>
      <c r="H543">
        <v>8.8027466545991598E-2</v>
      </c>
      <c r="I543">
        <v>0.25974001366993299</v>
      </c>
      <c r="J543">
        <v>0.12606601563875899</v>
      </c>
      <c r="K543">
        <v>0.18247175600791099</v>
      </c>
      <c r="L543">
        <v>14814.687171867399</v>
      </c>
      <c r="M543">
        <v>250</v>
      </c>
      <c r="N543">
        <v>59.3530775670352</v>
      </c>
      <c r="O543">
        <v>59.254971613431501</v>
      </c>
      <c r="P543">
        <v>-0.88184679103709096</v>
      </c>
      <c r="Q543">
        <v>0.16393930796178199</v>
      </c>
      <c r="R543">
        <v>0.35775614913042603</v>
      </c>
      <c r="S543" t="s">
        <v>5283</v>
      </c>
      <c r="T543" t="s">
        <v>9478</v>
      </c>
      <c r="U543" t="s">
        <v>9478</v>
      </c>
      <c r="V543" t="s">
        <v>9478</v>
      </c>
      <c r="W543">
        <v>43</v>
      </c>
      <c r="X543" t="s">
        <v>10021</v>
      </c>
      <c r="Y543">
        <v>0.70074234860139006</v>
      </c>
      <c r="Z543" t="str">
        <f>HYPERLINK("Melting_Curves/meltCurve_sp_P04264_K2C1_HUMAN_.pdf", "Melting_Curves/meltCurve_sp_P04264_K2C1_HUMAN_.pdf")</f>
        <v>Melting_Curves/meltCurve_sp_P04264_K2C1_HUMAN_.pdf</v>
      </c>
      <c r="AA543" t="s">
        <v>14747</v>
      </c>
      <c r="AB543" t="s">
        <v>19378</v>
      </c>
    </row>
    <row r="544" spans="1:28" x14ac:dyDescent="0.25">
      <c r="A544" t="s">
        <v>548</v>
      </c>
      <c r="B544">
        <v>0.99904790336628502</v>
      </c>
      <c r="C544">
        <v>1.14183798126761</v>
      </c>
      <c r="D544">
        <v>1.03118238696839</v>
      </c>
      <c r="E544">
        <v>0.77554848595956505</v>
      </c>
      <c r="F544">
        <v>0.683122442486647</v>
      </c>
      <c r="G544">
        <v>0.42798926738836301</v>
      </c>
      <c r="H544">
        <v>0.36616216316727201</v>
      </c>
      <c r="I544">
        <v>0.286871118720816</v>
      </c>
      <c r="J544">
        <v>0.19667955868259501</v>
      </c>
      <c r="K544">
        <v>0.13011638866330799</v>
      </c>
      <c r="L544">
        <v>797.85255724510398</v>
      </c>
      <c r="M544">
        <v>14.5303655598854</v>
      </c>
      <c r="N544">
        <v>56.261370130833797</v>
      </c>
      <c r="O544">
        <v>53.900713617175597</v>
      </c>
      <c r="P544">
        <v>-5.7468775091380597E-2</v>
      </c>
      <c r="Q544">
        <v>0.147370428161884</v>
      </c>
      <c r="R544">
        <v>0.965034642142512</v>
      </c>
      <c r="S544" t="s">
        <v>5284</v>
      </c>
      <c r="T544" t="s">
        <v>9478</v>
      </c>
      <c r="U544" t="s">
        <v>9478</v>
      </c>
      <c r="V544" t="s">
        <v>9478</v>
      </c>
      <c r="W544">
        <v>4</v>
      </c>
      <c r="X544" t="s">
        <v>10022</v>
      </c>
      <c r="Y544">
        <v>0.58821874259240592</v>
      </c>
      <c r="Z544" t="str">
        <f>HYPERLINK("Melting_Curves/meltCurve_sp_P04275_VWF_HUMAN_.pdf", "Melting_Curves/meltCurve_sp_P04275_VWF_HUMAN_.pdf")</f>
        <v>Melting_Curves/meltCurve_sp_P04275_VWF_HUMAN_.pdf</v>
      </c>
      <c r="AA544" t="s">
        <v>14748</v>
      </c>
      <c r="AB544" t="s">
        <v>19379</v>
      </c>
    </row>
    <row r="545" spans="1:28" x14ac:dyDescent="0.25">
      <c r="A545" t="s">
        <v>549</v>
      </c>
      <c r="B545">
        <v>0.99904790336628502</v>
      </c>
      <c r="C545">
        <v>1.03822854891674</v>
      </c>
      <c r="D545">
        <v>1.11753256850965</v>
      </c>
      <c r="E545">
        <v>1.0627276809789901</v>
      </c>
      <c r="F545">
        <v>0.92014873290893495</v>
      </c>
      <c r="G545">
        <v>0.54717543820416203</v>
      </c>
      <c r="H545">
        <v>9.8242428201277099E-2</v>
      </c>
      <c r="I545">
        <v>5.7410205990940599E-2</v>
      </c>
      <c r="J545">
        <v>4.0524294368937501E-2</v>
      </c>
      <c r="K545">
        <v>3.2520192767718697E-2</v>
      </c>
      <c r="L545">
        <v>2145.0266483535502</v>
      </c>
      <c r="M545">
        <v>37.541075148025797</v>
      </c>
      <c r="N545">
        <v>57.239768107481503</v>
      </c>
      <c r="O545">
        <v>56.9767171855787</v>
      </c>
      <c r="P545">
        <v>-0.159410134928334</v>
      </c>
      <c r="Q545">
        <v>3.2244874690939E-2</v>
      </c>
      <c r="R545">
        <v>0.98999049537338901</v>
      </c>
      <c r="S545" t="s">
        <v>5285</v>
      </c>
      <c r="T545" t="s">
        <v>9478</v>
      </c>
      <c r="U545" t="s">
        <v>9478</v>
      </c>
      <c r="V545" t="s">
        <v>9478</v>
      </c>
      <c r="W545">
        <v>34</v>
      </c>
      <c r="X545" t="s">
        <v>10023</v>
      </c>
      <c r="Y545">
        <v>0.58936116566051233</v>
      </c>
      <c r="Z545" t="str">
        <f>HYPERLINK("Melting_Curves/meltCurve_sp_P04406_G3P_HUMAN_.pdf", "Melting_Curves/meltCurve_sp_P04406_G3P_HUMAN_.pdf")</f>
        <v>Melting_Curves/meltCurve_sp_P04406_G3P_HUMAN_.pdf</v>
      </c>
      <c r="AA545" t="s">
        <v>14749</v>
      </c>
      <c r="AB545" t="s">
        <v>19380</v>
      </c>
    </row>
    <row r="546" spans="1:28" x14ac:dyDescent="0.25">
      <c r="A546" t="s">
        <v>550</v>
      </c>
      <c r="B546">
        <v>0.99904790336628502</v>
      </c>
      <c r="C546">
        <v>1.1249145740359701</v>
      </c>
      <c r="D546">
        <v>1.2066080346511801</v>
      </c>
      <c r="E546">
        <v>1.11427255899559</v>
      </c>
      <c r="F546">
        <v>1.01035095587099</v>
      </c>
      <c r="G546">
        <v>0.47273039241941001</v>
      </c>
      <c r="H546">
        <v>0.103451524669505</v>
      </c>
      <c r="I546">
        <v>7.13832620492931E-2</v>
      </c>
      <c r="J546">
        <v>5.1531859117112701E-2</v>
      </c>
      <c r="K546">
        <v>4.3258954163230001E-2</v>
      </c>
      <c r="L546">
        <v>3466.83584165612</v>
      </c>
      <c r="M546">
        <v>61.062613231968598</v>
      </c>
      <c r="N546">
        <v>56.901390732552102</v>
      </c>
      <c r="O546">
        <v>56.714299562648399</v>
      </c>
      <c r="P546">
        <v>-0.25210992573247099</v>
      </c>
      <c r="Q546">
        <v>6.33723898217535E-2</v>
      </c>
      <c r="R546">
        <v>0.96929745057657801</v>
      </c>
      <c r="S546" t="s">
        <v>5286</v>
      </c>
      <c r="T546" t="s">
        <v>9478</v>
      </c>
      <c r="U546" t="s">
        <v>9478</v>
      </c>
      <c r="V546" t="s">
        <v>9478</v>
      </c>
      <c r="W546">
        <v>32</v>
      </c>
      <c r="X546" t="s">
        <v>10024</v>
      </c>
      <c r="Y546">
        <v>0.58867575953808149</v>
      </c>
      <c r="Z546" t="str">
        <f>HYPERLINK("Melting_Curves/meltCurve_sp_P04424_ARLY_HUMAN_.pdf", "Melting_Curves/meltCurve_sp_P04424_ARLY_HUMAN_.pdf")</f>
        <v>Melting_Curves/meltCurve_sp_P04424_ARLY_HUMAN_.pdf</v>
      </c>
      <c r="AA546" t="s">
        <v>14750</v>
      </c>
      <c r="AB546" t="s">
        <v>19381</v>
      </c>
    </row>
    <row r="547" spans="1:28" x14ac:dyDescent="0.25">
      <c r="A547" t="s">
        <v>551</v>
      </c>
      <c r="B547">
        <v>0.99904790336628502</v>
      </c>
      <c r="C547">
        <v>1.0522199289302701</v>
      </c>
      <c r="D547">
        <v>1.15709578780686</v>
      </c>
      <c r="E547">
        <v>1.1078022688443201</v>
      </c>
      <c r="F547">
        <v>0.96135395417377301</v>
      </c>
      <c r="G547">
        <v>0.62271084780635499</v>
      </c>
      <c r="H547">
        <v>0.431189906891286</v>
      </c>
      <c r="I547">
        <v>0.32179193480926399</v>
      </c>
      <c r="J547">
        <v>0.222181311262104</v>
      </c>
      <c r="K547">
        <v>0.17972633763738199</v>
      </c>
      <c r="L547">
        <v>1382.7016499126601</v>
      </c>
      <c r="M547">
        <v>23.818596029906701</v>
      </c>
      <c r="N547">
        <v>59.341480198054803</v>
      </c>
      <c r="O547">
        <v>57.6467971858848</v>
      </c>
      <c r="P547">
        <v>-8.2421212690641593E-2</v>
      </c>
      <c r="Q547">
        <v>0.20209545725029901</v>
      </c>
      <c r="R547">
        <v>0.96119220905031799</v>
      </c>
      <c r="S547" t="s">
        <v>5287</v>
      </c>
      <c r="T547" t="s">
        <v>9478</v>
      </c>
      <c r="U547" t="s">
        <v>9478</v>
      </c>
      <c r="V547" t="s">
        <v>9478</v>
      </c>
      <c r="W547">
        <v>9</v>
      </c>
      <c r="X547" t="s">
        <v>10025</v>
      </c>
      <c r="Y547">
        <v>0.68959194483696207</v>
      </c>
      <c r="Z547" t="str">
        <f>HYPERLINK("Melting_Curves/meltCurve_sp_P04632_CPNS1_HUMAN_.pdf", "Melting_Curves/meltCurve_sp_P04632_CPNS1_HUMAN_.pdf")</f>
        <v>Melting_Curves/meltCurve_sp_P04632_CPNS1_HUMAN_.pdf</v>
      </c>
      <c r="AA547" t="s">
        <v>14751</v>
      </c>
      <c r="AB547" t="s">
        <v>19382</v>
      </c>
    </row>
    <row r="548" spans="1:28" x14ac:dyDescent="0.25">
      <c r="A548" t="s">
        <v>552</v>
      </c>
      <c r="B548">
        <v>0.99904790336628502</v>
      </c>
      <c r="C548">
        <v>0.82600761388472499</v>
      </c>
      <c r="D548">
        <v>0.94973256466328904</v>
      </c>
      <c r="E548">
        <v>0.94245045734315303</v>
      </c>
      <c r="F548">
        <v>1.2232637981230301</v>
      </c>
      <c r="G548">
        <v>1.0777372508445</v>
      </c>
      <c r="H548">
        <v>0.98892841770278594</v>
      </c>
      <c r="I548">
        <v>1.39346522406066</v>
      </c>
      <c r="J548">
        <v>2.2116336636234601</v>
      </c>
      <c r="K548">
        <v>3.1939106719706598</v>
      </c>
      <c r="L548">
        <v>15000</v>
      </c>
      <c r="M548">
        <v>235.681872076845</v>
      </c>
      <c r="O548">
        <v>63.640527580985498</v>
      </c>
      <c r="P548">
        <v>0.46291620603476402</v>
      </c>
      <c r="Q548">
        <v>1.5</v>
      </c>
      <c r="R548">
        <v>0.31728348937036499</v>
      </c>
      <c r="S548" t="s">
        <v>5288</v>
      </c>
      <c r="T548" t="s">
        <v>9478</v>
      </c>
      <c r="U548" t="s">
        <v>9478</v>
      </c>
      <c r="V548" t="s">
        <v>9478</v>
      </c>
      <c r="W548">
        <v>4</v>
      </c>
      <c r="X548" t="s">
        <v>10026</v>
      </c>
      <c r="Y548">
        <v>1.105851897801728</v>
      </c>
      <c r="Z548" t="str">
        <f>HYPERLINK("Melting_Curves/meltCurve_sp_P04731_MT1A_HUMAN_.pdf", "Melting_Curves/meltCurve_sp_P04731_MT1A_HUMAN_.pdf")</f>
        <v>Melting_Curves/meltCurve_sp_P04731_MT1A_HUMAN_.pdf</v>
      </c>
      <c r="AA548" t="s">
        <v>14752</v>
      </c>
      <c r="AB548" t="s">
        <v>19383</v>
      </c>
    </row>
    <row r="549" spans="1:28" x14ac:dyDescent="0.25">
      <c r="A549" t="s">
        <v>553</v>
      </c>
      <c r="B549">
        <v>0.99904790336628502</v>
      </c>
      <c r="C549">
        <v>1.42523109971659</v>
      </c>
      <c r="D549">
        <v>1.3534333187362</v>
      </c>
      <c r="E549">
        <v>1.37540176270912</v>
      </c>
      <c r="F549">
        <v>1.38453672822209</v>
      </c>
      <c r="G549">
        <v>1.55176241800473</v>
      </c>
      <c r="H549">
        <v>1.66689009149273</v>
      </c>
      <c r="I549">
        <v>1.27252338577805</v>
      </c>
      <c r="J549">
        <v>1.8667626800947299</v>
      </c>
      <c r="K549">
        <v>1.7787911196836801</v>
      </c>
      <c r="L549">
        <v>3629.0169117406199</v>
      </c>
      <c r="M549">
        <v>86.310179668241204</v>
      </c>
      <c r="O549">
        <v>42.023645751845201</v>
      </c>
      <c r="P549">
        <v>0.256730905964274</v>
      </c>
      <c r="Q549">
        <v>1.5</v>
      </c>
      <c r="R549">
        <v>0.41635192645001801</v>
      </c>
      <c r="S549" t="s">
        <v>5289</v>
      </c>
      <c r="T549" t="s">
        <v>9478</v>
      </c>
      <c r="U549" t="s">
        <v>9478</v>
      </c>
      <c r="V549" t="s">
        <v>9478</v>
      </c>
      <c r="W549">
        <v>4</v>
      </c>
      <c r="X549" t="s">
        <v>10027</v>
      </c>
      <c r="Y549">
        <v>1.465499829895331</v>
      </c>
      <c r="Z549" t="str">
        <f>HYPERLINK("Melting_Curves/meltCurve_sp_P04732_MT1E_HUMAN_.pdf", "Melting_Curves/meltCurve_sp_P04732_MT1E_HUMAN_.pdf")</f>
        <v>Melting_Curves/meltCurve_sp_P04732_MT1E_HUMAN_.pdf</v>
      </c>
      <c r="AA549" t="s">
        <v>14753</v>
      </c>
      <c r="AB549" t="s">
        <v>19384</v>
      </c>
    </row>
    <row r="550" spans="1:28" x14ac:dyDescent="0.25">
      <c r="A550" t="s">
        <v>554</v>
      </c>
      <c r="B550">
        <v>0.99904790336628502</v>
      </c>
      <c r="C550">
        <v>1.05429896446535</v>
      </c>
      <c r="D550">
        <v>0.98109625292867397</v>
      </c>
      <c r="E550">
        <v>1.0167986842171299</v>
      </c>
      <c r="F550">
        <v>1.72015076181029</v>
      </c>
      <c r="G550">
        <v>1.3308597550430801</v>
      </c>
      <c r="H550">
        <v>1.5666639605495301</v>
      </c>
      <c r="I550">
        <v>2.3286311866483</v>
      </c>
      <c r="J550">
        <v>3.3407718899657399</v>
      </c>
      <c r="K550">
        <v>4.22584664841406</v>
      </c>
      <c r="L550">
        <v>12667.6267096296</v>
      </c>
      <c r="M550">
        <v>250</v>
      </c>
      <c r="O550">
        <v>50.6672525489832</v>
      </c>
      <c r="P550">
        <v>0.61676904142264499</v>
      </c>
      <c r="Q550">
        <v>1.5</v>
      </c>
      <c r="R550">
        <v>-2.85114551345498E-2</v>
      </c>
      <c r="S550" t="s">
        <v>5290</v>
      </c>
      <c r="T550" t="s">
        <v>9478</v>
      </c>
      <c r="U550" t="s">
        <v>9478</v>
      </c>
      <c r="V550" t="s">
        <v>9478</v>
      </c>
      <c r="W550">
        <v>4</v>
      </c>
      <c r="X550" t="s">
        <v>10028</v>
      </c>
      <c r="Y550">
        <v>1.32211375638258</v>
      </c>
      <c r="Z550" t="str">
        <f>HYPERLINK("Melting_Curves/meltCurve_sp_P04733_MT1F_HUMAN_.pdf", "Melting_Curves/meltCurve_sp_P04733_MT1F_HUMAN_.pdf")</f>
        <v>Melting_Curves/meltCurve_sp_P04733_MT1F_HUMAN_.pdf</v>
      </c>
      <c r="AA550" t="s">
        <v>14754</v>
      </c>
      <c r="AB550" t="s">
        <v>19385</v>
      </c>
    </row>
    <row r="551" spans="1:28" x14ac:dyDescent="0.25">
      <c r="A551" t="s">
        <v>555</v>
      </c>
      <c r="B551">
        <v>0.99904790336628502</v>
      </c>
      <c r="C551">
        <v>0.99617826278037303</v>
      </c>
      <c r="D551">
        <v>0.87061330502966305</v>
      </c>
      <c r="E551">
        <v>0.68218396703377204</v>
      </c>
      <c r="F551">
        <v>0.60307116045940601</v>
      </c>
      <c r="G551">
        <v>0.362210906158695</v>
      </c>
      <c r="H551">
        <v>0.28555261247400399</v>
      </c>
      <c r="I551">
        <v>0.28316028606972898</v>
      </c>
      <c r="J551">
        <v>0.32205880228518602</v>
      </c>
      <c r="K551">
        <v>0.38236029854020198</v>
      </c>
      <c r="L551">
        <v>868.80411105334497</v>
      </c>
      <c r="M551">
        <v>17.072496724914</v>
      </c>
      <c r="N551">
        <v>53.781408834860898</v>
      </c>
      <c r="O551">
        <v>50.206309356541396</v>
      </c>
      <c r="P551">
        <v>-5.9480468987130899E-2</v>
      </c>
      <c r="Q551">
        <v>0.30036890983033299</v>
      </c>
      <c r="R551">
        <v>0.97680328929577098</v>
      </c>
      <c r="S551" t="s">
        <v>5291</v>
      </c>
      <c r="T551" t="s">
        <v>9478</v>
      </c>
      <c r="U551" t="s">
        <v>9478</v>
      </c>
      <c r="V551" t="s">
        <v>9478</v>
      </c>
      <c r="W551">
        <v>13</v>
      </c>
      <c r="X551" t="s">
        <v>10029</v>
      </c>
      <c r="Y551">
        <v>0.56729368237610744</v>
      </c>
      <c r="Z551" t="str">
        <f>HYPERLINK("Melting_Curves/meltCurve_sp_P04792_HSPB1_HUMAN_.pdf", "Melting_Curves/meltCurve_sp_P04792_HSPB1_HUMAN_.pdf")</f>
        <v>Melting_Curves/meltCurve_sp_P04792_HSPB1_HUMAN_.pdf</v>
      </c>
      <c r="AA551" t="s">
        <v>14755</v>
      </c>
      <c r="AB551" t="s">
        <v>19386</v>
      </c>
    </row>
    <row r="552" spans="1:28" x14ac:dyDescent="0.25">
      <c r="A552" t="s">
        <v>556</v>
      </c>
      <c r="B552">
        <v>0.99904790336628502</v>
      </c>
      <c r="C552">
        <v>1.1992288254757699</v>
      </c>
      <c r="D552">
        <v>0.73086699166112901</v>
      </c>
      <c r="E552">
        <v>0.34861380497232197</v>
      </c>
      <c r="F552">
        <v>0.18593748329161</v>
      </c>
      <c r="G552">
        <v>0.13149303822264599</v>
      </c>
      <c r="H552">
        <v>5.3451821426619001E-2</v>
      </c>
      <c r="I552">
        <v>4.0847420328786598E-2</v>
      </c>
      <c r="J552">
        <v>1.32330313786575E-2</v>
      </c>
      <c r="K552">
        <v>0</v>
      </c>
      <c r="L552">
        <v>1200.9885203403801</v>
      </c>
      <c r="M552">
        <v>24.750986584818602</v>
      </c>
      <c r="N552">
        <v>48.708689409737197</v>
      </c>
      <c r="O552">
        <v>48.2094484769286</v>
      </c>
      <c r="P552">
        <v>-0.12257026333195201</v>
      </c>
      <c r="Q552">
        <v>4.5054589995794703E-2</v>
      </c>
      <c r="R552">
        <v>0.96106540759902404</v>
      </c>
      <c r="S552" t="s">
        <v>5292</v>
      </c>
      <c r="T552" t="s">
        <v>9478</v>
      </c>
      <c r="U552" t="s">
        <v>9478</v>
      </c>
      <c r="V552" t="s">
        <v>9478</v>
      </c>
      <c r="W552">
        <v>2</v>
      </c>
      <c r="X552" t="s">
        <v>10030</v>
      </c>
      <c r="Y552">
        <v>0.32497105276954741</v>
      </c>
      <c r="Z552" t="str">
        <f>HYPERLINK("Melting_Curves/meltCurve_sp_P04843_RPN1_HUMAN_.pdf", "Melting_Curves/meltCurve_sp_P04843_RPN1_HUMAN_.pdf")</f>
        <v>Melting_Curves/meltCurve_sp_P04843_RPN1_HUMAN_.pdf</v>
      </c>
      <c r="AA552" t="s">
        <v>14756</v>
      </c>
      <c r="AB552" t="s">
        <v>19387</v>
      </c>
    </row>
    <row r="553" spans="1:28" x14ac:dyDescent="0.25">
      <c r="A553" t="s">
        <v>557</v>
      </c>
      <c r="B553">
        <v>0.99904790336628502</v>
      </c>
      <c r="C553">
        <v>0.82824046706369803</v>
      </c>
      <c r="D553">
        <v>0.71677974273603295</v>
      </c>
      <c r="E553">
        <v>0.41787033131047802</v>
      </c>
      <c r="F553">
        <v>0.23085814792634601</v>
      </c>
      <c r="G553">
        <v>0.114599455076014</v>
      </c>
      <c r="H553">
        <v>7.1289441886243504E-2</v>
      </c>
      <c r="I553">
        <v>5.1790832833294498E-2</v>
      </c>
      <c r="J553">
        <v>4.9500325333848703E-2</v>
      </c>
      <c r="K553">
        <v>4.1184328647375597E-2</v>
      </c>
      <c r="L553">
        <v>718.55322806829599</v>
      </c>
      <c r="M553">
        <v>14.8172555062807</v>
      </c>
      <c r="N553">
        <v>48.6769674719108</v>
      </c>
      <c r="O553">
        <v>47.636753226105</v>
      </c>
      <c r="P553">
        <v>-7.5667119222332505E-2</v>
      </c>
      <c r="Q553">
        <v>2.7038643436942299E-2</v>
      </c>
      <c r="R553">
        <v>0.99620224119799605</v>
      </c>
      <c r="S553" t="s">
        <v>5293</v>
      </c>
      <c r="T553" t="s">
        <v>9478</v>
      </c>
      <c r="U553" t="s">
        <v>9478</v>
      </c>
      <c r="V553" t="s">
        <v>9478</v>
      </c>
      <c r="W553">
        <v>3</v>
      </c>
      <c r="X553" t="s">
        <v>10031</v>
      </c>
      <c r="Y553">
        <v>0.32760916133799028</v>
      </c>
      <c r="Z553" t="str">
        <f>HYPERLINK("Melting_Curves/meltCurve_sp_P04899_GNAI2_HUMAN_.pdf", "Melting_Curves/meltCurve_sp_P04899_GNAI2_HUMAN_.pdf")</f>
        <v>Melting_Curves/meltCurve_sp_P04899_GNAI2_HUMAN_.pdf</v>
      </c>
      <c r="AA553" t="s">
        <v>14757</v>
      </c>
      <c r="AB553" t="s">
        <v>19388</v>
      </c>
    </row>
    <row r="554" spans="1:28" x14ac:dyDescent="0.25">
      <c r="A554" t="s">
        <v>558</v>
      </c>
      <c r="B554">
        <v>0.99904790336628502</v>
      </c>
      <c r="C554">
        <v>1.1180403455441901</v>
      </c>
      <c r="D554">
        <v>0.928217004001889</v>
      </c>
      <c r="E554">
        <v>0.58409379675229001</v>
      </c>
      <c r="F554">
        <v>0.38014634723957003</v>
      </c>
      <c r="G554">
        <v>0.22081603535672101</v>
      </c>
      <c r="H554">
        <v>8.8580908768066999E-2</v>
      </c>
      <c r="I554">
        <v>6.7423577732096104E-2</v>
      </c>
      <c r="J554">
        <v>6.4655979894719398E-2</v>
      </c>
      <c r="K554">
        <v>4.1116022277577699E-2</v>
      </c>
      <c r="L554">
        <v>1011.35577505817</v>
      </c>
      <c r="M554">
        <v>19.777718723405599</v>
      </c>
      <c r="N554">
        <v>51.459560019911301</v>
      </c>
      <c r="O554">
        <v>50.621939345826</v>
      </c>
      <c r="P554">
        <v>-9.1968165634515806E-2</v>
      </c>
      <c r="Q554">
        <v>5.8445796989156501E-2</v>
      </c>
      <c r="R554">
        <v>0.98439753036845801</v>
      </c>
      <c r="S554" t="s">
        <v>5294</v>
      </c>
      <c r="T554" t="s">
        <v>9478</v>
      </c>
      <c r="U554" t="s">
        <v>9478</v>
      </c>
      <c r="V554" t="s">
        <v>9478</v>
      </c>
      <c r="W554">
        <v>3</v>
      </c>
      <c r="X554" t="s">
        <v>10032</v>
      </c>
      <c r="Y554">
        <v>0.42129436928463571</v>
      </c>
      <c r="Z554" t="str">
        <f>HYPERLINK("Melting_Curves/meltCurve_sp_P05023_3_AT1A1_HUMAN_.pdf", "Melting_Curves/meltCurve_sp_P05023_3_AT1A1_HUMAN_.pdf")</f>
        <v>Melting_Curves/meltCurve_sp_P05023_3_AT1A1_HUMAN_.pdf</v>
      </c>
      <c r="AA554" t="s">
        <v>14758</v>
      </c>
      <c r="AB554" t="s">
        <v>19389</v>
      </c>
    </row>
    <row r="555" spans="1:28" x14ac:dyDescent="0.25">
      <c r="A555" t="s">
        <v>559</v>
      </c>
      <c r="B555">
        <v>0.99904790336628502</v>
      </c>
      <c r="C555">
        <v>0.89421058244394003</v>
      </c>
      <c r="D555">
        <v>1.2205339217013</v>
      </c>
      <c r="E555">
        <v>1.1537119602494801</v>
      </c>
      <c r="F555">
        <v>0.88761754648569802</v>
      </c>
      <c r="G555">
        <v>0.28972309915094202</v>
      </c>
      <c r="H555">
        <v>7.5020070146777598E-2</v>
      </c>
      <c r="I555">
        <v>3.7703991649519097E-2</v>
      </c>
      <c r="J555">
        <v>2.6648947794551101E-2</v>
      </c>
      <c r="K555">
        <v>2.27272565553862E-2</v>
      </c>
      <c r="L555">
        <v>2462.5532510295802</v>
      </c>
      <c r="M555">
        <v>44.230979387767903</v>
      </c>
      <c r="N555">
        <v>55.764978063935303</v>
      </c>
      <c r="O555">
        <v>55.561430626554497</v>
      </c>
      <c r="P555">
        <v>-0.192153620847727</v>
      </c>
      <c r="Q555">
        <v>3.4494757579263402E-2</v>
      </c>
      <c r="R555">
        <v>0.96327715274484704</v>
      </c>
      <c r="S555" t="s">
        <v>5295</v>
      </c>
      <c r="T555" t="s">
        <v>9478</v>
      </c>
      <c r="U555" t="s">
        <v>9478</v>
      </c>
      <c r="V555" t="s">
        <v>9478</v>
      </c>
      <c r="W555">
        <v>39</v>
      </c>
      <c r="X555" t="s">
        <v>10033</v>
      </c>
      <c r="Y555">
        <v>0.54199328660937973</v>
      </c>
      <c r="Z555" t="str">
        <f>HYPERLINK("Melting_Curves/meltCurve_sp_P05062_ALDOB_HUMAN_.pdf", "Melting_Curves/meltCurve_sp_P05062_ALDOB_HUMAN_.pdf")</f>
        <v>Melting_Curves/meltCurve_sp_P05062_ALDOB_HUMAN_.pdf</v>
      </c>
      <c r="AA555" t="s">
        <v>14759</v>
      </c>
      <c r="AB555" t="s">
        <v>19390</v>
      </c>
    </row>
    <row r="556" spans="1:28" x14ac:dyDescent="0.25">
      <c r="A556" t="s">
        <v>560</v>
      </c>
      <c r="B556">
        <v>0.99904790336628502</v>
      </c>
      <c r="C556">
        <v>1.08992401120464</v>
      </c>
      <c r="D556">
        <v>1.1592307457203599</v>
      </c>
      <c r="E556">
        <v>1.1881693335553001</v>
      </c>
      <c r="F556">
        <v>1.09362316261823</v>
      </c>
      <c r="G556">
        <v>1.05265385291277</v>
      </c>
      <c r="H556">
        <v>0.76218472144036198</v>
      </c>
      <c r="I556">
        <v>0.61076952785161998</v>
      </c>
      <c r="J556">
        <v>0.35912688837246498</v>
      </c>
      <c r="K556">
        <v>8.7109733441128198E-2</v>
      </c>
      <c r="L556">
        <v>1637.9436311730799</v>
      </c>
      <c r="M556">
        <v>25.218855054373201</v>
      </c>
      <c r="N556">
        <v>64.949166504060301</v>
      </c>
      <c r="O556">
        <v>64.544909634351797</v>
      </c>
      <c r="P556">
        <v>-9.7680761856251797E-2</v>
      </c>
      <c r="Q556">
        <v>0</v>
      </c>
      <c r="R556">
        <v>0.92516655073627596</v>
      </c>
      <c r="S556" t="s">
        <v>5296</v>
      </c>
      <c r="T556" t="s">
        <v>9478</v>
      </c>
      <c r="U556" t="s">
        <v>9478</v>
      </c>
      <c r="V556" t="s">
        <v>9478</v>
      </c>
      <c r="W556">
        <v>30</v>
      </c>
      <c r="X556" t="s">
        <v>10034</v>
      </c>
      <c r="Y556">
        <v>0.82657377789606656</v>
      </c>
      <c r="Z556" t="str">
        <f>HYPERLINK("Melting_Curves/meltCurve_sp_P05089_ARGI1_HUMAN_.pdf", "Melting_Curves/meltCurve_sp_P05089_ARGI1_HUMAN_.pdf")</f>
        <v>Melting_Curves/meltCurve_sp_P05089_ARGI1_HUMAN_.pdf</v>
      </c>
      <c r="AA556" t="s">
        <v>14760</v>
      </c>
      <c r="AB556" t="s">
        <v>19391</v>
      </c>
    </row>
    <row r="557" spans="1:28" x14ac:dyDescent="0.25">
      <c r="A557" t="s">
        <v>561</v>
      </c>
      <c r="B557">
        <v>0.99904790336628502</v>
      </c>
      <c r="C557">
        <v>1.12982368002296</v>
      </c>
      <c r="D557">
        <v>0.98843831461130305</v>
      </c>
      <c r="E557">
        <v>0.81012144677710995</v>
      </c>
      <c r="F557">
        <v>0.63740746711561702</v>
      </c>
      <c r="G557">
        <v>0.43138666700082601</v>
      </c>
      <c r="H557">
        <v>0.304027134335833</v>
      </c>
      <c r="I557">
        <v>0.20364183751836301</v>
      </c>
      <c r="J557">
        <v>0.12744525230110901</v>
      </c>
      <c r="K557">
        <v>8.6785698219658106E-2</v>
      </c>
      <c r="L557">
        <v>781.609883112018</v>
      </c>
      <c r="M557">
        <v>14.141818934825499</v>
      </c>
      <c r="N557">
        <v>55.840161604160798</v>
      </c>
      <c r="O557">
        <v>54.199455695952302</v>
      </c>
      <c r="P557">
        <v>-6.0848622044429999E-2</v>
      </c>
      <c r="Q557">
        <v>6.7293207670927904E-2</v>
      </c>
      <c r="R557">
        <v>0.98054281374246499</v>
      </c>
      <c r="S557" t="s">
        <v>5297</v>
      </c>
      <c r="T557" t="s">
        <v>9478</v>
      </c>
      <c r="U557" t="s">
        <v>9478</v>
      </c>
      <c r="V557" t="s">
        <v>9478</v>
      </c>
      <c r="W557">
        <v>8</v>
      </c>
      <c r="X557" t="s">
        <v>10035</v>
      </c>
      <c r="Y557">
        <v>0.56067563834905032</v>
      </c>
      <c r="Z557" t="str">
        <f>HYPERLINK("Melting_Curves/meltCurve_sp_P05090_APOD_HUMAN_.pdf", "Melting_Curves/meltCurve_sp_P05090_APOD_HUMAN_.pdf")</f>
        <v>Melting_Curves/meltCurve_sp_P05090_APOD_HUMAN_.pdf</v>
      </c>
      <c r="AA557" t="s">
        <v>14761</v>
      </c>
      <c r="AB557" t="s">
        <v>19392</v>
      </c>
    </row>
    <row r="558" spans="1:28" x14ac:dyDescent="0.25">
      <c r="A558" t="s">
        <v>562</v>
      </c>
      <c r="B558">
        <v>0.99904790336628502</v>
      </c>
      <c r="C558">
        <v>1.06867660458481</v>
      </c>
      <c r="D558">
        <v>1.1392579584592899</v>
      </c>
      <c r="E558">
        <v>0.96251199658331399</v>
      </c>
      <c r="F558">
        <v>0.60210865927866597</v>
      </c>
      <c r="G558">
        <v>0.207768708031731</v>
      </c>
      <c r="H558">
        <v>6.5521959119662701E-2</v>
      </c>
      <c r="I558">
        <v>3.9770985201900297E-2</v>
      </c>
      <c r="J558">
        <v>3.2709326167504903E-2</v>
      </c>
      <c r="K558">
        <v>2.6742661078922099E-2</v>
      </c>
      <c r="L558">
        <v>1718.7760768954499</v>
      </c>
      <c r="M558">
        <v>31.941739175467301</v>
      </c>
      <c r="N558">
        <v>53.944431875280301</v>
      </c>
      <c r="O558">
        <v>53.600127762582702</v>
      </c>
      <c r="P558">
        <v>-0.143271348984637</v>
      </c>
      <c r="Q558">
        <v>3.8333690640810901E-2</v>
      </c>
      <c r="R558">
        <v>0.98628790755833295</v>
      </c>
      <c r="S558" t="s">
        <v>5298</v>
      </c>
      <c r="T558" t="s">
        <v>9478</v>
      </c>
      <c r="U558" t="s">
        <v>9478</v>
      </c>
      <c r="V558" t="s">
        <v>9478</v>
      </c>
      <c r="W558">
        <v>36</v>
      </c>
      <c r="X558" t="s">
        <v>10036</v>
      </c>
      <c r="Y558">
        <v>0.48659015605670558</v>
      </c>
      <c r="Z558" t="str">
        <f>HYPERLINK("Melting_Curves/meltCurve_sp_P05091_ALDH2_HUMAN_.pdf", "Melting_Curves/meltCurve_sp_P05091_ALDH2_HUMAN_.pdf")</f>
        <v>Melting_Curves/meltCurve_sp_P05091_ALDH2_HUMAN_.pdf</v>
      </c>
      <c r="AA558" t="s">
        <v>14762</v>
      </c>
      <c r="AB558" t="s">
        <v>19393</v>
      </c>
    </row>
    <row r="559" spans="1:28" x14ac:dyDescent="0.25">
      <c r="A559" t="s">
        <v>563</v>
      </c>
      <c r="B559">
        <v>0.99904790336628502</v>
      </c>
      <c r="C559">
        <v>1.2305135435105901</v>
      </c>
      <c r="D559">
        <v>1.15521409514394</v>
      </c>
      <c r="E559">
        <v>1.2605371359315301</v>
      </c>
      <c r="F559">
        <v>0.69533140194847398</v>
      </c>
      <c r="G559">
        <v>0.998903777589912</v>
      </c>
      <c r="H559">
        <v>0.54437463398946395</v>
      </c>
      <c r="I559">
        <v>0.291209069365024</v>
      </c>
      <c r="J559">
        <v>0.17471403628538101</v>
      </c>
      <c r="K559">
        <v>0.140632760164872</v>
      </c>
      <c r="L559">
        <v>2271.58451567256</v>
      </c>
      <c r="M559">
        <v>37.269363482187003</v>
      </c>
      <c r="N559">
        <v>61.517734618005498</v>
      </c>
      <c r="O559">
        <v>60.7757663369201</v>
      </c>
      <c r="P559">
        <v>-0.131012597221741</v>
      </c>
      <c r="Q559">
        <v>0.145424725295204</v>
      </c>
      <c r="R559">
        <v>0.861484087937466</v>
      </c>
      <c r="S559" t="s">
        <v>5299</v>
      </c>
      <c r="T559" t="s">
        <v>9478</v>
      </c>
      <c r="U559" t="s">
        <v>9478</v>
      </c>
      <c r="V559" t="s">
        <v>9478</v>
      </c>
      <c r="W559">
        <v>3</v>
      </c>
      <c r="X559" t="s">
        <v>10037</v>
      </c>
      <c r="Y559">
        <v>0.7458417228184876</v>
      </c>
      <c r="Z559" t="str">
        <f>HYPERLINK("Melting_Curves/meltCurve_sp_P05109_S10A8_HUMAN_.pdf", "Melting_Curves/meltCurve_sp_P05109_S10A8_HUMAN_.pdf")</f>
        <v>Melting_Curves/meltCurve_sp_P05109_S10A8_HUMAN_.pdf</v>
      </c>
      <c r="AA559" t="s">
        <v>14763</v>
      </c>
      <c r="AB559" t="s">
        <v>19394</v>
      </c>
    </row>
    <row r="560" spans="1:28" x14ac:dyDescent="0.25">
      <c r="A560" t="s">
        <v>564</v>
      </c>
      <c r="B560">
        <v>0.99904790336628502</v>
      </c>
      <c r="C560">
        <v>1.1225801143546399</v>
      </c>
      <c r="D560">
        <v>1.05734888816349</v>
      </c>
      <c r="E560">
        <v>1.13655878443671</v>
      </c>
      <c r="F560">
        <v>1.69851302832034</v>
      </c>
      <c r="G560">
        <v>1.1059895186983499</v>
      </c>
      <c r="H560">
        <v>1.0682234281643399</v>
      </c>
      <c r="I560">
        <v>1.3002269698291999</v>
      </c>
      <c r="J560">
        <v>1.5520084990582601</v>
      </c>
      <c r="K560">
        <v>1.77980455402029</v>
      </c>
      <c r="L560">
        <v>422.56169861133799</v>
      </c>
      <c r="M560">
        <v>8.1437746630290704</v>
      </c>
      <c r="O560">
        <v>49.040359323161397</v>
      </c>
      <c r="P560">
        <v>2.0779802317261498E-2</v>
      </c>
      <c r="Q560">
        <v>1.5</v>
      </c>
      <c r="R560">
        <v>0.34477999868385301</v>
      </c>
      <c r="S560" t="s">
        <v>5300</v>
      </c>
      <c r="T560" t="s">
        <v>9478</v>
      </c>
      <c r="U560" t="s">
        <v>9478</v>
      </c>
      <c r="V560" t="s">
        <v>9478</v>
      </c>
      <c r="W560">
        <v>7</v>
      </c>
      <c r="X560" t="s">
        <v>10038</v>
      </c>
      <c r="Y560">
        <v>1.278334604378762</v>
      </c>
      <c r="Z560" t="str">
        <f>HYPERLINK("Melting_Curves/meltCurve_sp_P05114_HMGN1_HUMAN_.pdf", "Melting_Curves/meltCurve_sp_P05114_HMGN1_HUMAN_.pdf")</f>
        <v>Melting_Curves/meltCurve_sp_P05114_HMGN1_HUMAN_.pdf</v>
      </c>
      <c r="AA560" t="s">
        <v>14764</v>
      </c>
      <c r="AB560" t="s">
        <v>19395</v>
      </c>
    </row>
    <row r="561" spans="1:28" x14ac:dyDescent="0.25">
      <c r="A561" t="s">
        <v>565</v>
      </c>
      <c r="B561">
        <v>0.99904790336628502</v>
      </c>
      <c r="C561">
        <v>1.21803362302079</v>
      </c>
      <c r="D561">
        <v>1.0515231039428701</v>
      </c>
      <c r="E561">
        <v>0.58417994765796699</v>
      </c>
      <c r="F561">
        <v>0.42768369922930699</v>
      </c>
      <c r="G561">
        <v>0.14062753672116299</v>
      </c>
      <c r="H561">
        <v>0.13521846359460801</v>
      </c>
      <c r="I561">
        <v>9.4944024566741905E-2</v>
      </c>
      <c r="J561">
        <v>9.5698276408246505E-2</v>
      </c>
      <c r="K561">
        <v>7.3396421928427796E-2</v>
      </c>
      <c r="L561">
        <v>1301.7423273843799</v>
      </c>
      <c r="M561">
        <v>25.462751891324</v>
      </c>
      <c r="N561">
        <v>51.556886709040803</v>
      </c>
      <c r="O561">
        <v>50.811195090393198</v>
      </c>
      <c r="P561">
        <v>-0.113210187021558</v>
      </c>
      <c r="Q561">
        <v>9.6362717353366295E-2</v>
      </c>
      <c r="R561">
        <v>0.95923130385390398</v>
      </c>
      <c r="S561" t="s">
        <v>5301</v>
      </c>
      <c r="T561" t="s">
        <v>9478</v>
      </c>
      <c r="U561" t="s">
        <v>9478</v>
      </c>
      <c r="V561" t="s">
        <v>9478</v>
      </c>
      <c r="W561">
        <v>4</v>
      </c>
      <c r="X561" t="s">
        <v>10039</v>
      </c>
      <c r="Y561">
        <v>0.43929822574469729</v>
      </c>
      <c r="Z561" t="str">
        <f>HYPERLINK("Melting_Curves/meltCurve_sp_P05141_ADT2_HUMAN_.pdf", "Melting_Curves/meltCurve_sp_P05141_ADT2_HUMAN_.pdf")</f>
        <v>Melting_Curves/meltCurve_sp_P05141_ADT2_HUMAN_.pdf</v>
      </c>
      <c r="AA561" t="s">
        <v>14765</v>
      </c>
      <c r="AB561" t="s">
        <v>19396</v>
      </c>
    </row>
    <row r="562" spans="1:28" x14ac:dyDescent="0.25">
      <c r="A562" t="s">
        <v>566</v>
      </c>
      <c r="B562">
        <v>0.99904790336628502</v>
      </c>
      <c r="C562">
        <v>0.93571702783537203</v>
      </c>
      <c r="D562">
        <v>0.978128296897392</v>
      </c>
      <c r="E562">
        <v>1.01855760688362</v>
      </c>
      <c r="F562">
        <v>0.94482326832022401</v>
      </c>
      <c r="G562">
        <v>0.78623220525269</v>
      </c>
      <c r="H562">
        <v>0.54681751876122198</v>
      </c>
      <c r="I562">
        <v>0.378804888562568</v>
      </c>
      <c r="J562">
        <v>0.18719205611877901</v>
      </c>
      <c r="K562">
        <v>0.14907061574549299</v>
      </c>
      <c r="L562">
        <v>1061.07602592282</v>
      </c>
      <c r="M562">
        <v>17.2644656755262</v>
      </c>
      <c r="N562">
        <v>61.686500496148298</v>
      </c>
      <c r="O562">
        <v>60.653320754261699</v>
      </c>
      <c r="P562">
        <v>-6.8980040621854796E-2</v>
      </c>
      <c r="Q562">
        <v>3.0697148787446199E-2</v>
      </c>
      <c r="R562">
        <v>0.99292629375319996</v>
      </c>
      <c r="S562" t="s">
        <v>5302</v>
      </c>
      <c r="T562" t="s">
        <v>9478</v>
      </c>
      <c r="U562" t="s">
        <v>9478</v>
      </c>
      <c r="V562" t="s">
        <v>9478</v>
      </c>
      <c r="W562">
        <v>3</v>
      </c>
      <c r="X562" t="s">
        <v>10040</v>
      </c>
      <c r="Y562">
        <v>0.72702288394215675</v>
      </c>
      <c r="Z562" t="str">
        <f>HYPERLINK("Melting_Curves/meltCurve_sp_P05154_IPSP_HUMAN_.pdf", "Melting_Curves/meltCurve_sp_P05154_IPSP_HUMAN_.pdf")</f>
        <v>Melting_Curves/meltCurve_sp_P05154_IPSP_HUMAN_.pdf</v>
      </c>
      <c r="AA562" t="s">
        <v>14766</v>
      </c>
      <c r="AB562" t="s">
        <v>19397</v>
      </c>
    </row>
    <row r="563" spans="1:28" x14ac:dyDescent="0.25">
      <c r="A563" t="s">
        <v>567</v>
      </c>
      <c r="B563">
        <v>0.99904790336628502</v>
      </c>
      <c r="C563">
        <v>1.01188233088527</v>
      </c>
      <c r="D563">
        <v>0.97785358627059904</v>
      </c>
      <c r="E563">
        <v>0.92647643901792898</v>
      </c>
      <c r="F563">
        <v>0.82807043498796695</v>
      </c>
      <c r="G563">
        <v>0.52187310483815597</v>
      </c>
      <c r="H563">
        <v>0.27453597655870099</v>
      </c>
      <c r="I563">
        <v>0.16740529166107199</v>
      </c>
      <c r="J563">
        <v>0.13392764057485201</v>
      </c>
      <c r="K563">
        <v>0.110064631437031</v>
      </c>
      <c r="L563">
        <v>1114.7979842028001</v>
      </c>
      <c r="M563">
        <v>19.642163719717001</v>
      </c>
      <c r="N563">
        <v>57.310009890804203</v>
      </c>
      <c r="O563">
        <v>56.176902458405699</v>
      </c>
      <c r="P563">
        <v>-7.9848353526702401E-2</v>
      </c>
      <c r="Q563">
        <v>8.6561635880016405E-2</v>
      </c>
      <c r="R563">
        <v>0.99947144682822597</v>
      </c>
      <c r="S563" t="s">
        <v>5303</v>
      </c>
      <c r="T563" t="s">
        <v>9478</v>
      </c>
      <c r="U563" t="s">
        <v>9478</v>
      </c>
      <c r="V563" t="s">
        <v>9478</v>
      </c>
      <c r="W563">
        <v>15</v>
      </c>
      <c r="X563" t="s">
        <v>10041</v>
      </c>
      <c r="Y563">
        <v>0.60832451406665666</v>
      </c>
      <c r="Z563" t="str">
        <f>HYPERLINK("Melting_Curves/meltCurve_sp_P05155_IC1_HUMAN_.pdf", "Melting_Curves/meltCurve_sp_P05155_IC1_HUMAN_.pdf")</f>
        <v>Melting_Curves/meltCurve_sp_P05155_IC1_HUMAN_.pdf</v>
      </c>
      <c r="AA563" t="s">
        <v>14767</v>
      </c>
      <c r="AB563" t="s">
        <v>19398</v>
      </c>
    </row>
    <row r="564" spans="1:28" x14ac:dyDescent="0.25">
      <c r="A564" t="s">
        <v>568</v>
      </c>
      <c r="B564">
        <v>0.99904790336628502</v>
      </c>
      <c r="C564">
        <v>0.96461460024086898</v>
      </c>
      <c r="D564">
        <v>0.95488407837910605</v>
      </c>
      <c r="E564">
        <v>0.81479088704101399</v>
      </c>
      <c r="F564">
        <v>0.57585029082613004</v>
      </c>
      <c r="G564">
        <v>0.28933020117326003</v>
      </c>
      <c r="H564">
        <v>0.121105887588318</v>
      </c>
      <c r="I564">
        <v>5.4624531082530299E-2</v>
      </c>
      <c r="J564">
        <v>3.2035481581213797E-2</v>
      </c>
      <c r="K564">
        <v>2.1713804810601801E-2</v>
      </c>
      <c r="L564">
        <v>949.12303140416998</v>
      </c>
      <c r="M564">
        <v>17.5686273349476</v>
      </c>
      <c r="N564">
        <v>54.025953719674497</v>
      </c>
      <c r="O564">
        <v>53.338384799719499</v>
      </c>
      <c r="P564">
        <v>-8.2320043151285702E-2</v>
      </c>
      <c r="Q564">
        <v>3.5905627020773597E-4</v>
      </c>
      <c r="R564">
        <v>0.99945493131956398</v>
      </c>
      <c r="S564" t="s">
        <v>5304</v>
      </c>
      <c r="T564" t="s">
        <v>9478</v>
      </c>
      <c r="U564" t="s">
        <v>9478</v>
      </c>
      <c r="V564" t="s">
        <v>9478</v>
      </c>
      <c r="W564">
        <v>3</v>
      </c>
      <c r="X564" t="s">
        <v>10042</v>
      </c>
      <c r="Y564">
        <v>0.48421148213723941</v>
      </c>
      <c r="Z564" t="str">
        <f>HYPERLINK("Melting_Curves/meltCurve_sp_P05161_ISG15_HUMAN_.pdf", "Melting_Curves/meltCurve_sp_P05161_ISG15_HUMAN_.pdf")</f>
        <v>Melting_Curves/meltCurve_sp_P05161_ISG15_HUMAN_.pdf</v>
      </c>
      <c r="AA564" t="s">
        <v>14768</v>
      </c>
      <c r="AB564" t="s">
        <v>19399</v>
      </c>
    </row>
    <row r="565" spans="1:28" x14ac:dyDescent="0.25">
      <c r="A565" t="s">
        <v>569</v>
      </c>
      <c r="B565">
        <v>0.99904790336628502</v>
      </c>
      <c r="C565">
        <v>1.05079081133496</v>
      </c>
      <c r="D565">
        <v>0.96395163782426696</v>
      </c>
      <c r="E565">
        <v>1.0231043905524499</v>
      </c>
      <c r="F565">
        <v>0.79971493370662505</v>
      </c>
      <c r="G565">
        <v>0.70271545960770299</v>
      </c>
      <c r="H565">
        <v>0.50678218629847605</v>
      </c>
      <c r="I565">
        <v>0.31704013355695798</v>
      </c>
      <c r="J565">
        <v>0.25715958011064899</v>
      </c>
      <c r="K565">
        <v>0.100361656270209</v>
      </c>
      <c r="L565">
        <v>807.57193313955599</v>
      </c>
      <c r="M565">
        <v>13.3146946735179</v>
      </c>
      <c r="N565">
        <v>60.652681438085601</v>
      </c>
      <c r="O565">
        <v>59.333504522998197</v>
      </c>
      <c r="P565">
        <v>-5.6110109394058701E-2</v>
      </c>
      <c r="Q565">
        <v>0</v>
      </c>
      <c r="R565">
        <v>0.98306059725067996</v>
      </c>
      <c r="S565" t="s">
        <v>5305</v>
      </c>
      <c r="T565" t="s">
        <v>9478</v>
      </c>
      <c r="U565" t="s">
        <v>9478</v>
      </c>
      <c r="V565" t="s">
        <v>9478</v>
      </c>
      <c r="W565">
        <v>2</v>
      </c>
      <c r="X565" t="s">
        <v>10043</v>
      </c>
      <c r="Y565">
        <v>0.68987416951183078</v>
      </c>
      <c r="Z565" t="str">
        <f>HYPERLINK("Melting_Curves/meltCurve_sp_P05164_2_PERM_HUMAN_.pdf", "Melting_Curves/meltCurve_sp_P05164_2_PERM_HUMAN_.pdf")</f>
        <v>Melting_Curves/meltCurve_sp_P05164_2_PERM_HUMAN_.pdf</v>
      </c>
      <c r="AA565" t="s">
        <v>14769</v>
      </c>
      <c r="AB565" t="s">
        <v>19400</v>
      </c>
    </row>
    <row r="566" spans="1:28" x14ac:dyDescent="0.25">
      <c r="A566" t="s">
        <v>570</v>
      </c>
      <c r="B566">
        <v>0.99904790336628502</v>
      </c>
      <c r="C566">
        <v>1.03859236453296</v>
      </c>
      <c r="D566">
        <v>1.11753716613632</v>
      </c>
      <c r="E566">
        <v>1.01514314290852</v>
      </c>
      <c r="F566">
        <v>0.37582461653768201</v>
      </c>
      <c r="G566">
        <v>0.19284287594284499</v>
      </c>
      <c r="H566">
        <v>6.6849490121518196E-2</v>
      </c>
      <c r="I566">
        <v>4.8026327583784799E-2</v>
      </c>
      <c r="J566">
        <v>3.7911731954936898E-2</v>
      </c>
      <c r="K566">
        <v>3.1487205754703103E-2</v>
      </c>
      <c r="L566">
        <v>13211.240434994799</v>
      </c>
      <c r="M566">
        <v>250</v>
      </c>
      <c r="N566">
        <v>52.879537959127603</v>
      </c>
      <c r="O566">
        <v>52.841585335233297</v>
      </c>
      <c r="P566">
        <v>-1.09357120172573</v>
      </c>
      <c r="Q566">
        <v>7.5423518444304699E-2</v>
      </c>
      <c r="R566">
        <v>0.98420557860331603</v>
      </c>
      <c r="S566" t="s">
        <v>5306</v>
      </c>
      <c r="T566" t="s">
        <v>9478</v>
      </c>
      <c r="U566" t="s">
        <v>9478</v>
      </c>
      <c r="V566" t="s">
        <v>9478</v>
      </c>
      <c r="W566">
        <v>51</v>
      </c>
      <c r="X566" t="s">
        <v>10044</v>
      </c>
      <c r="Y566">
        <v>0.47138091663756948</v>
      </c>
      <c r="Z566" t="str">
        <f>HYPERLINK("Melting_Curves/meltCurve_sp_P05165_PCCA_HUMAN_.pdf", "Melting_Curves/meltCurve_sp_P05165_PCCA_HUMAN_.pdf")</f>
        <v>Melting_Curves/meltCurve_sp_P05165_PCCA_HUMAN_.pdf</v>
      </c>
      <c r="AA566" t="s">
        <v>14770</v>
      </c>
      <c r="AB566" t="s">
        <v>19401</v>
      </c>
    </row>
    <row r="567" spans="1:28" x14ac:dyDescent="0.25">
      <c r="A567" t="s">
        <v>571</v>
      </c>
      <c r="B567">
        <v>0.99904790336628502</v>
      </c>
      <c r="C567">
        <v>1.0532303086240999</v>
      </c>
      <c r="D567">
        <v>1.1397513318625301</v>
      </c>
      <c r="E567">
        <v>1.1255684030798401</v>
      </c>
      <c r="F567">
        <v>0.97240365224481895</v>
      </c>
      <c r="G567">
        <v>0.63471907653200199</v>
      </c>
      <c r="H567">
        <v>0.117913627725529</v>
      </c>
      <c r="I567">
        <v>5.7281300698131699E-2</v>
      </c>
      <c r="J567">
        <v>3.1988520855367998E-2</v>
      </c>
      <c r="K567">
        <v>2.8757636785190398E-2</v>
      </c>
      <c r="L567">
        <v>2483.08286994337</v>
      </c>
      <c r="M567">
        <v>43.061656782643702</v>
      </c>
      <c r="N567">
        <v>57.7575543599133</v>
      </c>
      <c r="O567">
        <v>57.539466100116499</v>
      </c>
      <c r="P567">
        <v>-0.18075690352058499</v>
      </c>
      <c r="Q567">
        <v>3.3883558738437403E-2</v>
      </c>
      <c r="R567">
        <v>0.98278379699329599</v>
      </c>
      <c r="S567" t="s">
        <v>5307</v>
      </c>
      <c r="T567" t="s">
        <v>9478</v>
      </c>
      <c r="U567" t="s">
        <v>9478</v>
      </c>
      <c r="V567" t="s">
        <v>9478</v>
      </c>
      <c r="W567">
        <v>33</v>
      </c>
      <c r="X567" t="s">
        <v>10045</v>
      </c>
      <c r="Y567">
        <v>0.60600005960665393</v>
      </c>
      <c r="Z567" t="str">
        <f>HYPERLINK("Melting_Curves/meltCurve_sp_P05166_PCCB_HUMAN_.pdf", "Melting_Curves/meltCurve_sp_P05166_PCCB_HUMAN_.pdf")</f>
        <v>Melting_Curves/meltCurve_sp_P05166_PCCB_HUMAN_.pdf</v>
      </c>
      <c r="AA567" t="s">
        <v>14771</v>
      </c>
      <c r="AB567" t="s">
        <v>19402</v>
      </c>
    </row>
    <row r="568" spans="1:28" x14ac:dyDescent="0.25">
      <c r="A568" t="s">
        <v>572</v>
      </c>
      <c r="B568">
        <v>0.99904790336628502</v>
      </c>
      <c r="C568">
        <v>1.0670205411487099</v>
      </c>
      <c r="D568">
        <v>0.74195110625179606</v>
      </c>
      <c r="E568">
        <v>0.33706578123212999</v>
      </c>
      <c r="F568">
        <v>0.20756048140713601</v>
      </c>
      <c r="G568">
        <v>9.7406061546867206E-2</v>
      </c>
      <c r="H568">
        <v>8.1416124254531902E-2</v>
      </c>
      <c r="I568">
        <v>6.0134921417368099E-2</v>
      </c>
      <c r="J568">
        <v>5.7399188710523102E-2</v>
      </c>
      <c r="K568">
        <v>3.9260864276503701E-2</v>
      </c>
      <c r="L568">
        <v>1154.6342035764101</v>
      </c>
      <c r="M568">
        <v>23.9229757127579</v>
      </c>
      <c r="N568">
        <v>48.550236352877299</v>
      </c>
      <c r="O568">
        <v>47.931210414449502</v>
      </c>
      <c r="P568">
        <v>-0.116589995500022</v>
      </c>
      <c r="Q568">
        <v>6.5633125237503795E-2</v>
      </c>
      <c r="R568">
        <v>0.98871172256892004</v>
      </c>
      <c r="S568" t="s">
        <v>5308</v>
      </c>
      <c r="T568" t="s">
        <v>9478</v>
      </c>
      <c r="U568" t="s">
        <v>9478</v>
      </c>
      <c r="V568" t="s">
        <v>9478</v>
      </c>
      <c r="W568">
        <v>5</v>
      </c>
      <c r="X568" t="s">
        <v>10046</v>
      </c>
      <c r="Y568">
        <v>0.33210011188598071</v>
      </c>
      <c r="Z568" t="str">
        <f>HYPERLINK("Melting_Curves/meltCurve_sp_P05177_CP1A2_HUMAN_.pdf", "Melting_Curves/meltCurve_sp_P05177_CP1A2_HUMAN_.pdf")</f>
        <v>Melting_Curves/meltCurve_sp_P05177_CP1A2_HUMAN_.pdf</v>
      </c>
      <c r="AA568" t="s">
        <v>14772</v>
      </c>
      <c r="AB568" t="s">
        <v>19403</v>
      </c>
    </row>
    <row r="569" spans="1:28" x14ac:dyDescent="0.25">
      <c r="A569" t="s">
        <v>573</v>
      </c>
      <c r="B569">
        <v>0.99904790336628502</v>
      </c>
      <c r="C569">
        <v>1.15075102845727</v>
      </c>
      <c r="D569">
        <v>0.85375385014201899</v>
      </c>
      <c r="E569">
        <v>0.42286865293257198</v>
      </c>
      <c r="F569">
        <v>0.19690363972075001</v>
      </c>
      <c r="G569">
        <v>0.111528390046597</v>
      </c>
      <c r="H569">
        <v>5.1716952047816303E-2</v>
      </c>
      <c r="I569">
        <v>2.93071856393592E-2</v>
      </c>
      <c r="J569">
        <v>2.5787637362228999E-2</v>
      </c>
      <c r="K569">
        <v>1.7979629492197401E-2</v>
      </c>
      <c r="L569">
        <v>1300.40251534402</v>
      </c>
      <c r="M569">
        <v>26.348277913205099</v>
      </c>
      <c r="N569">
        <v>49.516277346943298</v>
      </c>
      <c r="O569">
        <v>49.072702368913198</v>
      </c>
      <c r="P569">
        <v>-0.128691963941031</v>
      </c>
      <c r="Q569">
        <v>4.1274290083221303E-2</v>
      </c>
      <c r="R569">
        <v>0.98182792052251699</v>
      </c>
      <c r="S569" t="s">
        <v>5309</v>
      </c>
      <c r="T569" t="s">
        <v>9478</v>
      </c>
      <c r="U569" t="s">
        <v>9478</v>
      </c>
      <c r="V569" t="s">
        <v>9478</v>
      </c>
      <c r="W569">
        <v>14</v>
      </c>
      <c r="X569" t="s">
        <v>10047</v>
      </c>
      <c r="Y569">
        <v>0.34786779147737729</v>
      </c>
      <c r="Z569" t="str">
        <f>HYPERLINK("Melting_Curves/meltCurve_sp_P05181_CP2E1_HUMAN_.pdf", "Melting_Curves/meltCurve_sp_P05181_CP2E1_HUMAN_.pdf")</f>
        <v>Melting_Curves/meltCurve_sp_P05181_CP2E1_HUMAN_.pdf</v>
      </c>
      <c r="AA569" t="s">
        <v>14773</v>
      </c>
      <c r="AB569" t="s">
        <v>19404</v>
      </c>
    </row>
    <row r="570" spans="1:28" x14ac:dyDescent="0.25">
      <c r="A570" t="s">
        <v>574</v>
      </c>
      <c r="B570">
        <v>0.99904790336628502</v>
      </c>
      <c r="C570">
        <v>0.41309905237442202</v>
      </c>
      <c r="D570">
        <v>0.98273098671313297</v>
      </c>
      <c r="E570">
        <v>0.83296063078751204</v>
      </c>
      <c r="F570">
        <v>0.727545714769811</v>
      </c>
      <c r="G570">
        <v>0.53302977497678505</v>
      </c>
      <c r="H570">
        <v>0.39590422284680299</v>
      </c>
      <c r="I570">
        <v>0.323334925398717</v>
      </c>
      <c r="J570">
        <v>0.290759594825653</v>
      </c>
      <c r="K570">
        <v>0.20551624735055099</v>
      </c>
      <c r="L570">
        <v>351.668194199006</v>
      </c>
      <c r="M570">
        <v>6.0819507110470399</v>
      </c>
      <c r="N570">
        <v>57.821611996778003</v>
      </c>
      <c r="O570">
        <v>52.504133710317902</v>
      </c>
      <c r="P570">
        <v>-2.9048737693721301E-2</v>
      </c>
      <c r="Q570">
        <v>0</v>
      </c>
      <c r="R570">
        <v>0.63464445745420695</v>
      </c>
      <c r="S570" t="s">
        <v>5310</v>
      </c>
      <c r="T570" t="s">
        <v>9478</v>
      </c>
      <c r="U570" t="s">
        <v>9478</v>
      </c>
      <c r="V570" t="s">
        <v>9478</v>
      </c>
      <c r="W570">
        <v>5</v>
      </c>
      <c r="X570" t="s">
        <v>10048</v>
      </c>
      <c r="Y570">
        <v>0.58828408159353629</v>
      </c>
      <c r="Z570" t="str">
        <f>HYPERLINK("Melting_Curves/meltCurve_sp_P05186_PPBT_HUMAN_.pdf", "Melting_Curves/meltCurve_sp_P05186_PPBT_HUMAN_.pdf")</f>
        <v>Melting_Curves/meltCurve_sp_P05186_PPBT_HUMAN_.pdf</v>
      </c>
      <c r="AA570" t="s">
        <v>14774</v>
      </c>
      <c r="AB570" t="s">
        <v>19405</v>
      </c>
    </row>
    <row r="571" spans="1:28" x14ac:dyDescent="0.25">
      <c r="A571" t="s">
        <v>575</v>
      </c>
      <c r="B571">
        <v>0.99904790336628502</v>
      </c>
      <c r="C571">
        <v>1.0020996239142801</v>
      </c>
      <c r="D571">
        <v>1.0375657039986601</v>
      </c>
      <c r="E571">
        <v>0.97957852014801605</v>
      </c>
      <c r="F571">
        <v>0.82707710029566295</v>
      </c>
      <c r="G571">
        <v>0.37086429322594</v>
      </c>
      <c r="H571">
        <v>9.0405166094255696E-2</v>
      </c>
      <c r="I571">
        <v>5.8914637569927097E-2</v>
      </c>
      <c r="J571">
        <v>5.04573335119178E-2</v>
      </c>
      <c r="K571">
        <v>4.62869803742453E-2</v>
      </c>
      <c r="L571">
        <v>1706.11228837454</v>
      </c>
      <c r="M571">
        <v>30.612943298052599</v>
      </c>
      <c r="N571">
        <v>55.885805095159697</v>
      </c>
      <c r="O571">
        <v>55.495531374729502</v>
      </c>
      <c r="P571">
        <v>-0.132326565580106</v>
      </c>
      <c r="Q571">
        <v>4.04726696608039E-2</v>
      </c>
      <c r="R571">
        <v>0.99896959620974501</v>
      </c>
      <c r="S571" t="s">
        <v>5311</v>
      </c>
      <c r="T571" t="s">
        <v>9478</v>
      </c>
      <c r="U571" t="s">
        <v>9478</v>
      </c>
      <c r="V571" t="s">
        <v>9478</v>
      </c>
      <c r="W571">
        <v>19</v>
      </c>
      <c r="X571" t="s">
        <v>10049</v>
      </c>
      <c r="Y571">
        <v>0.54979762883979799</v>
      </c>
      <c r="Z571" t="str">
        <f>HYPERLINK("Melting_Curves/meltCurve_sp_P05198_IF2A_HUMAN_.pdf", "Melting_Curves/meltCurve_sp_P05198_IF2A_HUMAN_.pdf")</f>
        <v>Melting_Curves/meltCurve_sp_P05198_IF2A_HUMAN_.pdf</v>
      </c>
      <c r="AA571" t="s">
        <v>14775</v>
      </c>
      <c r="AB571" t="s">
        <v>19406</v>
      </c>
    </row>
    <row r="572" spans="1:28" x14ac:dyDescent="0.25">
      <c r="A572" t="s">
        <v>576</v>
      </c>
      <c r="B572">
        <v>0.99904790336628502</v>
      </c>
      <c r="C572">
        <v>1.02958325276465</v>
      </c>
      <c r="D572">
        <v>1.0573877723412799</v>
      </c>
      <c r="E572">
        <v>1.1774387873679899</v>
      </c>
      <c r="F572">
        <v>1.1850428412379399</v>
      </c>
      <c r="G572">
        <v>1.25520633462743</v>
      </c>
      <c r="H572">
        <v>1.00974323765524</v>
      </c>
      <c r="I572">
        <v>0.95093557059883704</v>
      </c>
      <c r="J572">
        <v>0.99907359486293901</v>
      </c>
      <c r="K572">
        <v>1.25484994951448</v>
      </c>
      <c r="L572">
        <v>5499.3063203793699</v>
      </c>
      <c r="M572">
        <v>119.48202987389401</v>
      </c>
      <c r="O572">
        <v>46.013331058585997</v>
      </c>
      <c r="P572">
        <v>7.7184709492341505E-2</v>
      </c>
      <c r="Q572">
        <v>1.11889739375028</v>
      </c>
      <c r="R572">
        <v>0.15169555133936</v>
      </c>
      <c r="S572" t="s">
        <v>5312</v>
      </c>
      <c r="T572" t="s">
        <v>9478</v>
      </c>
      <c r="U572" t="s">
        <v>9478</v>
      </c>
      <c r="V572" t="s">
        <v>9478</v>
      </c>
      <c r="W572">
        <v>5</v>
      </c>
      <c r="X572" t="s">
        <v>10050</v>
      </c>
      <c r="Y572">
        <v>1.094971916854786</v>
      </c>
      <c r="Z572" t="str">
        <f>HYPERLINK("Melting_Curves/meltCurve_sp_P05204_HMGN2_HUMAN_.pdf", "Melting_Curves/meltCurve_sp_P05204_HMGN2_HUMAN_.pdf")</f>
        <v>Melting_Curves/meltCurve_sp_P05204_HMGN2_HUMAN_.pdf</v>
      </c>
      <c r="AA572" t="s">
        <v>14776</v>
      </c>
      <c r="AB572" t="s">
        <v>19407</v>
      </c>
    </row>
    <row r="573" spans="1:28" x14ac:dyDescent="0.25">
      <c r="A573" t="s">
        <v>577</v>
      </c>
      <c r="B573">
        <v>0.99904790336628502</v>
      </c>
      <c r="C573">
        <v>1.0305263536798299</v>
      </c>
      <c r="D573">
        <v>1.02537900771999</v>
      </c>
      <c r="E573">
        <v>0.93946271913714896</v>
      </c>
      <c r="F573">
        <v>0.89885157641063096</v>
      </c>
      <c r="G573">
        <v>0.62559144880211204</v>
      </c>
      <c r="H573">
        <v>0.52671144545714998</v>
      </c>
      <c r="I573">
        <v>0.47730981861867799</v>
      </c>
      <c r="J573">
        <v>0.52187642252700195</v>
      </c>
      <c r="K573">
        <v>0.48592104090199201</v>
      </c>
      <c r="L573">
        <v>1643.91344854725</v>
      </c>
      <c r="M573">
        <v>29.808197093667602</v>
      </c>
      <c r="N573">
        <v>64.173243278795198</v>
      </c>
      <c r="O573">
        <v>54.903283255085498</v>
      </c>
      <c r="P573">
        <v>-6.8892180209560699E-2</v>
      </c>
      <c r="Q573">
        <v>0.49243738592263198</v>
      </c>
      <c r="R573">
        <v>0.99114803679828101</v>
      </c>
      <c r="S573" t="s">
        <v>5313</v>
      </c>
      <c r="T573" t="s">
        <v>9478</v>
      </c>
      <c r="U573" t="s">
        <v>9478</v>
      </c>
      <c r="V573" t="s">
        <v>9478</v>
      </c>
      <c r="W573">
        <v>3</v>
      </c>
      <c r="X573" t="s">
        <v>10051</v>
      </c>
      <c r="Y573">
        <v>0.75216307220377421</v>
      </c>
      <c r="Z573" t="str">
        <f>HYPERLINK("Melting_Curves/meltCurve_sp_P05387_RLA2_HUMAN_.pdf", "Melting_Curves/meltCurve_sp_P05387_RLA2_HUMAN_.pdf")</f>
        <v>Melting_Curves/meltCurve_sp_P05387_RLA2_HUMAN_.pdf</v>
      </c>
      <c r="AA573" t="s">
        <v>14777</v>
      </c>
      <c r="AB573" t="s">
        <v>19408</v>
      </c>
    </row>
    <row r="574" spans="1:28" x14ac:dyDescent="0.25">
      <c r="A574" t="s">
        <v>578</v>
      </c>
      <c r="B574">
        <v>0.99904790336628502</v>
      </c>
      <c r="C574">
        <v>0.96324737278331896</v>
      </c>
      <c r="D574">
        <v>1.07288679723231</v>
      </c>
      <c r="E574">
        <v>1.01970602978498</v>
      </c>
      <c r="F574">
        <v>0.94580353861842403</v>
      </c>
      <c r="G574">
        <v>0.60814692478242405</v>
      </c>
      <c r="H574">
        <v>0.196490950061011</v>
      </c>
      <c r="I574">
        <v>7.6963830393717098E-2</v>
      </c>
      <c r="J574">
        <v>6.3357400837355402E-2</v>
      </c>
      <c r="K574">
        <v>5.4054723070828502E-2</v>
      </c>
      <c r="L574">
        <v>1854.1819859740101</v>
      </c>
      <c r="M574">
        <v>32.160763942838301</v>
      </c>
      <c r="N574">
        <v>57.841487148664498</v>
      </c>
      <c r="O574">
        <v>57.432008736918903</v>
      </c>
      <c r="P574">
        <v>-0.13305010435783099</v>
      </c>
      <c r="Q574">
        <v>4.9612541016610397E-2</v>
      </c>
      <c r="R574">
        <v>0.99585392335708001</v>
      </c>
      <c r="S574" t="s">
        <v>5314</v>
      </c>
      <c r="T574" t="s">
        <v>9478</v>
      </c>
      <c r="U574" t="s">
        <v>9478</v>
      </c>
      <c r="V574" t="s">
        <v>9478</v>
      </c>
      <c r="W574">
        <v>20</v>
      </c>
      <c r="X574" t="s">
        <v>10052</v>
      </c>
      <c r="Y574">
        <v>0.61444681254269884</v>
      </c>
      <c r="Z574" t="str">
        <f>HYPERLINK("Melting_Curves/meltCurve_sp_P05455_LA_HUMAN_.pdf", "Melting_Curves/meltCurve_sp_P05455_LA_HUMAN_.pdf")</f>
        <v>Melting_Curves/meltCurve_sp_P05455_LA_HUMAN_.pdf</v>
      </c>
      <c r="AA574" t="s">
        <v>14778</v>
      </c>
      <c r="AB574" t="s">
        <v>19409</v>
      </c>
    </row>
    <row r="575" spans="1:28" x14ac:dyDescent="0.25">
      <c r="A575" t="s">
        <v>579</v>
      </c>
      <c r="B575">
        <v>0.99904790336628502</v>
      </c>
      <c r="C575">
        <v>0.91236845299496705</v>
      </c>
      <c r="D575">
        <v>0.89827085210016799</v>
      </c>
      <c r="E575">
        <v>0.82143622613272205</v>
      </c>
      <c r="F575">
        <v>0.89065021171834102</v>
      </c>
      <c r="G575">
        <v>0.74642163264533301</v>
      </c>
      <c r="H575">
        <v>0.41521860071390299</v>
      </c>
      <c r="I575">
        <v>0.19570100566134299</v>
      </c>
      <c r="J575">
        <v>9.0662050619609996E-2</v>
      </c>
      <c r="K575">
        <v>5.0729972723060998E-2</v>
      </c>
      <c r="L575">
        <v>1083.8742047579999</v>
      </c>
      <c r="M575">
        <v>18.1821159328859</v>
      </c>
      <c r="N575">
        <v>59.612105050298702</v>
      </c>
      <c r="O575">
        <v>58.905034107131698</v>
      </c>
      <c r="P575">
        <v>-7.7170725988246605E-2</v>
      </c>
      <c r="Q575">
        <v>0</v>
      </c>
      <c r="R575">
        <v>0.96515546938722496</v>
      </c>
      <c r="S575" t="s">
        <v>5315</v>
      </c>
      <c r="T575" t="s">
        <v>9478</v>
      </c>
      <c r="U575" t="s">
        <v>9478</v>
      </c>
      <c r="V575" t="s">
        <v>9478</v>
      </c>
      <c r="W575">
        <v>3</v>
      </c>
      <c r="X575" t="s">
        <v>10053</v>
      </c>
      <c r="Y575">
        <v>0.66297853056221501</v>
      </c>
      <c r="Z575" t="str">
        <f>HYPERLINK("Melting_Curves/meltCurve_sp_P05543_THBG_HUMAN_.pdf", "Melting_Curves/meltCurve_sp_P05543_THBG_HUMAN_.pdf")</f>
        <v>Melting_Curves/meltCurve_sp_P05543_THBG_HUMAN_.pdf</v>
      </c>
      <c r="AA575" t="s">
        <v>14779</v>
      </c>
      <c r="AB575" t="s">
        <v>19410</v>
      </c>
    </row>
    <row r="576" spans="1:28" x14ac:dyDescent="0.25">
      <c r="A576" t="s">
        <v>580</v>
      </c>
      <c r="B576">
        <v>0.99904790336628502</v>
      </c>
      <c r="C576">
        <v>0.98909043027448895</v>
      </c>
      <c r="D576">
        <v>0.967402279201097</v>
      </c>
      <c r="E576">
        <v>0.96732960645295196</v>
      </c>
      <c r="F576">
        <v>0.83213317504843698</v>
      </c>
      <c r="G576">
        <v>0.58856331468078904</v>
      </c>
      <c r="H576">
        <v>0.193266959498272</v>
      </c>
      <c r="I576">
        <v>9.2465473070824103E-2</v>
      </c>
      <c r="J576">
        <v>7.7535916693998799E-2</v>
      </c>
      <c r="K576">
        <v>6.5095255485716694E-2</v>
      </c>
      <c r="L576">
        <v>1327.34513621308</v>
      </c>
      <c r="M576">
        <v>23.162464610401901</v>
      </c>
      <c r="N576">
        <v>57.476689922492902</v>
      </c>
      <c r="O576">
        <v>56.8838448575884</v>
      </c>
      <c r="P576">
        <v>-9.8413028530966895E-2</v>
      </c>
      <c r="Q576">
        <v>3.3261850591947001E-2</v>
      </c>
      <c r="R576">
        <v>0.99620754422126401</v>
      </c>
      <c r="S576" t="s">
        <v>5316</v>
      </c>
      <c r="T576" t="s">
        <v>9478</v>
      </c>
      <c r="U576" t="s">
        <v>9478</v>
      </c>
      <c r="V576" t="s">
        <v>9478</v>
      </c>
      <c r="W576">
        <v>5</v>
      </c>
      <c r="X576" t="s">
        <v>10054</v>
      </c>
      <c r="Y576">
        <v>0.60057712222300819</v>
      </c>
      <c r="Z576" t="str">
        <f>HYPERLINK("Melting_Curves/meltCurve_sp_P05546_HEP2_HUMAN_.pdf", "Melting_Curves/meltCurve_sp_P05546_HEP2_HUMAN_.pdf")</f>
        <v>Melting_Curves/meltCurve_sp_P05546_HEP2_HUMAN_.pdf</v>
      </c>
      <c r="AA576" t="s">
        <v>14780</v>
      </c>
      <c r="AB576" t="s">
        <v>19411</v>
      </c>
    </row>
    <row r="577" spans="1:28" x14ac:dyDescent="0.25">
      <c r="A577" t="s">
        <v>581</v>
      </c>
      <c r="B577">
        <v>0.99904790336628502</v>
      </c>
      <c r="C577">
        <v>1.0208435029151</v>
      </c>
      <c r="D577">
        <v>0.96985531353971</v>
      </c>
      <c r="E577">
        <v>0.75948132259008705</v>
      </c>
      <c r="F577">
        <v>0.63167955483474703</v>
      </c>
      <c r="G577">
        <v>0.38371507593719101</v>
      </c>
      <c r="H577">
        <v>0.335417219170144</v>
      </c>
      <c r="I577">
        <v>0.28068115763887602</v>
      </c>
      <c r="J577">
        <v>0.26342494480182399</v>
      </c>
      <c r="K577">
        <v>0.18071403167005001</v>
      </c>
      <c r="L577">
        <v>857.20034742719304</v>
      </c>
      <c r="M577">
        <v>16.138807002123201</v>
      </c>
      <c r="N577">
        <v>55.0370351410116</v>
      </c>
      <c r="O577">
        <v>52.318822340102002</v>
      </c>
      <c r="P577">
        <v>-6.05042450978234E-2</v>
      </c>
      <c r="Q577">
        <v>0.215488322934342</v>
      </c>
      <c r="R577">
        <v>0.99136162539628503</v>
      </c>
      <c r="S577" t="s">
        <v>5317</v>
      </c>
      <c r="T577" t="s">
        <v>9478</v>
      </c>
      <c r="U577" t="s">
        <v>9478</v>
      </c>
      <c r="V577" t="s">
        <v>9478</v>
      </c>
      <c r="W577">
        <v>5</v>
      </c>
      <c r="X577" t="s">
        <v>10055</v>
      </c>
      <c r="Y577">
        <v>0.57357217537801097</v>
      </c>
      <c r="Z577" t="str">
        <f>HYPERLINK("Melting_Curves/meltCurve_sp_P05556_ITB1_HUMAN_.pdf", "Melting_Curves/meltCurve_sp_P05556_ITB1_HUMAN_.pdf")</f>
        <v>Melting_Curves/meltCurve_sp_P05556_ITB1_HUMAN_.pdf</v>
      </c>
      <c r="AA577" t="s">
        <v>14781</v>
      </c>
      <c r="AB577" t="s">
        <v>19412</v>
      </c>
    </row>
    <row r="578" spans="1:28" x14ac:dyDescent="0.25">
      <c r="A578" t="s">
        <v>582</v>
      </c>
      <c r="B578">
        <v>0.99904790336628502</v>
      </c>
      <c r="C578">
        <v>1.08707796712549</v>
      </c>
      <c r="D578">
        <v>1.1272169018053499</v>
      </c>
      <c r="E578">
        <v>1.0726323614302</v>
      </c>
      <c r="F578">
        <v>0.95425889377859097</v>
      </c>
      <c r="G578">
        <v>0.78962177327868199</v>
      </c>
      <c r="H578">
        <v>0.59255370638773996</v>
      </c>
      <c r="I578">
        <v>0.44132391015228201</v>
      </c>
      <c r="J578">
        <v>0.30782762528093</v>
      </c>
      <c r="K578">
        <v>0.155309255441198</v>
      </c>
      <c r="L578">
        <v>986.80768339856797</v>
      </c>
      <c r="M578">
        <v>15.7958392663226</v>
      </c>
      <c r="N578">
        <v>62.726334975581402</v>
      </c>
      <c r="O578">
        <v>61.497080390689902</v>
      </c>
      <c r="P578">
        <v>-6.2231661654263401E-2</v>
      </c>
      <c r="Q578">
        <v>3.0947620039078E-2</v>
      </c>
      <c r="R578">
        <v>0.96793291518579405</v>
      </c>
      <c r="S578" t="s">
        <v>5318</v>
      </c>
      <c r="T578" t="s">
        <v>9478</v>
      </c>
      <c r="U578" t="s">
        <v>9478</v>
      </c>
      <c r="V578" t="s">
        <v>9478</v>
      </c>
      <c r="W578">
        <v>53</v>
      </c>
      <c r="X578" t="s">
        <v>10056</v>
      </c>
      <c r="Y578">
        <v>0.75297034131350327</v>
      </c>
      <c r="Z578" t="str">
        <f>HYPERLINK("Melting_Curves/meltCurve_sp_P05783_K1C18_HUMAN_.pdf", "Melting_Curves/meltCurve_sp_P05783_K1C18_HUMAN_.pdf")</f>
        <v>Melting_Curves/meltCurve_sp_P05783_K1C18_HUMAN_.pdf</v>
      </c>
      <c r="AA578" t="s">
        <v>14782</v>
      </c>
      <c r="AB578" t="s">
        <v>19413</v>
      </c>
    </row>
    <row r="579" spans="1:28" x14ac:dyDescent="0.25">
      <c r="A579" t="s">
        <v>583</v>
      </c>
      <c r="B579">
        <v>0.99904790336628502</v>
      </c>
      <c r="C579">
        <v>1.0755551320936501</v>
      </c>
      <c r="D579">
        <v>1.13844018747401</v>
      </c>
      <c r="E579">
        <v>1.0751561177565001</v>
      </c>
      <c r="F579">
        <v>1.0031676106231</v>
      </c>
      <c r="G579">
        <v>0.813739990973813</v>
      </c>
      <c r="H579">
        <v>0.67264135258383595</v>
      </c>
      <c r="I579">
        <v>0.582491264543889</v>
      </c>
      <c r="J579">
        <v>0.52468850414956902</v>
      </c>
      <c r="K579">
        <v>0.51733200084658104</v>
      </c>
      <c r="L579">
        <v>1481.48688020548</v>
      </c>
      <c r="M579">
        <v>25.202081409708001</v>
      </c>
      <c r="O579">
        <v>58.417935597942702</v>
      </c>
      <c r="P579">
        <v>-5.2315586920959799E-2</v>
      </c>
      <c r="Q579">
        <v>0.51494025594979997</v>
      </c>
      <c r="R579">
        <v>0.93735264488498304</v>
      </c>
      <c r="S579" t="s">
        <v>5319</v>
      </c>
      <c r="T579" t="s">
        <v>9478</v>
      </c>
      <c r="U579" t="s">
        <v>9478</v>
      </c>
      <c r="V579" t="s">
        <v>9478</v>
      </c>
      <c r="W579">
        <v>58</v>
      </c>
      <c r="X579" t="s">
        <v>10057</v>
      </c>
      <c r="Y579">
        <v>0.82265418001362767</v>
      </c>
      <c r="Z579" t="str">
        <f>HYPERLINK("Melting_Curves/meltCurve_sp_P05787_K2C8_HUMAN_.pdf", "Melting_Curves/meltCurve_sp_P05787_K2C8_HUMAN_.pdf")</f>
        <v>Melting_Curves/meltCurve_sp_P05787_K2C8_HUMAN_.pdf</v>
      </c>
      <c r="AA579" t="s">
        <v>14783</v>
      </c>
      <c r="AB579" t="s">
        <v>19414</v>
      </c>
    </row>
    <row r="580" spans="1:28" x14ac:dyDescent="0.25">
      <c r="A580" t="s">
        <v>584</v>
      </c>
      <c r="B580">
        <v>0.99904790336628502</v>
      </c>
      <c r="C580">
        <v>1.0548833508834401</v>
      </c>
      <c r="D580">
        <v>1.0253394351617899</v>
      </c>
      <c r="E580">
        <v>0.97172539804652402</v>
      </c>
      <c r="F580">
        <v>0.87684333408515003</v>
      </c>
      <c r="G580">
        <v>0.69796441709508905</v>
      </c>
      <c r="H580">
        <v>0.63307252261805502</v>
      </c>
      <c r="I580">
        <v>0.60527963481109404</v>
      </c>
      <c r="J580">
        <v>0.57952113746522105</v>
      </c>
      <c r="K580">
        <v>0.54816493689433099</v>
      </c>
      <c r="L580">
        <v>1265.20909351923</v>
      </c>
      <c r="M580">
        <v>22.9321679002467</v>
      </c>
      <c r="O580">
        <v>54.757398330236299</v>
      </c>
      <c r="P580">
        <v>-4.4900604608972203E-2</v>
      </c>
      <c r="Q580">
        <v>0.57115371708262097</v>
      </c>
      <c r="R580">
        <v>0.98545446076311405</v>
      </c>
      <c r="S580" t="s">
        <v>5320</v>
      </c>
      <c r="T580" t="s">
        <v>9478</v>
      </c>
      <c r="U580" t="s">
        <v>9478</v>
      </c>
      <c r="V580" t="s">
        <v>9478</v>
      </c>
      <c r="W580">
        <v>1</v>
      </c>
      <c r="X580" t="s">
        <v>10058</v>
      </c>
      <c r="Y580">
        <v>0.79262155129710454</v>
      </c>
      <c r="Z580" t="str">
        <f>HYPERLINK("Melting_Curves/meltCurve_sp_P05976_2_MYL1_HUMAN_.pdf", "Melting_Curves/meltCurve_sp_P05976_2_MYL1_HUMAN_.pdf")</f>
        <v>Melting_Curves/meltCurve_sp_P05976_2_MYL1_HUMAN_.pdf</v>
      </c>
      <c r="AA580" t="s">
        <v>14784</v>
      </c>
      <c r="AB580" t="s">
        <v>19415</v>
      </c>
    </row>
    <row r="581" spans="1:28" x14ac:dyDescent="0.25">
      <c r="A581" t="s">
        <v>585</v>
      </c>
      <c r="B581">
        <v>0.99904790336628502</v>
      </c>
      <c r="C581">
        <v>0.87513456309979198</v>
      </c>
      <c r="D581">
        <v>0.92016879121989503</v>
      </c>
      <c r="E581">
        <v>0.94468495070896197</v>
      </c>
      <c r="F581">
        <v>0.92304552278857799</v>
      </c>
      <c r="G581">
        <v>0.81692289943544205</v>
      </c>
      <c r="H581">
        <v>0.54077819410345596</v>
      </c>
      <c r="I581">
        <v>0.24896510012719</v>
      </c>
      <c r="J581">
        <v>6.3001736889153601E-2</v>
      </c>
      <c r="K581">
        <v>4.2279684793796998E-2</v>
      </c>
      <c r="L581">
        <v>1421.6811428640101</v>
      </c>
      <c r="M581">
        <v>23.3025393607019</v>
      </c>
      <c r="N581">
        <v>61.009686660852502</v>
      </c>
      <c r="O581">
        <v>60.565729207657498</v>
      </c>
      <c r="P581">
        <v>-9.6188693126753294E-2</v>
      </c>
      <c r="Q581">
        <v>0</v>
      </c>
      <c r="R581">
        <v>0.97653562306365005</v>
      </c>
      <c r="S581" t="s">
        <v>5321</v>
      </c>
      <c r="T581" t="s">
        <v>9478</v>
      </c>
      <c r="U581" t="s">
        <v>9478</v>
      </c>
      <c r="V581" t="s">
        <v>9478</v>
      </c>
      <c r="W581">
        <v>12</v>
      </c>
      <c r="X581" t="s">
        <v>10059</v>
      </c>
      <c r="Y581">
        <v>0.70669127131579379</v>
      </c>
      <c r="Z581" t="str">
        <f>HYPERLINK("Melting_Curves/meltCurve_sp_P06132_DCUP_HUMAN_.pdf", "Melting_Curves/meltCurve_sp_P06132_DCUP_HUMAN_.pdf")</f>
        <v>Melting_Curves/meltCurve_sp_P06132_DCUP_HUMAN_.pdf</v>
      </c>
      <c r="AA581" t="s">
        <v>14785</v>
      </c>
      <c r="AB581" t="s">
        <v>19416</v>
      </c>
    </row>
    <row r="582" spans="1:28" x14ac:dyDescent="0.25">
      <c r="A582" t="s">
        <v>586</v>
      </c>
      <c r="B582">
        <v>0.99904790336628502</v>
      </c>
      <c r="C582">
        <v>1.2599348574678</v>
      </c>
      <c r="D582">
        <v>0.90451352872020296</v>
      </c>
      <c r="E582">
        <v>0.47568688392731501</v>
      </c>
      <c r="F582">
        <v>0.38999136769116599</v>
      </c>
      <c r="G582">
        <v>0.18759622380445901</v>
      </c>
      <c r="H582">
        <v>0.134822595980569</v>
      </c>
      <c r="I582">
        <v>5.4580539496319101E-2</v>
      </c>
      <c r="J582">
        <v>0</v>
      </c>
      <c r="K582">
        <v>4.2644461499736601E-2</v>
      </c>
      <c r="L582">
        <v>1031.4810387898201</v>
      </c>
      <c r="M582">
        <v>20.3988573299523</v>
      </c>
      <c r="N582">
        <v>50.8714449421689</v>
      </c>
      <c r="O582">
        <v>50.087196098639197</v>
      </c>
      <c r="P582">
        <v>-9.5944387779526796E-2</v>
      </c>
      <c r="Q582">
        <v>5.7703882596866297E-2</v>
      </c>
      <c r="R582">
        <v>0.94309763077553399</v>
      </c>
      <c r="S582" t="s">
        <v>5322</v>
      </c>
      <c r="T582" t="s">
        <v>9478</v>
      </c>
      <c r="U582" t="s">
        <v>9478</v>
      </c>
      <c r="V582" t="s">
        <v>9478</v>
      </c>
      <c r="W582">
        <v>3</v>
      </c>
      <c r="X582" t="s">
        <v>10060</v>
      </c>
      <c r="Y582">
        <v>0.4021787470587817</v>
      </c>
      <c r="Z582" t="str">
        <f>HYPERLINK("Melting_Curves/meltCurve_sp_P06133_UD2B4_HUMAN_.pdf", "Melting_Curves/meltCurve_sp_P06133_UD2B4_HUMAN_.pdf")</f>
        <v>Melting_Curves/meltCurve_sp_P06133_UD2B4_HUMAN_.pdf</v>
      </c>
      <c r="AA582" t="s">
        <v>14786</v>
      </c>
      <c r="AB582" t="s">
        <v>19417</v>
      </c>
    </row>
    <row r="583" spans="1:28" x14ac:dyDescent="0.25">
      <c r="A583" t="s">
        <v>587</v>
      </c>
      <c r="B583">
        <v>0.99904790336628502</v>
      </c>
      <c r="C583">
        <v>0.92409397970337703</v>
      </c>
      <c r="D583">
        <v>0.84290781292477901</v>
      </c>
      <c r="E583">
        <v>0.526891017833923</v>
      </c>
      <c r="F583">
        <v>0.23481889683062501</v>
      </c>
      <c r="G583">
        <v>0.14090718382376599</v>
      </c>
      <c r="H583">
        <v>2.9280223117408299E-2</v>
      </c>
      <c r="I583">
        <v>2.7423689030385199E-2</v>
      </c>
      <c r="J583">
        <v>0</v>
      </c>
      <c r="K583">
        <v>2.4250905085413201E-2</v>
      </c>
      <c r="L583">
        <v>914.72682801774999</v>
      </c>
      <c r="M583">
        <v>18.2731793572923</v>
      </c>
      <c r="N583">
        <v>50.096878459581603</v>
      </c>
      <c r="O583">
        <v>49.4704806562318</v>
      </c>
      <c r="P583">
        <v>-9.1705170849057605E-2</v>
      </c>
      <c r="Q583">
        <v>6.9626018666211799E-3</v>
      </c>
      <c r="R583">
        <v>0.99685590588821904</v>
      </c>
      <c r="S583" t="s">
        <v>5323</v>
      </c>
      <c r="T583" t="s">
        <v>9478</v>
      </c>
      <c r="U583" t="s">
        <v>9478</v>
      </c>
      <c r="V583" t="s">
        <v>9478</v>
      </c>
      <c r="W583">
        <v>3</v>
      </c>
      <c r="X583" t="s">
        <v>10061</v>
      </c>
      <c r="Y583">
        <v>0.35635461161500648</v>
      </c>
      <c r="Z583" t="str">
        <f>HYPERLINK("Melting_Curves/meltCurve_sp_P06280_AGAL_HUMAN_.pdf", "Melting_Curves/meltCurve_sp_P06280_AGAL_HUMAN_.pdf")</f>
        <v>Melting_Curves/meltCurve_sp_P06280_AGAL_HUMAN_.pdf</v>
      </c>
      <c r="AA583" t="s">
        <v>14787</v>
      </c>
      <c r="AB583" t="s">
        <v>19418</v>
      </c>
    </row>
    <row r="584" spans="1:28" x14ac:dyDescent="0.25">
      <c r="A584" t="s">
        <v>588</v>
      </c>
      <c r="B584">
        <v>0.99904790336628502</v>
      </c>
      <c r="C584">
        <v>0.82870902772886401</v>
      </c>
      <c r="D584">
        <v>0.64381607164863097</v>
      </c>
      <c r="E584">
        <v>0.31271455625088801</v>
      </c>
      <c r="F584">
        <v>0.183761096714358</v>
      </c>
      <c r="G584">
        <v>0.114806412072404</v>
      </c>
      <c r="H584">
        <v>7.1867548798900893E-2</v>
      </c>
      <c r="I584">
        <v>5.1521916710378299E-2</v>
      </c>
      <c r="J584">
        <v>3.7018804206050998E-2</v>
      </c>
      <c r="K584">
        <v>2.3554191340307801E-2</v>
      </c>
      <c r="L584">
        <v>774.07717295269094</v>
      </c>
      <c r="M584">
        <v>16.334208943580599</v>
      </c>
      <c r="N584">
        <v>47.612325982140902</v>
      </c>
      <c r="O584">
        <v>46.696695289910998</v>
      </c>
      <c r="P584">
        <v>-8.4242632295955994E-2</v>
      </c>
      <c r="Q584">
        <v>3.6728346557214103E-2</v>
      </c>
      <c r="R584">
        <v>0.99693537508114105</v>
      </c>
      <c r="S584" t="s">
        <v>5324</v>
      </c>
      <c r="T584" t="s">
        <v>9478</v>
      </c>
      <c r="U584" t="s">
        <v>9478</v>
      </c>
      <c r="V584" t="s">
        <v>9478</v>
      </c>
      <c r="W584">
        <v>21</v>
      </c>
      <c r="X584" t="s">
        <v>10062</v>
      </c>
      <c r="Y584">
        <v>0.29546682973335231</v>
      </c>
      <c r="Z584" t="str">
        <f>HYPERLINK("Melting_Curves/meltCurve_sp_P06576_ATPB_HUMAN_.pdf", "Melting_Curves/meltCurve_sp_P06576_ATPB_HUMAN_.pdf")</f>
        <v>Melting_Curves/meltCurve_sp_P06576_ATPB_HUMAN_.pdf</v>
      </c>
      <c r="AA584" t="s">
        <v>14788</v>
      </c>
      <c r="AB584" t="s">
        <v>19419</v>
      </c>
    </row>
    <row r="585" spans="1:28" x14ac:dyDescent="0.25">
      <c r="A585" t="s">
        <v>589</v>
      </c>
      <c r="B585">
        <v>0.99904790336628502</v>
      </c>
      <c r="C585">
        <v>0.89861813033875404</v>
      </c>
      <c r="D585">
        <v>0.86121116218882099</v>
      </c>
      <c r="E585">
        <v>0.61084580385331899</v>
      </c>
      <c r="F585">
        <v>0.34848015484419798</v>
      </c>
      <c r="G585">
        <v>0.18031311908089401</v>
      </c>
      <c r="H585">
        <v>0.101326806908091</v>
      </c>
      <c r="I585">
        <v>5.7453907050686599E-2</v>
      </c>
      <c r="J585">
        <v>4.46882179390823E-2</v>
      </c>
      <c r="K585">
        <v>2.4154868160880499E-2</v>
      </c>
      <c r="L585">
        <v>785.44109592407995</v>
      </c>
      <c r="M585">
        <v>15.380673239015399</v>
      </c>
      <c r="N585">
        <v>51.173890056061801</v>
      </c>
      <c r="O585">
        <v>50.226855992115503</v>
      </c>
      <c r="P585">
        <v>-7.5350015248073304E-2</v>
      </c>
      <c r="Q585">
        <v>1.5843388173060701E-2</v>
      </c>
      <c r="R585">
        <v>0.99687674395577897</v>
      </c>
      <c r="S585" t="s">
        <v>5325</v>
      </c>
      <c r="T585" t="s">
        <v>9478</v>
      </c>
      <c r="U585" t="s">
        <v>9478</v>
      </c>
      <c r="V585" t="s">
        <v>9478</v>
      </c>
      <c r="W585">
        <v>10</v>
      </c>
      <c r="X585" t="s">
        <v>10063</v>
      </c>
      <c r="Y585">
        <v>0.40065856519390858</v>
      </c>
      <c r="Z585" t="str">
        <f>HYPERLINK("Melting_Curves/meltCurve_sp_P06681_CO2_HUMAN_.pdf", "Melting_Curves/meltCurve_sp_P06681_CO2_HUMAN_.pdf")</f>
        <v>Melting_Curves/meltCurve_sp_P06681_CO2_HUMAN_.pdf</v>
      </c>
      <c r="AA585" t="s">
        <v>14789</v>
      </c>
      <c r="AB585" t="s">
        <v>19420</v>
      </c>
    </row>
    <row r="586" spans="1:28" x14ac:dyDescent="0.25">
      <c r="A586" t="s">
        <v>590</v>
      </c>
      <c r="B586">
        <v>0.99904790336628502</v>
      </c>
      <c r="C586">
        <v>0.98901299429617795</v>
      </c>
      <c r="D586">
        <v>0.91351750587177105</v>
      </c>
      <c r="E586">
        <v>0.88560412966533597</v>
      </c>
      <c r="F586">
        <v>0.64313974737756896</v>
      </c>
      <c r="G586">
        <v>0.74505072200606404</v>
      </c>
      <c r="H586">
        <v>0.45643116119308302</v>
      </c>
      <c r="I586">
        <v>0.26686710058532898</v>
      </c>
      <c r="J586">
        <v>0.21914046610419499</v>
      </c>
      <c r="K586">
        <v>0.179898879588447</v>
      </c>
      <c r="L586">
        <v>594.89427827766099</v>
      </c>
      <c r="M586">
        <v>10.017134040037501</v>
      </c>
      <c r="N586">
        <v>59.3876615857803</v>
      </c>
      <c r="O586">
        <v>57.166441490358501</v>
      </c>
      <c r="P586">
        <v>-4.3828049146348101E-2</v>
      </c>
      <c r="Q586">
        <v>0</v>
      </c>
      <c r="R586">
        <v>0.95564888583101304</v>
      </c>
      <c r="S586" t="s">
        <v>5326</v>
      </c>
      <c r="T586" t="s">
        <v>9478</v>
      </c>
      <c r="U586" t="s">
        <v>9478</v>
      </c>
      <c r="V586" t="s">
        <v>9478</v>
      </c>
      <c r="W586">
        <v>3</v>
      </c>
      <c r="X586" t="s">
        <v>10064</v>
      </c>
      <c r="Y586">
        <v>0.64690741506531113</v>
      </c>
      <c r="Z586" t="str">
        <f>HYPERLINK("Melting_Curves/meltCurve_sp_P06702_S10A9_HUMAN_.pdf", "Melting_Curves/meltCurve_sp_P06702_S10A9_HUMAN_.pdf")</f>
        <v>Melting_Curves/meltCurve_sp_P06702_S10A9_HUMAN_.pdf</v>
      </c>
      <c r="AA586" t="s">
        <v>14790</v>
      </c>
      <c r="AB586" t="s">
        <v>19421</v>
      </c>
    </row>
    <row r="587" spans="1:28" x14ac:dyDescent="0.25">
      <c r="A587" t="s">
        <v>591</v>
      </c>
      <c r="B587">
        <v>0.99904790336628502</v>
      </c>
      <c r="C587">
        <v>1.08063792890928</v>
      </c>
      <c r="D587">
        <v>1.12356210167628</v>
      </c>
      <c r="E587">
        <v>0.72354590703082999</v>
      </c>
      <c r="F587">
        <v>0.48354377947799099</v>
      </c>
      <c r="G587">
        <v>0.208208224354306</v>
      </c>
      <c r="H587">
        <v>0.14238158836265999</v>
      </c>
      <c r="I587">
        <v>0.11844531615418601</v>
      </c>
      <c r="J587">
        <v>0.121013703095846</v>
      </c>
      <c r="K587">
        <v>0.123642202377113</v>
      </c>
      <c r="L587">
        <v>1397.85467285799</v>
      </c>
      <c r="M587">
        <v>26.853642177626899</v>
      </c>
      <c r="N587">
        <v>52.6079043147598</v>
      </c>
      <c r="O587">
        <v>51.768476573881799</v>
      </c>
      <c r="P587">
        <v>-0.11372748620353799</v>
      </c>
      <c r="Q587">
        <v>0.123033286807402</v>
      </c>
      <c r="R587">
        <v>0.98010411982428502</v>
      </c>
      <c r="S587" t="s">
        <v>5327</v>
      </c>
      <c r="T587" t="s">
        <v>9478</v>
      </c>
      <c r="U587" t="s">
        <v>9478</v>
      </c>
      <c r="V587" t="s">
        <v>9478</v>
      </c>
      <c r="W587">
        <v>5</v>
      </c>
      <c r="X587" t="s">
        <v>10065</v>
      </c>
      <c r="Y587">
        <v>0.48238879532824308</v>
      </c>
      <c r="Z587" t="str">
        <f>HYPERLINK("Melting_Curves/meltCurve_sp_P06727_APOA4_HUMAN_.pdf", "Melting_Curves/meltCurve_sp_P06727_APOA4_HUMAN_.pdf")</f>
        <v>Melting_Curves/meltCurve_sp_P06727_APOA4_HUMAN_.pdf</v>
      </c>
      <c r="AA587" t="s">
        <v>14791</v>
      </c>
      <c r="AB587" t="s">
        <v>19422</v>
      </c>
    </row>
    <row r="588" spans="1:28" x14ac:dyDescent="0.25">
      <c r="A588" t="s">
        <v>592</v>
      </c>
      <c r="B588">
        <v>0.99904790336628502</v>
      </c>
      <c r="C588">
        <v>0.907423486807032</v>
      </c>
      <c r="D588">
        <v>0.764876943699064</v>
      </c>
      <c r="E588">
        <v>0.49284382692218598</v>
      </c>
      <c r="F588">
        <v>0.22819464331165701</v>
      </c>
      <c r="G588">
        <v>0.11257058377032</v>
      </c>
      <c r="H588">
        <v>6.5505713919075795E-2</v>
      </c>
      <c r="I588">
        <v>5.0724032627748702E-2</v>
      </c>
      <c r="J588">
        <v>3.9089719242224798E-2</v>
      </c>
      <c r="K588">
        <v>3.6255684435356102E-2</v>
      </c>
      <c r="L588">
        <v>827.20054458908805</v>
      </c>
      <c r="M588">
        <v>16.771199648013202</v>
      </c>
      <c r="N588">
        <v>49.479071425060397</v>
      </c>
      <c r="O588">
        <v>48.637445956128502</v>
      </c>
      <c r="P588">
        <v>-8.3985331555615106E-2</v>
      </c>
      <c r="Q588">
        <v>2.5814299912370001E-2</v>
      </c>
      <c r="R588">
        <v>0.99778353706519796</v>
      </c>
      <c r="S588" t="s">
        <v>5328</v>
      </c>
      <c r="T588" t="s">
        <v>9478</v>
      </c>
      <c r="U588" t="s">
        <v>9478</v>
      </c>
      <c r="V588" t="s">
        <v>9478</v>
      </c>
      <c r="W588">
        <v>7</v>
      </c>
      <c r="X588" t="s">
        <v>10066</v>
      </c>
      <c r="Y588">
        <v>0.34779948370832631</v>
      </c>
      <c r="Z588" t="str">
        <f>HYPERLINK("Melting_Curves/meltCurve_sp_P06730_IF4E_HUMAN_.pdf", "Melting_Curves/meltCurve_sp_P06730_IF4E_HUMAN_.pdf")</f>
        <v>Melting_Curves/meltCurve_sp_P06730_IF4E_HUMAN_.pdf</v>
      </c>
      <c r="AA588" t="s">
        <v>14792</v>
      </c>
      <c r="AB588" t="s">
        <v>19423</v>
      </c>
    </row>
    <row r="589" spans="1:28" x14ac:dyDescent="0.25">
      <c r="A589" t="s">
        <v>593</v>
      </c>
      <c r="B589">
        <v>0.99904790336628502</v>
      </c>
      <c r="C589">
        <v>1.06702560030001</v>
      </c>
      <c r="D589">
        <v>1.1366975372421</v>
      </c>
      <c r="E589">
        <v>1.05202436253179</v>
      </c>
      <c r="F589">
        <v>0.86432984589606998</v>
      </c>
      <c r="G589">
        <v>0.44257826062987998</v>
      </c>
      <c r="H589">
        <v>0.14086881221511499</v>
      </c>
      <c r="I589">
        <v>4.9229032985428502E-2</v>
      </c>
      <c r="J589">
        <v>2.67181547335461E-2</v>
      </c>
      <c r="K589">
        <v>2.20003571983362E-2</v>
      </c>
      <c r="L589">
        <v>1691.82762322399</v>
      </c>
      <c r="M589">
        <v>29.9445382848705</v>
      </c>
      <c r="N589">
        <v>56.592289681395798</v>
      </c>
      <c r="O589">
        <v>56.248526354177102</v>
      </c>
      <c r="P589">
        <v>-0.129876228665983</v>
      </c>
      <c r="Q589">
        <v>2.41561336733584E-2</v>
      </c>
      <c r="R589">
        <v>0.98624456844186703</v>
      </c>
      <c r="S589" t="s">
        <v>5329</v>
      </c>
      <c r="T589" t="s">
        <v>9478</v>
      </c>
      <c r="U589" t="s">
        <v>9478</v>
      </c>
      <c r="V589" t="s">
        <v>9478</v>
      </c>
      <c r="W589">
        <v>45</v>
      </c>
      <c r="X589" t="s">
        <v>10067</v>
      </c>
      <c r="Y589">
        <v>0.56735920347017965</v>
      </c>
      <c r="Z589" t="str">
        <f>HYPERLINK("Melting_Curves/meltCurve_sp_P06733_ENOA_HUMAN_.pdf", "Melting_Curves/meltCurve_sp_P06733_ENOA_HUMAN_.pdf")</f>
        <v>Melting_Curves/meltCurve_sp_P06733_ENOA_HUMAN_.pdf</v>
      </c>
      <c r="AA589" t="s">
        <v>14793</v>
      </c>
      <c r="AB589" t="s">
        <v>19424</v>
      </c>
    </row>
    <row r="590" spans="1:28" x14ac:dyDescent="0.25">
      <c r="A590" t="s">
        <v>594</v>
      </c>
      <c r="B590">
        <v>0.99904790336628502</v>
      </c>
      <c r="C590">
        <v>0.97353260302788502</v>
      </c>
      <c r="D590">
        <v>1.0787567853093201</v>
      </c>
      <c r="E590">
        <v>1.04196119861266</v>
      </c>
      <c r="F590">
        <v>0.93175108044741095</v>
      </c>
      <c r="G590">
        <v>0.61508247430935603</v>
      </c>
      <c r="H590">
        <v>0.17296040464940499</v>
      </c>
      <c r="I590">
        <v>5.4996662322322198E-2</v>
      </c>
      <c r="J590">
        <v>3.1642948937627799E-2</v>
      </c>
      <c r="K590">
        <v>2.90416801041458E-2</v>
      </c>
      <c r="L590">
        <v>1853.5443031441901</v>
      </c>
      <c r="M590">
        <v>32.092005981592401</v>
      </c>
      <c r="N590">
        <v>57.832853747410503</v>
      </c>
      <c r="O590">
        <v>57.534319371936697</v>
      </c>
      <c r="P590">
        <v>-0.136581324298131</v>
      </c>
      <c r="Q590">
        <v>2.0556844846594199E-2</v>
      </c>
      <c r="R590">
        <v>0.99507977928154301</v>
      </c>
      <c r="S590" t="s">
        <v>5330</v>
      </c>
      <c r="T590" t="s">
        <v>9478</v>
      </c>
      <c r="U590" t="s">
        <v>9478</v>
      </c>
      <c r="V590" t="s">
        <v>9478</v>
      </c>
      <c r="W590">
        <v>60</v>
      </c>
      <c r="X590" t="s">
        <v>10068</v>
      </c>
      <c r="Y590">
        <v>0.60606109640315209</v>
      </c>
      <c r="Z590" t="str">
        <f>HYPERLINK("Melting_Curves/meltCurve_sp_P06737_PYGL_HUMAN_.pdf", "Melting_Curves/meltCurve_sp_P06737_PYGL_HUMAN_.pdf")</f>
        <v>Melting_Curves/meltCurve_sp_P06737_PYGL_HUMAN_.pdf</v>
      </c>
      <c r="AA590" t="s">
        <v>14794</v>
      </c>
      <c r="AB590" t="s">
        <v>19425</v>
      </c>
    </row>
    <row r="591" spans="1:28" x14ac:dyDescent="0.25">
      <c r="A591" t="s">
        <v>595</v>
      </c>
      <c r="B591">
        <v>0.99904790336628502</v>
      </c>
      <c r="C591">
        <v>0.99706035410522798</v>
      </c>
      <c r="D591">
        <v>1.08752229585208</v>
      </c>
      <c r="E591">
        <v>1.0823168895962301</v>
      </c>
      <c r="F591">
        <v>0.90812240477688</v>
      </c>
      <c r="G591">
        <v>0.390507379864307</v>
      </c>
      <c r="H591">
        <v>7.0856197761336698E-2</v>
      </c>
      <c r="I591">
        <v>4.1288144684266198E-2</v>
      </c>
      <c r="J591">
        <v>2.98279728736595E-2</v>
      </c>
      <c r="K591">
        <v>2.6004143348053298E-2</v>
      </c>
      <c r="L591">
        <v>2252.0232495462201</v>
      </c>
      <c r="M591">
        <v>40.041219356906403</v>
      </c>
      <c r="N591">
        <v>56.328266569191001</v>
      </c>
      <c r="O591">
        <v>56.102871637837303</v>
      </c>
      <c r="P591">
        <v>-0.17315740791735301</v>
      </c>
      <c r="Q591">
        <v>2.95389891953695E-2</v>
      </c>
      <c r="R591">
        <v>0.99266525757253499</v>
      </c>
      <c r="S591" t="s">
        <v>5331</v>
      </c>
      <c r="T591" t="s">
        <v>9478</v>
      </c>
      <c r="U591" t="s">
        <v>9478</v>
      </c>
      <c r="V591" t="s">
        <v>9478</v>
      </c>
      <c r="W591">
        <v>32</v>
      </c>
      <c r="X591" t="s">
        <v>10069</v>
      </c>
      <c r="Y591">
        <v>0.55870408848839614</v>
      </c>
      <c r="Z591" t="str">
        <f>HYPERLINK("Melting_Curves/meltCurve_sp_P06744_G6PI_HUMAN_.pdf", "Melting_Curves/meltCurve_sp_P06744_G6PI_HUMAN_.pdf")</f>
        <v>Melting_Curves/meltCurve_sp_P06744_G6PI_HUMAN_.pdf</v>
      </c>
      <c r="AA591" t="s">
        <v>14795</v>
      </c>
      <c r="AB591" t="s">
        <v>19426</v>
      </c>
    </row>
    <row r="592" spans="1:28" x14ac:dyDescent="0.25">
      <c r="A592" t="s">
        <v>596</v>
      </c>
      <c r="B592">
        <v>0.99904790336628502</v>
      </c>
      <c r="C592">
        <v>0.97744329794251095</v>
      </c>
      <c r="D592">
        <v>0.97156755027876796</v>
      </c>
      <c r="E592">
        <v>0.93290228171253098</v>
      </c>
      <c r="F592">
        <v>0.93401042239797105</v>
      </c>
      <c r="G592">
        <v>0.77373024522604195</v>
      </c>
      <c r="H592">
        <v>0.75877973917516595</v>
      </c>
      <c r="I592">
        <v>0.80746853824026199</v>
      </c>
      <c r="J592">
        <v>0.91402632602065703</v>
      </c>
      <c r="K592">
        <v>0.74757010533735402</v>
      </c>
      <c r="L592">
        <v>1679.5972058119501</v>
      </c>
      <c r="M592">
        <v>31.735534987534599</v>
      </c>
      <c r="O592">
        <v>52.716004502175601</v>
      </c>
      <c r="P592">
        <v>-3.0209946026625301E-2</v>
      </c>
      <c r="Q592">
        <v>0.79927370846480705</v>
      </c>
      <c r="R592">
        <v>0.72785968152540503</v>
      </c>
      <c r="S592" t="s">
        <v>5332</v>
      </c>
      <c r="T592" t="s">
        <v>9478</v>
      </c>
      <c r="U592" t="s">
        <v>9478</v>
      </c>
      <c r="V592" t="s">
        <v>9478</v>
      </c>
      <c r="W592">
        <v>21</v>
      </c>
      <c r="X592" t="s">
        <v>10070</v>
      </c>
      <c r="Y592">
        <v>0.88691605922779504</v>
      </c>
      <c r="Z592" t="str">
        <f>HYPERLINK("Melting_Curves/meltCurve_sp_P06748_NPM_HUMAN_.pdf", "Melting_Curves/meltCurve_sp_P06748_NPM_HUMAN_.pdf")</f>
        <v>Melting_Curves/meltCurve_sp_P06748_NPM_HUMAN_.pdf</v>
      </c>
      <c r="AA592" t="s">
        <v>14796</v>
      </c>
      <c r="AB592" t="s">
        <v>19427</v>
      </c>
    </row>
    <row r="593" spans="1:28" x14ac:dyDescent="0.25">
      <c r="A593" t="s">
        <v>597</v>
      </c>
      <c r="B593">
        <v>0.99904790336628502</v>
      </c>
      <c r="C593">
        <v>1.0036509037030701</v>
      </c>
      <c r="D593">
        <v>0.99681859145884699</v>
      </c>
      <c r="E593">
        <v>0.985560657728765</v>
      </c>
      <c r="F593">
        <v>0.99684598760866905</v>
      </c>
      <c r="G593">
        <v>0.81047868929099998</v>
      </c>
      <c r="H593">
        <v>0.79778883146451196</v>
      </c>
      <c r="I593">
        <v>0.77811998956304795</v>
      </c>
      <c r="J593">
        <v>0.81070017025344199</v>
      </c>
      <c r="K593">
        <v>0.77601468869989398</v>
      </c>
      <c r="L593">
        <v>4794.2702731265099</v>
      </c>
      <c r="M593">
        <v>86.361719830168099</v>
      </c>
      <c r="O593">
        <v>55.484090087563501</v>
      </c>
      <c r="P593">
        <v>-8.1476844503811305E-2</v>
      </c>
      <c r="Q593">
        <v>0.79061704357861096</v>
      </c>
      <c r="R593">
        <v>0.98976166811932498</v>
      </c>
      <c r="S593" t="s">
        <v>5333</v>
      </c>
      <c r="T593" t="s">
        <v>9478</v>
      </c>
      <c r="U593" t="s">
        <v>9478</v>
      </c>
      <c r="V593" t="s">
        <v>9478</v>
      </c>
      <c r="W593">
        <v>44</v>
      </c>
      <c r="X593" t="s">
        <v>10071</v>
      </c>
      <c r="Y593">
        <v>0.89906602262886881</v>
      </c>
      <c r="Z593" t="str">
        <f>HYPERLINK("Melting_Curves/meltCurve_sp_P06753_2_TPM3_HUMAN_.pdf", "Melting_Curves/meltCurve_sp_P06753_2_TPM3_HUMAN_.pdf")</f>
        <v>Melting_Curves/meltCurve_sp_P06753_2_TPM3_HUMAN_.pdf</v>
      </c>
      <c r="AA593" t="s">
        <v>14797</v>
      </c>
      <c r="AB593" t="s">
        <v>19428</v>
      </c>
    </row>
    <row r="594" spans="1:28" x14ac:dyDescent="0.25">
      <c r="A594" t="s">
        <v>598</v>
      </c>
      <c r="B594">
        <v>0.99904790336628502</v>
      </c>
      <c r="C594">
        <v>0.98130089275905097</v>
      </c>
      <c r="D594">
        <v>1.0254505339581399</v>
      </c>
      <c r="E594">
        <v>0.95989749753813802</v>
      </c>
      <c r="F594">
        <v>0.79454811300309602</v>
      </c>
      <c r="G594">
        <v>0.27165482087057102</v>
      </c>
      <c r="H594">
        <v>9.1592848383147796E-2</v>
      </c>
      <c r="I594">
        <v>6.01762383663135E-2</v>
      </c>
      <c r="J594">
        <v>5.1859462487761999E-2</v>
      </c>
      <c r="K594">
        <v>4.8810621763372301E-2</v>
      </c>
      <c r="L594">
        <v>1844.9211109886</v>
      </c>
      <c r="M594">
        <v>33.544243657440603</v>
      </c>
      <c r="N594">
        <v>55.177626259773902</v>
      </c>
      <c r="O594">
        <v>54.805267882905497</v>
      </c>
      <c r="P594">
        <v>-0.145169709451347</v>
      </c>
      <c r="Q594">
        <v>5.1279067772887599E-2</v>
      </c>
      <c r="R594">
        <v>0.99935218064725395</v>
      </c>
      <c r="S594" t="s">
        <v>5334</v>
      </c>
      <c r="T594" t="s">
        <v>9478</v>
      </c>
      <c r="U594" t="s">
        <v>9478</v>
      </c>
      <c r="V594" t="s">
        <v>9478</v>
      </c>
      <c r="W594">
        <v>17</v>
      </c>
      <c r="X594" t="s">
        <v>10072</v>
      </c>
      <c r="Y594">
        <v>0.53070875558206632</v>
      </c>
      <c r="Z594" t="str">
        <f>HYPERLINK("Melting_Curves/meltCurve_sp_P06865_HEXA_HUMAN_.pdf", "Melting_Curves/meltCurve_sp_P06865_HEXA_HUMAN_.pdf")</f>
        <v>Melting_Curves/meltCurve_sp_P06865_HEXA_HUMAN_.pdf</v>
      </c>
      <c r="AA594" t="s">
        <v>14798</v>
      </c>
      <c r="AB594" t="s">
        <v>19429</v>
      </c>
    </row>
    <row r="595" spans="1:28" x14ac:dyDescent="0.25">
      <c r="A595" t="s">
        <v>599</v>
      </c>
      <c r="B595">
        <v>0.99904790336628502</v>
      </c>
      <c r="C595">
        <v>1.10404292089888</v>
      </c>
      <c r="D595">
        <v>0.95805312973406598</v>
      </c>
      <c r="E595">
        <v>0.69672767603583097</v>
      </c>
      <c r="F595">
        <v>0.40400011318347501</v>
      </c>
      <c r="G595">
        <v>0.253993306231168</v>
      </c>
      <c r="H595">
        <v>0.13159478077472</v>
      </c>
      <c r="I595">
        <v>6.8534010814354396E-2</v>
      </c>
      <c r="J595">
        <v>4.2758001470001201E-2</v>
      </c>
      <c r="K595">
        <v>3.65203685854881E-2</v>
      </c>
      <c r="L595">
        <v>1015.6755263656499</v>
      </c>
      <c r="M595">
        <v>19.515578805468099</v>
      </c>
      <c r="N595">
        <v>52.340422373225799</v>
      </c>
      <c r="O595">
        <v>51.507124167449099</v>
      </c>
      <c r="P595">
        <v>-8.9775758026066299E-2</v>
      </c>
      <c r="Q595">
        <v>5.2259684281289E-2</v>
      </c>
      <c r="R595">
        <v>0.98728809886287405</v>
      </c>
      <c r="S595" t="s">
        <v>5335</v>
      </c>
      <c r="T595" t="s">
        <v>9478</v>
      </c>
      <c r="U595" t="s">
        <v>9478</v>
      </c>
      <c r="V595" t="s">
        <v>9478</v>
      </c>
      <c r="W595">
        <v>18</v>
      </c>
      <c r="X595" t="s">
        <v>10073</v>
      </c>
      <c r="Y595">
        <v>0.44645446611009432</v>
      </c>
      <c r="Z595" t="str">
        <f>HYPERLINK("Melting_Curves/meltCurve_sp_P07099_HYEP_HUMAN_.pdf", "Melting_Curves/meltCurve_sp_P07099_HYEP_HUMAN_.pdf")</f>
        <v>Melting_Curves/meltCurve_sp_P07099_HYEP_HUMAN_.pdf</v>
      </c>
      <c r="AA595" t="s">
        <v>14799</v>
      </c>
      <c r="AB595" t="s">
        <v>19430</v>
      </c>
    </row>
    <row r="596" spans="1:28" x14ac:dyDescent="0.25">
      <c r="A596" t="s">
        <v>600</v>
      </c>
      <c r="B596">
        <v>0.99904790336628502</v>
      </c>
      <c r="C596">
        <v>0.98896485961410396</v>
      </c>
      <c r="D596">
        <v>0.94138704236044302</v>
      </c>
      <c r="E596">
        <v>1.04022198911552</v>
      </c>
      <c r="F596">
        <v>0.84075326187600496</v>
      </c>
      <c r="G596">
        <v>0.98531213752701596</v>
      </c>
      <c r="H596">
        <v>0.80129046533492299</v>
      </c>
      <c r="I596">
        <v>0.844558345809163</v>
      </c>
      <c r="J596">
        <v>0.87743513578537102</v>
      </c>
      <c r="K596">
        <v>1.01524028261808</v>
      </c>
      <c r="L596">
        <v>10163.861847783999</v>
      </c>
      <c r="M596">
        <v>197.65204002681199</v>
      </c>
      <c r="O596">
        <v>51.4177382831488</v>
      </c>
      <c r="P596">
        <v>-0.101772755234823</v>
      </c>
      <c r="Q596">
        <v>0.89409823197025995</v>
      </c>
      <c r="R596">
        <v>0.35057089601147201</v>
      </c>
      <c r="S596" t="s">
        <v>5336</v>
      </c>
      <c r="T596" t="s">
        <v>9478</v>
      </c>
      <c r="U596" t="s">
        <v>9478</v>
      </c>
      <c r="V596" t="s">
        <v>9478</v>
      </c>
      <c r="W596">
        <v>8</v>
      </c>
      <c r="X596" t="s">
        <v>10074</v>
      </c>
      <c r="Y596">
        <v>0.93443740508648376</v>
      </c>
      <c r="Z596" t="str">
        <f>HYPERLINK("Melting_Curves/meltCurve_sp_P07108_ACBP_HUMAN_.pdf", "Melting_Curves/meltCurve_sp_P07108_ACBP_HUMAN_.pdf")</f>
        <v>Melting_Curves/meltCurve_sp_P07108_ACBP_HUMAN_.pdf</v>
      </c>
      <c r="AA596" t="s">
        <v>14800</v>
      </c>
      <c r="AB596" t="s">
        <v>19431</v>
      </c>
    </row>
    <row r="597" spans="1:28" x14ac:dyDescent="0.25">
      <c r="A597" t="s">
        <v>601</v>
      </c>
      <c r="B597">
        <v>0.99904790336628502</v>
      </c>
      <c r="C597">
        <v>0.95183106214561997</v>
      </c>
      <c r="D597">
        <v>0.98035279291148203</v>
      </c>
      <c r="E597">
        <v>0.98225397794799596</v>
      </c>
      <c r="F597">
        <v>1.0360233605373601</v>
      </c>
      <c r="G597">
        <v>0.79694182382296097</v>
      </c>
      <c r="H597">
        <v>0.83838790054052603</v>
      </c>
      <c r="I597">
        <v>0.70664977516323002</v>
      </c>
      <c r="J597">
        <v>0.69003410754229799</v>
      </c>
      <c r="K597">
        <v>0.63847725137213696</v>
      </c>
      <c r="L597">
        <v>896.22469267629594</v>
      </c>
      <c r="M597">
        <v>14.848709465409</v>
      </c>
      <c r="O597">
        <v>59.294083699712701</v>
      </c>
      <c r="P597">
        <v>-2.47903784320006E-2</v>
      </c>
      <c r="Q597">
        <v>0.60406842780748005</v>
      </c>
      <c r="R597">
        <v>0.89845593881444796</v>
      </c>
      <c r="S597" t="s">
        <v>5337</v>
      </c>
      <c r="T597" t="s">
        <v>9478</v>
      </c>
      <c r="U597" t="s">
        <v>9478</v>
      </c>
      <c r="V597" t="s">
        <v>9478</v>
      </c>
      <c r="W597">
        <v>15</v>
      </c>
      <c r="X597" t="s">
        <v>10075</v>
      </c>
      <c r="Y597">
        <v>0.87480903516116848</v>
      </c>
      <c r="Z597" t="str">
        <f>HYPERLINK("Melting_Curves/meltCurve_sp_P07148_FABPL_HUMAN_.pdf", "Melting_Curves/meltCurve_sp_P07148_FABPL_HUMAN_.pdf")</f>
        <v>Melting_Curves/meltCurve_sp_P07148_FABPL_HUMAN_.pdf</v>
      </c>
      <c r="AA597" t="s">
        <v>14801</v>
      </c>
      <c r="AB597" t="s">
        <v>19432</v>
      </c>
    </row>
    <row r="598" spans="1:28" x14ac:dyDescent="0.25">
      <c r="A598" t="s">
        <v>602</v>
      </c>
      <c r="B598">
        <v>0.99904790336628502</v>
      </c>
      <c r="C598">
        <v>1.02955057695804</v>
      </c>
      <c r="D598">
        <v>1.1494833290319599</v>
      </c>
      <c r="E598">
        <v>1.1032311284759799</v>
      </c>
      <c r="F598">
        <v>1.0559326454037401</v>
      </c>
      <c r="G598">
        <v>0.92269095170318405</v>
      </c>
      <c r="H598">
        <v>0.56152454410044095</v>
      </c>
      <c r="I598">
        <v>0.18476934438548701</v>
      </c>
      <c r="J598">
        <v>7.5224291028627904E-2</v>
      </c>
      <c r="K598">
        <v>3.76110517243331E-2</v>
      </c>
      <c r="L598">
        <v>2265.6850801814298</v>
      </c>
      <c r="M598">
        <v>36.982806629978199</v>
      </c>
      <c r="N598">
        <v>61.3629470981151</v>
      </c>
      <c r="O598">
        <v>61.084900384854798</v>
      </c>
      <c r="P598">
        <v>-0.146943188964932</v>
      </c>
      <c r="Q598">
        <v>2.9172146893713499E-2</v>
      </c>
      <c r="R598">
        <v>0.97946660544451003</v>
      </c>
      <c r="S598" t="s">
        <v>5338</v>
      </c>
      <c r="T598" t="s">
        <v>9478</v>
      </c>
      <c r="U598" t="s">
        <v>9478</v>
      </c>
      <c r="V598" t="s">
        <v>9478</v>
      </c>
      <c r="W598">
        <v>14</v>
      </c>
      <c r="X598" t="s">
        <v>10076</v>
      </c>
      <c r="Y598">
        <v>0.72135082052402555</v>
      </c>
      <c r="Z598" t="str">
        <f>HYPERLINK("Melting_Curves/meltCurve_sp_P07195_LDHB_HUMAN_.pdf", "Melting_Curves/meltCurve_sp_P07195_LDHB_HUMAN_.pdf")</f>
        <v>Melting_Curves/meltCurve_sp_P07195_LDHB_HUMAN_.pdf</v>
      </c>
      <c r="AA598" t="s">
        <v>14802</v>
      </c>
      <c r="AB598" t="s">
        <v>19433</v>
      </c>
    </row>
    <row r="599" spans="1:28" x14ac:dyDescent="0.25">
      <c r="A599" t="s">
        <v>603</v>
      </c>
      <c r="B599">
        <v>0.99904790336628502</v>
      </c>
      <c r="C599">
        <v>0.85732808329160604</v>
      </c>
      <c r="D599">
        <v>0.66098927473173397</v>
      </c>
      <c r="E599">
        <v>0.45805664203245999</v>
      </c>
      <c r="F599">
        <v>0.35789765457616401</v>
      </c>
      <c r="G599">
        <v>0.28680728157545399</v>
      </c>
      <c r="H599">
        <v>0.218868524427521</v>
      </c>
      <c r="I599">
        <v>0.19487226694715601</v>
      </c>
      <c r="J599">
        <v>0.155134070390543</v>
      </c>
      <c r="K599">
        <v>7.7076826724883807E-2</v>
      </c>
      <c r="L599">
        <v>575.75832490463995</v>
      </c>
      <c r="M599">
        <v>11.886465228459</v>
      </c>
      <c r="N599">
        <v>49.615026103738998</v>
      </c>
      <c r="O599">
        <v>47.1281975689677</v>
      </c>
      <c r="P599">
        <v>-5.53219157367799E-2</v>
      </c>
      <c r="Q599">
        <v>0.122844301517418</v>
      </c>
      <c r="R599">
        <v>0.98476887550785497</v>
      </c>
      <c r="S599" t="s">
        <v>5339</v>
      </c>
      <c r="T599" t="s">
        <v>9478</v>
      </c>
      <c r="U599" t="s">
        <v>9478</v>
      </c>
      <c r="V599" t="s">
        <v>9478</v>
      </c>
      <c r="W599">
        <v>11</v>
      </c>
      <c r="X599" t="s">
        <v>10077</v>
      </c>
      <c r="Y599">
        <v>0.40348022804618272</v>
      </c>
      <c r="Z599" t="str">
        <f>HYPERLINK("Melting_Curves/meltCurve_sp_P07203_GPX1_HUMAN_.pdf", "Melting_Curves/meltCurve_sp_P07203_GPX1_HUMAN_.pdf")</f>
        <v>Melting_Curves/meltCurve_sp_P07203_GPX1_HUMAN_.pdf</v>
      </c>
      <c r="AA599" t="s">
        <v>14803</v>
      </c>
      <c r="AB599" t="s">
        <v>19434</v>
      </c>
    </row>
    <row r="600" spans="1:28" x14ac:dyDescent="0.25">
      <c r="A600" t="s">
        <v>604</v>
      </c>
      <c r="B600">
        <v>0.99904790336628502</v>
      </c>
      <c r="C600">
        <v>1.0422789087262101</v>
      </c>
      <c r="D600">
        <v>0.83878564524160004</v>
      </c>
      <c r="E600">
        <v>0.70661210648707196</v>
      </c>
      <c r="F600">
        <v>0.226392276037748</v>
      </c>
      <c r="G600">
        <v>6.9548398174799395E-2</v>
      </c>
      <c r="H600">
        <v>3.9678893980854398E-2</v>
      </c>
      <c r="I600">
        <v>2.6226504782142501E-2</v>
      </c>
      <c r="J600">
        <v>1.9790345183746699E-2</v>
      </c>
      <c r="K600">
        <v>1.96378944853043E-2</v>
      </c>
      <c r="L600">
        <v>1522.03447896121</v>
      </c>
      <c r="M600">
        <v>29.820629668338199</v>
      </c>
      <c r="N600">
        <v>51.113770511937403</v>
      </c>
      <c r="O600">
        <v>50.811775710509501</v>
      </c>
      <c r="P600">
        <v>-0.14361754949660599</v>
      </c>
      <c r="Q600">
        <v>2.1158963434123601E-2</v>
      </c>
      <c r="R600">
        <v>0.987550738749299</v>
      </c>
      <c r="S600" t="s">
        <v>5340</v>
      </c>
      <c r="T600" t="s">
        <v>9478</v>
      </c>
      <c r="U600" t="s">
        <v>9478</v>
      </c>
      <c r="V600" t="s">
        <v>9478</v>
      </c>
      <c r="W600">
        <v>7</v>
      </c>
      <c r="X600" t="s">
        <v>10078</v>
      </c>
      <c r="Y600">
        <v>0.38759380509002311</v>
      </c>
      <c r="Z600" t="str">
        <f>HYPERLINK("Melting_Curves/meltCurve_sp_P07205_PGK2_HUMAN_.pdf", "Melting_Curves/meltCurve_sp_P07205_PGK2_HUMAN_.pdf")</f>
        <v>Melting_Curves/meltCurve_sp_P07205_PGK2_HUMAN_.pdf</v>
      </c>
      <c r="AA600" t="s">
        <v>14804</v>
      </c>
      <c r="AB600" t="s">
        <v>19435</v>
      </c>
    </row>
    <row r="601" spans="1:28" x14ac:dyDescent="0.25">
      <c r="A601" t="s">
        <v>605</v>
      </c>
      <c r="B601">
        <v>0.99904790336628502</v>
      </c>
      <c r="C601">
        <v>1.01484762870624</v>
      </c>
      <c r="D601">
        <v>1.06009913258494</v>
      </c>
      <c r="E601">
        <v>1.0369925897221901</v>
      </c>
      <c r="F601">
        <v>1.0462241831518799</v>
      </c>
      <c r="G601">
        <v>0.86716187003304501</v>
      </c>
      <c r="H601">
        <v>0.73449250077762995</v>
      </c>
      <c r="I601">
        <v>0.63666753521649699</v>
      </c>
      <c r="J601">
        <v>0.61842470007305705</v>
      </c>
      <c r="K601">
        <v>0.49808256096522102</v>
      </c>
      <c r="L601">
        <v>1274.01814314079</v>
      </c>
      <c r="M601">
        <v>20.996615867222499</v>
      </c>
      <c r="O601">
        <v>60.134954130445202</v>
      </c>
      <c r="P601">
        <v>-4.27304689044119E-2</v>
      </c>
      <c r="Q601">
        <v>0.51048764165985105</v>
      </c>
      <c r="R601">
        <v>0.96152069542936702</v>
      </c>
      <c r="S601" t="s">
        <v>5341</v>
      </c>
      <c r="T601" t="s">
        <v>9478</v>
      </c>
      <c r="U601" t="s">
        <v>9478</v>
      </c>
      <c r="V601" t="s">
        <v>9478</v>
      </c>
      <c r="W601">
        <v>49</v>
      </c>
      <c r="X601" t="s">
        <v>10079</v>
      </c>
      <c r="Y601">
        <v>0.85129722613855352</v>
      </c>
      <c r="Z601" t="str">
        <f>HYPERLINK("Melting_Curves/meltCurve_sp_P07237_PDIA1_HUMAN_.pdf", "Melting_Curves/meltCurve_sp_P07237_PDIA1_HUMAN_.pdf")</f>
        <v>Melting_Curves/meltCurve_sp_P07237_PDIA1_HUMAN_.pdf</v>
      </c>
      <c r="AA601" t="s">
        <v>14805</v>
      </c>
      <c r="AB601" t="s">
        <v>19436</v>
      </c>
    </row>
    <row r="602" spans="1:28" x14ac:dyDescent="0.25">
      <c r="A602" t="s">
        <v>606</v>
      </c>
      <c r="B602">
        <v>0.99904790336628502</v>
      </c>
      <c r="C602">
        <v>1.07517964288586</v>
      </c>
      <c r="D602">
        <v>0.98473421458147603</v>
      </c>
      <c r="E602">
        <v>0.98725405066030403</v>
      </c>
      <c r="F602">
        <v>0.98294670401648199</v>
      </c>
      <c r="G602">
        <v>0.56594361350441902</v>
      </c>
      <c r="H602">
        <v>0.47494348753202198</v>
      </c>
      <c r="I602">
        <v>0.54063281230442495</v>
      </c>
      <c r="J602">
        <v>0.56338315820735696</v>
      </c>
      <c r="K602">
        <v>0.44058559389443602</v>
      </c>
      <c r="L602">
        <v>4041.9459603844698</v>
      </c>
      <c r="M602">
        <v>72.883718850534194</v>
      </c>
      <c r="O602">
        <v>55.4157530765576</v>
      </c>
      <c r="P602">
        <v>-0.16280677324253601</v>
      </c>
      <c r="Q602">
        <v>0.50485192726995098</v>
      </c>
      <c r="R602">
        <v>0.97433065190797497</v>
      </c>
      <c r="S602" t="s">
        <v>5342</v>
      </c>
      <c r="T602" t="s">
        <v>9478</v>
      </c>
      <c r="U602" t="s">
        <v>9478</v>
      </c>
      <c r="V602" t="s">
        <v>9478</v>
      </c>
      <c r="W602">
        <v>4</v>
      </c>
      <c r="X602" t="s">
        <v>10080</v>
      </c>
      <c r="Y602">
        <v>0.76054467801746384</v>
      </c>
      <c r="Z602" t="str">
        <f>HYPERLINK("Melting_Curves/meltCurve_sp_P07305_H10_HUMAN_.pdf", "Melting_Curves/meltCurve_sp_P07305_H10_HUMAN_.pdf")</f>
        <v>Melting_Curves/meltCurve_sp_P07305_H10_HUMAN_.pdf</v>
      </c>
      <c r="AA602" t="s">
        <v>14806</v>
      </c>
      <c r="AB602" t="s">
        <v>19437</v>
      </c>
    </row>
    <row r="603" spans="1:28" x14ac:dyDescent="0.25">
      <c r="A603" t="s">
        <v>607</v>
      </c>
      <c r="B603">
        <v>0.99904790336628502</v>
      </c>
      <c r="C603">
        <v>1.3147074294424099</v>
      </c>
      <c r="D603">
        <v>0.88851230316804797</v>
      </c>
      <c r="E603">
        <v>0.69132422633703805</v>
      </c>
      <c r="F603">
        <v>0.43497550003868202</v>
      </c>
      <c r="G603">
        <v>0.236265215743863</v>
      </c>
      <c r="H603">
        <v>0.140896039918155</v>
      </c>
      <c r="I603">
        <v>0.21857968523674101</v>
      </c>
      <c r="J603">
        <v>0.25613896753992998</v>
      </c>
      <c r="K603">
        <v>0.22929204936705799</v>
      </c>
      <c r="L603">
        <v>1368.32554542919</v>
      </c>
      <c r="M603">
        <v>26.8805615053111</v>
      </c>
      <c r="N603">
        <v>51.942704537741101</v>
      </c>
      <c r="O603">
        <v>50.624682371474798</v>
      </c>
      <c r="P603">
        <v>-0.105145224578841</v>
      </c>
      <c r="Q603">
        <v>0.20791983888728499</v>
      </c>
      <c r="R603">
        <v>0.92231117694967402</v>
      </c>
      <c r="S603" t="s">
        <v>5343</v>
      </c>
      <c r="T603" t="s">
        <v>9478</v>
      </c>
      <c r="U603" t="s">
        <v>9478</v>
      </c>
      <c r="V603" t="s">
        <v>9478</v>
      </c>
      <c r="W603">
        <v>5</v>
      </c>
      <c r="X603" t="s">
        <v>10081</v>
      </c>
      <c r="Y603">
        <v>0.50200372966020268</v>
      </c>
      <c r="Z603" t="str">
        <f>HYPERLINK("Melting_Curves/meltCurve_sp_P07306_2_ASGR1_HUMAN_.pdf", "Melting_Curves/meltCurve_sp_P07306_2_ASGR1_HUMAN_.pdf")</f>
        <v>Melting_Curves/meltCurve_sp_P07306_2_ASGR1_HUMAN_.pdf</v>
      </c>
      <c r="AA603" t="s">
        <v>14807</v>
      </c>
      <c r="AB603" t="s">
        <v>19438</v>
      </c>
    </row>
    <row r="604" spans="1:28" x14ac:dyDescent="0.25">
      <c r="A604" t="s">
        <v>608</v>
      </c>
      <c r="B604">
        <v>0.99904790336628502</v>
      </c>
      <c r="C604">
        <v>1.1581399782853099</v>
      </c>
      <c r="D604">
        <v>0.96815370644338095</v>
      </c>
      <c r="E604">
        <v>0.80911062605613104</v>
      </c>
      <c r="F604">
        <v>0.67182351270463803</v>
      </c>
      <c r="G604">
        <v>0.40415050283547899</v>
      </c>
      <c r="H604">
        <v>0.28285404740320003</v>
      </c>
      <c r="I604">
        <v>0.26535138918527101</v>
      </c>
      <c r="J604">
        <v>0.208794623029121</v>
      </c>
      <c r="K604">
        <v>0.24411230804485601</v>
      </c>
      <c r="L604">
        <v>1040.6632636182301</v>
      </c>
      <c r="M604">
        <v>19.4203421441552</v>
      </c>
      <c r="N604">
        <v>55.236329674699697</v>
      </c>
      <c r="O604">
        <v>53.027773122759903</v>
      </c>
      <c r="P604">
        <v>-7.1408996577752598E-2</v>
      </c>
      <c r="Q604">
        <v>0.220091798707238</v>
      </c>
      <c r="R604">
        <v>0.97482573409210305</v>
      </c>
      <c r="S604" t="s">
        <v>5344</v>
      </c>
      <c r="T604" t="s">
        <v>9478</v>
      </c>
      <c r="U604" t="s">
        <v>9478</v>
      </c>
      <c r="V604" t="s">
        <v>9478</v>
      </c>
      <c r="W604">
        <v>3</v>
      </c>
      <c r="X604" t="s">
        <v>10082</v>
      </c>
      <c r="Y604">
        <v>0.58447985851562856</v>
      </c>
      <c r="Z604" t="str">
        <f>HYPERLINK("Melting_Curves/meltCurve_sp_P07307_3_ASGR2_HUMAN_.pdf", "Melting_Curves/meltCurve_sp_P07307_3_ASGR2_HUMAN_.pdf")</f>
        <v>Melting_Curves/meltCurve_sp_P07307_3_ASGR2_HUMAN_.pdf</v>
      </c>
      <c r="AA604" t="s">
        <v>14808</v>
      </c>
      <c r="AB604" t="s">
        <v>19439</v>
      </c>
    </row>
    <row r="605" spans="1:28" x14ac:dyDescent="0.25">
      <c r="A605" t="s">
        <v>609</v>
      </c>
      <c r="B605">
        <v>0.99904790336628502</v>
      </c>
      <c r="C605">
        <v>0.99596794141994605</v>
      </c>
      <c r="D605">
        <v>0.97183763037934501</v>
      </c>
      <c r="E605">
        <v>0.93337609352073603</v>
      </c>
      <c r="F605">
        <v>0.78312902495511405</v>
      </c>
      <c r="G605">
        <v>0.71000852108088597</v>
      </c>
      <c r="H605">
        <v>0.47926684895525901</v>
      </c>
      <c r="I605">
        <v>0.41140477033742501</v>
      </c>
      <c r="J605">
        <v>0.233724636213655</v>
      </c>
      <c r="K605">
        <v>0.10510319929529199</v>
      </c>
      <c r="L605">
        <v>718.798070907941</v>
      </c>
      <c r="M605">
        <v>11.8510119462064</v>
      </c>
      <c r="N605">
        <v>60.652885572079498</v>
      </c>
      <c r="O605">
        <v>59.003215560889601</v>
      </c>
      <c r="P605">
        <v>-5.0226120698285498E-2</v>
      </c>
      <c r="Q605">
        <v>0</v>
      </c>
      <c r="R605">
        <v>0.986796254090479</v>
      </c>
      <c r="S605" t="s">
        <v>5345</v>
      </c>
      <c r="T605" t="s">
        <v>9478</v>
      </c>
      <c r="U605" t="s">
        <v>9478</v>
      </c>
      <c r="V605" t="s">
        <v>9478</v>
      </c>
      <c r="W605">
        <v>23</v>
      </c>
      <c r="X605" t="s">
        <v>10083</v>
      </c>
      <c r="Y605">
        <v>0.68629737591250539</v>
      </c>
      <c r="Z605" t="str">
        <f>HYPERLINK("Melting_Curves/meltCurve_sp_P07327_ADH1A_HUMAN_.pdf", "Melting_Curves/meltCurve_sp_P07327_ADH1A_HUMAN_.pdf")</f>
        <v>Melting_Curves/meltCurve_sp_P07327_ADH1A_HUMAN_.pdf</v>
      </c>
      <c r="AA605" t="s">
        <v>14809</v>
      </c>
      <c r="AB605" t="s">
        <v>19440</v>
      </c>
    </row>
    <row r="606" spans="1:28" x14ac:dyDescent="0.25">
      <c r="A606" t="s">
        <v>610</v>
      </c>
      <c r="B606">
        <v>0.99904790336628502</v>
      </c>
      <c r="C606">
        <v>0.864922996970519</v>
      </c>
      <c r="D606">
        <v>0.67491235948766004</v>
      </c>
      <c r="E606">
        <v>0.47274023767932</v>
      </c>
      <c r="F606">
        <v>0.24496088402768601</v>
      </c>
      <c r="G606">
        <v>0.12766380620683501</v>
      </c>
      <c r="H606">
        <v>7.3017988923092997E-2</v>
      </c>
      <c r="I606">
        <v>4.8448242902111298E-2</v>
      </c>
      <c r="J606">
        <v>3.9604541545603202E-2</v>
      </c>
      <c r="K606">
        <v>3.0599985981778099E-2</v>
      </c>
      <c r="L606">
        <v>673.03638794176095</v>
      </c>
      <c r="M606">
        <v>13.768902715517401</v>
      </c>
      <c r="N606">
        <v>48.972445266771501</v>
      </c>
      <c r="O606">
        <v>47.884441207396399</v>
      </c>
      <c r="P606">
        <v>-7.0982852783024006E-2</v>
      </c>
      <c r="Q606">
        <v>1.2704740167685901E-2</v>
      </c>
      <c r="R606">
        <v>0.99578298430080503</v>
      </c>
      <c r="S606" t="s">
        <v>5346</v>
      </c>
      <c r="T606" t="s">
        <v>9478</v>
      </c>
      <c r="U606" t="s">
        <v>9478</v>
      </c>
      <c r="V606" t="s">
        <v>9478</v>
      </c>
      <c r="W606">
        <v>3</v>
      </c>
      <c r="X606" t="s">
        <v>10084</v>
      </c>
      <c r="Y606">
        <v>0.33367296241751582</v>
      </c>
      <c r="Z606" t="str">
        <f>HYPERLINK("Melting_Curves/meltCurve_sp_P07332_3_FES_HUMAN_.pdf", "Melting_Curves/meltCurve_sp_P07332_3_FES_HUMAN_.pdf")</f>
        <v>Melting_Curves/meltCurve_sp_P07332_3_FES_HUMAN_.pdf</v>
      </c>
      <c r="AA606" t="s">
        <v>14810</v>
      </c>
      <c r="AB606" t="s">
        <v>19441</v>
      </c>
    </row>
    <row r="607" spans="1:28" x14ac:dyDescent="0.25">
      <c r="A607" t="s">
        <v>611</v>
      </c>
      <c r="B607">
        <v>0.99904790336628502</v>
      </c>
      <c r="C607">
        <v>1.0255823165024001</v>
      </c>
      <c r="D607">
        <v>0.99558903958940004</v>
      </c>
      <c r="E607">
        <v>0.91248181231535996</v>
      </c>
      <c r="F607">
        <v>0.70766154951390703</v>
      </c>
      <c r="G607">
        <v>0.40836016134030301</v>
      </c>
      <c r="H607">
        <v>0.186020359789518</v>
      </c>
      <c r="I607">
        <v>0.123929346668676</v>
      </c>
      <c r="J607">
        <v>8.7972992213501494E-2</v>
      </c>
      <c r="K607">
        <v>6.5418481514043794E-2</v>
      </c>
      <c r="L607">
        <v>1090.08736229797</v>
      </c>
      <c r="M607">
        <v>19.681819821705002</v>
      </c>
      <c r="N607">
        <v>55.724085774836098</v>
      </c>
      <c r="O607">
        <v>54.823243980702699</v>
      </c>
      <c r="P607">
        <v>-8.4696336672892197E-2</v>
      </c>
      <c r="Q607">
        <v>5.6354206576530903E-2</v>
      </c>
      <c r="R607">
        <v>0.99898570351830196</v>
      </c>
      <c r="S607" t="s">
        <v>5347</v>
      </c>
      <c r="T607" t="s">
        <v>9478</v>
      </c>
      <c r="U607" t="s">
        <v>9478</v>
      </c>
      <c r="V607" t="s">
        <v>9478</v>
      </c>
      <c r="W607">
        <v>13</v>
      </c>
      <c r="X607" t="s">
        <v>10085</v>
      </c>
      <c r="Y607">
        <v>0.55301890231904283</v>
      </c>
      <c r="Z607" t="str">
        <f>HYPERLINK("Melting_Curves/meltCurve_sp_P07355_ANXA2_HUMAN_.pdf", "Melting_Curves/meltCurve_sp_P07355_ANXA2_HUMAN_.pdf")</f>
        <v>Melting_Curves/meltCurve_sp_P07355_ANXA2_HUMAN_.pdf</v>
      </c>
      <c r="AA607" t="s">
        <v>14811</v>
      </c>
      <c r="AB607" t="s">
        <v>19442</v>
      </c>
    </row>
    <row r="608" spans="1:28" x14ac:dyDescent="0.25">
      <c r="A608" t="s">
        <v>612</v>
      </c>
      <c r="B608">
        <v>0.99904790336628502</v>
      </c>
      <c r="C608">
        <v>1.0218739971022801</v>
      </c>
      <c r="D608">
        <v>0.98008978803834002</v>
      </c>
      <c r="E608">
        <v>0.69092239050132898</v>
      </c>
      <c r="F608">
        <v>0.48624844878538698</v>
      </c>
      <c r="G608">
        <v>0.237698067866215</v>
      </c>
      <c r="H608">
        <v>8.9329957375776897E-2</v>
      </c>
      <c r="I608">
        <v>6.9682548055193805E-2</v>
      </c>
      <c r="J608">
        <v>4.9193860248894598E-2</v>
      </c>
      <c r="K608">
        <v>4.1550207163529501E-2</v>
      </c>
      <c r="L608">
        <v>972.29960026332503</v>
      </c>
      <c r="M608">
        <v>18.505362757544201</v>
      </c>
      <c r="N608">
        <v>52.739790700302301</v>
      </c>
      <c r="O608">
        <v>51.939471646365703</v>
      </c>
      <c r="P608">
        <v>-8.6082377453672199E-2</v>
      </c>
      <c r="Q608">
        <v>3.3604314194026201E-2</v>
      </c>
      <c r="R608">
        <v>0.99661928464426497</v>
      </c>
      <c r="S608" t="s">
        <v>5348</v>
      </c>
      <c r="T608" t="s">
        <v>9478</v>
      </c>
      <c r="U608" t="s">
        <v>9478</v>
      </c>
      <c r="V608" t="s">
        <v>9478</v>
      </c>
      <c r="W608">
        <v>10</v>
      </c>
      <c r="X608" t="s">
        <v>10086</v>
      </c>
      <c r="Y608">
        <v>0.45284006104968572</v>
      </c>
      <c r="Z608" t="str">
        <f>HYPERLINK("Melting_Curves/meltCurve_sp_P07357_CO8A_HUMAN_.pdf", "Melting_Curves/meltCurve_sp_P07357_CO8A_HUMAN_.pdf")</f>
        <v>Melting_Curves/meltCurve_sp_P07357_CO8A_HUMAN_.pdf</v>
      </c>
      <c r="AA608" t="s">
        <v>14812</v>
      </c>
      <c r="AB608" t="s">
        <v>19443</v>
      </c>
    </row>
    <row r="609" spans="1:28" x14ac:dyDescent="0.25">
      <c r="A609" t="s">
        <v>613</v>
      </c>
      <c r="B609">
        <v>0.99904790336628502</v>
      </c>
      <c r="C609">
        <v>1.0055737837927601</v>
      </c>
      <c r="D609">
        <v>1.0763525614970799</v>
      </c>
      <c r="E609">
        <v>0.96374389009721295</v>
      </c>
      <c r="F609">
        <v>0.818130681749626</v>
      </c>
      <c r="G609">
        <v>0.431160273185836</v>
      </c>
      <c r="H609">
        <v>9.5430604025887295E-2</v>
      </c>
      <c r="I609">
        <v>6.3859809455269104E-2</v>
      </c>
      <c r="J609">
        <v>3.72391607737547E-2</v>
      </c>
      <c r="K609">
        <v>3.57892427167796E-2</v>
      </c>
      <c r="L609">
        <v>1516.34821956275</v>
      </c>
      <c r="M609">
        <v>27.016170990013102</v>
      </c>
      <c r="N609">
        <v>56.225483261776603</v>
      </c>
      <c r="O609">
        <v>55.822606261174798</v>
      </c>
      <c r="P609">
        <v>-0.118208198121106</v>
      </c>
      <c r="Q609">
        <v>2.3011104165184301E-2</v>
      </c>
      <c r="R609">
        <v>0.99588837428289101</v>
      </c>
      <c r="S609" t="s">
        <v>5349</v>
      </c>
      <c r="T609" t="s">
        <v>9478</v>
      </c>
      <c r="U609" t="s">
        <v>9478</v>
      </c>
      <c r="V609" t="s">
        <v>9478</v>
      </c>
      <c r="W609">
        <v>3</v>
      </c>
      <c r="X609" t="s">
        <v>10087</v>
      </c>
      <c r="Y609">
        <v>0.55607429254180285</v>
      </c>
      <c r="Z609" t="str">
        <f>HYPERLINK("Melting_Curves/meltCurve_sp_P07360_CO8G_HUMAN_.pdf", "Melting_Curves/meltCurve_sp_P07360_CO8G_HUMAN_.pdf")</f>
        <v>Melting_Curves/meltCurve_sp_P07360_CO8G_HUMAN_.pdf</v>
      </c>
      <c r="AA609" t="s">
        <v>14813</v>
      </c>
      <c r="AB609" t="s">
        <v>19444</v>
      </c>
    </row>
    <row r="610" spans="1:28" x14ac:dyDescent="0.25">
      <c r="A610" t="s">
        <v>614</v>
      </c>
      <c r="B610">
        <v>0.99904790336628502</v>
      </c>
      <c r="C610">
        <v>0.94393026224174603</v>
      </c>
      <c r="D610">
        <v>0.98800694952731405</v>
      </c>
      <c r="E610">
        <v>0.96835837590856</v>
      </c>
      <c r="F610">
        <v>0.83508232815075101</v>
      </c>
      <c r="G610">
        <v>0.65385142898747695</v>
      </c>
      <c r="H610">
        <v>0.46170898155677698</v>
      </c>
      <c r="I610">
        <v>0.31755159139928002</v>
      </c>
      <c r="J610">
        <v>0.16475288258076001</v>
      </c>
      <c r="K610">
        <v>5.32409801177572E-2</v>
      </c>
      <c r="L610">
        <v>857.72797592248105</v>
      </c>
      <c r="M610">
        <v>14.3307011656236</v>
      </c>
      <c r="N610">
        <v>59.852478171730503</v>
      </c>
      <c r="O610">
        <v>58.7232147564511</v>
      </c>
      <c r="P610">
        <v>-6.1016902204010501E-2</v>
      </c>
      <c r="Q610">
        <v>0</v>
      </c>
      <c r="R610">
        <v>0.99153256379804999</v>
      </c>
      <c r="S610" t="s">
        <v>5350</v>
      </c>
      <c r="T610" t="s">
        <v>9478</v>
      </c>
      <c r="U610" t="s">
        <v>9478</v>
      </c>
      <c r="V610" t="s">
        <v>9478</v>
      </c>
      <c r="W610">
        <v>30</v>
      </c>
      <c r="X610" t="s">
        <v>10088</v>
      </c>
      <c r="Y610">
        <v>0.6686077969235884</v>
      </c>
      <c r="Z610" t="str">
        <f>HYPERLINK("Melting_Curves/meltCurve_sp_P07384_CAN1_HUMAN_.pdf", "Melting_Curves/meltCurve_sp_P07384_CAN1_HUMAN_.pdf")</f>
        <v>Melting_Curves/meltCurve_sp_P07384_CAN1_HUMAN_.pdf</v>
      </c>
      <c r="AA610" t="s">
        <v>14814</v>
      </c>
      <c r="AB610" t="s">
        <v>19445</v>
      </c>
    </row>
    <row r="611" spans="1:28" x14ac:dyDescent="0.25">
      <c r="A611" t="s">
        <v>615</v>
      </c>
      <c r="B611">
        <v>0.99904790336628502</v>
      </c>
      <c r="C611">
        <v>1.0821279902892</v>
      </c>
      <c r="D611">
        <v>1.0049095826424701</v>
      </c>
      <c r="E611">
        <v>1.11092103245949</v>
      </c>
      <c r="F611">
        <v>1.3866906357875199</v>
      </c>
      <c r="G611">
        <v>1.0652924869709</v>
      </c>
      <c r="H611">
        <v>1.1764886067500699</v>
      </c>
      <c r="I611">
        <v>1.71685559189986</v>
      </c>
      <c r="J611">
        <v>2.3592433371013599</v>
      </c>
      <c r="K611">
        <v>3.04860994290215</v>
      </c>
      <c r="L611">
        <v>1119.4176181037501</v>
      </c>
      <c r="M611">
        <v>20.8891238703741</v>
      </c>
      <c r="O611">
        <v>53.104676689865997</v>
      </c>
      <c r="P611">
        <v>4.91710375912797E-2</v>
      </c>
      <c r="Q611">
        <v>1.5</v>
      </c>
      <c r="R611">
        <v>0.203034076314727</v>
      </c>
      <c r="S611" t="s">
        <v>5351</v>
      </c>
      <c r="T611" t="s">
        <v>9478</v>
      </c>
      <c r="U611" t="s">
        <v>9478</v>
      </c>
      <c r="V611" t="s">
        <v>9478</v>
      </c>
      <c r="W611">
        <v>3</v>
      </c>
      <c r="X611" t="s">
        <v>10089</v>
      </c>
      <c r="Y611">
        <v>1.2671693740277321</v>
      </c>
      <c r="Z611" t="str">
        <f>HYPERLINK("Melting_Curves/meltCurve_sp_P07438_MT1B_HUMAN_.pdf", "Melting_Curves/meltCurve_sp_P07438_MT1B_HUMAN_.pdf")</f>
        <v>Melting_Curves/meltCurve_sp_P07438_MT1B_HUMAN_.pdf</v>
      </c>
      <c r="AA611" t="s">
        <v>14815</v>
      </c>
      <c r="AB611" t="s">
        <v>19446</v>
      </c>
    </row>
    <row r="612" spans="1:28" x14ac:dyDescent="0.25">
      <c r="A612" t="s">
        <v>616</v>
      </c>
      <c r="B612">
        <v>0.99904790336628502</v>
      </c>
      <c r="C612">
        <v>1.0172855050971901</v>
      </c>
      <c r="D612">
        <v>0.95809087699448403</v>
      </c>
      <c r="E612">
        <v>0.96559504630119597</v>
      </c>
      <c r="F612">
        <v>0.97958558406559104</v>
      </c>
      <c r="G612">
        <v>0.78317534708612602</v>
      </c>
      <c r="H612">
        <v>0.69353821387396897</v>
      </c>
      <c r="I612">
        <v>0.74425020445158896</v>
      </c>
      <c r="J612">
        <v>0.86739580016478901</v>
      </c>
      <c r="K612">
        <v>0.82762298489284702</v>
      </c>
      <c r="L612">
        <v>5812.5567596302599</v>
      </c>
      <c r="M612">
        <v>107.41162873828399</v>
      </c>
      <c r="O612">
        <v>54.096029995520702</v>
      </c>
      <c r="P612">
        <v>-0.107712432476451</v>
      </c>
      <c r="Q612">
        <v>0.78300990994453501</v>
      </c>
      <c r="R612">
        <v>0.82041292454418702</v>
      </c>
      <c r="S612" t="s">
        <v>5352</v>
      </c>
      <c r="T612" t="s">
        <v>9478</v>
      </c>
      <c r="U612" t="s">
        <v>9478</v>
      </c>
      <c r="V612" t="s">
        <v>9478</v>
      </c>
      <c r="W612">
        <v>20</v>
      </c>
      <c r="X612" t="s">
        <v>10090</v>
      </c>
      <c r="Y612">
        <v>0.88521390877454986</v>
      </c>
      <c r="Z612" t="str">
        <f>HYPERLINK("Melting_Curves/meltCurve_sp_P07602_SAP_HUMAN_.pdf", "Melting_Curves/meltCurve_sp_P07602_SAP_HUMAN_.pdf")</f>
        <v>Melting_Curves/meltCurve_sp_P07602_SAP_HUMAN_.pdf</v>
      </c>
      <c r="AA612" t="s">
        <v>14816</v>
      </c>
      <c r="AB612" t="s">
        <v>19447</v>
      </c>
    </row>
    <row r="613" spans="1:28" x14ac:dyDescent="0.25">
      <c r="A613" t="s">
        <v>617</v>
      </c>
      <c r="B613">
        <v>0.99904790336628502</v>
      </c>
      <c r="C613">
        <v>0.96545588649032399</v>
      </c>
      <c r="D613">
        <v>1.03505778192114</v>
      </c>
      <c r="E613">
        <v>0.93510429483756097</v>
      </c>
      <c r="F613">
        <v>0.82690564801631905</v>
      </c>
      <c r="G613">
        <v>0.51703173077456299</v>
      </c>
      <c r="H613">
        <v>0.17431028448782801</v>
      </c>
      <c r="I613">
        <v>5.1686773994216402E-2</v>
      </c>
      <c r="J613">
        <v>3.2813772691515503E-2</v>
      </c>
      <c r="K613">
        <v>2.63384399437375E-2</v>
      </c>
      <c r="L613">
        <v>1282.90213473373</v>
      </c>
      <c r="M613">
        <v>22.529817984684598</v>
      </c>
      <c r="N613">
        <v>56.942410840174098</v>
      </c>
      <c r="O613">
        <v>56.499493953386001</v>
      </c>
      <c r="P613">
        <v>-9.9692384098200401E-2</v>
      </c>
      <c r="Q613">
        <v>0</v>
      </c>
      <c r="R613">
        <v>0.99725201342686898</v>
      </c>
      <c r="S613" t="s">
        <v>5353</v>
      </c>
      <c r="T613" t="s">
        <v>9478</v>
      </c>
      <c r="U613" t="s">
        <v>9478</v>
      </c>
      <c r="V613" t="s">
        <v>9478</v>
      </c>
      <c r="W613">
        <v>23</v>
      </c>
      <c r="X613" t="s">
        <v>10091</v>
      </c>
      <c r="Y613">
        <v>0.57526862813662527</v>
      </c>
      <c r="Z613" t="str">
        <f>HYPERLINK("Melting_Curves/meltCurve_sp_P07686_HEXB_HUMAN_.pdf", "Melting_Curves/meltCurve_sp_P07686_HEXB_HUMAN_.pdf")</f>
        <v>Melting_Curves/meltCurve_sp_P07686_HEXB_HUMAN_.pdf</v>
      </c>
      <c r="AA613" t="s">
        <v>14817</v>
      </c>
      <c r="AB613" t="s">
        <v>19448</v>
      </c>
    </row>
    <row r="614" spans="1:28" x14ac:dyDescent="0.25">
      <c r="A614" t="s">
        <v>618</v>
      </c>
      <c r="B614">
        <v>0.99904790336628502</v>
      </c>
      <c r="C614">
        <v>0.98154555244679897</v>
      </c>
      <c r="D614">
        <v>0.98235769500607895</v>
      </c>
      <c r="E614">
        <v>1.04943501911629</v>
      </c>
      <c r="F614">
        <v>1.08116002190736</v>
      </c>
      <c r="G614">
        <v>0.68220307350196396</v>
      </c>
      <c r="H614">
        <v>0.47407583592517</v>
      </c>
      <c r="I614">
        <v>0.41714591658592398</v>
      </c>
      <c r="J614">
        <v>0.47119533623126802</v>
      </c>
      <c r="K614">
        <v>0.486727378385234</v>
      </c>
      <c r="L614">
        <v>14229.014737821701</v>
      </c>
      <c r="M614">
        <v>250</v>
      </c>
      <c r="N614">
        <v>57.510617016082797</v>
      </c>
      <c r="O614">
        <v>56.912417617727797</v>
      </c>
      <c r="P614">
        <v>-0.59050590724197904</v>
      </c>
      <c r="Q614">
        <v>0.46228610851014201</v>
      </c>
      <c r="R614">
        <v>0.98224146702655102</v>
      </c>
      <c r="S614" t="s">
        <v>5354</v>
      </c>
      <c r="T614" t="s">
        <v>9478</v>
      </c>
      <c r="U614" t="s">
        <v>9478</v>
      </c>
      <c r="V614" t="s">
        <v>9478</v>
      </c>
      <c r="W614">
        <v>4</v>
      </c>
      <c r="X614" t="s">
        <v>10092</v>
      </c>
      <c r="Y614">
        <v>0.76553981527442394</v>
      </c>
      <c r="Z614" t="str">
        <f>HYPERLINK("Melting_Curves/meltCurve_sp_P07711_CATL1_HUMAN_.pdf", "Melting_Curves/meltCurve_sp_P07711_CATL1_HUMAN_.pdf")</f>
        <v>Melting_Curves/meltCurve_sp_P07711_CATL1_HUMAN_.pdf</v>
      </c>
      <c r="AA614" t="s">
        <v>14818</v>
      </c>
      <c r="AB614" t="s">
        <v>19449</v>
      </c>
    </row>
    <row r="615" spans="1:28" x14ac:dyDescent="0.25">
      <c r="A615" t="s">
        <v>619</v>
      </c>
      <c r="B615">
        <v>0.99904790336628502</v>
      </c>
      <c r="C615">
        <v>0.96442946506767602</v>
      </c>
      <c r="D615">
        <v>0.96106311582352699</v>
      </c>
      <c r="E615">
        <v>0.92016603941350505</v>
      </c>
      <c r="F615">
        <v>0.84199306356213999</v>
      </c>
      <c r="G615">
        <v>0.308597622162114</v>
      </c>
      <c r="H615">
        <v>0.10415921472305199</v>
      </c>
      <c r="I615">
        <v>7.3207315677091794E-2</v>
      </c>
      <c r="J615">
        <v>6.2744893253625103E-2</v>
      </c>
      <c r="K615">
        <v>6.2878788168912E-2</v>
      </c>
      <c r="L615">
        <v>1843.5507643937599</v>
      </c>
      <c r="M615">
        <v>33.3273789931972</v>
      </c>
      <c r="N615">
        <v>55.534273032525697</v>
      </c>
      <c r="O615">
        <v>55.118358411105397</v>
      </c>
      <c r="P615">
        <v>-0.14190042405655501</v>
      </c>
      <c r="Q615">
        <v>6.1277735613405E-2</v>
      </c>
      <c r="R615">
        <v>0.99650801585726201</v>
      </c>
      <c r="S615" t="s">
        <v>5355</v>
      </c>
      <c r="T615" t="s">
        <v>9478</v>
      </c>
      <c r="U615" t="s">
        <v>9478</v>
      </c>
      <c r="V615" t="s">
        <v>9478</v>
      </c>
      <c r="W615">
        <v>17</v>
      </c>
      <c r="X615" t="s">
        <v>10093</v>
      </c>
      <c r="Y615">
        <v>0.54564883536847641</v>
      </c>
      <c r="Z615" t="str">
        <f>HYPERLINK("Melting_Curves/meltCurve_sp_P07737_PROF1_HUMAN_.pdf", "Melting_Curves/meltCurve_sp_P07737_PROF1_HUMAN_.pdf")</f>
        <v>Melting_Curves/meltCurve_sp_P07737_PROF1_HUMAN_.pdf</v>
      </c>
      <c r="AA615" t="s">
        <v>14819</v>
      </c>
      <c r="AB615" t="s">
        <v>19450</v>
      </c>
    </row>
    <row r="616" spans="1:28" x14ac:dyDescent="0.25">
      <c r="A616" t="s">
        <v>620</v>
      </c>
      <c r="B616">
        <v>0.99904790336628502</v>
      </c>
      <c r="C616">
        <v>0.919608788112664</v>
      </c>
      <c r="D616">
        <v>0.86327179976064905</v>
      </c>
      <c r="E616">
        <v>0.73194147711131197</v>
      </c>
      <c r="F616">
        <v>0.381768472431808</v>
      </c>
      <c r="G616">
        <v>0.225024135695267</v>
      </c>
      <c r="H616">
        <v>0.123926904252379</v>
      </c>
      <c r="I616">
        <v>8.67675414072894E-2</v>
      </c>
      <c r="J616">
        <v>6.2022422487627897E-2</v>
      </c>
      <c r="K616">
        <v>5.33593325807315E-2</v>
      </c>
      <c r="L616">
        <v>852.73590845536603</v>
      </c>
      <c r="M616">
        <v>16.448709914355199</v>
      </c>
      <c r="N616">
        <v>52.1197754868695</v>
      </c>
      <c r="O616">
        <v>51.0940184097038</v>
      </c>
      <c r="P616">
        <v>-7.7111774501984101E-2</v>
      </c>
      <c r="Q616">
        <v>4.1949233527465997E-2</v>
      </c>
      <c r="R616">
        <v>0.99162297687005097</v>
      </c>
      <c r="S616" t="s">
        <v>5356</v>
      </c>
      <c r="T616" t="s">
        <v>9478</v>
      </c>
      <c r="U616" t="s">
        <v>9478</v>
      </c>
      <c r="V616" t="s">
        <v>9478</v>
      </c>
      <c r="W616">
        <v>3</v>
      </c>
      <c r="X616" t="s">
        <v>10094</v>
      </c>
      <c r="Y616">
        <v>0.43871848060259833</v>
      </c>
      <c r="Z616" t="str">
        <f>HYPERLINK("Melting_Curves/meltCurve_sp_P07738_PMGE_HUMAN_.pdf", "Melting_Curves/meltCurve_sp_P07738_PMGE_HUMAN_.pdf")</f>
        <v>Melting_Curves/meltCurve_sp_P07738_PMGE_HUMAN_.pdf</v>
      </c>
      <c r="AA616" t="s">
        <v>14820</v>
      </c>
      <c r="AB616" t="s">
        <v>19451</v>
      </c>
    </row>
    <row r="617" spans="1:28" x14ac:dyDescent="0.25">
      <c r="A617" t="s">
        <v>621</v>
      </c>
      <c r="B617">
        <v>0.99904790336628502</v>
      </c>
      <c r="C617">
        <v>0.86451385520693003</v>
      </c>
      <c r="D617">
        <v>0.60574124984488797</v>
      </c>
      <c r="E617">
        <v>0.30011952146883403</v>
      </c>
      <c r="F617">
        <v>0.12094069048056801</v>
      </c>
      <c r="G617">
        <v>6.4893028189999605E-2</v>
      </c>
      <c r="H617">
        <v>3.7679130777091098E-2</v>
      </c>
      <c r="I617">
        <v>2.4846790530781801E-2</v>
      </c>
      <c r="J617">
        <v>2.1621585056659499E-2</v>
      </c>
      <c r="K617">
        <v>1.27006831886964E-2</v>
      </c>
      <c r="L617">
        <v>858.61470348994897</v>
      </c>
      <c r="M617">
        <v>18.187870172223001</v>
      </c>
      <c r="N617">
        <v>47.299278731726098</v>
      </c>
      <c r="O617">
        <v>46.648500766993202</v>
      </c>
      <c r="P617">
        <v>-9.5797982759758593E-2</v>
      </c>
      <c r="Q617">
        <v>1.7230585171626699E-2</v>
      </c>
      <c r="R617">
        <v>0.99819678940372203</v>
      </c>
      <c r="S617" t="s">
        <v>5357</v>
      </c>
      <c r="T617" t="s">
        <v>9478</v>
      </c>
      <c r="U617" t="s">
        <v>9478</v>
      </c>
      <c r="V617" t="s">
        <v>9478</v>
      </c>
      <c r="W617">
        <v>8</v>
      </c>
      <c r="X617" t="s">
        <v>10095</v>
      </c>
      <c r="Y617">
        <v>0.2709177524069466</v>
      </c>
      <c r="Z617" t="str">
        <f>HYPERLINK("Melting_Curves/meltCurve_sp_P07741_APT_HUMAN_.pdf", "Melting_Curves/meltCurve_sp_P07741_APT_HUMAN_.pdf")</f>
        <v>Melting_Curves/meltCurve_sp_P07741_APT_HUMAN_.pdf</v>
      </c>
      <c r="AA617" t="s">
        <v>14821</v>
      </c>
      <c r="AB617" t="s">
        <v>19452</v>
      </c>
    </row>
    <row r="618" spans="1:28" x14ac:dyDescent="0.25">
      <c r="A618" t="s">
        <v>622</v>
      </c>
      <c r="B618">
        <v>0.99904790336628502</v>
      </c>
      <c r="C618">
        <v>0.88347925100621905</v>
      </c>
      <c r="D618">
        <v>0.57555857180080405</v>
      </c>
      <c r="E618">
        <v>0.36518433889126001</v>
      </c>
      <c r="F618">
        <v>0.25789622165218801</v>
      </c>
      <c r="G618">
        <v>0.178549786488122</v>
      </c>
      <c r="H618">
        <v>8.9460525037936306E-2</v>
      </c>
      <c r="I618">
        <v>4.8514554419108902E-2</v>
      </c>
      <c r="J618">
        <v>3.8667927047392602E-2</v>
      </c>
      <c r="K618">
        <v>3.3226279288179499E-2</v>
      </c>
      <c r="L618">
        <v>670.15632637997396</v>
      </c>
      <c r="M618">
        <v>14.038422071242101</v>
      </c>
      <c r="N618">
        <v>48.024351078029497</v>
      </c>
      <c r="O618">
        <v>46.799951902967003</v>
      </c>
      <c r="P618">
        <v>-7.1983297766248996E-2</v>
      </c>
      <c r="Q618">
        <v>4.02416666628636E-2</v>
      </c>
      <c r="R618">
        <v>0.98729690435663897</v>
      </c>
      <c r="S618" t="s">
        <v>5358</v>
      </c>
      <c r="T618" t="s">
        <v>9478</v>
      </c>
      <c r="U618" t="s">
        <v>9478</v>
      </c>
      <c r="V618" t="s">
        <v>9478</v>
      </c>
      <c r="W618">
        <v>54</v>
      </c>
      <c r="X618" t="s">
        <v>10096</v>
      </c>
      <c r="Y618">
        <v>0.31628622469971779</v>
      </c>
      <c r="Z618" t="str">
        <f>HYPERLINK("Melting_Curves/meltCurve_sp_P07814_SYEP_HUMAN_.pdf", "Melting_Curves/meltCurve_sp_P07814_SYEP_HUMAN_.pdf")</f>
        <v>Melting_Curves/meltCurve_sp_P07814_SYEP_HUMAN_.pdf</v>
      </c>
      <c r="AA618" t="s">
        <v>14822</v>
      </c>
      <c r="AB618" t="s">
        <v>19453</v>
      </c>
    </row>
    <row r="619" spans="1:28" x14ac:dyDescent="0.25">
      <c r="A619" t="s">
        <v>623</v>
      </c>
      <c r="B619">
        <v>0.99904790336628502</v>
      </c>
      <c r="C619">
        <v>1.04619320334315</v>
      </c>
      <c r="D619">
        <v>0.80647528213021502</v>
      </c>
      <c r="E619">
        <v>0.47884434896405298</v>
      </c>
      <c r="F619">
        <v>0.34870484679401198</v>
      </c>
      <c r="G619">
        <v>0.28335365661890199</v>
      </c>
      <c r="H619">
        <v>0.33950449684628697</v>
      </c>
      <c r="I619">
        <v>0.27701656871957098</v>
      </c>
      <c r="J619">
        <v>0.34915187059661101</v>
      </c>
      <c r="K619">
        <v>0.338873561042632</v>
      </c>
      <c r="L619">
        <v>1412.7171349029099</v>
      </c>
      <c r="M619">
        <v>29.585189770821199</v>
      </c>
      <c r="N619">
        <v>49.436239069769499</v>
      </c>
      <c r="O619">
        <v>47.534247937147903</v>
      </c>
      <c r="P619">
        <v>-0.10617500183609201</v>
      </c>
      <c r="Q619">
        <v>0.31764312164782299</v>
      </c>
      <c r="R619">
        <v>0.986713021190183</v>
      </c>
      <c r="S619" t="s">
        <v>5359</v>
      </c>
      <c r="T619" t="s">
        <v>9478</v>
      </c>
      <c r="U619" t="s">
        <v>9478</v>
      </c>
      <c r="V619" t="s">
        <v>9478</v>
      </c>
      <c r="W619">
        <v>17</v>
      </c>
      <c r="X619" t="s">
        <v>10097</v>
      </c>
      <c r="Y619">
        <v>0.49815817520340061</v>
      </c>
      <c r="Z619" t="str">
        <f>HYPERLINK("Melting_Curves/meltCurve_sp_P07858_CATB_HUMAN_.pdf", "Melting_Curves/meltCurve_sp_P07858_CATB_HUMAN_.pdf")</f>
        <v>Melting_Curves/meltCurve_sp_P07858_CATB_HUMAN_.pdf</v>
      </c>
      <c r="AA619" t="s">
        <v>14823</v>
      </c>
      <c r="AB619" t="s">
        <v>19454</v>
      </c>
    </row>
    <row r="620" spans="1:28" x14ac:dyDescent="0.25">
      <c r="A620" t="s">
        <v>624</v>
      </c>
      <c r="B620">
        <v>0.99904790336628502</v>
      </c>
      <c r="C620">
        <v>0.81225919956028203</v>
      </c>
      <c r="D620">
        <v>1.26196070041742</v>
      </c>
      <c r="E620">
        <v>1.0016403448139199</v>
      </c>
      <c r="F620">
        <v>0.493242242369897</v>
      </c>
      <c r="G620">
        <v>0.16516262685914801</v>
      </c>
      <c r="H620">
        <v>6.8043782179955103E-2</v>
      </c>
      <c r="I620">
        <v>3.9193846575213402E-2</v>
      </c>
      <c r="J620">
        <v>2.7328540700172901E-2</v>
      </c>
      <c r="K620">
        <v>2.38391926582594E-2</v>
      </c>
      <c r="L620">
        <v>2731.09981812653</v>
      </c>
      <c r="M620">
        <v>51.611891018797103</v>
      </c>
      <c r="N620">
        <v>53.043375467471698</v>
      </c>
      <c r="O620">
        <v>52.8368369170392</v>
      </c>
      <c r="P620">
        <v>-0.229981575401495</v>
      </c>
      <c r="Q620">
        <v>5.8241096538214299E-2</v>
      </c>
      <c r="R620">
        <v>0.94570523376312399</v>
      </c>
      <c r="S620" t="s">
        <v>5360</v>
      </c>
      <c r="T620" t="s">
        <v>9478</v>
      </c>
      <c r="U620" t="s">
        <v>9478</v>
      </c>
      <c r="V620" t="s">
        <v>9478</v>
      </c>
      <c r="W620">
        <v>59</v>
      </c>
      <c r="X620" t="s">
        <v>10098</v>
      </c>
      <c r="Y620">
        <v>0.465764867085117</v>
      </c>
      <c r="Z620" t="str">
        <f>HYPERLINK("Melting_Curves/meltCurve_sp_P07900_HS90A_HUMAN_.pdf", "Melting_Curves/meltCurve_sp_P07900_HS90A_HUMAN_.pdf")</f>
        <v>Melting_Curves/meltCurve_sp_P07900_HS90A_HUMAN_.pdf</v>
      </c>
      <c r="AA620" t="s">
        <v>14824</v>
      </c>
      <c r="AB620" t="s">
        <v>19455</v>
      </c>
    </row>
    <row r="621" spans="1:28" x14ac:dyDescent="0.25">
      <c r="A621" t="s">
        <v>625</v>
      </c>
      <c r="B621">
        <v>0.99904790336628502</v>
      </c>
      <c r="C621">
        <v>0.95550236196521199</v>
      </c>
      <c r="D621">
        <v>0.97901683868123301</v>
      </c>
      <c r="E621">
        <v>0.90168022120197</v>
      </c>
      <c r="F621">
        <v>0.77260057242646096</v>
      </c>
      <c r="G621">
        <v>0.48665773183236199</v>
      </c>
      <c r="H621">
        <v>0.22300619323790799</v>
      </c>
      <c r="I621">
        <v>0.122663648125779</v>
      </c>
      <c r="J621">
        <v>7.6281804413530996E-2</v>
      </c>
      <c r="K621">
        <v>6.2611981594078395E-2</v>
      </c>
      <c r="L621">
        <v>996.46680174402695</v>
      </c>
      <c r="M621">
        <v>17.618665973372199</v>
      </c>
      <c r="N621">
        <v>56.682387225573102</v>
      </c>
      <c r="O621">
        <v>55.843931297034601</v>
      </c>
      <c r="P621">
        <v>-7.7376551603771701E-2</v>
      </c>
      <c r="Q621">
        <v>1.9045170337919502E-2</v>
      </c>
      <c r="R621">
        <v>0.99851854310624399</v>
      </c>
      <c r="S621" t="s">
        <v>5361</v>
      </c>
      <c r="T621" t="s">
        <v>9478</v>
      </c>
      <c r="U621" t="s">
        <v>9478</v>
      </c>
      <c r="V621" t="s">
        <v>9478</v>
      </c>
      <c r="W621">
        <v>14</v>
      </c>
      <c r="X621" t="s">
        <v>10099</v>
      </c>
      <c r="Y621">
        <v>0.57470349642007579</v>
      </c>
      <c r="Z621" t="str">
        <f>HYPERLINK("Melting_Curves/meltCurve_sp_P07902_GALT_HUMAN_.pdf", "Melting_Curves/meltCurve_sp_P07902_GALT_HUMAN_.pdf")</f>
        <v>Melting_Curves/meltCurve_sp_P07902_GALT_HUMAN_.pdf</v>
      </c>
      <c r="AA621" t="s">
        <v>14825</v>
      </c>
      <c r="AB621" t="s">
        <v>19456</v>
      </c>
    </row>
    <row r="622" spans="1:28" x14ac:dyDescent="0.25">
      <c r="A622" t="s">
        <v>626</v>
      </c>
      <c r="B622">
        <v>0.99904790336628502</v>
      </c>
      <c r="C622">
        <v>0.98450335703362402</v>
      </c>
      <c r="D622">
        <v>0.91031224450175097</v>
      </c>
      <c r="E622">
        <v>0.66125695985673805</v>
      </c>
      <c r="F622">
        <v>0.46689732902678399</v>
      </c>
      <c r="G622">
        <v>0.31056630636136801</v>
      </c>
      <c r="H622">
        <v>0.26223152282214601</v>
      </c>
      <c r="I622">
        <v>0.31382418719438898</v>
      </c>
      <c r="J622">
        <v>0.38941711677033403</v>
      </c>
      <c r="K622">
        <v>0.37749642853265403</v>
      </c>
      <c r="L622">
        <v>1266.80830702964</v>
      </c>
      <c r="M622">
        <v>25.3896291706846</v>
      </c>
      <c r="N622">
        <v>52.0659503036375</v>
      </c>
      <c r="O622">
        <v>49.588279028189497</v>
      </c>
      <c r="P622">
        <v>-8.6202600578771896E-2</v>
      </c>
      <c r="Q622">
        <v>0.32656212202323898</v>
      </c>
      <c r="R622">
        <v>0.98196150373962299</v>
      </c>
      <c r="S622" t="s">
        <v>5362</v>
      </c>
      <c r="T622" t="s">
        <v>9478</v>
      </c>
      <c r="U622" t="s">
        <v>9478</v>
      </c>
      <c r="V622" t="s">
        <v>9478</v>
      </c>
      <c r="W622">
        <v>2</v>
      </c>
      <c r="X622" t="s">
        <v>10100</v>
      </c>
      <c r="Y622">
        <v>0.55450603307108326</v>
      </c>
      <c r="Z622" t="str">
        <f>HYPERLINK("Melting_Curves/meltCurve_sp_P07919_QCR6_HUMAN_.pdf", "Melting_Curves/meltCurve_sp_P07919_QCR6_HUMAN_.pdf")</f>
        <v>Melting_Curves/meltCurve_sp_P07919_QCR6_HUMAN_.pdf</v>
      </c>
      <c r="AA622" t="s">
        <v>14826</v>
      </c>
      <c r="AB622" t="s">
        <v>19457</v>
      </c>
    </row>
    <row r="623" spans="1:28" x14ac:dyDescent="0.25">
      <c r="A623" t="s">
        <v>627</v>
      </c>
      <c r="B623">
        <v>0.99904790336628502</v>
      </c>
      <c r="C623">
        <v>0.93347041006263198</v>
      </c>
      <c r="D623">
        <v>0.79025377622844895</v>
      </c>
      <c r="E623">
        <v>0.41635198954900998</v>
      </c>
      <c r="F623">
        <v>0.18694271276163801</v>
      </c>
      <c r="G623">
        <v>0.109230599051251</v>
      </c>
      <c r="H623">
        <v>5.4477206794256897E-2</v>
      </c>
      <c r="I623">
        <v>4.2619962904566003E-2</v>
      </c>
      <c r="J623">
        <v>2.9218396547308099E-2</v>
      </c>
      <c r="K623">
        <v>1.94988612349484E-2</v>
      </c>
      <c r="L623">
        <v>967.38325630324198</v>
      </c>
      <c r="M623">
        <v>19.773712457386601</v>
      </c>
      <c r="N623">
        <v>49.077660004621698</v>
      </c>
      <c r="O623">
        <v>48.430573733135603</v>
      </c>
      <c r="P623">
        <v>-9.8986711280763001E-2</v>
      </c>
      <c r="Q623">
        <v>3.0264044095320301E-2</v>
      </c>
      <c r="R623">
        <v>0.99907036844208497</v>
      </c>
      <c r="S623" t="s">
        <v>5363</v>
      </c>
      <c r="T623" t="s">
        <v>9478</v>
      </c>
      <c r="U623" t="s">
        <v>9478</v>
      </c>
      <c r="V623" t="s">
        <v>9478</v>
      </c>
      <c r="W623">
        <v>8</v>
      </c>
      <c r="X623" t="s">
        <v>10101</v>
      </c>
      <c r="Y623">
        <v>0.33259874400005168</v>
      </c>
      <c r="Z623" t="str">
        <f>HYPERLINK("Melting_Curves/meltCurve_sp_P07947_YES_HUMAN_.pdf", "Melting_Curves/meltCurve_sp_P07947_YES_HUMAN_.pdf")</f>
        <v>Melting_Curves/meltCurve_sp_P07947_YES_HUMAN_.pdf</v>
      </c>
      <c r="AA623" t="s">
        <v>14827</v>
      </c>
      <c r="AB623" t="s">
        <v>19458</v>
      </c>
    </row>
    <row r="624" spans="1:28" x14ac:dyDescent="0.25">
      <c r="A624" t="s">
        <v>628</v>
      </c>
      <c r="B624">
        <v>0.99904790336628502</v>
      </c>
      <c r="C624">
        <v>0.87023005392352304</v>
      </c>
      <c r="D624">
        <v>0.78231413622934898</v>
      </c>
      <c r="E624">
        <v>0.55036921747093803</v>
      </c>
      <c r="F624">
        <v>0.28065927833856102</v>
      </c>
      <c r="G624">
        <v>0.120561922247804</v>
      </c>
      <c r="H624">
        <v>7.6090708168253293E-2</v>
      </c>
      <c r="I624">
        <v>5.3273070333626098E-2</v>
      </c>
      <c r="J624">
        <v>3.6534008954463598E-2</v>
      </c>
      <c r="K624">
        <v>4.6718899641240097E-2</v>
      </c>
      <c r="L624">
        <v>752.82948450269998</v>
      </c>
      <c r="M624">
        <v>15.079076049105099</v>
      </c>
      <c r="N624">
        <v>50.032526822636001</v>
      </c>
      <c r="O624">
        <v>49.072086069389201</v>
      </c>
      <c r="P624">
        <v>-7.5608650022315899E-2</v>
      </c>
      <c r="Q624">
        <v>1.5879787140755101E-2</v>
      </c>
      <c r="R624">
        <v>0.99449906427379298</v>
      </c>
      <c r="S624" t="s">
        <v>5364</v>
      </c>
      <c r="T624" t="s">
        <v>9478</v>
      </c>
      <c r="U624" t="s">
        <v>9478</v>
      </c>
      <c r="V624" t="s">
        <v>9478</v>
      </c>
      <c r="W624">
        <v>3</v>
      </c>
      <c r="X624" t="s">
        <v>10102</v>
      </c>
      <c r="Y624">
        <v>0.36477889725152352</v>
      </c>
      <c r="Z624" t="str">
        <f>HYPERLINK("Melting_Curves/meltCurve_sp_P07948_2_LYN_HUMAN_.pdf", "Melting_Curves/meltCurve_sp_P07948_2_LYN_HUMAN_.pdf")</f>
        <v>Melting_Curves/meltCurve_sp_P07948_2_LYN_HUMAN_.pdf</v>
      </c>
      <c r="AA624" t="s">
        <v>14828</v>
      </c>
      <c r="AB624" t="s">
        <v>19459</v>
      </c>
    </row>
    <row r="625" spans="1:28" x14ac:dyDescent="0.25">
      <c r="A625" t="s">
        <v>629</v>
      </c>
      <c r="B625">
        <v>0.99904790336628502</v>
      </c>
      <c r="C625">
        <v>1.0165246968151</v>
      </c>
      <c r="D625">
        <v>1.1510028955049201</v>
      </c>
      <c r="E625">
        <v>0.76883236453244197</v>
      </c>
      <c r="F625">
        <v>0.13067706851706401</v>
      </c>
      <c r="G625">
        <v>8.0173546037824603E-2</v>
      </c>
      <c r="H625">
        <v>3.9598372881317602E-2</v>
      </c>
      <c r="I625">
        <v>2.8398551807455898E-2</v>
      </c>
      <c r="J625">
        <v>2.1596805337183299E-2</v>
      </c>
      <c r="K625">
        <v>1.8335837134860099E-2</v>
      </c>
      <c r="L625">
        <v>3031.3216460346498</v>
      </c>
      <c r="M625">
        <v>59.458162802464301</v>
      </c>
      <c r="N625">
        <v>51.049522416533499</v>
      </c>
      <c r="O625">
        <v>50.924854713467603</v>
      </c>
      <c r="P625">
        <v>-0.28092142565991401</v>
      </c>
      <c r="Q625">
        <v>3.7583671985671002E-2</v>
      </c>
      <c r="R625">
        <v>0.98801679161439804</v>
      </c>
      <c r="S625" t="s">
        <v>5365</v>
      </c>
      <c r="T625" t="s">
        <v>9478</v>
      </c>
      <c r="U625" t="s">
        <v>9478</v>
      </c>
      <c r="V625" t="s">
        <v>9478</v>
      </c>
      <c r="W625">
        <v>29</v>
      </c>
      <c r="X625" t="s">
        <v>10103</v>
      </c>
      <c r="Y625">
        <v>0.39143402534587102</v>
      </c>
      <c r="Z625" t="str">
        <f>HYPERLINK("Melting_Curves/meltCurve_sp_P07954_2_FUMH_HUMAN_.pdf", "Melting_Curves/meltCurve_sp_P07954_2_FUMH_HUMAN_.pdf")</f>
        <v>Melting_Curves/meltCurve_sp_P07954_2_FUMH_HUMAN_.pdf</v>
      </c>
      <c r="AA625" t="s">
        <v>14829</v>
      </c>
      <c r="AB625" t="s">
        <v>19460</v>
      </c>
    </row>
    <row r="626" spans="1:28" x14ac:dyDescent="0.25">
      <c r="A626" t="s">
        <v>630</v>
      </c>
      <c r="B626">
        <v>0.99904790336628502</v>
      </c>
      <c r="C626">
        <v>0.89815816465144704</v>
      </c>
      <c r="D626">
        <v>0.82569382726294205</v>
      </c>
      <c r="E626">
        <v>0.66005086896506504</v>
      </c>
      <c r="F626">
        <v>0.52258447113210504</v>
      </c>
      <c r="G626">
        <v>0.29525363886174999</v>
      </c>
      <c r="H626">
        <v>0.13869913904242401</v>
      </c>
      <c r="I626">
        <v>9.1737199746538794E-2</v>
      </c>
      <c r="J626">
        <v>7.63457899317245E-2</v>
      </c>
      <c r="K626">
        <v>6.84002761681516E-2</v>
      </c>
      <c r="L626">
        <v>617.95090054770196</v>
      </c>
      <c r="M626">
        <v>11.715843126771899</v>
      </c>
      <c r="N626">
        <v>52.744890020928402</v>
      </c>
      <c r="O626">
        <v>51.2785352075026</v>
      </c>
      <c r="P626">
        <v>-5.7133757101350699E-2</v>
      </c>
      <c r="Q626">
        <v>0</v>
      </c>
      <c r="R626">
        <v>0.99551841030770105</v>
      </c>
      <c r="S626" t="s">
        <v>5366</v>
      </c>
      <c r="T626" t="s">
        <v>9478</v>
      </c>
      <c r="U626" t="s">
        <v>9478</v>
      </c>
      <c r="V626" t="s">
        <v>9478</v>
      </c>
      <c r="W626">
        <v>14</v>
      </c>
      <c r="X626" t="s">
        <v>10104</v>
      </c>
      <c r="Y626">
        <v>0.45467116047780842</v>
      </c>
      <c r="Z626" t="str">
        <f>HYPERLINK("Melting_Curves/meltCurve_sp_P07996_TSP1_HUMAN_.pdf", "Melting_Curves/meltCurve_sp_P07996_TSP1_HUMAN_.pdf")</f>
        <v>Melting_Curves/meltCurve_sp_P07996_TSP1_HUMAN_.pdf</v>
      </c>
      <c r="AA626" t="s">
        <v>14830</v>
      </c>
      <c r="AB626" t="s">
        <v>19461</v>
      </c>
    </row>
    <row r="627" spans="1:28" x14ac:dyDescent="0.25">
      <c r="A627" t="s">
        <v>631</v>
      </c>
      <c r="B627">
        <v>0.99904790336628502</v>
      </c>
      <c r="C627">
        <v>0.94333494931433504</v>
      </c>
      <c r="D627">
        <v>0.78038729709664401</v>
      </c>
      <c r="E627">
        <v>0.33714562677589599</v>
      </c>
      <c r="F627">
        <v>0.14657099053964101</v>
      </c>
      <c r="G627">
        <v>7.7801709296828406E-2</v>
      </c>
      <c r="H627">
        <v>4.6843888438985397E-2</v>
      </c>
      <c r="I627">
        <v>3.4776238060441597E-2</v>
      </c>
      <c r="J627">
        <v>2.8735766751654599E-2</v>
      </c>
      <c r="K627">
        <v>2.5876655212129201E-2</v>
      </c>
      <c r="L627">
        <v>1114.8469488957101</v>
      </c>
      <c r="M627">
        <v>23.0502729363761</v>
      </c>
      <c r="N627">
        <v>48.5121103651705</v>
      </c>
      <c r="O627">
        <v>48.006287212087699</v>
      </c>
      <c r="P627">
        <v>-0.11601164870344199</v>
      </c>
      <c r="Q627">
        <v>3.3558810848757503E-2</v>
      </c>
      <c r="R627">
        <v>0.99960804644596302</v>
      </c>
      <c r="S627" t="s">
        <v>5367</v>
      </c>
      <c r="T627" t="s">
        <v>9478</v>
      </c>
      <c r="U627" t="s">
        <v>9478</v>
      </c>
      <c r="V627" t="s">
        <v>9478</v>
      </c>
      <c r="W627">
        <v>36</v>
      </c>
      <c r="X627" t="s">
        <v>10105</v>
      </c>
      <c r="Y627">
        <v>0.31319354497265289</v>
      </c>
      <c r="Z627" t="str">
        <f>HYPERLINK("Melting_Curves/meltCurve_sp_P08107_HSP71_HUMAN_.pdf", "Melting_Curves/meltCurve_sp_P08107_HSP71_HUMAN_.pdf")</f>
        <v>Melting_Curves/meltCurve_sp_P08107_HSP71_HUMAN_.pdf</v>
      </c>
      <c r="AA627" t="s">
        <v>14831</v>
      </c>
      <c r="AB627" t="s">
        <v>19462</v>
      </c>
    </row>
    <row r="628" spans="1:28" x14ac:dyDescent="0.25">
      <c r="A628" t="s">
        <v>632</v>
      </c>
      <c r="B628">
        <v>0.99904790336628502</v>
      </c>
      <c r="C628">
        <v>0.96683825851098704</v>
      </c>
      <c r="D628">
        <v>0.94753981744513605</v>
      </c>
      <c r="E628">
        <v>0.94541227431689001</v>
      </c>
      <c r="F628">
        <v>0.88603724213844803</v>
      </c>
      <c r="G628">
        <v>0.72232712249346398</v>
      </c>
      <c r="H628">
        <v>0.32203813464112602</v>
      </c>
      <c r="I628">
        <v>0.134872142137233</v>
      </c>
      <c r="J628">
        <v>9.5292333714489003E-2</v>
      </c>
      <c r="K628">
        <v>8.8387330473754994E-2</v>
      </c>
      <c r="L628">
        <v>1386.95292807698</v>
      </c>
      <c r="M628">
        <v>23.608532885876301</v>
      </c>
      <c r="N628">
        <v>58.983677087044903</v>
      </c>
      <c r="O628">
        <v>58.331313059665497</v>
      </c>
      <c r="P628">
        <v>-9.6629201583231503E-2</v>
      </c>
      <c r="Q628">
        <v>4.50210583726438E-2</v>
      </c>
      <c r="R628">
        <v>0.99309627713761695</v>
      </c>
      <c r="S628" t="s">
        <v>5368</v>
      </c>
      <c r="T628" t="s">
        <v>9478</v>
      </c>
      <c r="U628" t="s">
        <v>9478</v>
      </c>
      <c r="V628" t="s">
        <v>9478</v>
      </c>
      <c r="W628">
        <v>2</v>
      </c>
      <c r="X628" t="s">
        <v>10106</v>
      </c>
      <c r="Y628">
        <v>0.65034370475717873</v>
      </c>
      <c r="Z628" t="str">
        <f>HYPERLINK("Melting_Curves/meltCurve_sp_P08123_CO1A2_HUMAN_.pdf", "Melting_Curves/meltCurve_sp_P08123_CO1A2_HUMAN_.pdf")</f>
        <v>Melting_Curves/meltCurve_sp_P08123_CO1A2_HUMAN_.pdf</v>
      </c>
      <c r="AA628" t="s">
        <v>14832</v>
      </c>
      <c r="AB628" t="s">
        <v>19463</v>
      </c>
    </row>
    <row r="629" spans="1:28" x14ac:dyDescent="0.25">
      <c r="A629" t="s">
        <v>633</v>
      </c>
      <c r="B629">
        <v>0.99904790336628502</v>
      </c>
      <c r="C629">
        <v>1.04904828752497</v>
      </c>
      <c r="D629">
        <v>0.97645458511681704</v>
      </c>
      <c r="E629">
        <v>0.67432824538677805</v>
      </c>
      <c r="F629">
        <v>0.31000917901781699</v>
      </c>
      <c r="G629">
        <v>0.14071520870399801</v>
      </c>
      <c r="H629">
        <v>7.1559776263058594E-2</v>
      </c>
      <c r="I629">
        <v>5.2554596680838402E-2</v>
      </c>
      <c r="J629">
        <v>4.5963831065176201E-2</v>
      </c>
      <c r="K629">
        <v>3.8123086945151201E-2</v>
      </c>
      <c r="L629">
        <v>1408.5093104477301</v>
      </c>
      <c r="M629">
        <v>27.511210495594799</v>
      </c>
      <c r="N629">
        <v>51.409716654625399</v>
      </c>
      <c r="O629">
        <v>50.929432381165</v>
      </c>
      <c r="P629">
        <v>-0.12780232815473699</v>
      </c>
      <c r="Q629">
        <v>5.3645401676813503E-2</v>
      </c>
      <c r="R629">
        <v>0.99725054366954502</v>
      </c>
      <c r="S629" t="s">
        <v>5369</v>
      </c>
      <c r="T629" t="s">
        <v>9478</v>
      </c>
      <c r="U629" t="s">
        <v>9478</v>
      </c>
      <c r="V629" t="s">
        <v>9478</v>
      </c>
      <c r="W629">
        <v>18</v>
      </c>
      <c r="X629" t="s">
        <v>10107</v>
      </c>
      <c r="Y629">
        <v>0.4139705227897037</v>
      </c>
      <c r="Z629" t="str">
        <f>HYPERLINK("Melting_Curves/meltCurve_sp_P08133_ANXA6_HUMAN_.pdf", "Melting_Curves/meltCurve_sp_P08133_ANXA6_HUMAN_.pdf")</f>
        <v>Melting_Curves/meltCurve_sp_P08133_ANXA6_HUMAN_.pdf</v>
      </c>
      <c r="AA629" t="s">
        <v>14833</v>
      </c>
      <c r="AB629" t="s">
        <v>19464</v>
      </c>
    </row>
    <row r="630" spans="1:28" x14ac:dyDescent="0.25">
      <c r="A630" t="s">
        <v>634</v>
      </c>
      <c r="B630">
        <v>0.99904790336628502</v>
      </c>
      <c r="C630">
        <v>0.90869674902326403</v>
      </c>
      <c r="D630">
        <v>0.81741247106832604</v>
      </c>
      <c r="E630">
        <v>0.84353046923419495</v>
      </c>
      <c r="F630">
        <v>0.87281447760187802</v>
      </c>
      <c r="G630">
        <v>0.61774986781528796</v>
      </c>
      <c r="H630">
        <v>0.319366760696774</v>
      </c>
      <c r="I630">
        <v>0.21600731418760399</v>
      </c>
      <c r="J630">
        <v>0.154120226787408</v>
      </c>
      <c r="K630">
        <v>9.90869978334602E-2</v>
      </c>
      <c r="L630">
        <v>777.51545360784303</v>
      </c>
      <c r="M630">
        <v>13.323325956408</v>
      </c>
      <c r="N630">
        <v>58.357459469031497</v>
      </c>
      <c r="O630">
        <v>57.089808339816003</v>
      </c>
      <c r="P630">
        <v>-5.83531023262941E-2</v>
      </c>
      <c r="Q630">
        <v>0</v>
      </c>
      <c r="R630">
        <v>0.95998263430408703</v>
      </c>
      <c r="S630" t="s">
        <v>5370</v>
      </c>
      <c r="T630" t="s">
        <v>9478</v>
      </c>
      <c r="U630" t="s">
        <v>9478</v>
      </c>
      <c r="V630" t="s">
        <v>9478</v>
      </c>
      <c r="W630">
        <v>5</v>
      </c>
      <c r="X630" t="s">
        <v>10108</v>
      </c>
      <c r="Y630">
        <v>0.62398487377064027</v>
      </c>
      <c r="Z630" t="str">
        <f>HYPERLINK("Melting_Curves/meltCurve_sp_P08185_CBG_HUMAN_.pdf", "Melting_Curves/meltCurve_sp_P08185_CBG_HUMAN_.pdf")</f>
        <v>Melting_Curves/meltCurve_sp_P08185_CBG_HUMAN_.pdf</v>
      </c>
      <c r="AA630" t="s">
        <v>14834</v>
      </c>
      <c r="AB630" t="s">
        <v>19465</v>
      </c>
    </row>
    <row r="631" spans="1:28" x14ac:dyDescent="0.25">
      <c r="A631" t="s">
        <v>635</v>
      </c>
      <c r="B631">
        <v>0.99904790336628502</v>
      </c>
      <c r="C631">
        <v>1.19240741599413</v>
      </c>
      <c r="D631">
        <v>1.1325791714478901</v>
      </c>
      <c r="E631">
        <v>1.2408649544583801</v>
      </c>
      <c r="F631">
        <v>0.86810333340518497</v>
      </c>
      <c r="G631">
        <v>1.05063910150033</v>
      </c>
      <c r="H631">
        <v>0.53364052466732104</v>
      </c>
      <c r="I631">
        <v>0.37935766579590102</v>
      </c>
      <c r="J631">
        <v>0.27293816493036599</v>
      </c>
      <c r="K631">
        <v>0.167205432183271</v>
      </c>
      <c r="L631">
        <v>2705.00044388468</v>
      </c>
      <c r="M631">
        <v>44.565589685693098</v>
      </c>
      <c r="N631">
        <v>61.584162593459702</v>
      </c>
      <c r="O631">
        <v>60.575228330852198</v>
      </c>
      <c r="P631">
        <v>-0.14036030381766099</v>
      </c>
      <c r="Q631">
        <v>0.23686897607641799</v>
      </c>
      <c r="R631">
        <v>0.89870771834123797</v>
      </c>
      <c r="S631" t="s">
        <v>5371</v>
      </c>
      <c r="T631" t="s">
        <v>9478</v>
      </c>
      <c r="U631" t="s">
        <v>9478</v>
      </c>
      <c r="V631" t="s">
        <v>9478</v>
      </c>
      <c r="W631">
        <v>17</v>
      </c>
      <c r="X631" t="s">
        <v>10109</v>
      </c>
      <c r="Y631">
        <v>0.76580016140642648</v>
      </c>
      <c r="Z631" t="str">
        <f>HYPERLINK("Melting_Curves/meltCurve_sp_P08236_2_BGLR_HUMAN_.pdf", "Melting_Curves/meltCurve_sp_P08236_2_BGLR_HUMAN_.pdf")</f>
        <v>Melting_Curves/meltCurve_sp_P08236_2_BGLR_HUMAN_.pdf</v>
      </c>
      <c r="AA631" t="s">
        <v>14835</v>
      </c>
      <c r="AB631" t="s">
        <v>19466</v>
      </c>
    </row>
    <row r="632" spans="1:28" x14ac:dyDescent="0.25">
      <c r="A632" t="s">
        <v>636</v>
      </c>
      <c r="B632">
        <v>0.99904790336628502</v>
      </c>
      <c r="C632">
        <v>0.98527016515601396</v>
      </c>
      <c r="D632">
        <v>1.0765446078938701</v>
      </c>
      <c r="E632">
        <v>1.0189014304434001</v>
      </c>
      <c r="F632">
        <v>0.54209498904227804</v>
      </c>
      <c r="G632">
        <v>0.179951328710829</v>
      </c>
      <c r="H632">
        <v>8.1539347008096799E-2</v>
      </c>
      <c r="I632">
        <v>5.0382920510738803E-2</v>
      </c>
      <c r="J632">
        <v>4.0696762182997601E-2</v>
      </c>
      <c r="K632">
        <v>3.2031453619331997E-2</v>
      </c>
      <c r="L632">
        <v>2365.9507251806799</v>
      </c>
      <c r="M632">
        <v>44.477388998660501</v>
      </c>
      <c r="N632">
        <v>53.360280845441402</v>
      </c>
      <c r="O632">
        <v>53.087262637973097</v>
      </c>
      <c r="P632">
        <v>-0.19593665522347101</v>
      </c>
      <c r="Q632">
        <v>6.4538023003384196E-2</v>
      </c>
      <c r="R632">
        <v>0.99054957715896297</v>
      </c>
      <c r="S632" t="s">
        <v>5372</v>
      </c>
      <c r="T632" t="s">
        <v>9478</v>
      </c>
      <c r="U632" t="s">
        <v>9478</v>
      </c>
      <c r="V632" t="s">
        <v>9478</v>
      </c>
      <c r="W632">
        <v>59</v>
      </c>
      <c r="X632" t="s">
        <v>10110</v>
      </c>
      <c r="Y632">
        <v>0.47874506167000569</v>
      </c>
      <c r="Z632" t="str">
        <f>HYPERLINK("Melting_Curves/meltCurve_sp_P08238_HS90B_HUMAN_.pdf", "Melting_Curves/meltCurve_sp_P08238_HS90B_HUMAN_.pdf")</f>
        <v>Melting_Curves/meltCurve_sp_P08238_HS90B_HUMAN_.pdf</v>
      </c>
      <c r="AA632" t="s">
        <v>14836</v>
      </c>
      <c r="AB632" t="s">
        <v>19467</v>
      </c>
    </row>
    <row r="633" spans="1:28" x14ac:dyDescent="0.25">
      <c r="A633" t="s">
        <v>637</v>
      </c>
      <c r="B633">
        <v>0.99904790336628502</v>
      </c>
      <c r="C633">
        <v>0.93226192802895502</v>
      </c>
      <c r="D633">
        <v>0.76493010125306704</v>
      </c>
      <c r="E633">
        <v>0.56347853930509395</v>
      </c>
      <c r="F633">
        <v>0.38782523438836403</v>
      </c>
      <c r="G633">
        <v>0.27446448180318</v>
      </c>
      <c r="H633">
        <v>0.23203861779583099</v>
      </c>
      <c r="I633">
        <v>0.25110608035321802</v>
      </c>
      <c r="J633">
        <v>0.27302396515189498</v>
      </c>
      <c r="K633">
        <v>0.29634519681567101</v>
      </c>
      <c r="L633">
        <v>846.92727309091299</v>
      </c>
      <c r="M633">
        <v>17.453942517275301</v>
      </c>
      <c r="N633">
        <v>50.527946442621896</v>
      </c>
      <c r="O633">
        <v>47.900025529800502</v>
      </c>
      <c r="P633">
        <v>-6.8343019189865198E-2</v>
      </c>
      <c r="Q633">
        <v>0.24980846256865999</v>
      </c>
      <c r="R633">
        <v>0.99178858909397605</v>
      </c>
      <c r="S633" t="s">
        <v>5373</v>
      </c>
      <c r="T633" t="s">
        <v>9478</v>
      </c>
      <c r="U633" t="s">
        <v>9478</v>
      </c>
      <c r="V633" t="s">
        <v>9478</v>
      </c>
      <c r="W633">
        <v>20</v>
      </c>
      <c r="X633" t="s">
        <v>10111</v>
      </c>
      <c r="Y633">
        <v>0.47692470662043102</v>
      </c>
      <c r="Z633" t="str">
        <f>HYPERLINK("Melting_Curves/meltCurve_sp_P08240_2_SRPR_HUMAN_.pdf", "Melting_Curves/meltCurve_sp_P08240_2_SRPR_HUMAN_.pdf")</f>
        <v>Melting_Curves/meltCurve_sp_P08240_2_SRPR_HUMAN_.pdf</v>
      </c>
      <c r="AA633" t="s">
        <v>14837</v>
      </c>
      <c r="AB633" t="s">
        <v>19468</v>
      </c>
    </row>
    <row r="634" spans="1:28" x14ac:dyDescent="0.25">
      <c r="A634" t="s">
        <v>638</v>
      </c>
      <c r="B634">
        <v>0.99904790336628502</v>
      </c>
      <c r="C634">
        <v>0.94930106702624395</v>
      </c>
      <c r="D634">
        <v>1.10754977438647</v>
      </c>
      <c r="E634">
        <v>1.0772542348890399</v>
      </c>
      <c r="F634">
        <v>0.77987708083552798</v>
      </c>
      <c r="G634">
        <v>0.243717590993725</v>
      </c>
      <c r="H634">
        <v>6.3481716024522905E-2</v>
      </c>
      <c r="I634">
        <v>2.62429173811367E-2</v>
      </c>
      <c r="J634">
        <v>1.7015441679981799E-2</v>
      </c>
      <c r="K634">
        <v>1.5347881287916299E-2</v>
      </c>
      <c r="L634">
        <v>2032.73257861611</v>
      </c>
      <c r="M634">
        <v>36.950251966793601</v>
      </c>
      <c r="N634">
        <v>55.0841973805585</v>
      </c>
      <c r="O634">
        <v>54.852296344616697</v>
      </c>
      <c r="P634">
        <v>-0.164465569617987</v>
      </c>
      <c r="Q634">
        <v>2.34125018323184E-2</v>
      </c>
      <c r="R634">
        <v>0.98820674694418797</v>
      </c>
      <c r="S634" t="s">
        <v>5374</v>
      </c>
      <c r="T634" t="s">
        <v>9478</v>
      </c>
      <c r="U634" t="s">
        <v>9478</v>
      </c>
      <c r="V634" t="s">
        <v>9478</v>
      </c>
      <c r="W634">
        <v>1</v>
      </c>
      <c r="X634" t="s">
        <v>10112</v>
      </c>
      <c r="Y634">
        <v>0.5164480998896821</v>
      </c>
      <c r="Z634" t="str">
        <f>HYPERLINK("Melting_Curves/meltCurve_sp_P08294_SODE_HUMAN_.pdf", "Melting_Curves/meltCurve_sp_P08294_SODE_HUMAN_.pdf")</f>
        <v>Melting_Curves/meltCurve_sp_P08294_SODE_HUMAN_.pdf</v>
      </c>
      <c r="AA634" t="s">
        <v>14838</v>
      </c>
      <c r="AB634" t="s">
        <v>19469</v>
      </c>
    </row>
    <row r="635" spans="1:28" x14ac:dyDescent="0.25">
      <c r="A635" t="s">
        <v>639</v>
      </c>
      <c r="B635">
        <v>0.99904790336628502</v>
      </c>
      <c r="C635">
        <v>0.87168053493049602</v>
      </c>
      <c r="D635">
        <v>0.93030667058963301</v>
      </c>
      <c r="E635">
        <v>0.88593492938642804</v>
      </c>
      <c r="F635">
        <v>0.90637257629240697</v>
      </c>
      <c r="G635">
        <v>0.832623192389082</v>
      </c>
      <c r="H635">
        <v>0.69967510329781402</v>
      </c>
      <c r="I635">
        <v>0.51985946790327997</v>
      </c>
      <c r="J635">
        <v>0.27491083858688398</v>
      </c>
      <c r="K635">
        <v>7.9056501310169197E-2</v>
      </c>
      <c r="L635">
        <v>1125.71408238651</v>
      </c>
      <c r="M635">
        <v>17.737609335422398</v>
      </c>
      <c r="N635">
        <v>63.4648167208099</v>
      </c>
      <c r="O635">
        <v>62.674630759019799</v>
      </c>
      <c r="P635">
        <v>-7.0756440771532203E-2</v>
      </c>
      <c r="Q635">
        <v>0</v>
      </c>
      <c r="R635">
        <v>0.94277634903285301</v>
      </c>
      <c r="S635" t="s">
        <v>5375</v>
      </c>
      <c r="T635" t="s">
        <v>9478</v>
      </c>
      <c r="U635" t="s">
        <v>9478</v>
      </c>
      <c r="V635" t="s">
        <v>9478</v>
      </c>
      <c r="W635">
        <v>29</v>
      </c>
      <c r="X635" t="s">
        <v>10113</v>
      </c>
      <c r="Y635">
        <v>0.77586144534850932</v>
      </c>
      <c r="Z635" t="str">
        <f>HYPERLINK("Melting_Curves/meltCurve_sp_P08319_ADH4_HUMAN_.pdf", "Melting_Curves/meltCurve_sp_P08319_ADH4_HUMAN_.pdf")</f>
        <v>Melting_Curves/meltCurve_sp_P08319_ADH4_HUMAN_.pdf</v>
      </c>
      <c r="AA635" t="s">
        <v>14839</v>
      </c>
      <c r="AB635" t="s">
        <v>19470</v>
      </c>
    </row>
    <row r="636" spans="1:28" x14ac:dyDescent="0.25">
      <c r="A636" t="s">
        <v>640</v>
      </c>
      <c r="B636">
        <v>0.99904790336628502</v>
      </c>
      <c r="C636">
        <v>0.96950447173294596</v>
      </c>
      <c r="D636">
        <v>0.93113293038507305</v>
      </c>
      <c r="E636">
        <v>0.931981316482831</v>
      </c>
      <c r="F636">
        <v>0.89781532816554299</v>
      </c>
      <c r="G636">
        <v>0.77800356669226101</v>
      </c>
      <c r="H636">
        <v>0.60363813574135805</v>
      </c>
      <c r="I636">
        <v>0.54544859373617904</v>
      </c>
      <c r="J636">
        <v>0.51539785546617201</v>
      </c>
      <c r="K636">
        <v>0.41050809749033002</v>
      </c>
      <c r="L636">
        <v>612.07402622249401</v>
      </c>
      <c r="M636">
        <v>9.9836234902534802</v>
      </c>
      <c r="N636">
        <v>66.120129918507502</v>
      </c>
      <c r="O636">
        <v>59.000284423701402</v>
      </c>
      <c r="P636">
        <v>-3.1394616844547002E-2</v>
      </c>
      <c r="Q636">
        <v>0.25823116627630899</v>
      </c>
      <c r="R636">
        <v>0.98640817326234398</v>
      </c>
      <c r="S636" t="s">
        <v>5376</v>
      </c>
      <c r="T636" t="s">
        <v>9478</v>
      </c>
      <c r="U636" t="s">
        <v>9478</v>
      </c>
      <c r="V636" t="s">
        <v>9478</v>
      </c>
      <c r="W636">
        <v>15</v>
      </c>
      <c r="X636" t="s">
        <v>10114</v>
      </c>
      <c r="Y636">
        <v>0.77400497852584593</v>
      </c>
      <c r="Z636" t="str">
        <f>HYPERLINK("Melting_Curves/meltCurve_sp_P08397_2_HEM3_HUMAN_.pdf", "Melting_Curves/meltCurve_sp_P08397_2_HEM3_HUMAN_.pdf")</f>
        <v>Melting_Curves/meltCurve_sp_P08397_2_HEM3_HUMAN_.pdf</v>
      </c>
      <c r="AA636" t="s">
        <v>14840</v>
      </c>
      <c r="AB636" t="s">
        <v>19471</v>
      </c>
    </row>
    <row r="637" spans="1:28" x14ac:dyDescent="0.25">
      <c r="A637" t="s">
        <v>641</v>
      </c>
      <c r="B637">
        <v>0.99904790336628502</v>
      </c>
      <c r="C637">
        <v>0.83212887605625796</v>
      </c>
      <c r="D637">
        <v>0.79656469544098896</v>
      </c>
      <c r="E637">
        <v>0.82944930711281395</v>
      </c>
      <c r="F637">
        <v>0.81786200244195895</v>
      </c>
      <c r="G637">
        <v>0.742003172639213</v>
      </c>
      <c r="H637">
        <v>0.62127040562260705</v>
      </c>
      <c r="I637">
        <v>0.61714872966719803</v>
      </c>
      <c r="J637">
        <v>0.52205516234901705</v>
      </c>
      <c r="K637">
        <v>0.48369030356290899</v>
      </c>
      <c r="L637">
        <v>252.11909874267101</v>
      </c>
      <c r="M637">
        <v>3.5727803882191398</v>
      </c>
      <c r="O637">
        <v>55.744885634962202</v>
      </c>
      <c r="P637">
        <v>-1.6316791740614001E-2</v>
      </c>
      <c r="Q637">
        <v>0</v>
      </c>
      <c r="R637">
        <v>0.90604956615198695</v>
      </c>
      <c r="S637" t="s">
        <v>5377</v>
      </c>
      <c r="T637" t="s">
        <v>9478</v>
      </c>
      <c r="U637" t="s">
        <v>9478</v>
      </c>
      <c r="V637" t="s">
        <v>9478</v>
      </c>
      <c r="W637">
        <v>5</v>
      </c>
      <c r="X637" t="s">
        <v>10115</v>
      </c>
      <c r="Y637">
        <v>0.73049223564297749</v>
      </c>
      <c r="Z637" t="str">
        <f>HYPERLINK("Melting_Curves/meltCurve_sp_P08519_APOA_HUMAN_.pdf", "Melting_Curves/meltCurve_sp_P08519_APOA_HUMAN_.pdf")</f>
        <v>Melting_Curves/meltCurve_sp_P08519_APOA_HUMAN_.pdf</v>
      </c>
      <c r="AA637" t="s">
        <v>14841</v>
      </c>
      <c r="AB637" t="s">
        <v>19472</v>
      </c>
    </row>
    <row r="638" spans="1:28" x14ac:dyDescent="0.25">
      <c r="A638" t="s">
        <v>642</v>
      </c>
      <c r="B638">
        <v>0.99904790336628502</v>
      </c>
      <c r="C638">
        <v>0.72849031849905999</v>
      </c>
      <c r="D638">
        <v>0.39568423892406701</v>
      </c>
      <c r="E638">
        <v>0.22222226173307699</v>
      </c>
      <c r="F638">
        <v>0.128093448252353</v>
      </c>
      <c r="G638">
        <v>7.4490176776205702E-2</v>
      </c>
      <c r="H638">
        <v>5.0181820680731702E-2</v>
      </c>
      <c r="I638">
        <v>3.7011454668084601E-2</v>
      </c>
      <c r="J638">
        <v>2.0976296203067801E-2</v>
      </c>
      <c r="K638">
        <v>1.6678479712465999E-2</v>
      </c>
      <c r="L638">
        <v>850.717083471092</v>
      </c>
      <c r="M638">
        <v>18.838640674292598</v>
      </c>
      <c r="N638">
        <v>45.3716976992214</v>
      </c>
      <c r="O638">
        <v>44.658480663135002</v>
      </c>
      <c r="P638">
        <v>-0.100988364451709</v>
      </c>
      <c r="Q638">
        <v>4.2436095079433002E-2</v>
      </c>
      <c r="R638">
        <v>0.98799246626884496</v>
      </c>
      <c r="S638" t="s">
        <v>5378</v>
      </c>
      <c r="T638" t="s">
        <v>9478</v>
      </c>
      <c r="U638" t="s">
        <v>9478</v>
      </c>
      <c r="V638" t="s">
        <v>9478</v>
      </c>
      <c r="W638">
        <v>16</v>
      </c>
      <c r="X638" t="s">
        <v>10116</v>
      </c>
      <c r="Y638">
        <v>0.22537246446302819</v>
      </c>
      <c r="Z638" t="str">
        <f>HYPERLINK("Melting_Curves/meltCurve_sp_P08559_3_ODPA_HUMAN_.pdf", "Melting_Curves/meltCurve_sp_P08559_3_ODPA_HUMAN_.pdf")</f>
        <v>Melting_Curves/meltCurve_sp_P08559_3_ODPA_HUMAN_.pdf</v>
      </c>
      <c r="AA638" t="s">
        <v>14842</v>
      </c>
      <c r="AB638" t="s">
        <v>19473</v>
      </c>
    </row>
    <row r="639" spans="1:28" x14ac:dyDescent="0.25">
      <c r="A639" t="s">
        <v>643</v>
      </c>
      <c r="B639">
        <v>0.99904790336628502</v>
      </c>
      <c r="C639">
        <v>0.80041650443288903</v>
      </c>
      <c r="D639">
        <v>0.83771497731311795</v>
      </c>
      <c r="E639">
        <v>0.85603115796813201</v>
      </c>
      <c r="F639">
        <v>0.74107171267452798</v>
      </c>
      <c r="G639">
        <v>0.45799482983788298</v>
      </c>
      <c r="H639">
        <v>9.5998618548586295E-2</v>
      </c>
      <c r="I639">
        <v>7.8144362084778096E-2</v>
      </c>
      <c r="J639">
        <v>7.1636562604074902E-2</v>
      </c>
      <c r="K639">
        <v>9.0803488052692505E-2</v>
      </c>
      <c r="L639">
        <v>911.14994831591503</v>
      </c>
      <c r="M639">
        <v>16.362693683606899</v>
      </c>
      <c r="N639">
        <v>55.6845958296907</v>
      </c>
      <c r="O639">
        <v>54.872804640181997</v>
      </c>
      <c r="P639">
        <v>-7.4553638062942101E-2</v>
      </c>
      <c r="Q639">
        <v>0</v>
      </c>
      <c r="R639">
        <v>0.94549058879343095</v>
      </c>
      <c r="S639" t="s">
        <v>5379</v>
      </c>
      <c r="T639" t="s">
        <v>9478</v>
      </c>
      <c r="U639" t="s">
        <v>9478</v>
      </c>
      <c r="V639" t="s">
        <v>9478</v>
      </c>
      <c r="W639">
        <v>2</v>
      </c>
      <c r="X639" t="s">
        <v>10117</v>
      </c>
      <c r="Y639">
        <v>0.53956393544152226</v>
      </c>
      <c r="Z639" t="str">
        <f>HYPERLINK("Melting_Curves/meltCurve_sp_P08567_PLEK_HUMAN_.pdf", "Melting_Curves/meltCurve_sp_P08567_PLEK_HUMAN_.pdf")</f>
        <v>Melting_Curves/meltCurve_sp_P08567_PLEK_HUMAN_.pdf</v>
      </c>
      <c r="AA639" t="s">
        <v>14843</v>
      </c>
      <c r="AB639" t="s">
        <v>19474</v>
      </c>
    </row>
    <row r="640" spans="1:28" x14ac:dyDescent="0.25">
      <c r="A640" t="s">
        <v>644</v>
      </c>
      <c r="B640">
        <v>0.99904790336628502</v>
      </c>
      <c r="C640">
        <v>1.0368216854685399</v>
      </c>
      <c r="D640">
        <v>0.93725213733912704</v>
      </c>
      <c r="E640">
        <v>0.931643581309889</v>
      </c>
      <c r="F640">
        <v>1.0530388211706001</v>
      </c>
      <c r="G640">
        <v>0.53115109544739603</v>
      </c>
      <c r="H640">
        <v>0.146000821194507</v>
      </c>
      <c r="I640">
        <v>0.101126832708265</v>
      </c>
      <c r="J640">
        <v>7.6500250112055496E-2</v>
      </c>
      <c r="K640">
        <v>5.4902538514317201E-2</v>
      </c>
      <c r="L640">
        <v>3461.29825403121</v>
      </c>
      <c r="M640">
        <v>60.7608153072579</v>
      </c>
      <c r="N640">
        <v>57.151687917587701</v>
      </c>
      <c r="O640">
        <v>56.904352260310198</v>
      </c>
      <c r="P640">
        <v>-0.24302707988002101</v>
      </c>
      <c r="Q640">
        <v>8.9591337372208896E-2</v>
      </c>
      <c r="R640">
        <v>0.99059875906609896</v>
      </c>
      <c r="S640" t="s">
        <v>5380</v>
      </c>
      <c r="T640" t="s">
        <v>9478</v>
      </c>
      <c r="U640" t="s">
        <v>9478</v>
      </c>
      <c r="V640" t="s">
        <v>9478</v>
      </c>
      <c r="W640">
        <v>3</v>
      </c>
      <c r="X640" t="s">
        <v>10118</v>
      </c>
      <c r="Y640">
        <v>0.60600237769346665</v>
      </c>
      <c r="Z640" t="str">
        <f>HYPERLINK("Melting_Curves/meltCurve_sp_P08571_CD14_HUMAN_.pdf", "Melting_Curves/meltCurve_sp_P08571_CD14_HUMAN_.pdf")</f>
        <v>Melting_Curves/meltCurve_sp_P08571_CD14_HUMAN_.pdf</v>
      </c>
      <c r="AA640" t="s">
        <v>14844</v>
      </c>
      <c r="AB640" t="s">
        <v>19475</v>
      </c>
    </row>
    <row r="641" spans="1:28" x14ac:dyDescent="0.25">
      <c r="A641" t="s">
        <v>645</v>
      </c>
      <c r="B641">
        <v>0.99904790336628502</v>
      </c>
      <c r="C641">
        <v>0.93824030963509197</v>
      </c>
      <c r="D641">
        <v>0.98653320273190903</v>
      </c>
      <c r="E641">
        <v>0.98129512120935902</v>
      </c>
      <c r="F641">
        <v>0.91695612498868195</v>
      </c>
      <c r="G641">
        <v>0.60435659510860396</v>
      </c>
      <c r="H641">
        <v>0.49545622556295998</v>
      </c>
      <c r="I641">
        <v>0.43221994210957598</v>
      </c>
      <c r="J641">
        <v>0.525596133257904</v>
      </c>
      <c r="K641">
        <v>0.39539619387472702</v>
      </c>
      <c r="L641">
        <v>1917.1250059988199</v>
      </c>
      <c r="M641">
        <v>34.5383045229676</v>
      </c>
      <c r="N641">
        <v>59.600924140150902</v>
      </c>
      <c r="O641">
        <v>55.322119733077002</v>
      </c>
      <c r="P641">
        <v>-8.5317981275717394E-2</v>
      </c>
      <c r="Q641">
        <v>0.45336586730449202</v>
      </c>
      <c r="R641">
        <v>0.97707195753659104</v>
      </c>
      <c r="S641" t="s">
        <v>5381</v>
      </c>
      <c r="T641" t="s">
        <v>9478</v>
      </c>
      <c r="U641" t="s">
        <v>9478</v>
      </c>
      <c r="V641" t="s">
        <v>9478</v>
      </c>
      <c r="W641">
        <v>1</v>
      </c>
      <c r="X641" t="s">
        <v>10119</v>
      </c>
      <c r="Y641">
        <v>0.73870796119423965</v>
      </c>
      <c r="Z641" t="str">
        <f>HYPERLINK("Melting_Curves/meltCurve_sp_P08572_CO4A2_HUMAN_.pdf", "Melting_Curves/meltCurve_sp_P08572_CO4A2_HUMAN_.pdf")</f>
        <v>Melting_Curves/meltCurve_sp_P08572_CO4A2_HUMAN_.pdf</v>
      </c>
      <c r="AA641" t="s">
        <v>14845</v>
      </c>
      <c r="AB641" t="s">
        <v>19476</v>
      </c>
    </row>
    <row r="642" spans="1:28" x14ac:dyDescent="0.25">
      <c r="A642" t="s">
        <v>646</v>
      </c>
      <c r="B642">
        <v>0.99904790336628502</v>
      </c>
      <c r="C642">
        <v>1.0248357070790099</v>
      </c>
      <c r="D642">
        <v>1.0800437598674599</v>
      </c>
      <c r="E642">
        <v>1.0637665572305699</v>
      </c>
      <c r="F642">
        <v>1.1216405036125501</v>
      </c>
      <c r="G642">
        <v>0.73715312933821098</v>
      </c>
      <c r="H642">
        <v>0.45386875581814801</v>
      </c>
      <c r="I642">
        <v>0.40633436782690402</v>
      </c>
      <c r="J642">
        <v>0.42031482899017403</v>
      </c>
      <c r="K642">
        <v>0.42833617186918099</v>
      </c>
      <c r="L642">
        <v>7687.7172757744302</v>
      </c>
      <c r="M642">
        <v>134.70709702177999</v>
      </c>
      <c r="N642">
        <v>57.8979786774809</v>
      </c>
      <c r="O642">
        <v>57.057300744833697</v>
      </c>
      <c r="P642">
        <v>-0.33809099598992398</v>
      </c>
      <c r="Q642">
        <v>0.42718506930223099</v>
      </c>
      <c r="R642">
        <v>0.969762527570315</v>
      </c>
      <c r="S642" t="s">
        <v>5382</v>
      </c>
      <c r="T642" t="s">
        <v>9478</v>
      </c>
      <c r="U642" t="s">
        <v>9478</v>
      </c>
      <c r="V642" t="s">
        <v>9478</v>
      </c>
      <c r="W642">
        <v>7</v>
      </c>
      <c r="X642" t="s">
        <v>10120</v>
      </c>
      <c r="Y642">
        <v>0.75331210050995234</v>
      </c>
      <c r="Z642" t="str">
        <f>HYPERLINK("Melting_Curves/meltCurve_sp_P08579_RU2B_HUMAN_.pdf", "Melting_Curves/meltCurve_sp_P08579_RU2B_HUMAN_.pdf")</f>
        <v>Melting_Curves/meltCurve_sp_P08579_RU2B_HUMAN_.pdf</v>
      </c>
      <c r="AA642" t="s">
        <v>14846</v>
      </c>
      <c r="AB642" t="s">
        <v>19477</v>
      </c>
    </row>
    <row r="643" spans="1:28" x14ac:dyDescent="0.25">
      <c r="A643" t="s">
        <v>647</v>
      </c>
      <c r="B643">
        <v>0.99904790336628502</v>
      </c>
      <c r="C643">
        <v>0.75079113404340303</v>
      </c>
      <c r="D643">
        <v>0.77389248244204401</v>
      </c>
      <c r="E643">
        <v>0.62983265384481701</v>
      </c>
      <c r="F643">
        <v>0.28924061481584301</v>
      </c>
      <c r="G643">
        <v>0.15627266477260701</v>
      </c>
      <c r="H643">
        <v>9.6698897751934298E-2</v>
      </c>
      <c r="I643">
        <v>0.108315925344365</v>
      </c>
      <c r="J643">
        <v>7.9118270584579695E-2</v>
      </c>
      <c r="K643">
        <v>8.8978351600033395E-2</v>
      </c>
      <c r="L643">
        <v>616.15698192452498</v>
      </c>
      <c r="M643">
        <v>12.326855067003599</v>
      </c>
      <c r="N643">
        <v>50.233369531268401</v>
      </c>
      <c r="O643">
        <v>48.724082236932396</v>
      </c>
      <c r="P643">
        <v>-6.13912302560983E-2</v>
      </c>
      <c r="Q643">
        <v>2.9571973065413901E-2</v>
      </c>
      <c r="R643">
        <v>0.96190937281792399</v>
      </c>
      <c r="S643" t="s">
        <v>5383</v>
      </c>
      <c r="T643" t="s">
        <v>9478</v>
      </c>
      <c r="U643" t="s">
        <v>9478</v>
      </c>
      <c r="V643" t="s">
        <v>9478</v>
      </c>
      <c r="W643">
        <v>3</v>
      </c>
      <c r="X643" t="s">
        <v>10121</v>
      </c>
      <c r="Y643">
        <v>0.38478789840690181</v>
      </c>
      <c r="Z643" t="str">
        <f>HYPERLINK("Melting_Curves/meltCurve_sp_P08581_MET_HUMAN_.pdf", "Melting_Curves/meltCurve_sp_P08581_MET_HUMAN_.pdf")</f>
        <v>Melting_Curves/meltCurve_sp_P08581_MET_HUMAN_.pdf</v>
      </c>
      <c r="AA643" t="s">
        <v>14847</v>
      </c>
      <c r="AB643" t="s">
        <v>19478</v>
      </c>
    </row>
    <row r="644" spans="1:28" x14ac:dyDescent="0.25">
      <c r="A644" t="s">
        <v>648</v>
      </c>
      <c r="B644">
        <v>0.99904790336628502</v>
      </c>
      <c r="C644">
        <v>0.96566242934652202</v>
      </c>
      <c r="D644">
        <v>0.97956209253805404</v>
      </c>
      <c r="E644">
        <v>0.76538777659158597</v>
      </c>
      <c r="F644">
        <v>0.58959702461951702</v>
      </c>
      <c r="G644">
        <v>0.46482514953235299</v>
      </c>
      <c r="H644">
        <v>0.32149993036784003</v>
      </c>
      <c r="I644">
        <v>0.30507305902398302</v>
      </c>
      <c r="J644">
        <v>0.24462720428228099</v>
      </c>
      <c r="K644">
        <v>0.17447878676015899</v>
      </c>
      <c r="L644">
        <v>709.64626089668604</v>
      </c>
      <c r="M644">
        <v>13.2007964307119</v>
      </c>
      <c r="N644">
        <v>55.637558903450397</v>
      </c>
      <c r="O644">
        <v>52.569095949031997</v>
      </c>
      <c r="P644">
        <v>-5.1492761295488403E-2</v>
      </c>
      <c r="Q644">
        <v>0.17990479435190199</v>
      </c>
      <c r="R644">
        <v>0.99055445061715797</v>
      </c>
      <c r="S644" t="s">
        <v>5384</v>
      </c>
      <c r="T644" t="s">
        <v>9478</v>
      </c>
      <c r="U644" t="s">
        <v>9478</v>
      </c>
      <c r="V644" t="s">
        <v>9478</v>
      </c>
      <c r="W644">
        <v>30</v>
      </c>
      <c r="X644" t="s">
        <v>10122</v>
      </c>
      <c r="Y644">
        <v>0.57583784184733211</v>
      </c>
      <c r="Z644" t="str">
        <f>HYPERLINK("Melting_Curves/meltCurve_sp_P08603_CFAH_HUMAN_.pdf", "Melting_Curves/meltCurve_sp_P08603_CFAH_HUMAN_.pdf")</f>
        <v>Melting_Curves/meltCurve_sp_P08603_CFAH_HUMAN_.pdf</v>
      </c>
      <c r="AA644" t="s">
        <v>14848</v>
      </c>
      <c r="AB644" t="s">
        <v>19479</v>
      </c>
    </row>
    <row r="645" spans="1:28" x14ac:dyDescent="0.25">
      <c r="A645" t="s">
        <v>649</v>
      </c>
      <c r="B645">
        <v>0.99904790336628502</v>
      </c>
      <c r="C645">
        <v>0.98874519187278198</v>
      </c>
      <c r="D645">
        <v>1.0555553864212599</v>
      </c>
      <c r="E645">
        <v>0.80931858275687096</v>
      </c>
      <c r="F645">
        <v>0.33591213829300598</v>
      </c>
      <c r="G645">
        <v>0.21642766524660501</v>
      </c>
      <c r="H645">
        <v>0.15894001998747401</v>
      </c>
      <c r="I645">
        <v>0.128285431887459</v>
      </c>
      <c r="J645">
        <v>0.14360907339224499</v>
      </c>
      <c r="K645">
        <v>0.12905647629072001</v>
      </c>
      <c r="L645">
        <v>2185.3210246787298</v>
      </c>
      <c r="M645">
        <v>42.466313605796202</v>
      </c>
      <c r="N645">
        <v>51.900106206026599</v>
      </c>
      <c r="O645">
        <v>51.346385657036997</v>
      </c>
      <c r="P645">
        <v>-0.17550838723482401</v>
      </c>
      <c r="Q645">
        <v>0.15116656999752201</v>
      </c>
      <c r="R645">
        <v>0.994931072447367</v>
      </c>
      <c r="S645" t="s">
        <v>5385</v>
      </c>
      <c r="T645" t="s">
        <v>9478</v>
      </c>
      <c r="U645" t="s">
        <v>9478</v>
      </c>
      <c r="V645" t="s">
        <v>9478</v>
      </c>
      <c r="W645">
        <v>12</v>
      </c>
      <c r="X645" t="s">
        <v>10123</v>
      </c>
      <c r="Y645">
        <v>0.47810009265764791</v>
      </c>
      <c r="Z645" t="str">
        <f>HYPERLINK("Melting_Curves/meltCurve_sp_P08621_2_RU17_HUMAN_.pdf", "Melting_Curves/meltCurve_sp_P08621_2_RU17_HUMAN_.pdf")</f>
        <v>Melting_Curves/meltCurve_sp_P08621_2_RU17_HUMAN_.pdf</v>
      </c>
      <c r="AA645" t="s">
        <v>14849</v>
      </c>
      <c r="AB645" t="s">
        <v>19480</v>
      </c>
    </row>
    <row r="646" spans="1:28" x14ac:dyDescent="0.25">
      <c r="A646" t="s">
        <v>650</v>
      </c>
      <c r="B646">
        <v>0.99904790336628502</v>
      </c>
      <c r="C646">
        <v>0.96121782586703597</v>
      </c>
      <c r="D646">
        <v>0.94155689127555398</v>
      </c>
      <c r="E646">
        <v>0.893469324464224</v>
      </c>
      <c r="F646">
        <v>0.85995890986086898</v>
      </c>
      <c r="G646">
        <v>0.64094475910378101</v>
      </c>
      <c r="H646">
        <v>0.53322488643464805</v>
      </c>
      <c r="I646">
        <v>0.46384137712141399</v>
      </c>
      <c r="J646">
        <v>0.44895464320780898</v>
      </c>
      <c r="K646">
        <v>0.37382756764909503</v>
      </c>
      <c r="L646">
        <v>705.35763803923305</v>
      </c>
      <c r="M646">
        <v>12.342416087484001</v>
      </c>
      <c r="N646">
        <v>62.4958484739198</v>
      </c>
      <c r="O646">
        <v>55.7109893272291</v>
      </c>
      <c r="P646">
        <v>-3.7334445253182698E-2</v>
      </c>
      <c r="Q646">
        <v>0.32606731923711002</v>
      </c>
      <c r="R646">
        <v>0.98975554916402497</v>
      </c>
      <c r="S646" t="s">
        <v>5386</v>
      </c>
      <c r="T646" t="s">
        <v>9478</v>
      </c>
      <c r="U646" t="s">
        <v>9478</v>
      </c>
      <c r="V646" t="s">
        <v>9478</v>
      </c>
      <c r="W646">
        <v>8</v>
      </c>
      <c r="X646" t="s">
        <v>10124</v>
      </c>
      <c r="Y646">
        <v>0.72228835077456666</v>
      </c>
      <c r="Z646" t="str">
        <f>HYPERLINK("Melting_Curves/meltCurve_sp_P08651_2_NFIC_HUMAN_.pdf", "Melting_Curves/meltCurve_sp_P08651_2_NFIC_HUMAN_.pdf")</f>
        <v>Melting_Curves/meltCurve_sp_P08651_2_NFIC_HUMAN_.pdf</v>
      </c>
      <c r="AA646" t="s">
        <v>14850</v>
      </c>
      <c r="AB646" t="s">
        <v>19481</v>
      </c>
    </row>
    <row r="647" spans="1:28" x14ac:dyDescent="0.25">
      <c r="A647" t="s">
        <v>651</v>
      </c>
      <c r="B647">
        <v>0.99904790336628502</v>
      </c>
      <c r="C647">
        <v>1.04607677955129</v>
      </c>
      <c r="D647">
        <v>1.0508165804160099</v>
      </c>
      <c r="E647">
        <v>1.00137696105096</v>
      </c>
      <c r="F647">
        <v>0.95054382403640303</v>
      </c>
      <c r="G647">
        <v>0.72210126605439195</v>
      </c>
      <c r="H647">
        <v>0.64708119383060203</v>
      </c>
      <c r="I647">
        <v>0.61554373857686895</v>
      </c>
      <c r="J647">
        <v>0.62940998264256698</v>
      </c>
      <c r="K647">
        <v>0.55275834144365199</v>
      </c>
      <c r="L647">
        <v>1911.7015527830799</v>
      </c>
      <c r="M647">
        <v>34.261910041940901</v>
      </c>
      <c r="O647">
        <v>55.607646241180497</v>
      </c>
      <c r="P647">
        <v>-6.1199910392038898E-2</v>
      </c>
      <c r="Q647">
        <v>0.60268766197338397</v>
      </c>
      <c r="R647">
        <v>0.97659937753954396</v>
      </c>
      <c r="S647" t="s">
        <v>5387</v>
      </c>
      <c r="T647" t="s">
        <v>9478</v>
      </c>
      <c r="U647" t="s">
        <v>9478</v>
      </c>
      <c r="V647" t="s">
        <v>9478</v>
      </c>
      <c r="W647">
        <v>48</v>
      </c>
      <c r="X647" t="s">
        <v>10125</v>
      </c>
      <c r="Y647">
        <v>0.81395603253641491</v>
      </c>
      <c r="Z647" t="str">
        <f>HYPERLINK("Melting_Curves/meltCurve_sp_P08670_VIME_HUMAN_.pdf", "Melting_Curves/meltCurve_sp_P08670_VIME_HUMAN_.pdf")</f>
        <v>Melting_Curves/meltCurve_sp_P08670_VIME_HUMAN_.pdf</v>
      </c>
      <c r="AA647" t="s">
        <v>14851</v>
      </c>
      <c r="AB647" t="s">
        <v>19482</v>
      </c>
    </row>
    <row r="648" spans="1:28" x14ac:dyDescent="0.25">
      <c r="A648" t="s">
        <v>652</v>
      </c>
      <c r="B648">
        <v>0.99904790336628502</v>
      </c>
      <c r="C648">
        <v>1.23434443500932</v>
      </c>
      <c r="D648">
        <v>0.95593524792690299</v>
      </c>
      <c r="E648">
        <v>0.54869503395144303</v>
      </c>
      <c r="F648">
        <v>0.30252205040838998</v>
      </c>
      <c r="G648">
        <v>0.130040258643488</v>
      </c>
      <c r="H648">
        <v>5.99264219150333E-2</v>
      </c>
      <c r="I648">
        <v>4.3618600077740197E-2</v>
      </c>
      <c r="J648">
        <v>3.6696146091346901E-2</v>
      </c>
      <c r="K648">
        <v>3.8444287710421798E-2</v>
      </c>
      <c r="L648">
        <v>1321.7980048849499</v>
      </c>
      <c r="M648">
        <v>26.146261535297398</v>
      </c>
      <c r="N648">
        <v>50.761721344131601</v>
      </c>
      <c r="O648">
        <v>50.261050982058499</v>
      </c>
      <c r="P648">
        <v>-0.123455546162522</v>
      </c>
      <c r="Q648">
        <v>5.0734569834305999E-2</v>
      </c>
      <c r="R648">
        <v>0.96719768930536798</v>
      </c>
      <c r="S648" t="s">
        <v>5388</v>
      </c>
      <c r="T648" t="s">
        <v>9478</v>
      </c>
      <c r="U648" t="s">
        <v>9478</v>
      </c>
      <c r="V648" t="s">
        <v>9478</v>
      </c>
      <c r="W648">
        <v>4</v>
      </c>
      <c r="X648" t="s">
        <v>10126</v>
      </c>
      <c r="Y648">
        <v>0.39249129073931932</v>
      </c>
      <c r="Z648" t="str">
        <f>HYPERLINK("Melting_Curves/meltCurve_sp_P08684_CP3A4_HUMAN_.pdf", "Melting_Curves/meltCurve_sp_P08684_CP3A4_HUMAN_.pdf")</f>
        <v>Melting_Curves/meltCurve_sp_P08684_CP3A4_HUMAN_.pdf</v>
      </c>
      <c r="AA648" t="s">
        <v>14852</v>
      </c>
      <c r="AB648" t="s">
        <v>19483</v>
      </c>
    </row>
    <row r="649" spans="1:28" x14ac:dyDescent="0.25">
      <c r="A649" t="s">
        <v>653</v>
      </c>
      <c r="B649">
        <v>0.99904790336628502</v>
      </c>
      <c r="C649">
        <v>1.04267633630023</v>
      </c>
      <c r="D649">
        <v>0.38205087010782102</v>
      </c>
      <c r="E649">
        <v>0.99921240338476602</v>
      </c>
      <c r="F649">
        <v>0.986131914164324</v>
      </c>
      <c r="G649">
        <v>0.74010968069942995</v>
      </c>
      <c r="H649">
        <v>0.32139654276347102</v>
      </c>
      <c r="I649">
        <v>0.18729215617533401</v>
      </c>
      <c r="J649">
        <v>0.131693652789548</v>
      </c>
      <c r="K649">
        <v>8.9551924253134296E-2</v>
      </c>
      <c r="L649">
        <v>1715.8625494113401</v>
      </c>
      <c r="M649">
        <v>29.1899872575888</v>
      </c>
      <c r="N649">
        <v>59.222362719328999</v>
      </c>
      <c r="O649">
        <v>58.5087558411999</v>
      </c>
      <c r="P649">
        <v>-0.112572362965394</v>
      </c>
      <c r="Q649">
        <v>9.7441048417990395E-2</v>
      </c>
      <c r="R649">
        <v>0.73615811896345495</v>
      </c>
      <c r="S649" t="s">
        <v>5389</v>
      </c>
      <c r="T649" t="s">
        <v>9478</v>
      </c>
      <c r="U649" t="s">
        <v>9478</v>
      </c>
      <c r="V649" t="s">
        <v>9478</v>
      </c>
      <c r="W649">
        <v>10</v>
      </c>
      <c r="X649" t="s">
        <v>10127</v>
      </c>
      <c r="Y649">
        <v>0.66859374110530545</v>
      </c>
      <c r="Z649" t="str">
        <f>HYPERLINK("Melting_Curves/meltCurve_sp_P08697_A2AP_HUMAN_.pdf", "Melting_Curves/meltCurve_sp_P08697_A2AP_HUMAN_.pdf")</f>
        <v>Melting_Curves/meltCurve_sp_P08697_A2AP_HUMAN_.pdf</v>
      </c>
      <c r="AA649" t="s">
        <v>14853</v>
      </c>
      <c r="AB649" t="s">
        <v>19484</v>
      </c>
    </row>
    <row r="650" spans="1:28" x14ac:dyDescent="0.25">
      <c r="A650" t="s">
        <v>654</v>
      </c>
      <c r="B650">
        <v>0.99904790336628502</v>
      </c>
      <c r="C650">
        <v>1.0313667386825101</v>
      </c>
      <c r="D650">
        <v>1.01650300142707</v>
      </c>
      <c r="E650">
        <v>0.93155232346598604</v>
      </c>
      <c r="F650">
        <v>0.83648964203701104</v>
      </c>
      <c r="G650">
        <v>0.76060432424929503</v>
      </c>
      <c r="H650">
        <v>0.52472873863296998</v>
      </c>
      <c r="I650">
        <v>0.479960136098456</v>
      </c>
      <c r="J650">
        <v>0.42237788613517302</v>
      </c>
      <c r="K650">
        <v>0.33672768150050197</v>
      </c>
      <c r="L650">
        <v>769.053178004438</v>
      </c>
      <c r="M650">
        <v>13.0001954537549</v>
      </c>
      <c r="N650">
        <v>62.866028920190097</v>
      </c>
      <c r="O650">
        <v>57.809759044547398</v>
      </c>
      <c r="P650">
        <v>-4.1171694056428697E-2</v>
      </c>
      <c r="Q650">
        <v>0.26779398645390001</v>
      </c>
      <c r="R650">
        <v>0.98858691683049305</v>
      </c>
      <c r="S650" t="s">
        <v>5390</v>
      </c>
      <c r="T650" t="s">
        <v>9478</v>
      </c>
      <c r="U650" t="s">
        <v>9478</v>
      </c>
      <c r="V650" t="s">
        <v>9478</v>
      </c>
      <c r="W650">
        <v>27</v>
      </c>
      <c r="X650" t="s">
        <v>10128</v>
      </c>
      <c r="Y650">
        <v>0.74157389102537219</v>
      </c>
      <c r="Z650" t="str">
        <f>HYPERLINK("Melting_Curves/meltCurve_sp_P08727_K1C19_HUMAN_.pdf", "Melting_Curves/meltCurve_sp_P08727_K1C19_HUMAN_.pdf")</f>
        <v>Melting_Curves/meltCurve_sp_P08727_K1C19_HUMAN_.pdf</v>
      </c>
      <c r="AA650" t="s">
        <v>14854</v>
      </c>
      <c r="AB650" t="s">
        <v>19485</v>
      </c>
    </row>
    <row r="651" spans="1:28" x14ac:dyDescent="0.25">
      <c r="A651" t="s">
        <v>655</v>
      </c>
      <c r="B651">
        <v>0.99904790336628502</v>
      </c>
      <c r="C651">
        <v>1.09190812942346</v>
      </c>
      <c r="D651">
        <v>1.1131286744916</v>
      </c>
      <c r="E651">
        <v>1.04534367263474</v>
      </c>
      <c r="F651">
        <v>0.96691655974295099</v>
      </c>
      <c r="G651">
        <v>0.741358821747508</v>
      </c>
      <c r="H651">
        <v>0.61146110312125501</v>
      </c>
      <c r="I651">
        <v>0.52848815910462899</v>
      </c>
      <c r="J651">
        <v>0.40243807926104103</v>
      </c>
      <c r="K651">
        <v>0.34876406575365299</v>
      </c>
      <c r="L651">
        <v>1056.2600206663101</v>
      </c>
      <c r="M651">
        <v>17.640063366323002</v>
      </c>
      <c r="N651">
        <v>63.543306316992499</v>
      </c>
      <c r="O651">
        <v>59.124847798436001</v>
      </c>
      <c r="P651">
        <v>-5.0780017905323299E-2</v>
      </c>
      <c r="Q651">
        <v>0.31923135792738599</v>
      </c>
      <c r="R651">
        <v>0.95738229157029398</v>
      </c>
      <c r="S651" t="s">
        <v>5391</v>
      </c>
      <c r="T651" t="s">
        <v>9478</v>
      </c>
      <c r="U651" t="s">
        <v>9478</v>
      </c>
      <c r="V651" t="s">
        <v>9478</v>
      </c>
      <c r="W651">
        <v>25</v>
      </c>
      <c r="X651" t="s">
        <v>10129</v>
      </c>
      <c r="Y651">
        <v>0.776125102121212</v>
      </c>
      <c r="Z651" t="str">
        <f>HYPERLINK("Melting_Curves/meltCurve_sp_P08729_K2C7_HUMAN_.pdf", "Melting_Curves/meltCurve_sp_P08729_K2C7_HUMAN_.pdf")</f>
        <v>Melting_Curves/meltCurve_sp_P08729_K2C7_HUMAN_.pdf</v>
      </c>
      <c r="AA651" t="s">
        <v>14855</v>
      </c>
      <c r="AB651" t="s">
        <v>19486</v>
      </c>
    </row>
    <row r="652" spans="1:28" x14ac:dyDescent="0.25">
      <c r="A652" t="s">
        <v>656</v>
      </c>
      <c r="B652">
        <v>0.99904790336628502</v>
      </c>
      <c r="C652">
        <v>0.94233077371333196</v>
      </c>
      <c r="D652">
        <v>0.81807025259412303</v>
      </c>
      <c r="E652">
        <v>0.47393249796576398</v>
      </c>
      <c r="F652">
        <v>0.40281688326163001</v>
      </c>
      <c r="G652">
        <v>0.20469938651144001</v>
      </c>
      <c r="H652">
        <v>0.109529885560672</v>
      </c>
      <c r="I652">
        <v>8.6350591379830102E-2</v>
      </c>
      <c r="J652">
        <v>7.3293471444289396E-2</v>
      </c>
      <c r="K652">
        <v>3.66753906096451E-2</v>
      </c>
      <c r="L652">
        <v>708.13516391738301</v>
      </c>
      <c r="M652">
        <v>14.0696867835699</v>
      </c>
      <c r="N652">
        <v>50.618497140341297</v>
      </c>
      <c r="O652">
        <v>49.346526067475502</v>
      </c>
      <c r="P652">
        <v>-6.8547646415547503E-2</v>
      </c>
      <c r="Q652">
        <v>3.8457838995035E-2</v>
      </c>
      <c r="R652">
        <v>0.99323129346530303</v>
      </c>
      <c r="S652" t="s">
        <v>5392</v>
      </c>
      <c r="T652" t="s">
        <v>9478</v>
      </c>
      <c r="U652" t="s">
        <v>9478</v>
      </c>
      <c r="V652" t="s">
        <v>9478</v>
      </c>
      <c r="W652">
        <v>2</v>
      </c>
      <c r="X652" t="s">
        <v>10130</v>
      </c>
      <c r="Y652">
        <v>0.39487295804114142</v>
      </c>
      <c r="Z652" t="str">
        <f>HYPERLINK("Melting_Curves/meltCurve_sp_P08754_GNAI3_HUMAN_.pdf", "Melting_Curves/meltCurve_sp_P08754_GNAI3_HUMAN_.pdf")</f>
        <v>Melting_Curves/meltCurve_sp_P08754_GNAI3_HUMAN_.pdf</v>
      </c>
      <c r="AA652" t="s">
        <v>14856</v>
      </c>
      <c r="AB652" t="s">
        <v>19487</v>
      </c>
    </row>
    <row r="653" spans="1:28" x14ac:dyDescent="0.25">
      <c r="A653" t="s">
        <v>657</v>
      </c>
      <c r="B653">
        <v>0.99904790336628502</v>
      </c>
      <c r="C653">
        <v>0.97342121513167401</v>
      </c>
      <c r="D653">
        <v>0.89059312620373698</v>
      </c>
      <c r="E653">
        <v>1.30789524927499</v>
      </c>
      <c r="F653">
        <v>0.28468829913787003</v>
      </c>
      <c r="G653">
        <v>14.301681889170901</v>
      </c>
      <c r="H653">
        <v>0.112626194059359</v>
      </c>
      <c r="I653">
        <v>0.39737293426683701</v>
      </c>
      <c r="J653">
        <v>0.13194512441710701</v>
      </c>
      <c r="K653">
        <v>0.21578319635068799</v>
      </c>
      <c r="L653">
        <v>8499.0719988761794</v>
      </c>
      <c r="M653">
        <v>141.845855499381</v>
      </c>
      <c r="N653">
        <v>60.141025149874601</v>
      </c>
      <c r="O653">
        <v>59.905753431252698</v>
      </c>
      <c r="P653">
        <v>-0.47074659924336298</v>
      </c>
      <c r="Q653">
        <v>0.20475844923140599</v>
      </c>
      <c r="R653">
        <v>-3.9841958683736203E-2</v>
      </c>
      <c r="S653" t="s">
        <v>5393</v>
      </c>
      <c r="T653" t="s">
        <v>9478</v>
      </c>
      <c r="U653" t="s">
        <v>9478</v>
      </c>
      <c r="V653" t="s">
        <v>9478</v>
      </c>
      <c r="W653">
        <v>31</v>
      </c>
      <c r="X653" t="s">
        <v>10131</v>
      </c>
      <c r="Y653">
        <v>0.73299674020199956</v>
      </c>
      <c r="Z653" t="str">
        <f>HYPERLINK("Melting_Curves/meltCurve_sp_P08779_K1C16_HUMAN_.pdf", "Melting_Curves/meltCurve_sp_P08779_K1C16_HUMAN_.pdf")</f>
        <v>Melting_Curves/meltCurve_sp_P08779_K1C16_HUMAN_.pdf</v>
      </c>
      <c r="AA653" t="s">
        <v>14857</v>
      </c>
      <c r="AB653" t="s">
        <v>19488</v>
      </c>
    </row>
    <row r="654" spans="1:28" x14ac:dyDescent="0.25">
      <c r="A654" t="s">
        <v>658</v>
      </c>
      <c r="B654">
        <v>0.99904790336628502</v>
      </c>
      <c r="C654">
        <v>1.1211847650953399</v>
      </c>
      <c r="D654">
        <v>1.1614694584285501</v>
      </c>
      <c r="E654">
        <v>1.1149172478359</v>
      </c>
      <c r="F654">
        <v>1.1516258146795799</v>
      </c>
      <c r="G654">
        <v>0.73078266002491399</v>
      </c>
      <c r="H654">
        <v>0.38902319166476101</v>
      </c>
      <c r="I654">
        <v>0.21370955610699099</v>
      </c>
      <c r="J654">
        <v>0.124846396698769</v>
      </c>
      <c r="K654">
        <v>9.8270922433508906E-2</v>
      </c>
      <c r="L654">
        <v>1800.9866636521101</v>
      </c>
      <c r="M654">
        <v>30.408929814817402</v>
      </c>
      <c r="N654">
        <v>59.7024129495342</v>
      </c>
      <c r="O654">
        <v>58.9712251210454</v>
      </c>
      <c r="P654">
        <v>-0.115016479555944</v>
      </c>
      <c r="Q654">
        <v>0.107811979452667</v>
      </c>
      <c r="R654">
        <v>0.951784416373463</v>
      </c>
      <c r="S654" t="s">
        <v>5394</v>
      </c>
      <c r="T654" t="s">
        <v>9478</v>
      </c>
      <c r="U654" t="s">
        <v>9478</v>
      </c>
      <c r="V654" t="s">
        <v>9478</v>
      </c>
      <c r="W654">
        <v>4</v>
      </c>
      <c r="X654" t="s">
        <v>10132</v>
      </c>
      <c r="Y654">
        <v>0.68512342219396705</v>
      </c>
      <c r="Z654" t="str">
        <f>HYPERLINK("Melting_Curves/meltCurve_sp_P09012_SNRPA_HUMAN_.pdf", "Melting_Curves/meltCurve_sp_P09012_SNRPA_HUMAN_.pdf")</f>
        <v>Melting_Curves/meltCurve_sp_P09012_SNRPA_HUMAN_.pdf</v>
      </c>
      <c r="AA654" t="s">
        <v>14858</v>
      </c>
      <c r="AB654" t="s">
        <v>19489</v>
      </c>
    </row>
    <row r="655" spans="1:28" x14ac:dyDescent="0.25">
      <c r="A655" t="s">
        <v>659</v>
      </c>
      <c r="B655">
        <v>0.99904790336628502</v>
      </c>
      <c r="C655">
        <v>0.84296474450030201</v>
      </c>
      <c r="D655">
        <v>1.1110800817389901</v>
      </c>
      <c r="E655">
        <v>1.06623500584542</v>
      </c>
      <c r="F655">
        <v>0.80801112029467403</v>
      </c>
      <c r="G655">
        <v>0.78243235546214396</v>
      </c>
      <c r="H655">
        <v>0.52188940623896196</v>
      </c>
      <c r="I655">
        <v>0.20101566894416301</v>
      </c>
      <c r="J655">
        <v>5.5160409616106298E-2</v>
      </c>
      <c r="K655">
        <v>2.6779841699402E-2</v>
      </c>
      <c r="L655">
        <v>1313.88249971394</v>
      </c>
      <c r="M655">
        <v>21.735631803751701</v>
      </c>
      <c r="N655">
        <v>60.448335665204901</v>
      </c>
      <c r="O655">
        <v>59.943631837959302</v>
      </c>
      <c r="P655">
        <v>-9.0652420269378406E-2</v>
      </c>
      <c r="Q655">
        <v>0</v>
      </c>
      <c r="R655">
        <v>0.95232039220070397</v>
      </c>
      <c r="S655" t="s">
        <v>5395</v>
      </c>
      <c r="T655" t="s">
        <v>9478</v>
      </c>
      <c r="U655" t="s">
        <v>9478</v>
      </c>
      <c r="V655" t="s">
        <v>9478</v>
      </c>
      <c r="W655">
        <v>30</v>
      </c>
      <c r="X655" t="s">
        <v>10133</v>
      </c>
      <c r="Y655">
        <v>0.68902486223538806</v>
      </c>
      <c r="Z655" t="str">
        <f>HYPERLINK("Melting_Curves/meltCurve_sp_P09110_THIK_HUMAN_.pdf", "Melting_Curves/meltCurve_sp_P09110_THIK_HUMAN_.pdf")</f>
        <v>Melting_Curves/meltCurve_sp_P09110_THIK_HUMAN_.pdf</v>
      </c>
      <c r="AA655" t="s">
        <v>14859</v>
      </c>
      <c r="AB655" t="s">
        <v>19490</v>
      </c>
    </row>
    <row r="656" spans="1:28" x14ac:dyDescent="0.25">
      <c r="A656" t="s">
        <v>660</v>
      </c>
      <c r="B656">
        <v>0.99904790336628502</v>
      </c>
      <c r="C656">
        <v>0.98589251452333104</v>
      </c>
      <c r="D656">
        <v>0.93306727194722805</v>
      </c>
      <c r="E656">
        <v>0.41425045234722901</v>
      </c>
      <c r="F656">
        <v>0.23437154231295501</v>
      </c>
      <c r="G656">
        <v>0.119660451178126</v>
      </c>
      <c r="H656">
        <v>8.5011379234784301E-2</v>
      </c>
      <c r="I656">
        <v>6.7073459609360397E-2</v>
      </c>
      <c r="J656">
        <v>4.3211013594493898E-2</v>
      </c>
      <c r="K656">
        <v>5.9301775068359798E-2</v>
      </c>
      <c r="L656">
        <v>1386.8561579249899</v>
      </c>
      <c r="M656">
        <v>28.1020953840818</v>
      </c>
      <c r="N656">
        <v>49.630515622680598</v>
      </c>
      <c r="O656">
        <v>49.102771836922201</v>
      </c>
      <c r="P656">
        <v>-0.132594719940443</v>
      </c>
      <c r="Q656">
        <v>7.3277427527256606E-2</v>
      </c>
      <c r="R656">
        <v>0.99554713773461301</v>
      </c>
      <c r="S656" t="s">
        <v>5396</v>
      </c>
      <c r="T656" t="s">
        <v>9478</v>
      </c>
      <c r="U656" t="s">
        <v>9478</v>
      </c>
      <c r="V656" t="s">
        <v>9478</v>
      </c>
      <c r="W656">
        <v>7</v>
      </c>
      <c r="X656" t="s">
        <v>10134</v>
      </c>
      <c r="Y656">
        <v>0.36860865252871278</v>
      </c>
      <c r="Z656" t="str">
        <f>HYPERLINK("Melting_Curves/meltCurve_sp_P09132_SRP19_HUMAN_.pdf", "Melting_Curves/meltCurve_sp_P09132_SRP19_HUMAN_.pdf")</f>
        <v>Melting_Curves/meltCurve_sp_P09132_SRP19_HUMAN_.pdf</v>
      </c>
      <c r="AA656" t="s">
        <v>14860</v>
      </c>
      <c r="AB656" t="s">
        <v>19491</v>
      </c>
    </row>
    <row r="657" spans="1:28" x14ac:dyDescent="0.25">
      <c r="A657" t="s">
        <v>661</v>
      </c>
      <c r="B657">
        <v>0.99904790336628502</v>
      </c>
      <c r="C657">
        <v>0.92013339680065298</v>
      </c>
      <c r="D657">
        <v>0.80855971945133098</v>
      </c>
      <c r="E657">
        <v>0.234799273187591</v>
      </c>
      <c r="F657">
        <v>9.4003728975121603E-2</v>
      </c>
      <c r="G657">
        <v>5.2826180226626301E-2</v>
      </c>
      <c r="H657">
        <v>3.1199756895162498E-2</v>
      </c>
      <c r="I657">
        <v>1.8682408314319401E-2</v>
      </c>
      <c r="J657">
        <v>1.18260026310372E-2</v>
      </c>
      <c r="K657">
        <v>1.10018147870944E-2</v>
      </c>
      <c r="L657">
        <v>1419.5024316029801</v>
      </c>
      <c r="M657">
        <v>29.576863412293701</v>
      </c>
      <c r="N657">
        <v>48.071622233357402</v>
      </c>
      <c r="O657">
        <v>47.775885345006003</v>
      </c>
      <c r="P657">
        <v>-0.15114584075403001</v>
      </c>
      <c r="Q657">
        <v>2.3415553228649799E-2</v>
      </c>
      <c r="R657">
        <v>0.99719632781543899</v>
      </c>
      <c r="S657" t="s">
        <v>5397</v>
      </c>
      <c r="T657" t="s">
        <v>9478</v>
      </c>
      <c r="U657" t="s">
        <v>9478</v>
      </c>
      <c r="V657" t="s">
        <v>9478</v>
      </c>
      <c r="W657">
        <v>21</v>
      </c>
      <c r="X657" t="s">
        <v>10135</v>
      </c>
      <c r="Y657">
        <v>0.28968676975245078</v>
      </c>
      <c r="Z657" t="str">
        <f>HYPERLINK("Melting_Curves/meltCurve_sp_P09210_GSTA2_HUMAN_.pdf", "Melting_Curves/meltCurve_sp_P09210_GSTA2_HUMAN_.pdf")</f>
        <v>Melting_Curves/meltCurve_sp_P09210_GSTA2_HUMAN_.pdf</v>
      </c>
      <c r="AA657" t="s">
        <v>14861</v>
      </c>
      <c r="AB657" t="s">
        <v>19492</v>
      </c>
    </row>
    <row r="658" spans="1:28" x14ac:dyDescent="0.25">
      <c r="A658" t="s">
        <v>662</v>
      </c>
      <c r="B658">
        <v>0.99904790336628502</v>
      </c>
      <c r="C658">
        <v>1.05189714561542</v>
      </c>
      <c r="D658">
        <v>1.0537800294506701</v>
      </c>
      <c r="E658">
        <v>0.905825981257253</v>
      </c>
      <c r="F658">
        <v>0.61545398681049701</v>
      </c>
      <c r="G658">
        <v>0.31616515000411899</v>
      </c>
      <c r="H658">
        <v>0.31362122999261499</v>
      </c>
      <c r="I658">
        <v>0.30477878577620399</v>
      </c>
      <c r="J658">
        <v>0.488956670239932</v>
      </c>
      <c r="K658">
        <v>0.44564299777497302</v>
      </c>
      <c r="L658">
        <v>2363.8743918209202</v>
      </c>
      <c r="M658">
        <v>45.184203067636197</v>
      </c>
      <c r="N658">
        <v>53.950216794990197</v>
      </c>
      <c r="O658">
        <v>52.214223369651599</v>
      </c>
      <c r="P658">
        <v>-0.13570242524317799</v>
      </c>
      <c r="Q658">
        <v>0.37273761750858703</v>
      </c>
      <c r="R658">
        <v>0.95794864463541596</v>
      </c>
      <c r="S658" t="s">
        <v>5398</v>
      </c>
      <c r="T658" t="s">
        <v>9478</v>
      </c>
      <c r="U658" t="s">
        <v>9478</v>
      </c>
      <c r="V658" t="s">
        <v>9478</v>
      </c>
      <c r="W658">
        <v>2</v>
      </c>
      <c r="X658" t="s">
        <v>10136</v>
      </c>
      <c r="Y658">
        <v>0.63203218001415384</v>
      </c>
      <c r="Z658" t="str">
        <f>HYPERLINK("Melting_Curves/meltCurve_sp_P09234_RU1C_HUMAN_.pdf", "Melting_Curves/meltCurve_sp_P09234_RU1C_HUMAN_.pdf")</f>
        <v>Melting_Curves/meltCurve_sp_P09234_RU1C_HUMAN_.pdf</v>
      </c>
      <c r="AA658" t="s">
        <v>14862</v>
      </c>
      <c r="AB658" t="s">
        <v>19493</v>
      </c>
    </row>
    <row r="659" spans="1:28" x14ac:dyDescent="0.25">
      <c r="A659" t="s">
        <v>663</v>
      </c>
      <c r="B659">
        <v>0.99904790336628502</v>
      </c>
      <c r="C659">
        <v>1.00999322277995</v>
      </c>
      <c r="D659">
        <v>0.84568167054908305</v>
      </c>
      <c r="E659">
        <v>0.52203030772925096</v>
      </c>
      <c r="F659">
        <v>0.27200087761187097</v>
      </c>
      <c r="G659">
        <v>0.14581143742607799</v>
      </c>
      <c r="H659">
        <v>0.107259510612673</v>
      </c>
      <c r="I659">
        <v>8.0973107182468695E-2</v>
      </c>
      <c r="J659">
        <v>7.1986481615588599E-2</v>
      </c>
      <c r="K659">
        <v>6.5080138883319205E-2</v>
      </c>
      <c r="L659">
        <v>1043.87726034364</v>
      </c>
      <c r="M659">
        <v>20.9576558106764</v>
      </c>
      <c r="N659">
        <v>50.192565434776903</v>
      </c>
      <c r="O659">
        <v>49.3620224731063</v>
      </c>
      <c r="P659">
        <v>-9.8288941137921207E-2</v>
      </c>
      <c r="Q659">
        <v>7.4016526816441303E-2</v>
      </c>
      <c r="R659">
        <v>0.99830279404164302</v>
      </c>
      <c r="S659" t="s">
        <v>5399</v>
      </c>
      <c r="T659" t="s">
        <v>9478</v>
      </c>
      <c r="U659" t="s">
        <v>9478</v>
      </c>
      <c r="V659" t="s">
        <v>9478</v>
      </c>
      <c r="W659">
        <v>21</v>
      </c>
      <c r="X659" t="s">
        <v>10137</v>
      </c>
      <c r="Y659">
        <v>0.38854148215959489</v>
      </c>
      <c r="Z659" t="str">
        <f>HYPERLINK("Melting_Curves/meltCurve_sp_P09327_VILI_HUMAN_.pdf", "Melting_Curves/meltCurve_sp_P09327_VILI_HUMAN_.pdf")</f>
        <v>Melting_Curves/meltCurve_sp_P09327_VILI_HUMAN_.pdf</v>
      </c>
      <c r="AA659" t="s">
        <v>14863</v>
      </c>
      <c r="AB659" t="s">
        <v>19494</v>
      </c>
    </row>
    <row r="660" spans="1:28" x14ac:dyDescent="0.25">
      <c r="A660" t="s">
        <v>664</v>
      </c>
      <c r="B660">
        <v>0.99904790336628502</v>
      </c>
      <c r="C660">
        <v>0.94192494941891403</v>
      </c>
      <c r="D660">
        <v>0.95655800461460105</v>
      </c>
      <c r="E660">
        <v>0.95724482591621596</v>
      </c>
      <c r="F660">
        <v>0.96316283634146305</v>
      </c>
      <c r="G660">
        <v>0.73391659209024795</v>
      </c>
      <c r="H660">
        <v>0.58722641657026997</v>
      </c>
      <c r="I660">
        <v>0.47084982118638302</v>
      </c>
      <c r="J660">
        <v>0.42859822040908901</v>
      </c>
      <c r="K660">
        <v>0.372796088799069</v>
      </c>
      <c r="L660">
        <v>1037.1090390070999</v>
      </c>
      <c r="M660">
        <v>17.628147927529501</v>
      </c>
      <c r="N660">
        <v>63.080607293436998</v>
      </c>
      <c r="O660">
        <v>58.091121379121397</v>
      </c>
      <c r="P660">
        <v>-4.9507575782066902E-2</v>
      </c>
      <c r="Q660">
        <v>0.34745352353979397</v>
      </c>
      <c r="R660">
        <v>0.98551841710853705</v>
      </c>
      <c r="S660" t="s">
        <v>5400</v>
      </c>
      <c r="T660" t="s">
        <v>9478</v>
      </c>
      <c r="U660" t="s">
        <v>9478</v>
      </c>
      <c r="V660" t="s">
        <v>9478</v>
      </c>
      <c r="W660">
        <v>9</v>
      </c>
      <c r="X660" t="s">
        <v>10138</v>
      </c>
      <c r="Y660">
        <v>0.76426867300951185</v>
      </c>
      <c r="Z660" t="str">
        <f>HYPERLINK("Melting_Curves/meltCurve_sp_P09382_LEG1_HUMAN_.pdf", "Melting_Curves/meltCurve_sp_P09382_LEG1_HUMAN_.pdf")</f>
        <v>Melting_Curves/meltCurve_sp_P09382_LEG1_HUMAN_.pdf</v>
      </c>
      <c r="AA660" t="s">
        <v>14864</v>
      </c>
      <c r="AB660" t="s">
        <v>19495</v>
      </c>
    </row>
    <row r="661" spans="1:28" x14ac:dyDescent="0.25">
      <c r="A661" t="s">
        <v>665</v>
      </c>
      <c r="B661">
        <v>0.99904790336628502</v>
      </c>
      <c r="C661">
        <v>0.96407193737756502</v>
      </c>
      <c r="D661">
        <v>0.95693608928387597</v>
      </c>
      <c r="E661">
        <v>0.82703344251288502</v>
      </c>
      <c r="F661">
        <v>0.16757901562636199</v>
      </c>
      <c r="G661">
        <v>9.5355151550267095E-2</v>
      </c>
      <c r="H661">
        <v>5.9302404930367397E-2</v>
      </c>
      <c r="I661">
        <v>4.0427983880186501E-2</v>
      </c>
      <c r="J661">
        <v>3.9081681556291298E-2</v>
      </c>
      <c r="K661">
        <v>3.32875741909473E-2</v>
      </c>
      <c r="L661">
        <v>3038.7126301825601</v>
      </c>
      <c r="M661">
        <v>59.286551843468601</v>
      </c>
      <c r="N661">
        <v>51.350840943081899</v>
      </c>
      <c r="O661">
        <v>51.196451537831997</v>
      </c>
      <c r="P661">
        <v>-0.27429307312378998</v>
      </c>
      <c r="Q661">
        <v>5.2545608515271798E-2</v>
      </c>
      <c r="R661">
        <v>0.997016048822294</v>
      </c>
      <c r="S661" t="s">
        <v>5401</v>
      </c>
      <c r="T661" t="s">
        <v>9478</v>
      </c>
      <c r="U661" t="s">
        <v>9478</v>
      </c>
      <c r="V661" t="s">
        <v>9478</v>
      </c>
      <c r="W661">
        <v>13</v>
      </c>
      <c r="X661" t="s">
        <v>10139</v>
      </c>
      <c r="Y661">
        <v>0.40950956921768888</v>
      </c>
      <c r="Z661" t="str">
        <f>HYPERLINK("Melting_Curves/meltCurve_sp_P09417_DHPR_HUMAN_.pdf", "Melting_Curves/meltCurve_sp_P09417_DHPR_HUMAN_.pdf")</f>
        <v>Melting_Curves/meltCurve_sp_P09417_DHPR_HUMAN_.pdf</v>
      </c>
      <c r="AA661" t="s">
        <v>14865</v>
      </c>
      <c r="AB661" t="s">
        <v>19496</v>
      </c>
    </row>
    <row r="662" spans="1:28" x14ac:dyDescent="0.25">
      <c r="A662" t="s">
        <v>666</v>
      </c>
      <c r="B662">
        <v>0.99904790336628502</v>
      </c>
      <c r="C662">
        <v>0.97689834946352205</v>
      </c>
      <c r="D662">
        <v>0.95121158204115197</v>
      </c>
      <c r="E662">
        <v>1.0023397987515099</v>
      </c>
      <c r="F662">
        <v>1.11408061741967</v>
      </c>
      <c r="G662">
        <v>0.825315871887357</v>
      </c>
      <c r="H662">
        <v>0.77905760711163496</v>
      </c>
      <c r="I662">
        <v>0.84708584041102597</v>
      </c>
      <c r="J662">
        <v>0.91182382500643999</v>
      </c>
      <c r="K662">
        <v>0.89359719208042099</v>
      </c>
      <c r="L662">
        <v>13774.658792742101</v>
      </c>
      <c r="M662">
        <v>250</v>
      </c>
      <c r="O662">
        <v>55.095089500182503</v>
      </c>
      <c r="P662">
        <v>-0.168604621679456</v>
      </c>
      <c r="Q662">
        <v>0.85137135912321305</v>
      </c>
      <c r="R662">
        <v>0.69256981070059698</v>
      </c>
      <c r="S662" t="s">
        <v>5402</v>
      </c>
      <c r="T662" t="s">
        <v>9478</v>
      </c>
      <c r="U662" t="s">
        <v>9478</v>
      </c>
      <c r="V662" t="s">
        <v>9478</v>
      </c>
      <c r="W662">
        <v>16</v>
      </c>
      <c r="X662" t="s">
        <v>10140</v>
      </c>
      <c r="Y662">
        <v>0.9261887185888239</v>
      </c>
      <c r="Z662" t="str">
        <f>HYPERLINK("Melting_Curves/meltCurve_sp_P09429_HMGB1_HUMAN_.pdf", "Melting_Curves/meltCurve_sp_P09429_HMGB1_HUMAN_.pdf")</f>
        <v>Melting_Curves/meltCurve_sp_P09429_HMGB1_HUMAN_.pdf</v>
      </c>
      <c r="AA662" t="s">
        <v>14866</v>
      </c>
      <c r="AB662" t="s">
        <v>19497</v>
      </c>
    </row>
    <row r="663" spans="1:28" x14ac:dyDescent="0.25">
      <c r="A663" t="s">
        <v>667</v>
      </c>
      <c r="B663">
        <v>0.99904790336628502</v>
      </c>
      <c r="C663">
        <v>0.97897404538902699</v>
      </c>
      <c r="D663">
        <v>1.0392179210698</v>
      </c>
      <c r="E663">
        <v>1.01497888121367</v>
      </c>
      <c r="F663">
        <v>0.95709380146781498</v>
      </c>
      <c r="G663">
        <v>0.86453298584417904</v>
      </c>
      <c r="H663">
        <v>0.77303624970218998</v>
      </c>
      <c r="I663">
        <v>0.71719498456280795</v>
      </c>
      <c r="J663">
        <v>0.57254167504610498</v>
      </c>
      <c r="K663">
        <v>0.17045220286940899</v>
      </c>
      <c r="L663">
        <v>1183.1370487082399</v>
      </c>
      <c r="M663">
        <v>17.792060574152501</v>
      </c>
      <c r="N663">
        <v>66.498037457269305</v>
      </c>
      <c r="O663">
        <v>65.675046345287797</v>
      </c>
      <c r="P663">
        <v>-6.7731126881689502E-2</v>
      </c>
      <c r="Q663">
        <v>0</v>
      </c>
      <c r="R663">
        <v>0.93527028774792198</v>
      </c>
      <c r="S663" t="s">
        <v>5403</v>
      </c>
      <c r="T663" t="s">
        <v>9478</v>
      </c>
      <c r="U663" t="s">
        <v>9478</v>
      </c>
      <c r="V663" t="s">
        <v>9478</v>
      </c>
      <c r="W663">
        <v>33</v>
      </c>
      <c r="X663" t="s">
        <v>10141</v>
      </c>
      <c r="Y663">
        <v>0.85227208582967962</v>
      </c>
      <c r="Z663" t="str">
        <f>HYPERLINK("Melting_Curves/meltCurve_sp_P09467_F16P1_HUMAN_.pdf", "Melting_Curves/meltCurve_sp_P09467_F16P1_HUMAN_.pdf")</f>
        <v>Melting_Curves/meltCurve_sp_P09467_F16P1_HUMAN_.pdf</v>
      </c>
      <c r="AA663" t="s">
        <v>14867</v>
      </c>
      <c r="AB663" t="s">
        <v>19498</v>
      </c>
    </row>
    <row r="664" spans="1:28" x14ac:dyDescent="0.25">
      <c r="A664" t="s">
        <v>668</v>
      </c>
      <c r="B664">
        <v>0.99904790336628502</v>
      </c>
      <c r="C664">
        <v>1.0518342214348499</v>
      </c>
      <c r="D664">
        <v>0.99640712889366601</v>
      </c>
      <c r="E664">
        <v>0.93989581817409196</v>
      </c>
      <c r="F664">
        <v>0.94673491052355696</v>
      </c>
      <c r="G664">
        <v>0.82449544331854296</v>
      </c>
      <c r="H664">
        <v>0.73512890953204901</v>
      </c>
      <c r="I664">
        <v>0.69889968649814405</v>
      </c>
      <c r="J664">
        <v>0.72300099923142003</v>
      </c>
      <c r="K664">
        <v>0.666364121988961</v>
      </c>
      <c r="L664">
        <v>1035.3178742571299</v>
      </c>
      <c r="M664">
        <v>18.304054366990702</v>
      </c>
      <c r="O664">
        <v>55.900059954219202</v>
      </c>
      <c r="P664">
        <v>-2.6684842039319999E-2</v>
      </c>
      <c r="Q664">
        <v>0.67403606922021297</v>
      </c>
      <c r="R664">
        <v>0.96957610323172505</v>
      </c>
      <c r="S664" t="s">
        <v>5404</v>
      </c>
      <c r="T664" t="s">
        <v>9478</v>
      </c>
      <c r="U664" t="s">
        <v>9478</v>
      </c>
      <c r="V664" t="s">
        <v>9478</v>
      </c>
      <c r="W664">
        <v>28</v>
      </c>
      <c r="X664" t="s">
        <v>10142</v>
      </c>
      <c r="Y664">
        <v>0.85853753835305457</v>
      </c>
      <c r="Z664" t="str">
        <f>HYPERLINK("Melting_Curves/meltCurve_sp_P09493_3_TPM1_HUMAN_.pdf", "Melting_Curves/meltCurve_sp_P09493_3_TPM1_HUMAN_.pdf")</f>
        <v>Melting_Curves/meltCurve_sp_P09493_3_TPM1_HUMAN_.pdf</v>
      </c>
      <c r="AA664" t="s">
        <v>14868</v>
      </c>
      <c r="AB664" t="s">
        <v>19499</v>
      </c>
    </row>
    <row r="665" spans="1:28" x14ac:dyDescent="0.25">
      <c r="A665" t="s">
        <v>669</v>
      </c>
      <c r="B665">
        <v>0.99904790336628502</v>
      </c>
      <c r="C665">
        <v>0.98658665854688699</v>
      </c>
      <c r="D665">
        <v>1.04110314987262</v>
      </c>
      <c r="E665">
        <v>0.91784187599994405</v>
      </c>
      <c r="F665">
        <v>0.83681422131342997</v>
      </c>
      <c r="G665">
        <v>0.67190276017053296</v>
      </c>
      <c r="H665">
        <v>0.62895357626940096</v>
      </c>
      <c r="I665">
        <v>0.66424620929553801</v>
      </c>
      <c r="J665">
        <v>0.75873919310422</v>
      </c>
      <c r="K665">
        <v>0.76282471539923402</v>
      </c>
      <c r="L665">
        <v>1824.3782237212399</v>
      </c>
      <c r="M665">
        <v>34.935134583001101</v>
      </c>
      <c r="O665">
        <v>52.051669112003097</v>
      </c>
      <c r="P665">
        <v>-5.0906584135185298E-2</v>
      </c>
      <c r="Q665">
        <v>0.69660775037034095</v>
      </c>
      <c r="R665">
        <v>0.90660768772928801</v>
      </c>
      <c r="S665" t="s">
        <v>5405</v>
      </c>
      <c r="T665" t="s">
        <v>9478</v>
      </c>
      <c r="U665" t="s">
        <v>9478</v>
      </c>
      <c r="V665" t="s">
        <v>9478</v>
      </c>
      <c r="W665">
        <v>14</v>
      </c>
      <c r="X665" t="s">
        <v>10143</v>
      </c>
      <c r="Y665">
        <v>0.82164469841434695</v>
      </c>
      <c r="Z665" t="str">
        <f>HYPERLINK("Melting_Curves/meltCurve_sp_P09496_2_CLCA_HUMAN_.pdf", "Melting_Curves/meltCurve_sp_P09496_2_CLCA_HUMAN_.pdf")</f>
        <v>Melting_Curves/meltCurve_sp_P09496_2_CLCA_HUMAN_.pdf</v>
      </c>
      <c r="AA665" t="s">
        <v>14869</v>
      </c>
      <c r="AB665" t="s">
        <v>19500</v>
      </c>
    </row>
    <row r="666" spans="1:28" x14ac:dyDescent="0.25">
      <c r="A666" t="s">
        <v>670</v>
      </c>
      <c r="B666">
        <v>0.99904790336628502</v>
      </c>
      <c r="C666">
        <v>1.0996406861580501</v>
      </c>
      <c r="D666">
        <v>1.1951232093571</v>
      </c>
      <c r="E666">
        <v>1.0418323086866801</v>
      </c>
      <c r="F666">
        <v>1.0251823957200701</v>
      </c>
      <c r="G666">
        <v>0.79662767380075195</v>
      </c>
      <c r="H666">
        <v>0.76568709107456201</v>
      </c>
      <c r="I666">
        <v>0.75142467012041103</v>
      </c>
      <c r="J666">
        <v>0.83460574014637401</v>
      </c>
      <c r="K666">
        <v>0.91134449533936501</v>
      </c>
      <c r="L666">
        <v>5906.9538276843396</v>
      </c>
      <c r="M666">
        <v>107.298326939197</v>
      </c>
      <c r="O666">
        <v>55.032571507862201</v>
      </c>
      <c r="P666">
        <v>-9.2035987127650501E-2</v>
      </c>
      <c r="Q666">
        <v>0.81118152049048298</v>
      </c>
      <c r="R666">
        <v>0.68041960144443003</v>
      </c>
      <c r="S666" t="s">
        <v>5406</v>
      </c>
      <c r="T666" t="s">
        <v>9478</v>
      </c>
      <c r="U666" t="s">
        <v>9478</v>
      </c>
      <c r="V666" t="s">
        <v>9478</v>
      </c>
      <c r="W666">
        <v>14</v>
      </c>
      <c r="X666" t="s">
        <v>10144</v>
      </c>
      <c r="Y666">
        <v>0.90601520159885918</v>
      </c>
      <c r="Z666" t="str">
        <f>HYPERLINK("Melting_Curves/meltCurve_sp_P09497_2_CLCB_HUMAN_.pdf", "Melting_Curves/meltCurve_sp_P09497_2_CLCB_HUMAN_.pdf")</f>
        <v>Melting_Curves/meltCurve_sp_P09497_2_CLCB_HUMAN_.pdf</v>
      </c>
      <c r="AA666" t="s">
        <v>14870</v>
      </c>
      <c r="AB666" t="s">
        <v>19501</v>
      </c>
    </row>
    <row r="667" spans="1:28" x14ac:dyDescent="0.25">
      <c r="A667" t="s">
        <v>671</v>
      </c>
      <c r="B667">
        <v>0.99904790336628502</v>
      </c>
      <c r="C667">
        <v>1.0354226086926701</v>
      </c>
      <c r="D667">
        <v>1.00289966844338</v>
      </c>
      <c r="E667">
        <v>0.78085650239670701</v>
      </c>
      <c r="F667">
        <v>0.33515687711667402</v>
      </c>
      <c r="G667">
        <v>0.176608102211119</v>
      </c>
      <c r="H667">
        <v>8.4891606578022305E-2</v>
      </c>
      <c r="I667">
        <v>6.1119265692420301E-2</v>
      </c>
      <c r="J667">
        <v>4.9239725696386197E-2</v>
      </c>
      <c r="K667">
        <v>3.8813558420084902E-2</v>
      </c>
      <c r="L667">
        <v>1658.5461399585099</v>
      </c>
      <c r="M667">
        <v>32.0660388413174</v>
      </c>
      <c r="N667">
        <v>51.957661011932899</v>
      </c>
      <c r="O667">
        <v>51.522885818635103</v>
      </c>
      <c r="P667">
        <v>-0.145095285898103</v>
      </c>
      <c r="Q667">
        <v>6.7462745549574099E-2</v>
      </c>
      <c r="R667">
        <v>0.995435350258423</v>
      </c>
      <c r="S667" t="s">
        <v>5407</v>
      </c>
      <c r="T667" t="s">
        <v>9478</v>
      </c>
      <c r="U667" t="s">
        <v>9478</v>
      </c>
      <c r="V667" t="s">
        <v>9478</v>
      </c>
      <c r="W667">
        <v>11</v>
      </c>
      <c r="X667" t="s">
        <v>10145</v>
      </c>
      <c r="Y667">
        <v>0.43705640755427988</v>
      </c>
      <c r="Z667" t="str">
        <f>HYPERLINK("Melting_Curves/meltCurve_sp_P09525_ANXA4_HUMAN_.pdf", "Melting_Curves/meltCurve_sp_P09525_ANXA4_HUMAN_.pdf")</f>
        <v>Melting_Curves/meltCurve_sp_P09525_ANXA4_HUMAN_.pdf</v>
      </c>
      <c r="AA667" t="s">
        <v>14871</v>
      </c>
      <c r="AB667" t="s">
        <v>19502</v>
      </c>
    </row>
    <row r="668" spans="1:28" x14ac:dyDescent="0.25">
      <c r="A668" t="s">
        <v>672</v>
      </c>
      <c r="B668">
        <v>0.99904790336628502</v>
      </c>
      <c r="C668">
        <v>0.93336385823830903</v>
      </c>
      <c r="D668">
        <v>0.91340399026267405</v>
      </c>
      <c r="E668">
        <v>0.83870843845526</v>
      </c>
      <c r="F668">
        <v>0.69428139698082703</v>
      </c>
      <c r="G668">
        <v>0.33584178147035598</v>
      </c>
      <c r="H668">
        <v>9.8895770727967097E-2</v>
      </c>
      <c r="I668">
        <v>6.9926898357885695E-2</v>
      </c>
      <c r="J668">
        <v>6.1676560070427301E-2</v>
      </c>
      <c r="K668">
        <v>4.7687402109064199E-2</v>
      </c>
      <c r="L668">
        <v>1029.6394695046199</v>
      </c>
      <c r="M668">
        <v>18.796607268548701</v>
      </c>
      <c r="N668">
        <v>54.862131523528603</v>
      </c>
      <c r="O668">
        <v>54.169229783669003</v>
      </c>
      <c r="P668">
        <v>-8.5519770979736801E-2</v>
      </c>
      <c r="Q668">
        <v>1.42162315634594E-2</v>
      </c>
      <c r="R668">
        <v>0.99249038777994802</v>
      </c>
      <c r="S668" t="s">
        <v>5408</v>
      </c>
      <c r="T668" t="s">
        <v>9478</v>
      </c>
      <c r="U668" t="s">
        <v>9478</v>
      </c>
      <c r="V668" t="s">
        <v>9478</v>
      </c>
      <c r="W668">
        <v>22</v>
      </c>
      <c r="X668" t="s">
        <v>10146</v>
      </c>
      <c r="Y668">
        <v>0.51428143650661862</v>
      </c>
      <c r="Z668" t="str">
        <f>HYPERLINK("Melting_Curves/meltCurve_sp_P09543_2_CN37_HUMAN_.pdf", "Melting_Curves/meltCurve_sp_P09543_2_CN37_HUMAN_.pdf")</f>
        <v>Melting_Curves/meltCurve_sp_P09543_2_CN37_HUMAN_.pdf</v>
      </c>
      <c r="AA668" t="s">
        <v>14872</v>
      </c>
      <c r="AB668" t="s">
        <v>19503</v>
      </c>
    </row>
    <row r="669" spans="1:28" x14ac:dyDescent="0.25">
      <c r="A669" t="s">
        <v>673</v>
      </c>
      <c r="B669">
        <v>0.99904790336628502</v>
      </c>
      <c r="C669">
        <v>0.89092360070849497</v>
      </c>
      <c r="D669">
        <v>0.83520892511284806</v>
      </c>
      <c r="E669">
        <v>0.83550351858528904</v>
      </c>
      <c r="F669">
        <v>0.70570109062582698</v>
      </c>
      <c r="G669">
        <v>0.53219231034122305</v>
      </c>
      <c r="H669">
        <v>0.24782830024796201</v>
      </c>
      <c r="I669">
        <v>0.13324937243492299</v>
      </c>
      <c r="J669">
        <v>0.10741538663733501</v>
      </c>
      <c r="K669">
        <v>9.4005184558401303E-2</v>
      </c>
      <c r="L669">
        <v>691.91616330049396</v>
      </c>
      <c r="M669">
        <v>12.2846439057993</v>
      </c>
      <c r="N669">
        <v>56.3236646172032</v>
      </c>
      <c r="O669">
        <v>54.893553524286297</v>
      </c>
      <c r="P669">
        <v>-5.5959892467162903E-2</v>
      </c>
      <c r="Q669">
        <v>0</v>
      </c>
      <c r="R669">
        <v>0.97576939405535201</v>
      </c>
      <c r="S669" t="s">
        <v>5409</v>
      </c>
      <c r="T669" t="s">
        <v>9478</v>
      </c>
      <c r="U669" t="s">
        <v>9478</v>
      </c>
      <c r="V669" t="s">
        <v>9478</v>
      </c>
      <c r="W669">
        <v>13</v>
      </c>
      <c r="X669" t="s">
        <v>10147</v>
      </c>
      <c r="Y669">
        <v>0.56328010153196761</v>
      </c>
      <c r="Z669" t="str">
        <f>HYPERLINK("Melting_Curves/meltCurve_sp_P09601_HMOX1_HUMAN_.pdf", "Melting_Curves/meltCurve_sp_P09601_HMOX1_HUMAN_.pdf")</f>
        <v>Melting_Curves/meltCurve_sp_P09601_HMOX1_HUMAN_.pdf</v>
      </c>
      <c r="AA669" t="s">
        <v>14873</v>
      </c>
      <c r="AB669" t="s">
        <v>19504</v>
      </c>
    </row>
    <row r="670" spans="1:28" x14ac:dyDescent="0.25">
      <c r="A670" t="s">
        <v>674</v>
      </c>
      <c r="B670">
        <v>0.99904790336628502</v>
      </c>
      <c r="C670">
        <v>1.07628922455391</v>
      </c>
      <c r="D670">
        <v>1.0584328621044501</v>
      </c>
      <c r="E670">
        <v>1.10933266016638</v>
      </c>
      <c r="F670">
        <v>1.00961360051423</v>
      </c>
      <c r="G670">
        <v>0.91646426065630404</v>
      </c>
      <c r="H670">
        <v>0.72919328378262005</v>
      </c>
      <c r="I670">
        <v>0.76735854984014895</v>
      </c>
      <c r="J670">
        <v>0.69187505502269797</v>
      </c>
      <c r="K670">
        <v>0.41340936445416898</v>
      </c>
      <c r="L670">
        <v>834.43625259064595</v>
      </c>
      <c r="M670">
        <v>12.0344106750827</v>
      </c>
      <c r="N670">
        <v>69.337510414007895</v>
      </c>
      <c r="O670">
        <v>67.506210298504996</v>
      </c>
      <c r="P670">
        <v>-4.4578416338291599E-2</v>
      </c>
      <c r="Q670">
        <v>0</v>
      </c>
      <c r="R670">
        <v>0.88870052438782998</v>
      </c>
      <c r="S670" t="s">
        <v>5410</v>
      </c>
      <c r="T670" t="s">
        <v>9478</v>
      </c>
      <c r="U670" t="s">
        <v>9478</v>
      </c>
      <c r="V670" t="s">
        <v>9478</v>
      </c>
      <c r="W670">
        <v>30</v>
      </c>
      <c r="X670" t="s">
        <v>10148</v>
      </c>
      <c r="Y670">
        <v>0.87639162687236205</v>
      </c>
      <c r="Z670" t="str">
        <f>HYPERLINK("Melting_Curves/meltCurve_sp_P09622_DLDH_HUMAN_.pdf", "Melting_Curves/meltCurve_sp_P09622_DLDH_HUMAN_.pdf")</f>
        <v>Melting_Curves/meltCurve_sp_P09622_DLDH_HUMAN_.pdf</v>
      </c>
      <c r="AA670" t="s">
        <v>14874</v>
      </c>
      <c r="AB670" t="s">
        <v>19505</v>
      </c>
    </row>
    <row r="671" spans="1:28" x14ac:dyDescent="0.25">
      <c r="A671" t="s">
        <v>675</v>
      </c>
      <c r="B671">
        <v>0.99904790336628502</v>
      </c>
      <c r="C671">
        <v>0.86749482755377505</v>
      </c>
      <c r="D671">
        <v>0.84853396741954201</v>
      </c>
      <c r="E671">
        <v>0.86894535938064599</v>
      </c>
      <c r="F671">
        <v>0.80189117406203403</v>
      </c>
      <c r="G671">
        <v>0.63653336891072898</v>
      </c>
      <c r="H671">
        <v>0.34758184192216501</v>
      </c>
      <c r="I671">
        <v>0.22469898653471601</v>
      </c>
      <c r="J671">
        <v>0.17713927943862801</v>
      </c>
      <c r="K671">
        <v>0.167674324422775</v>
      </c>
      <c r="L671">
        <v>662.24092281861101</v>
      </c>
      <c r="M671">
        <v>11.328909805691399</v>
      </c>
      <c r="N671">
        <v>58.4558633141813</v>
      </c>
      <c r="O671">
        <v>56.723303053724699</v>
      </c>
      <c r="P671">
        <v>-4.9945617465575097E-2</v>
      </c>
      <c r="Q671">
        <v>0</v>
      </c>
      <c r="R671">
        <v>0.96344318710391696</v>
      </c>
      <c r="S671" t="s">
        <v>5411</v>
      </c>
      <c r="T671" t="s">
        <v>9478</v>
      </c>
      <c r="U671" t="s">
        <v>9478</v>
      </c>
      <c r="V671" t="s">
        <v>9478</v>
      </c>
      <c r="W671">
        <v>15</v>
      </c>
      <c r="X671" t="s">
        <v>10149</v>
      </c>
      <c r="Y671">
        <v>0.62490657465068822</v>
      </c>
      <c r="Z671" t="str">
        <f>HYPERLINK("Melting_Curves/meltCurve_sp_P09651_3_ROA1_HUMAN_.pdf", "Melting_Curves/meltCurve_sp_P09651_3_ROA1_HUMAN_.pdf")</f>
        <v>Melting_Curves/meltCurve_sp_P09651_3_ROA1_HUMAN_.pdf</v>
      </c>
      <c r="AA671" t="s">
        <v>14875</v>
      </c>
      <c r="AB671" t="s">
        <v>19506</v>
      </c>
    </row>
    <row r="672" spans="1:28" x14ac:dyDescent="0.25">
      <c r="A672" t="s">
        <v>676</v>
      </c>
      <c r="B672">
        <v>0.99904790336628502</v>
      </c>
      <c r="C672">
        <v>1.05094362660479</v>
      </c>
      <c r="D672">
        <v>1.05578325339059</v>
      </c>
      <c r="E672">
        <v>1.05137850249114</v>
      </c>
      <c r="F672">
        <v>0.90966020196212305</v>
      </c>
      <c r="G672">
        <v>0.645950473833238</v>
      </c>
      <c r="H672">
        <v>0.29515210314805002</v>
      </c>
      <c r="I672">
        <v>0.19124269177396599</v>
      </c>
      <c r="J672">
        <v>0.176136632318321</v>
      </c>
      <c r="K672">
        <v>0.196437166855915</v>
      </c>
      <c r="L672">
        <v>1749.9495125078299</v>
      </c>
      <c r="M672">
        <v>30.4497027520815</v>
      </c>
      <c r="N672">
        <v>58.280679170871998</v>
      </c>
      <c r="O672">
        <v>57.224000658502398</v>
      </c>
      <c r="P672">
        <v>-0.110066879300598</v>
      </c>
      <c r="Q672">
        <v>0.17261214447054499</v>
      </c>
      <c r="R672">
        <v>0.99226027058176502</v>
      </c>
      <c r="S672" t="s">
        <v>5412</v>
      </c>
      <c r="T672" t="s">
        <v>9478</v>
      </c>
      <c r="U672" t="s">
        <v>9478</v>
      </c>
      <c r="V672" t="s">
        <v>9478</v>
      </c>
      <c r="W672">
        <v>13</v>
      </c>
      <c r="X672" t="s">
        <v>10150</v>
      </c>
      <c r="Y672">
        <v>0.65978185643364706</v>
      </c>
      <c r="Z672" t="str">
        <f>HYPERLINK("Melting_Curves/meltCurve_sp_P09661_RU2A_HUMAN_.pdf", "Melting_Curves/meltCurve_sp_P09661_RU2A_HUMAN_.pdf")</f>
        <v>Melting_Curves/meltCurve_sp_P09661_RU2A_HUMAN_.pdf</v>
      </c>
      <c r="AA672" t="s">
        <v>14876</v>
      </c>
      <c r="AB672" t="s">
        <v>19507</v>
      </c>
    </row>
    <row r="673" spans="1:28" x14ac:dyDescent="0.25">
      <c r="A673" t="s">
        <v>677</v>
      </c>
      <c r="B673">
        <v>0.99904790336628502</v>
      </c>
      <c r="C673">
        <v>0.98679561326518495</v>
      </c>
      <c r="D673">
        <v>0.96775164247581402</v>
      </c>
      <c r="E673">
        <v>0.93996970444792904</v>
      </c>
      <c r="F673">
        <v>0.84885385581393802</v>
      </c>
      <c r="G673">
        <v>0.74755569331682203</v>
      </c>
      <c r="H673">
        <v>0.53154193031714003</v>
      </c>
      <c r="I673">
        <v>0.43711036229599598</v>
      </c>
      <c r="J673">
        <v>0.29541082512311301</v>
      </c>
      <c r="K673">
        <v>0.18077134887589599</v>
      </c>
      <c r="L673">
        <v>712.56552640007305</v>
      </c>
      <c r="M673">
        <v>11.507468235265099</v>
      </c>
      <c r="N673">
        <v>61.922006835556502</v>
      </c>
      <c r="O673">
        <v>60.140589871548997</v>
      </c>
      <c r="P673">
        <v>-4.7849264881646397E-2</v>
      </c>
      <c r="Q673">
        <v>0</v>
      </c>
      <c r="R673">
        <v>0.99646054742317403</v>
      </c>
      <c r="S673" t="s">
        <v>5413</v>
      </c>
      <c r="T673" t="s">
        <v>9478</v>
      </c>
      <c r="U673" t="s">
        <v>9478</v>
      </c>
      <c r="V673" t="s">
        <v>9478</v>
      </c>
      <c r="W673">
        <v>7</v>
      </c>
      <c r="X673" t="s">
        <v>10151</v>
      </c>
      <c r="Y673">
        <v>0.71799186841078244</v>
      </c>
      <c r="Z673" t="str">
        <f>HYPERLINK("Melting_Curves/meltCurve_sp_P09668_CATH_HUMAN_.pdf", "Melting_Curves/meltCurve_sp_P09668_CATH_HUMAN_.pdf")</f>
        <v>Melting_Curves/meltCurve_sp_P09668_CATH_HUMAN_.pdf</v>
      </c>
      <c r="AA673" t="s">
        <v>14877</v>
      </c>
      <c r="AB673" t="s">
        <v>19508</v>
      </c>
    </row>
    <row r="674" spans="1:28" x14ac:dyDescent="0.25">
      <c r="A674" t="s">
        <v>678</v>
      </c>
      <c r="B674">
        <v>0.99904790336628502</v>
      </c>
      <c r="C674">
        <v>1.0021405319500101</v>
      </c>
      <c r="D674">
        <v>0.978313473693458</v>
      </c>
      <c r="E674">
        <v>0.67608419295341704</v>
      </c>
      <c r="F674">
        <v>0.41338880487205898</v>
      </c>
      <c r="G674">
        <v>0.25380486015537201</v>
      </c>
      <c r="H674">
        <v>0.14273651181994301</v>
      </c>
      <c r="I674">
        <v>9.5917430288279801E-2</v>
      </c>
      <c r="J674">
        <v>7.4361052607702705E-2</v>
      </c>
      <c r="K674">
        <v>4.5663719819823097E-2</v>
      </c>
      <c r="L674">
        <v>989.32184408808405</v>
      </c>
      <c r="M674">
        <v>19.076472167396499</v>
      </c>
      <c r="N674">
        <v>52.277405870040702</v>
      </c>
      <c r="O674">
        <v>51.301028377790303</v>
      </c>
      <c r="P674">
        <v>-8.6412000807567793E-2</v>
      </c>
      <c r="Q674">
        <v>7.0509360162617496E-2</v>
      </c>
      <c r="R674">
        <v>0.99490633500832404</v>
      </c>
      <c r="S674" t="s">
        <v>5414</v>
      </c>
      <c r="T674" t="s">
        <v>9478</v>
      </c>
      <c r="U674" t="s">
        <v>9478</v>
      </c>
      <c r="V674" t="s">
        <v>9478</v>
      </c>
      <c r="W674">
        <v>15</v>
      </c>
      <c r="X674" t="s">
        <v>10152</v>
      </c>
      <c r="Y674">
        <v>0.45199780154618691</v>
      </c>
      <c r="Z674" t="str">
        <f>HYPERLINK("Melting_Curves/meltCurve_sp_P09871_C1S_HUMAN_.pdf", "Melting_Curves/meltCurve_sp_P09871_C1S_HUMAN_.pdf")</f>
        <v>Melting_Curves/meltCurve_sp_P09871_C1S_HUMAN_.pdf</v>
      </c>
      <c r="AA674" t="s">
        <v>14878</v>
      </c>
      <c r="AB674" t="s">
        <v>19509</v>
      </c>
    </row>
    <row r="675" spans="1:28" x14ac:dyDescent="0.25">
      <c r="A675" t="s">
        <v>679</v>
      </c>
      <c r="B675">
        <v>0.99904790336628502</v>
      </c>
      <c r="C675">
        <v>0.92821385777273102</v>
      </c>
      <c r="D675">
        <v>0.93196169418123298</v>
      </c>
      <c r="E675">
        <v>0.82842945529156198</v>
      </c>
      <c r="F675">
        <v>0.28640739839319002</v>
      </c>
      <c r="G675">
        <v>0.17311873146270099</v>
      </c>
      <c r="H675">
        <v>0.119443063647748</v>
      </c>
      <c r="I675">
        <v>0.110154407981316</v>
      </c>
      <c r="J675">
        <v>0.10838143287186899</v>
      </c>
      <c r="K675">
        <v>9.6279437182112598E-2</v>
      </c>
      <c r="L675">
        <v>2433.4816026436902</v>
      </c>
      <c r="M675">
        <v>47.299983050139097</v>
      </c>
      <c r="N675">
        <v>51.743479577414597</v>
      </c>
      <c r="O675">
        <v>51.356123130804797</v>
      </c>
      <c r="P675">
        <v>-0.202992628491417</v>
      </c>
      <c r="Q675">
        <v>0.118401091191914</v>
      </c>
      <c r="R675">
        <v>0.99170082535973303</v>
      </c>
      <c r="S675" t="s">
        <v>5415</v>
      </c>
      <c r="T675" t="s">
        <v>9478</v>
      </c>
      <c r="U675" t="s">
        <v>9478</v>
      </c>
      <c r="V675" t="s">
        <v>9478</v>
      </c>
      <c r="W675">
        <v>16</v>
      </c>
      <c r="X675" t="s">
        <v>10153</v>
      </c>
      <c r="Y675">
        <v>0.45705121010379141</v>
      </c>
      <c r="Z675" t="str">
        <f>HYPERLINK("Melting_Curves/meltCurve_sp_P09874_PARP1_HUMAN_.pdf", "Melting_Curves/meltCurve_sp_P09874_PARP1_HUMAN_.pdf")</f>
        <v>Melting_Curves/meltCurve_sp_P09874_PARP1_HUMAN_.pdf</v>
      </c>
      <c r="AA675" t="s">
        <v>14879</v>
      </c>
      <c r="AB675" t="s">
        <v>19510</v>
      </c>
    </row>
    <row r="676" spans="1:28" x14ac:dyDescent="0.25">
      <c r="A676" t="s">
        <v>680</v>
      </c>
      <c r="B676">
        <v>0.99904790336628502</v>
      </c>
      <c r="C676">
        <v>0.93184040838313498</v>
      </c>
      <c r="D676">
        <v>0.88067706054967798</v>
      </c>
      <c r="E676">
        <v>0.44790584573022602</v>
      </c>
      <c r="F676">
        <v>0.190232132574088</v>
      </c>
      <c r="G676">
        <v>0.110374517391075</v>
      </c>
      <c r="H676">
        <v>5.96357764772356E-2</v>
      </c>
      <c r="I676">
        <v>5.0688492873193797E-2</v>
      </c>
      <c r="J676">
        <v>3.9449492818875401E-2</v>
      </c>
      <c r="K676">
        <v>4.0898568742070297E-2</v>
      </c>
      <c r="L676">
        <v>1190.88489507849</v>
      </c>
      <c r="M676">
        <v>24.123209135357399</v>
      </c>
      <c r="N676">
        <v>49.573158459272598</v>
      </c>
      <c r="O676">
        <v>49.0312713481378</v>
      </c>
      <c r="P676">
        <v>-0.11712438551319999</v>
      </c>
      <c r="Q676">
        <v>4.7776960202379502E-2</v>
      </c>
      <c r="R676">
        <v>0.99779484516299399</v>
      </c>
      <c r="S676" t="s">
        <v>5416</v>
      </c>
      <c r="T676" t="s">
        <v>9478</v>
      </c>
      <c r="U676" t="s">
        <v>9478</v>
      </c>
      <c r="V676" t="s">
        <v>9478</v>
      </c>
      <c r="W676">
        <v>8</v>
      </c>
      <c r="X676" t="s">
        <v>10154</v>
      </c>
      <c r="Y676">
        <v>0.35418548622567492</v>
      </c>
      <c r="Z676" t="str">
        <f>HYPERLINK("Melting_Curves/meltCurve_sp_P09913_IFIT2_HUMAN_.pdf", "Melting_Curves/meltCurve_sp_P09913_IFIT2_HUMAN_.pdf")</f>
        <v>Melting_Curves/meltCurve_sp_P09913_IFIT2_HUMAN_.pdf</v>
      </c>
      <c r="AA676" t="s">
        <v>14880</v>
      </c>
      <c r="AB676" t="s">
        <v>19511</v>
      </c>
    </row>
    <row r="677" spans="1:28" x14ac:dyDescent="0.25">
      <c r="A677" t="s">
        <v>681</v>
      </c>
      <c r="B677">
        <v>0.99904790336628502</v>
      </c>
      <c r="C677">
        <v>0.99051022092436203</v>
      </c>
      <c r="D677">
        <v>1.0135798521219399</v>
      </c>
      <c r="E677">
        <v>1.0198339952378499</v>
      </c>
      <c r="F677">
        <v>1.00124941730135</v>
      </c>
      <c r="G677">
        <v>0.56478237806058695</v>
      </c>
      <c r="H677">
        <v>9.0529434533579603E-2</v>
      </c>
      <c r="I677">
        <v>5.7449094881166098E-2</v>
      </c>
      <c r="J677">
        <v>4.1152983706563701E-2</v>
      </c>
      <c r="K677">
        <v>3.3048188339401097E-2</v>
      </c>
      <c r="L677">
        <v>2928.8427264205998</v>
      </c>
      <c r="M677">
        <v>51.193855071873799</v>
      </c>
      <c r="N677">
        <v>57.315207122967202</v>
      </c>
      <c r="O677">
        <v>57.123729726102503</v>
      </c>
      <c r="P677">
        <v>-0.21407609287594201</v>
      </c>
      <c r="Q677">
        <v>4.4509122829867603E-2</v>
      </c>
      <c r="R677">
        <v>0.99935810561396399</v>
      </c>
      <c r="S677" t="s">
        <v>5417</v>
      </c>
      <c r="T677" t="s">
        <v>9478</v>
      </c>
      <c r="U677" t="s">
        <v>9478</v>
      </c>
      <c r="V677" t="s">
        <v>9478</v>
      </c>
      <c r="W677">
        <v>35</v>
      </c>
      <c r="X677" t="s">
        <v>10155</v>
      </c>
      <c r="Y677">
        <v>0.59496335784495014</v>
      </c>
      <c r="Z677" t="str">
        <f>HYPERLINK("Melting_Curves/meltCurve_sp_P09960_LKHA4_HUMAN_.pdf", "Melting_Curves/meltCurve_sp_P09960_LKHA4_HUMAN_.pdf")</f>
        <v>Melting_Curves/meltCurve_sp_P09960_LKHA4_HUMAN_.pdf</v>
      </c>
      <c r="AA677" t="s">
        <v>14881</v>
      </c>
      <c r="AB677" t="s">
        <v>19512</v>
      </c>
    </row>
    <row r="678" spans="1:28" x14ac:dyDescent="0.25">
      <c r="A678" t="s">
        <v>682</v>
      </c>
      <c r="B678">
        <v>0.99904790336628502</v>
      </c>
      <c r="C678">
        <v>1.00461731260552</v>
      </c>
      <c r="D678">
        <v>1.1140574501526701</v>
      </c>
      <c r="E678">
        <v>0.99048815794676404</v>
      </c>
      <c r="F678">
        <v>0.52017978201565296</v>
      </c>
      <c r="G678">
        <v>0.13278048311099999</v>
      </c>
      <c r="H678">
        <v>5.84788393150701E-2</v>
      </c>
      <c r="I678">
        <v>3.7048064175926203E-2</v>
      </c>
      <c r="J678">
        <v>2.8142094870722601E-2</v>
      </c>
      <c r="K678">
        <v>1.9937355719980499E-2</v>
      </c>
      <c r="L678">
        <v>2527.09821437557</v>
      </c>
      <c r="M678">
        <v>47.629807157172202</v>
      </c>
      <c r="N678">
        <v>53.166172723361797</v>
      </c>
      <c r="O678">
        <v>52.963798153148097</v>
      </c>
      <c r="P678">
        <v>-0.214354325188261</v>
      </c>
      <c r="Q678">
        <v>4.65628055248078E-2</v>
      </c>
      <c r="R678">
        <v>0.99105415693986099</v>
      </c>
      <c r="S678" t="s">
        <v>5418</v>
      </c>
      <c r="T678" t="s">
        <v>9478</v>
      </c>
      <c r="U678" t="s">
        <v>9478</v>
      </c>
      <c r="V678" t="s">
        <v>9478</v>
      </c>
      <c r="W678">
        <v>31</v>
      </c>
      <c r="X678" t="s">
        <v>10156</v>
      </c>
      <c r="Y678">
        <v>0.4639925931738535</v>
      </c>
      <c r="Z678" t="str">
        <f>HYPERLINK("Melting_Curves/meltCurve_sp_P09972_ALDOC_HUMAN_.pdf", "Melting_Curves/meltCurve_sp_P09972_ALDOC_HUMAN_.pdf")</f>
        <v>Melting_Curves/meltCurve_sp_P09972_ALDOC_HUMAN_.pdf</v>
      </c>
      <c r="AA678" t="s">
        <v>14882</v>
      </c>
      <c r="AB678" t="s">
        <v>19513</v>
      </c>
    </row>
    <row r="679" spans="1:28" x14ac:dyDescent="0.25">
      <c r="A679" t="s">
        <v>683</v>
      </c>
      <c r="B679">
        <v>0.99904790336628502</v>
      </c>
      <c r="C679">
        <v>1.0130807801275801</v>
      </c>
      <c r="D679">
        <v>1.0623591467931399</v>
      </c>
      <c r="E679">
        <v>1.00338027643914</v>
      </c>
      <c r="F679">
        <v>0.866840554170481</v>
      </c>
      <c r="G679">
        <v>0.71964393959084005</v>
      </c>
      <c r="H679">
        <v>0.38523491984455499</v>
      </c>
      <c r="I679">
        <v>0.13947368915671601</v>
      </c>
      <c r="J679">
        <v>0.10048312582654099</v>
      </c>
      <c r="K679">
        <v>7.3468797222360702E-2</v>
      </c>
      <c r="L679">
        <v>1253.78633483248</v>
      </c>
      <c r="M679">
        <v>21.170900753291299</v>
      </c>
      <c r="N679">
        <v>59.3281415838347</v>
      </c>
      <c r="O679">
        <v>58.701352962037802</v>
      </c>
      <c r="P679">
        <v>-8.8492702670203496E-2</v>
      </c>
      <c r="Q679">
        <v>1.85572483200819E-2</v>
      </c>
      <c r="R679">
        <v>0.99257855523330496</v>
      </c>
      <c r="S679" t="s">
        <v>5419</v>
      </c>
      <c r="T679" t="s">
        <v>9478</v>
      </c>
      <c r="U679" t="s">
        <v>9478</v>
      </c>
      <c r="V679" t="s">
        <v>9478</v>
      </c>
      <c r="W679">
        <v>68</v>
      </c>
      <c r="X679" t="s">
        <v>10157</v>
      </c>
      <c r="Y679">
        <v>0.6566198648527769</v>
      </c>
      <c r="Z679" t="str">
        <f>HYPERLINK("Melting_Curves/meltCurve_sp_P0C0L5_CO4B_HUMAN_.pdf", "Melting_Curves/meltCurve_sp_P0C0L5_CO4B_HUMAN_.pdf")</f>
        <v>Melting_Curves/meltCurve_sp_P0C0L5_CO4B_HUMAN_.pdf</v>
      </c>
      <c r="AA679" t="s">
        <v>14883</v>
      </c>
      <c r="AB679" t="s">
        <v>19514</v>
      </c>
    </row>
    <row r="680" spans="1:28" x14ac:dyDescent="0.25">
      <c r="A680" t="s">
        <v>684</v>
      </c>
      <c r="B680">
        <v>0.99904790336628502</v>
      </c>
      <c r="C680">
        <v>0.83582166470524299</v>
      </c>
      <c r="D680">
        <v>0.47098536364812998</v>
      </c>
      <c r="E680">
        <v>0.26087113610203799</v>
      </c>
      <c r="F680">
        <v>0.150286049579335</v>
      </c>
      <c r="G680">
        <v>7.7851716921334996E-2</v>
      </c>
      <c r="H680">
        <v>5.4181704631926501E-2</v>
      </c>
      <c r="I680">
        <v>5.6321943314820599E-2</v>
      </c>
      <c r="J680">
        <v>6.8803547630503503E-2</v>
      </c>
      <c r="K680">
        <v>6.6798782613611898E-2</v>
      </c>
      <c r="L680">
        <v>915.89689979550496</v>
      </c>
      <c r="M680">
        <v>19.959968677619798</v>
      </c>
      <c r="N680">
        <v>46.216786957793602</v>
      </c>
      <c r="O680">
        <v>45.433556145325802</v>
      </c>
      <c r="P680">
        <v>-0.102537724953949</v>
      </c>
      <c r="Q680">
        <v>6.6431509856791499E-2</v>
      </c>
      <c r="R680">
        <v>0.99259229460129705</v>
      </c>
      <c r="S680" t="s">
        <v>5420</v>
      </c>
      <c r="T680" t="s">
        <v>9478</v>
      </c>
      <c r="U680" t="s">
        <v>9478</v>
      </c>
      <c r="V680" t="s">
        <v>9478</v>
      </c>
      <c r="W680">
        <v>5</v>
      </c>
      <c r="X680" t="s">
        <v>10158</v>
      </c>
      <c r="Y680">
        <v>0.2642375487973278</v>
      </c>
      <c r="Z680" t="str">
        <f>HYPERLINK("Melting_Curves/meltCurve_sp_P0C7P0_CISD3_HUMAN_.pdf", "Melting_Curves/meltCurve_sp_P0C7P0_CISD3_HUMAN_.pdf")</f>
        <v>Melting_Curves/meltCurve_sp_P0C7P0_CISD3_HUMAN_.pdf</v>
      </c>
      <c r="AA680" t="s">
        <v>14884</v>
      </c>
      <c r="AB680" t="s">
        <v>19515</v>
      </c>
    </row>
    <row r="681" spans="1:28" x14ac:dyDescent="0.25">
      <c r="A681" t="s">
        <v>685</v>
      </c>
      <c r="B681">
        <v>0.99904790336628502</v>
      </c>
      <c r="C681">
        <v>0.89703682312983801</v>
      </c>
      <c r="D681">
        <v>0.83573409741412397</v>
      </c>
      <c r="E681">
        <v>0.790592582476626</v>
      </c>
      <c r="F681">
        <v>0.77536994821151595</v>
      </c>
      <c r="G681">
        <v>0.52405379556807496</v>
      </c>
      <c r="H681">
        <v>0.471669621105829</v>
      </c>
      <c r="I681">
        <v>0.32073271494472</v>
      </c>
      <c r="J681">
        <v>0.34430128447819702</v>
      </c>
      <c r="K681">
        <v>0.37179786636659901</v>
      </c>
      <c r="L681">
        <v>475.00646109544698</v>
      </c>
      <c r="M681">
        <v>8.5163153074585392</v>
      </c>
      <c r="N681">
        <v>59.236419247960399</v>
      </c>
      <c r="O681">
        <v>52.955784303092699</v>
      </c>
      <c r="P681">
        <v>-3.23547124456229E-2</v>
      </c>
      <c r="Q681">
        <v>0.19597272460440401</v>
      </c>
      <c r="R681">
        <v>0.95852181152270899</v>
      </c>
      <c r="S681" t="s">
        <v>5421</v>
      </c>
      <c r="T681" t="s">
        <v>9478</v>
      </c>
      <c r="U681" t="s">
        <v>9478</v>
      </c>
      <c r="V681" t="s">
        <v>9478</v>
      </c>
      <c r="W681">
        <v>2</v>
      </c>
      <c r="X681" t="s">
        <v>10159</v>
      </c>
      <c r="Y681">
        <v>0.63641807131608785</v>
      </c>
      <c r="Z681" t="str">
        <f>HYPERLINK("Melting_Curves/meltCurve_sp_P0C7T5_ATX1L_HUMAN_.pdf", "Melting_Curves/meltCurve_sp_P0C7T5_ATX1L_HUMAN_.pdf")</f>
        <v>Melting_Curves/meltCurve_sp_P0C7T5_ATX1L_HUMAN_.pdf</v>
      </c>
      <c r="AA681" t="s">
        <v>14885</v>
      </c>
      <c r="AB681" t="s">
        <v>19516</v>
      </c>
    </row>
    <row r="682" spans="1:28" x14ac:dyDescent="0.25">
      <c r="A682" t="s">
        <v>686</v>
      </c>
      <c r="B682">
        <v>0.99904790336628502</v>
      </c>
      <c r="C682">
        <v>1.10996237201859</v>
      </c>
      <c r="D682">
        <v>0.94479441269982301</v>
      </c>
      <c r="E682">
        <v>0.93124689645186098</v>
      </c>
      <c r="F682">
        <v>0.84504047732189502</v>
      </c>
      <c r="G682">
        <v>0.60108633800054501</v>
      </c>
      <c r="H682">
        <v>0.57002037825276497</v>
      </c>
      <c r="I682">
        <v>0.471598246138207</v>
      </c>
      <c r="J682">
        <v>0.33046382738772001</v>
      </c>
      <c r="K682">
        <v>0.41273090950741997</v>
      </c>
      <c r="L682">
        <v>859.22340411810899</v>
      </c>
      <c r="M682">
        <v>15.1927283728156</v>
      </c>
      <c r="N682">
        <v>61.445512991592103</v>
      </c>
      <c r="O682">
        <v>55.602236111873196</v>
      </c>
      <c r="P682">
        <v>-4.4351987730102502E-2</v>
      </c>
      <c r="Q682">
        <v>0.35078608086505197</v>
      </c>
      <c r="R682">
        <v>0.95830285872445797</v>
      </c>
      <c r="S682" t="s">
        <v>5422</v>
      </c>
      <c r="T682" t="s">
        <v>9478</v>
      </c>
      <c r="U682" t="s">
        <v>9478</v>
      </c>
      <c r="V682" t="s">
        <v>9478</v>
      </c>
      <c r="W682">
        <v>1</v>
      </c>
      <c r="X682" t="s">
        <v>10160</v>
      </c>
      <c r="Y682">
        <v>0.71980284930828298</v>
      </c>
      <c r="Z682" t="str">
        <f>HYPERLINK("Melting_Curves/meltCurve_sp_P0C7U0_ELFN1_HUMAN_.pdf", "Melting_Curves/meltCurve_sp_P0C7U0_ELFN1_HUMAN_.pdf")</f>
        <v>Melting_Curves/meltCurve_sp_P0C7U0_ELFN1_HUMAN_.pdf</v>
      </c>
      <c r="AA682" t="s">
        <v>14886</v>
      </c>
      <c r="AB682" t="s">
        <v>19517</v>
      </c>
    </row>
    <row r="683" spans="1:28" x14ac:dyDescent="0.25">
      <c r="A683" t="s">
        <v>687</v>
      </c>
      <c r="B683">
        <v>0.99904790336628502</v>
      </c>
      <c r="C683">
        <v>0.987456801824249</v>
      </c>
      <c r="D683">
        <v>1.0229163576300699</v>
      </c>
      <c r="E683">
        <v>0.77416958063739505</v>
      </c>
      <c r="F683">
        <v>0.91323742835183697</v>
      </c>
      <c r="G683">
        <v>0.51786835294270495</v>
      </c>
      <c r="H683">
        <v>0.142448416482407</v>
      </c>
      <c r="I683">
        <v>0.11284212201459901</v>
      </c>
      <c r="J683">
        <v>9.6409806550244601E-2</v>
      </c>
      <c r="K683">
        <v>0.13244393560380499</v>
      </c>
      <c r="L683">
        <v>1531.5717976671301</v>
      </c>
      <c r="M683">
        <v>27.0865281213554</v>
      </c>
      <c r="N683">
        <v>56.933050322792198</v>
      </c>
      <c r="O683">
        <v>56.238171201377497</v>
      </c>
      <c r="P683">
        <v>-0.110230081445139</v>
      </c>
      <c r="Q683">
        <v>8.4551916454455006E-2</v>
      </c>
      <c r="R683">
        <v>0.96871481054511599</v>
      </c>
      <c r="S683" t="s">
        <v>5423</v>
      </c>
      <c r="T683" t="s">
        <v>9478</v>
      </c>
      <c r="U683" t="s">
        <v>9478</v>
      </c>
      <c r="V683" t="s">
        <v>9478</v>
      </c>
      <c r="W683">
        <v>2</v>
      </c>
      <c r="X683" t="s">
        <v>10161</v>
      </c>
      <c r="Y683">
        <v>0.59668031782680564</v>
      </c>
      <c r="Z683" t="str">
        <f>HYPERLINK("Melting_Curves/meltCurve_sp_P0C870_JMJD7_HUMAN_.pdf", "Melting_Curves/meltCurve_sp_P0C870_JMJD7_HUMAN_.pdf")</f>
        <v>Melting_Curves/meltCurve_sp_P0C870_JMJD7_HUMAN_.pdf</v>
      </c>
      <c r="AA683" t="s">
        <v>14887</v>
      </c>
      <c r="AB683" t="s">
        <v>19518</v>
      </c>
    </row>
    <row r="684" spans="1:28" x14ac:dyDescent="0.25">
      <c r="A684" t="s">
        <v>688</v>
      </c>
      <c r="B684">
        <v>0.99904790336628502</v>
      </c>
      <c r="C684">
        <v>1.0817023726869599</v>
      </c>
      <c r="D684">
        <v>0.98456618946352004</v>
      </c>
      <c r="E684">
        <v>0.94137790903427998</v>
      </c>
      <c r="F684">
        <v>0.85520429024276901</v>
      </c>
      <c r="G684">
        <v>0.64134169617354397</v>
      </c>
      <c r="H684">
        <v>0.529670280797226</v>
      </c>
      <c r="I684">
        <v>0.56370668904208099</v>
      </c>
      <c r="J684">
        <v>0.59615120652852105</v>
      </c>
      <c r="K684">
        <v>0.514589479137879</v>
      </c>
      <c r="L684">
        <v>1520.1030254955999</v>
      </c>
      <c r="M684">
        <v>28.019201107752</v>
      </c>
      <c r="O684">
        <v>53.978096987259399</v>
      </c>
      <c r="P684">
        <v>-5.9041248231138897E-2</v>
      </c>
      <c r="Q684">
        <v>0.54503956495235895</v>
      </c>
      <c r="R684">
        <v>0.97269322387466495</v>
      </c>
      <c r="S684" t="s">
        <v>5424</v>
      </c>
      <c r="T684" t="s">
        <v>9478</v>
      </c>
      <c r="U684" t="s">
        <v>9478</v>
      </c>
      <c r="V684" t="s">
        <v>9478</v>
      </c>
      <c r="W684">
        <v>4</v>
      </c>
      <c r="X684" t="s">
        <v>10162</v>
      </c>
      <c r="Y684">
        <v>0.76459170688016487</v>
      </c>
      <c r="Z684" t="str">
        <f>HYPERLINK("Melting_Curves/meltCurve_sp_P0CAP1_11_MYZAP_HUMAN_.pdf", "Melting_Curves/meltCurve_sp_P0CAP1_11_MYZAP_HUMAN_.pdf")</f>
        <v>Melting_Curves/meltCurve_sp_P0CAP1_11_MYZAP_HUMAN_.pdf</v>
      </c>
      <c r="AA684" t="s">
        <v>14888</v>
      </c>
      <c r="AB684" t="s">
        <v>19519</v>
      </c>
    </row>
    <row r="685" spans="1:28" x14ac:dyDescent="0.25">
      <c r="A685" t="s">
        <v>689</v>
      </c>
      <c r="B685">
        <v>0.99904790336628502</v>
      </c>
      <c r="C685">
        <v>0.840303378200283</v>
      </c>
      <c r="D685">
        <v>0.85420506040154298</v>
      </c>
      <c r="E685">
        <v>0.90351356070307198</v>
      </c>
      <c r="F685">
        <v>0.84948305504538701</v>
      </c>
      <c r="G685">
        <v>0.77893462571832095</v>
      </c>
      <c r="H685">
        <v>0.60442400763217097</v>
      </c>
      <c r="I685">
        <v>0.47713713474049801</v>
      </c>
      <c r="J685">
        <v>0.35893276868204599</v>
      </c>
      <c r="K685">
        <v>0.29706799161868502</v>
      </c>
      <c r="L685">
        <v>525.29001604850203</v>
      </c>
      <c r="M685">
        <v>8.2800056866156702</v>
      </c>
      <c r="N685">
        <v>63.440776422577301</v>
      </c>
      <c r="O685">
        <v>60.063272373141899</v>
      </c>
      <c r="P685">
        <v>-3.4497948597120097E-2</v>
      </c>
      <c r="Q685">
        <v>0</v>
      </c>
      <c r="R685">
        <v>0.93222591912258201</v>
      </c>
      <c r="S685" t="s">
        <v>5425</v>
      </c>
      <c r="T685" t="s">
        <v>9478</v>
      </c>
      <c r="U685" t="s">
        <v>9478</v>
      </c>
      <c r="V685" t="s">
        <v>9478</v>
      </c>
      <c r="W685">
        <v>5</v>
      </c>
      <c r="X685" t="s">
        <v>10163</v>
      </c>
      <c r="Y685">
        <v>0.73004510015268886</v>
      </c>
      <c r="Z685" t="str">
        <f>HYPERLINK("Melting_Curves/meltCurve_sp_P0CG05_LAC2_HUMAN_.pdf", "Melting_Curves/meltCurve_sp_P0CG05_LAC2_HUMAN_.pdf")</f>
        <v>Melting_Curves/meltCurve_sp_P0CG05_LAC2_HUMAN_.pdf</v>
      </c>
      <c r="AA685" t="s">
        <v>14889</v>
      </c>
      <c r="AB685" t="s">
        <v>19520</v>
      </c>
    </row>
    <row r="686" spans="1:28" x14ac:dyDescent="0.25">
      <c r="A686" t="s">
        <v>690</v>
      </c>
      <c r="B686">
        <v>0.99904790336628502</v>
      </c>
      <c r="C686">
        <v>1.03949313924409</v>
      </c>
      <c r="D686">
        <v>1.0719634975202199</v>
      </c>
      <c r="E686">
        <v>0.87000930576850499</v>
      </c>
      <c r="F686">
        <v>0.81762513679653004</v>
      </c>
      <c r="G686">
        <v>0.52361093441880102</v>
      </c>
      <c r="H686">
        <v>0.25687862700992098</v>
      </c>
      <c r="I686">
        <v>9.5542601098216995E-2</v>
      </c>
      <c r="J686">
        <v>4.6487358542841799E-2</v>
      </c>
      <c r="K686">
        <v>2.7544831198518201E-2</v>
      </c>
      <c r="L686">
        <v>1060.1728234725099</v>
      </c>
      <c r="M686">
        <v>18.543596800106702</v>
      </c>
      <c r="N686">
        <v>57.171909512492903</v>
      </c>
      <c r="O686">
        <v>56.519470418998203</v>
      </c>
      <c r="P686">
        <v>-8.2026646363360906E-2</v>
      </c>
      <c r="Q686">
        <v>0</v>
      </c>
      <c r="R686">
        <v>0.99165550319419105</v>
      </c>
      <c r="S686" t="s">
        <v>5426</v>
      </c>
      <c r="T686" t="s">
        <v>9478</v>
      </c>
      <c r="U686" t="s">
        <v>9478</v>
      </c>
      <c r="V686" t="s">
        <v>9478</v>
      </c>
      <c r="W686">
        <v>3</v>
      </c>
      <c r="X686" t="s">
        <v>10164</v>
      </c>
      <c r="Y686">
        <v>0.58552903027080383</v>
      </c>
      <c r="Z686" t="str">
        <f>HYPERLINK("Melting_Curves/meltCurve_sp_P0CW22_RS17L_HUMAN_.pdf", "Melting_Curves/meltCurve_sp_P0CW22_RS17L_HUMAN_.pdf")</f>
        <v>Melting_Curves/meltCurve_sp_P0CW22_RS17L_HUMAN_.pdf</v>
      </c>
      <c r="AA686" t="s">
        <v>14890</v>
      </c>
      <c r="AB686" t="s">
        <v>19521</v>
      </c>
    </row>
    <row r="687" spans="1:28" x14ac:dyDescent="0.25">
      <c r="A687" t="s">
        <v>691</v>
      </c>
      <c r="B687">
        <v>0.99904790336628502</v>
      </c>
      <c r="C687">
        <v>1.1076523719909099</v>
      </c>
      <c r="D687">
        <v>1.0138762002683399</v>
      </c>
      <c r="E687">
        <v>0.68491986669416904</v>
      </c>
      <c r="F687">
        <v>0.43755181122605402</v>
      </c>
      <c r="G687">
        <v>0.244958920101989</v>
      </c>
      <c r="H687">
        <v>0.250594833671267</v>
      </c>
      <c r="I687">
        <v>0.17458397215937499</v>
      </c>
      <c r="J687">
        <v>0.137081038167819</v>
      </c>
      <c r="K687">
        <v>0.18762423408102599</v>
      </c>
      <c r="L687">
        <v>1346.02987083575</v>
      </c>
      <c r="M687">
        <v>26.287681822729301</v>
      </c>
      <c r="N687">
        <v>52.120792849040498</v>
      </c>
      <c r="O687">
        <v>50.910267521372703</v>
      </c>
      <c r="P687">
        <v>-0.105189857470637</v>
      </c>
      <c r="Q687">
        <v>0.185141572765916</v>
      </c>
      <c r="R687">
        <v>0.983688013554878</v>
      </c>
      <c r="S687" t="s">
        <v>5427</v>
      </c>
      <c r="T687" t="s">
        <v>9478</v>
      </c>
      <c r="U687" t="s">
        <v>9478</v>
      </c>
      <c r="V687" t="s">
        <v>9478</v>
      </c>
      <c r="W687">
        <v>2</v>
      </c>
      <c r="X687" t="s">
        <v>10165</v>
      </c>
      <c r="Y687">
        <v>0.49614318351584519</v>
      </c>
      <c r="Z687" t="str">
        <f>HYPERLINK("Melting_Curves/meltCurve_sp_P0DI82_TPC2B_HUMAN_.pdf", "Melting_Curves/meltCurve_sp_P0DI82_TPC2B_HUMAN_.pdf")</f>
        <v>Melting_Curves/meltCurve_sp_P0DI82_TPC2B_HUMAN_.pdf</v>
      </c>
      <c r="AA687" t="s">
        <v>14891</v>
      </c>
      <c r="AB687" t="s">
        <v>19522</v>
      </c>
    </row>
    <row r="688" spans="1:28" x14ac:dyDescent="0.25">
      <c r="A688" t="s">
        <v>692</v>
      </c>
      <c r="B688">
        <v>0.99904790336628502</v>
      </c>
      <c r="C688">
        <v>0.78267463021115402</v>
      </c>
      <c r="D688">
        <v>0.73913485670799695</v>
      </c>
      <c r="E688">
        <v>0.60354923872907096</v>
      </c>
      <c r="F688">
        <v>0.43207618639107997</v>
      </c>
      <c r="G688">
        <v>0.29105477767350202</v>
      </c>
      <c r="H688">
        <v>0.19733328278138501</v>
      </c>
      <c r="I688">
        <v>0.15759758856592501</v>
      </c>
      <c r="J688">
        <v>0.116087312467492</v>
      </c>
      <c r="K688">
        <v>0.10463662035079201</v>
      </c>
      <c r="L688">
        <v>460.499074111575</v>
      </c>
      <c r="M688">
        <v>8.9650407647653694</v>
      </c>
      <c r="N688">
        <v>51.504937920007301</v>
      </c>
      <c r="O688">
        <v>49.003331650207599</v>
      </c>
      <c r="P688">
        <v>-4.5224086198074699E-2</v>
      </c>
      <c r="Q688">
        <v>1.19404063810349E-2</v>
      </c>
      <c r="R688">
        <v>0.98690286082030598</v>
      </c>
      <c r="S688" t="s">
        <v>5428</v>
      </c>
      <c r="T688" t="s">
        <v>9478</v>
      </c>
      <c r="U688" t="s">
        <v>9478</v>
      </c>
      <c r="V688" t="s">
        <v>9478</v>
      </c>
      <c r="W688">
        <v>3</v>
      </c>
      <c r="X688" t="s">
        <v>10166</v>
      </c>
      <c r="Y688">
        <v>0.4312818788056294</v>
      </c>
      <c r="Z688" t="str">
        <f>HYPERLINK("Melting_Curves/meltCurve_sp_P0DJI8_SAA1_HUMAN_.pdf", "Melting_Curves/meltCurve_sp_P0DJI8_SAA1_HUMAN_.pdf")</f>
        <v>Melting_Curves/meltCurve_sp_P0DJI8_SAA1_HUMAN_.pdf</v>
      </c>
      <c r="AA688" t="s">
        <v>14892</v>
      </c>
      <c r="AB688" t="s">
        <v>19523</v>
      </c>
    </row>
    <row r="689" spans="1:28" x14ac:dyDescent="0.25">
      <c r="A689" t="s">
        <v>693</v>
      </c>
      <c r="B689">
        <v>0.99904790336628502</v>
      </c>
      <c r="C689">
        <v>0.95177535373339495</v>
      </c>
      <c r="D689">
        <v>0.89221894751257202</v>
      </c>
      <c r="E689">
        <v>0.92590121317443297</v>
      </c>
      <c r="F689">
        <v>0.989752595770375</v>
      </c>
      <c r="G689">
        <v>0.79746920948703603</v>
      </c>
      <c r="H689">
        <v>0.74071696555086097</v>
      </c>
      <c r="I689">
        <v>0.75685562972013398</v>
      </c>
      <c r="J689">
        <v>0.75304346638682895</v>
      </c>
      <c r="K689">
        <v>0.72715013856775301</v>
      </c>
      <c r="L689">
        <v>424.298967162037</v>
      </c>
      <c r="M689">
        <v>7.2228159943303201</v>
      </c>
      <c r="O689">
        <v>54.7424295860516</v>
      </c>
      <c r="P689">
        <v>-1.2291536308014101E-2</v>
      </c>
      <c r="Q689">
        <v>0.62797967444120995</v>
      </c>
      <c r="R689">
        <v>0.81133562542891002</v>
      </c>
      <c r="S689" t="s">
        <v>5429</v>
      </c>
      <c r="T689" t="s">
        <v>9478</v>
      </c>
      <c r="U689" t="s">
        <v>9478</v>
      </c>
      <c r="V689" t="s">
        <v>9478</v>
      </c>
      <c r="W689">
        <v>10</v>
      </c>
      <c r="X689" t="s">
        <v>10167</v>
      </c>
      <c r="Y689">
        <v>0.85751187855470179</v>
      </c>
      <c r="Z689" t="str">
        <f>HYPERLINK("Melting_Curves/meltCurve_sp_P10109_ADX_HUMAN_.pdf", "Melting_Curves/meltCurve_sp_P10109_ADX_HUMAN_.pdf")</f>
        <v>Melting_Curves/meltCurve_sp_P10109_ADX_HUMAN_.pdf</v>
      </c>
      <c r="AA689" t="s">
        <v>14893</v>
      </c>
      <c r="AB689" t="s">
        <v>19524</v>
      </c>
    </row>
    <row r="690" spans="1:28" x14ac:dyDescent="0.25">
      <c r="A690" t="s">
        <v>694</v>
      </c>
      <c r="B690">
        <v>0.99904790336628502</v>
      </c>
      <c r="C690">
        <v>0.95895424991031897</v>
      </c>
      <c r="D690">
        <v>0.98779932428959205</v>
      </c>
      <c r="E690">
        <v>0.84353355755389503</v>
      </c>
      <c r="F690">
        <v>0.70199415470118598</v>
      </c>
      <c r="G690">
        <v>0.53668797100877297</v>
      </c>
      <c r="H690">
        <v>0.38089093733803497</v>
      </c>
      <c r="I690">
        <v>0.29225954486907102</v>
      </c>
      <c r="J690">
        <v>0.28885961567236101</v>
      </c>
      <c r="K690">
        <v>0.24413601700863699</v>
      </c>
      <c r="L690">
        <v>760.89245258313701</v>
      </c>
      <c r="M690">
        <v>13.769105467215301</v>
      </c>
      <c r="N690">
        <v>57.497692177322797</v>
      </c>
      <c r="O690">
        <v>54.134341096973003</v>
      </c>
      <c r="P690">
        <v>-5.0409296034149301E-2</v>
      </c>
      <c r="Q690">
        <v>0.207359175570625</v>
      </c>
      <c r="R690">
        <v>0.99648529244242601</v>
      </c>
      <c r="S690" t="s">
        <v>5430</v>
      </c>
      <c r="T690" t="s">
        <v>9478</v>
      </c>
      <c r="U690" t="s">
        <v>9478</v>
      </c>
      <c r="V690" t="s">
        <v>9478</v>
      </c>
      <c r="W690">
        <v>4</v>
      </c>
      <c r="X690" t="s">
        <v>10168</v>
      </c>
      <c r="Y690">
        <v>0.62681575537667533</v>
      </c>
      <c r="Z690" t="str">
        <f>HYPERLINK("Melting_Curves/meltCurve_sp_P10153_RNAS2_HUMAN_.pdf", "Melting_Curves/meltCurve_sp_P10153_RNAS2_HUMAN_.pdf")</f>
        <v>Melting_Curves/meltCurve_sp_P10153_RNAS2_HUMAN_.pdf</v>
      </c>
      <c r="AA690" t="s">
        <v>14894</v>
      </c>
      <c r="AB690" t="s">
        <v>19525</v>
      </c>
    </row>
    <row r="691" spans="1:28" x14ac:dyDescent="0.25">
      <c r="A691" t="s">
        <v>695</v>
      </c>
      <c r="B691">
        <v>0.99904790336628502</v>
      </c>
      <c r="C691">
        <v>1.0614435184684201</v>
      </c>
      <c r="D691">
        <v>1.2122799003459599</v>
      </c>
      <c r="E691">
        <v>1.09392547044738</v>
      </c>
      <c r="F691">
        <v>0.86410064866718606</v>
      </c>
      <c r="G691">
        <v>0.85172504928297099</v>
      </c>
      <c r="H691">
        <v>0.47691758631583803</v>
      </c>
      <c r="I691">
        <v>0.24901139793344601</v>
      </c>
      <c r="J691">
        <v>9.9862078967065004E-2</v>
      </c>
      <c r="K691">
        <v>6.3060866514037903E-2</v>
      </c>
      <c r="L691">
        <v>1405.7620207361299</v>
      </c>
      <c r="M691">
        <v>23.1297510062398</v>
      </c>
      <c r="N691">
        <v>60.824057971035998</v>
      </c>
      <c r="O691">
        <v>60.328385371755203</v>
      </c>
      <c r="P691">
        <v>-9.5004680634828906E-2</v>
      </c>
      <c r="Q691">
        <v>8.8308533825061306E-3</v>
      </c>
      <c r="R691">
        <v>0.95836069186182404</v>
      </c>
      <c r="S691" t="s">
        <v>5431</v>
      </c>
      <c r="T691" t="s">
        <v>9478</v>
      </c>
      <c r="U691" t="s">
        <v>9478</v>
      </c>
      <c r="V691" t="s">
        <v>9478</v>
      </c>
      <c r="W691">
        <v>18</v>
      </c>
      <c r="X691" t="s">
        <v>10169</v>
      </c>
      <c r="Y691">
        <v>0.70199394327538511</v>
      </c>
      <c r="Z691" t="str">
        <f>HYPERLINK("Melting_Curves/meltCurve_sp_P10155_RO60_HUMAN_.pdf", "Melting_Curves/meltCurve_sp_P10155_RO60_HUMAN_.pdf")</f>
        <v>Melting_Curves/meltCurve_sp_P10155_RO60_HUMAN_.pdf</v>
      </c>
      <c r="AA691" t="s">
        <v>14895</v>
      </c>
      <c r="AB691" t="s">
        <v>19526</v>
      </c>
    </row>
    <row r="692" spans="1:28" x14ac:dyDescent="0.25">
      <c r="A692" t="s">
        <v>696</v>
      </c>
      <c r="B692">
        <v>0.99904790336628502</v>
      </c>
      <c r="C692">
        <v>1.0296924900911899</v>
      </c>
      <c r="D692">
        <v>1.05715179444302</v>
      </c>
      <c r="E692">
        <v>0.944542662879432</v>
      </c>
      <c r="F692">
        <v>0.81982555461197204</v>
      </c>
      <c r="G692">
        <v>0.55988992595328002</v>
      </c>
      <c r="H692">
        <v>0.26884333877227901</v>
      </c>
      <c r="I692">
        <v>0.12604518857086799</v>
      </c>
      <c r="J692">
        <v>9.5210095744920301E-2</v>
      </c>
      <c r="K692">
        <v>8.8287970420262596E-2</v>
      </c>
      <c r="L692">
        <v>1146.5321706483701</v>
      </c>
      <c r="M692">
        <v>20.027823339976798</v>
      </c>
      <c r="N692">
        <v>57.538224019669997</v>
      </c>
      <c r="O692">
        <v>56.685399150266697</v>
      </c>
      <c r="P692">
        <v>-8.4073653631420206E-2</v>
      </c>
      <c r="Q692">
        <v>4.8205249136863297E-2</v>
      </c>
      <c r="R692">
        <v>0.99574930544401097</v>
      </c>
      <c r="S692" t="s">
        <v>5432</v>
      </c>
      <c r="T692" t="s">
        <v>9478</v>
      </c>
      <c r="U692" t="s">
        <v>9478</v>
      </c>
      <c r="V692" t="s">
        <v>9478</v>
      </c>
      <c r="W692">
        <v>33</v>
      </c>
      <c r="X692" t="s">
        <v>10170</v>
      </c>
      <c r="Y692">
        <v>0.60683636124708185</v>
      </c>
      <c r="Z692" t="str">
        <f>HYPERLINK("Melting_Curves/meltCurve_sp_P10253_LYAG_HUMAN_.pdf", "Melting_Curves/meltCurve_sp_P10253_LYAG_HUMAN_.pdf")</f>
        <v>Melting_Curves/meltCurve_sp_P10253_LYAG_HUMAN_.pdf</v>
      </c>
      <c r="AA692" t="s">
        <v>14896</v>
      </c>
      <c r="AB692" t="s">
        <v>19527</v>
      </c>
    </row>
    <row r="693" spans="1:28" x14ac:dyDescent="0.25">
      <c r="A693" t="s">
        <v>697</v>
      </c>
      <c r="B693">
        <v>0.99904790336628502</v>
      </c>
      <c r="C693">
        <v>0.82503810054724103</v>
      </c>
      <c r="D693">
        <v>0.76195462063297004</v>
      </c>
      <c r="E693">
        <v>0.55943402987819202</v>
      </c>
      <c r="F693">
        <v>0.38043834083017097</v>
      </c>
      <c r="G693">
        <v>0.40399431414262099</v>
      </c>
      <c r="H693">
        <v>4.9519441687233497E-2</v>
      </c>
      <c r="I693">
        <v>7.0280865408329299E-2</v>
      </c>
      <c r="J693">
        <v>0</v>
      </c>
      <c r="K693">
        <v>0</v>
      </c>
      <c r="L693">
        <v>565.39845897928603</v>
      </c>
      <c r="M693">
        <v>11.0757099159928</v>
      </c>
      <c r="N693">
        <v>51.048507372687602</v>
      </c>
      <c r="O693">
        <v>49.469105700524203</v>
      </c>
      <c r="P693">
        <v>-5.5991263082279599E-2</v>
      </c>
      <c r="Q693">
        <v>0</v>
      </c>
      <c r="R693">
        <v>0.96021654135906997</v>
      </c>
      <c r="S693" t="s">
        <v>5433</v>
      </c>
      <c r="T693" t="s">
        <v>9478</v>
      </c>
      <c r="U693" t="s">
        <v>9478</v>
      </c>
      <c r="V693" t="s">
        <v>9478</v>
      </c>
      <c r="W693">
        <v>3</v>
      </c>
      <c r="X693" t="s">
        <v>10171</v>
      </c>
      <c r="Y693">
        <v>0.40460939864440543</v>
      </c>
      <c r="Z693" t="str">
        <f>HYPERLINK("Melting_Curves/meltCurve_sp_P10301_RRAS_HUMAN_.pdf", "Melting_Curves/meltCurve_sp_P10301_RRAS_HUMAN_.pdf")</f>
        <v>Melting_Curves/meltCurve_sp_P10301_RRAS_HUMAN_.pdf</v>
      </c>
      <c r="AA693" t="s">
        <v>14897</v>
      </c>
      <c r="AB693" t="s">
        <v>19528</v>
      </c>
    </row>
    <row r="694" spans="1:28" x14ac:dyDescent="0.25">
      <c r="A694" t="s">
        <v>698</v>
      </c>
      <c r="B694">
        <v>0.99904790336628502</v>
      </c>
      <c r="C694">
        <v>0.94897212711744605</v>
      </c>
      <c r="D694">
        <v>0.81973394602390903</v>
      </c>
      <c r="E694">
        <v>0.50736347019501205</v>
      </c>
      <c r="F694">
        <v>0.31099041977393799</v>
      </c>
      <c r="G694">
        <v>0.168648656735259</v>
      </c>
      <c r="H694">
        <v>0.13191038787859</v>
      </c>
      <c r="I694">
        <v>0.110019112528391</v>
      </c>
      <c r="J694">
        <v>0.12584301377419399</v>
      </c>
      <c r="K694">
        <v>0.12559433569539399</v>
      </c>
      <c r="L694">
        <v>930.37587932624604</v>
      </c>
      <c r="M694">
        <v>18.831318757358002</v>
      </c>
      <c r="N694">
        <v>50.073224760763701</v>
      </c>
      <c r="O694">
        <v>48.858743237366099</v>
      </c>
      <c r="P694">
        <v>-8.5664616753457601E-2</v>
      </c>
      <c r="Q694">
        <v>0.110993141351501</v>
      </c>
      <c r="R694">
        <v>0.99949496471279597</v>
      </c>
      <c r="S694" t="s">
        <v>5434</v>
      </c>
      <c r="T694" t="s">
        <v>9478</v>
      </c>
      <c r="U694" t="s">
        <v>9478</v>
      </c>
      <c r="V694" t="s">
        <v>9478</v>
      </c>
      <c r="W694">
        <v>5</v>
      </c>
      <c r="X694" t="s">
        <v>10172</v>
      </c>
      <c r="Y694">
        <v>0.4037115207697678</v>
      </c>
      <c r="Z694" t="str">
        <f>HYPERLINK("Melting_Curves/meltCurve_sp_P10398_ARAF_HUMAN_.pdf", "Melting_Curves/meltCurve_sp_P10398_ARAF_HUMAN_.pdf")</f>
        <v>Melting_Curves/meltCurve_sp_P10398_ARAF_HUMAN_.pdf</v>
      </c>
      <c r="AA694" t="s">
        <v>14898</v>
      </c>
      <c r="AB694" t="s">
        <v>19529</v>
      </c>
    </row>
    <row r="695" spans="1:28" x14ac:dyDescent="0.25">
      <c r="A695" t="s">
        <v>699</v>
      </c>
      <c r="B695">
        <v>0.99904790336628502</v>
      </c>
      <c r="C695">
        <v>0.97303195815924404</v>
      </c>
      <c r="D695">
        <v>0.99233720598060604</v>
      </c>
      <c r="E695">
        <v>1.01479527009531</v>
      </c>
      <c r="F695">
        <v>0.92763357840155702</v>
      </c>
      <c r="G695">
        <v>0.70023790700495803</v>
      </c>
      <c r="H695">
        <v>0.63192002170650596</v>
      </c>
      <c r="I695">
        <v>0.54129620787588595</v>
      </c>
      <c r="J695">
        <v>0.58018096452244705</v>
      </c>
      <c r="K695">
        <v>0.50487192376622003</v>
      </c>
      <c r="L695">
        <v>1515.9346711134101</v>
      </c>
      <c r="M695">
        <v>27.029640632521001</v>
      </c>
      <c r="O695">
        <v>55.779873926778002</v>
      </c>
      <c r="P695">
        <v>-5.5328357274478199E-2</v>
      </c>
      <c r="Q695">
        <v>0.54328976317865496</v>
      </c>
      <c r="R695">
        <v>0.982832935858172</v>
      </c>
      <c r="S695" t="s">
        <v>5435</v>
      </c>
      <c r="T695" t="s">
        <v>9478</v>
      </c>
      <c r="U695" t="s">
        <v>9478</v>
      </c>
      <c r="V695" t="s">
        <v>9478</v>
      </c>
      <c r="W695">
        <v>10</v>
      </c>
      <c r="X695" t="s">
        <v>10173</v>
      </c>
      <c r="Y695">
        <v>0.7918184184535797</v>
      </c>
      <c r="Z695" t="str">
        <f>HYPERLINK("Melting_Curves/meltCurve_sp_P10412_H14_HUMAN_.pdf", "Melting_Curves/meltCurve_sp_P10412_H14_HUMAN_.pdf")</f>
        <v>Melting_Curves/meltCurve_sp_P10412_H14_HUMAN_.pdf</v>
      </c>
      <c r="AA695" t="s">
        <v>14899</v>
      </c>
      <c r="AB695" t="s">
        <v>19530</v>
      </c>
    </row>
    <row r="696" spans="1:28" x14ac:dyDescent="0.25">
      <c r="A696" t="s">
        <v>700</v>
      </c>
      <c r="B696">
        <v>0.99904790336628502</v>
      </c>
      <c r="C696">
        <v>0.90226928483034396</v>
      </c>
      <c r="D696">
        <v>0.82886424429605698</v>
      </c>
      <c r="E696">
        <v>0.70236813998203895</v>
      </c>
      <c r="F696">
        <v>0.56112943262385595</v>
      </c>
      <c r="G696">
        <v>0.43913223705742999</v>
      </c>
      <c r="H696">
        <v>0.23791963149988499</v>
      </c>
      <c r="I696">
        <v>0.19785521301334499</v>
      </c>
      <c r="J696">
        <v>0.17084016837760399</v>
      </c>
      <c r="K696">
        <v>0.13037330311988601</v>
      </c>
      <c r="L696">
        <v>499.780970006394</v>
      </c>
      <c r="M696">
        <v>9.1853864124426305</v>
      </c>
      <c r="N696">
        <v>54.518059512766797</v>
      </c>
      <c r="O696">
        <v>52.017779624420001</v>
      </c>
      <c r="P696">
        <v>-4.3778222389870503E-2</v>
      </c>
      <c r="Q696">
        <v>8.9838759965224502E-3</v>
      </c>
      <c r="R696">
        <v>0.99478473516996002</v>
      </c>
      <c r="S696" t="s">
        <v>5436</v>
      </c>
      <c r="T696" t="s">
        <v>9478</v>
      </c>
      <c r="U696" t="s">
        <v>9478</v>
      </c>
      <c r="V696" t="s">
        <v>9478</v>
      </c>
      <c r="W696">
        <v>9</v>
      </c>
      <c r="X696" t="s">
        <v>10174</v>
      </c>
      <c r="Y696">
        <v>0.51449137733917449</v>
      </c>
      <c r="Z696" t="str">
        <f>HYPERLINK("Melting_Curves/meltCurve_sp_P10515_ODP2_HUMAN_.pdf", "Melting_Curves/meltCurve_sp_P10515_ODP2_HUMAN_.pdf")</f>
        <v>Melting_Curves/meltCurve_sp_P10515_ODP2_HUMAN_.pdf</v>
      </c>
      <c r="AA696" t="s">
        <v>14900</v>
      </c>
      <c r="AB696" t="s">
        <v>19531</v>
      </c>
    </row>
    <row r="697" spans="1:28" x14ac:dyDescent="0.25">
      <c r="A697" t="s">
        <v>701</v>
      </c>
      <c r="B697">
        <v>0.99904790336628502</v>
      </c>
      <c r="C697">
        <v>0.91584498115880497</v>
      </c>
      <c r="D697">
        <v>0.92200405066915903</v>
      </c>
      <c r="E697">
        <v>0.69001070089807703</v>
      </c>
      <c r="F697">
        <v>0.39700847949500101</v>
      </c>
      <c r="G697">
        <v>0.21675490176800399</v>
      </c>
      <c r="H697">
        <v>0.14115516738799599</v>
      </c>
      <c r="I697">
        <v>0.103233584729191</v>
      </c>
      <c r="J697">
        <v>0.105073604134079</v>
      </c>
      <c r="K697">
        <v>8.0991753077018697E-2</v>
      </c>
      <c r="L697">
        <v>977.96953865759394</v>
      </c>
      <c r="M697">
        <v>18.999090208860601</v>
      </c>
      <c r="N697">
        <v>51.9907148658449</v>
      </c>
      <c r="O697">
        <v>50.914451048741903</v>
      </c>
      <c r="P697">
        <v>-8.5274491027738902E-2</v>
      </c>
      <c r="Q697">
        <v>8.5949734053433896E-2</v>
      </c>
      <c r="R697">
        <v>0.99577441927093202</v>
      </c>
      <c r="S697" t="s">
        <v>5437</v>
      </c>
      <c r="T697" t="s">
        <v>9478</v>
      </c>
      <c r="U697" t="s">
        <v>9478</v>
      </c>
      <c r="V697" t="s">
        <v>9478</v>
      </c>
      <c r="W697">
        <v>8</v>
      </c>
      <c r="X697" t="s">
        <v>10175</v>
      </c>
      <c r="Y697">
        <v>0.44947166681753459</v>
      </c>
      <c r="Z697" t="str">
        <f>HYPERLINK("Melting_Curves/meltCurve_sp_P10586_2_PTPRF_HUMAN_.pdf", "Melting_Curves/meltCurve_sp_P10586_2_PTPRF_HUMAN_.pdf")</f>
        <v>Melting_Curves/meltCurve_sp_P10586_2_PTPRF_HUMAN_.pdf</v>
      </c>
      <c r="AA697" t="s">
        <v>14901</v>
      </c>
      <c r="AB697" t="s">
        <v>19532</v>
      </c>
    </row>
    <row r="698" spans="1:28" x14ac:dyDescent="0.25">
      <c r="A698" t="s">
        <v>702</v>
      </c>
      <c r="B698">
        <v>0.99904790336628502</v>
      </c>
      <c r="C698">
        <v>0.82551362605814305</v>
      </c>
      <c r="D698">
        <v>0.52740616788906403</v>
      </c>
      <c r="E698">
        <v>0.405995893376426</v>
      </c>
      <c r="F698">
        <v>0.44984264418997</v>
      </c>
      <c r="G698">
        <v>0.192153847371374</v>
      </c>
      <c r="H698">
        <v>0.20017320304597799</v>
      </c>
      <c r="I698">
        <v>0.30049302874570299</v>
      </c>
      <c r="J698">
        <v>0.289222858284024</v>
      </c>
      <c r="K698">
        <v>0.21438767119423099</v>
      </c>
      <c r="L698">
        <v>772.84861962612899</v>
      </c>
      <c r="M698">
        <v>16.945586519113402</v>
      </c>
      <c r="N698">
        <v>47.576966846743503</v>
      </c>
      <c r="O698">
        <v>44.986739133553101</v>
      </c>
      <c r="P698">
        <v>-7.0438137234070705E-2</v>
      </c>
      <c r="Q698">
        <v>0.25205714633271697</v>
      </c>
      <c r="R698">
        <v>0.93704894991930598</v>
      </c>
      <c r="S698" t="s">
        <v>5438</v>
      </c>
      <c r="T698" t="s">
        <v>9478</v>
      </c>
      <c r="U698" t="s">
        <v>9478</v>
      </c>
      <c r="V698" t="s">
        <v>9478</v>
      </c>
      <c r="W698">
        <v>1</v>
      </c>
      <c r="X698" t="s">
        <v>10176</v>
      </c>
      <c r="Y698">
        <v>0.40922779312490593</v>
      </c>
      <c r="Z698" t="str">
        <f>HYPERLINK("Melting_Curves/meltCurve_sp_P10588_NR2F6_HUMAN_.pdf", "Melting_Curves/meltCurve_sp_P10588_NR2F6_HUMAN_.pdf")</f>
        <v>Melting_Curves/meltCurve_sp_P10588_NR2F6_HUMAN_.pdf</v>
      </c>
      <c r="AA698" t="s">
        <v>14902</v>
      </c>
      <c r="AB698" t="s">
        <v>19533</v>
      </c>
    </row>
    <row r="699" spans="1:28" x14ac:dyDescent="0.25">
      <c r="A699" t="s">
        <v>703</v>
      </c>
      <c r="B699">
        <v>0.99904790336628502</v>
      </c>
      <c r="C699">
        <v>0.92812131415230503</v>
      </c>
      <c r="D699">
        <v>0.91956483578704995</v>
      </c>
      <c r="E699">
        <v>0.87072702662184898</v>
      </c>
      <c r="F699">
        <v>0.88717212358255504</v>
      </c>
      <c r="G699">
        <v>0.68360907491050404</v>
      </c>
      <c r="H699">
        <v>0.70240247082261498</v>
      </c>
      <c r="I699">
        <v>0.65745737596781495</v>
      </c>
      <c r="J699">
        <v>0.70663431558995904</v>
      </c>
      <c r="K699">
        <v>0.73133417803886802</v>
      </c>
      <c r="L699">
        <v>611.51698060884905</v>
      </c>
      <c r="M699">
        <v>11.861160831136599</v>
      </c>
      <c r="O699">
        <v>50.156309920497002</v>
      </c>
      <c r="P699">
        <v>-1.9490103715785901E-2</v>
      </c>
      <c r="Q699">
        <v>0.67041850396106595</v>
      </c>
      <c r="R699">
        <v>0.87414576013311196</v>
      </c>
      <c r="S699" t="s">
        <v>5439</v>
      </c>
      <c r="T699" t="s">
        <v>9478</v>
      </c>
      <c r="U699" t="s">
        <v>9478</v>
      </c>
      <c r="V699" t="s">
        <v>9478</v>
      </c>
      <c r="W699">
        <v>7</v>
      </c>
      <c r="X699" t="s">
        <v>10177</v>
      </c>
      <c r="Y699">
        <v>0.80792314209619609</v>
      </c>
      <c r="Z699" t="str">
        <f>HYPERLINK("Melting_Curves/meltCurve_sp_P10606_COX5B_HUMAN_.pdf", "Melting_Curves/meltCurve_sp_P10606_COX5B_HUMAN_.pdf")</f>
        <v>Melting_Curves/meltCurve_sp_P10606_COX5B_HUMAN_.pdf</v>
      </c>
      <c r="AA699" t="s">
        <v>14903</v>
      </c>
      <c r="AB699" t="s">
        <v>19534</v>
      </c>
    </row>
    <row r="700" spans="1:28" x14ac:dyDescent="0.25">
      <c r="A700" t="s">
        <v>704</v>
      </c>
      <c r="B700">
        <v>0.99904790336628502</v>
      </c>
      <c r="C700">
        <v>0.86341590703251903</v>
      </c>
      <c r="D700">
        <v>0.819247364239859</v>
      </c>
      <c r="E700">
        <v>0.38980975236159798</v>
      </c>
      <c r="F700">
        <v>0.125876998789447</v>
      </c>
      <c r="G700">
        <v>7.2342446343788697E-2</v>
      </c>
      <c r="H700">
        <v>4.1193072158774997E-2</v>
      </c>
      <c r="I700">
        <v>2.4898420592519802E-2</v>
      </c>
      <c r="J700">
        <v>1.9655371550391099E-2</v>
      </c>
      <c r="K700">
        <v>1.6292922378344399E-2</v>
      </c>
      <c r="L700">
        <v>1050.2885763213501</v>
      </c>
      <c r="M700">
        <v>21.551571543977701</v>
      </c>
      <c r="N700">
        <v>48.814007524784799</v>
      </c>
      <c r="O700">
        <v>48.319968016502301</v>
      </c>
      <c r="P700">
        <v>-0.10956584319357</v>
      </c>
      <c r="Q700">
        <v>1.7409973881812001E-2</v>
      </c>
      <c r="R700">
        <v>0.99267404112331803</v>
      </c>
      <c r="S700" t="s">
        <v>5440</v>
      </c>
      <c r="T700" t="s">
        <v>9478</v>
      </c>
      <c r="U700" t="s">
        <v>9478</v>
      </c>
      <c r="V700" t="s">
        <v>9478</v>
      </c>
      <c r="W700">
        <v>7</v>
      </c>
      <c r="X700" t="s">
        <v>10178</v>
      </c>
      <c r="Y700">
        <v>0.31529618288964739</v>
      </c>
      <c r="Z700" t="str">
        <f>HYPERLINK("Melting_Curves/meltCurve_sp_P10619_PPGB_HUMAN_.pdf", "Melting_Curves/meltCurve_sp_P10619_PPGB_HUMAN_.pdf")</f>
        <v>Melting_Curves/meltCurve_sp_P10619_PPGB_HUMAN_.pdf</v>
      </c>
      <c r="AA700" t="s">
        <v>14904</v>
      </c>
      <c r="AB700" t="s">
        <v>19535</v>
      </c>
    </row>
    <row r="701" spans="1:28" x14ac:dyDescent="0.25">
      <c r="A701" t="s">
        <v>705</v>
      </c>
      <c r="B701">
        <v>0.99904790336628502</v>
      </c>
      <c r="C701">
        <v>0.94212184108995101</v>
      </c>
      <c r="D701">
        <v>0.67741692249623597</v>
      </c>
      <c r="E701">
        <v>0.41004408567731798</v>
      </c>
      <c r="F701">
        <v>0.21068589677295299</v>
      </c>
      <c r="G701">
        <v>0.116548999545128</v>
      </c>
      <c r="H701">
        <v>5.22718489517153E-2</v>
      </c>
      <c r="I701">
        <v>4.2285142176377903E-2</v>
      </c>
      <c r="J701">
        <v>2.9261735038900501E-2</v>
      </c>
      <c r="K701">
        <v>3.7328123588903701E-2</v>
      </c>
      <c r="L701">
        <v>815.00851648697801</v>
      </c>
      <c r="M701">
        <v>16.8155215263088</v>
      </c>
      <c r="N701">
        <v>48.639395091912498</v>
      </c>
      <c r="O701">
        <v>47.797714764059499</v>
      </c>
      <c r="P701">
        <v>-8.5421643689513799E-2</v>
      </c>
      <c r="Q701">
        <v>2.88263061455808E-2</v>
      </c>
      <c r="R701">
        <v>0.99640996962350703</v>
      </c>
      <c r="S701" t="s">
        <v>5441</v>
      </c>
      <c r="T701" t="s">
        <v>9478</v>
      </c>
      <c r="U701" t="s">
        <v>9478</v>
      </c>
      <c r="V701" t="s">
        <v>9478</v>
      </c>
      <c r="W701">
        <v>12</v>
      </c>
      <c r="X701" t="s">
        <v>10179</v>
      </c>
      <c r="Y701">
        <v>0.32247752530195378</v>
      </c>
      <c r="Z701" t="str">
        <f>HYPERLINK("Melting_Curves/meltCurve_sp_P10632_CP2C8_HUMAN_.pdf", "Melting_Curves/meltCurve_sp_P10632_CP2C8_HUMAN_.pdf")</f>
        <v>Melting_Curves/meltCurve_sp_P10632_CP2C8_HUMAN_.pdf</v>
      </c>
      <c r="AA701" t="s">
        <v>14905</v>
      </c>
      <c r="AB701" t="s">
        <v>19536</v>
      </c>
    </row>
    <row r="702" spans="1:28" x14ac:dyDescent="0.25">
      <c r="A702" t="s">
        <v>706</v>
      </c>
      <c r="B702">
        <v>0.99904790336628502</v>
      </c>
      <c r="C702">
        <v>0.91193892793194398</v>
      </c>
      <c r="D702">
        <v>0.70304517861554106</v>
      </c>
      <c r="E702">
        <v>0.41776514281287602</v>
      </c>
      <c r="F702">
        <v>0.191124842776043</v>
      </c>
      <c r="G702">
        <v>0.122499784084537</v>
      </c>
      <c r="H702">
        <v>6.3545401837292098E-2</v>
      </c>
      <c r="I702">
        <v>5.2399811177935497E-2</v>
      </c>
      <c r="J702">
        <v>3.1911182328765601E-2</v>
      </c>
      <c r="K702">
        <v>1.44710249017531E-2</v>
      </c>
      <c r="L702">
        <v>810.37655646213898</v>
      </c>
      <c r="M702">
        <v>16.696296745398499</v>
      </c>
      <c r="N702">
        <v>48.694347532916403</v>
      </c>
      <c r="O702">
        <v>47.856070669831396</v>
      </c>
      <c r="P702">
        <v>-8.4926698830474198E-2</v>
      </c>
      <c r="Q702">
        <v>2.6373680242546198E-2</v>
      </c>
      <c r="R702">
        <v>0.997585183640739</v>
      </c>
      <c r="S702" t="s">
        <v>5442</v>
      </c>
      <c r="T702" t="s">
        <v>9478</v>
      </c>
      <c r="U702" t="s">
        <v>9478</v>
      </c>
      <c r="V702" t="s">
        <v>9478</v>
      </c>
      <c r="W702">
        <v>3</v>
      </c>
      <c r="X702" t="s">
        <v>10180</v>
      </c>
      <c r="Y702">
        <v>0.32323491225777551</v>
      </c>
      <c r="Z702" t="str">
        <f>HYPERLINK("Melting_Curves/meltCurve_sp_P10635_CP2D6_HUMAN_.pdf", "Melting_Curves/meltCurve_sp_P10635_CP2D6_HUMAN_.pdf")</f>
        <v>Melting_Curves/meltCurve_sp_P10635_CP2D6_HUMAN_.pdf</v>
      </c>
      <c r="AA702" t="s">
        <v>14906</v>
      </c>
      <c r="AB702" t="s">
        <v>19537</v>
      </c>
    </row>
    <row r="703" spans="1:28" x14ac:dyDescent="0.25">
      <c r="A703" t="s">
        <v>707</v>
      </c>
      <c r="B703">
        <v>0.99904790336628502</v>
      </c>
      <c r="C703">
        <v>1.22742664457714</v>
      </c>
      <c r="D703">
        <v>1.1587774169323</v>
      </c>
      <c r="E703">
        <v>1.01250786001129</v>
      </c>
      <c r="F703">
        <v>1.01223483111229</v>
      </c>
      <c r="G703">
        <v>0.40687172575200198</v>
      </c>
      <c r="H703">
        <v>0.19759547988689399</v>
      </c>
      <c r="I703">
        <v>0.209405473728242</v>
      </c>
      <c r="J703">
        <v>0.256190058840434</v>
      </c>
      <c r="K703">
        <v>0.24836266338278201</v>
      </c>
      <c r="L703">
        <v>14181.707266064001</v>
      </c>
      <c r="M703">
        <v>250</v>
      </c>
      <c r="N703">
        <v>56.865215611509797</v>
      </c>
      <c r="O703">
        <v>56.7231989543548</v>
      </c>
      <c r="P703">
        <v>-0.85074493413880903</v>
      </c>
      <c r="Q703">
        <v>0.22788841478855901</v>
      </c>
      <c r="R703">
        <v>0.95433690761221801</v>
      </c>
      <c r="S703" t="s">
        <v>5443</v>
      </c>
      <c r="T703" t="s">
        <v>9478</v>
      </c>
      <c r="U703" t="s">
        <v>9478</v>
      </c>
      <c r="V703" t="s">
        <v>9478</v>
      </c>
      <c r="W703">
        <v>1</v>
      </c>
      <c r="X703" t="s">
        <v>10181</v>
      </c>
      <c r="Y703">
        <v>0.6584645656062299</v>
      </c>
      <c r="Z703" t="str">
        <f>HYPERLINK("Melting_Curves/meltCurve_sp_P10643_CO7_HUMAN_.pdf", "Melting_Curves/meltCurve_sp_P10643_CO7_HUMAN_.pdf")</f>
        <v>Melting_Curves/meltCurve_sp_P10643_CO7_HUMAN_.pdf</v>
      </c>
      <c r="AA703" t="s">
        <v>14907</v>
      </c>
      <c r="AB703" t="s">
        <v>19538</v>
      </c>
    </row>
    <row r="704" spans="1:28" x14ac:dyDescent="0.25">
      <c r="A704" t="s">
        <v>708</v>
      </c>
      <c r="B704">
        <v>0.99904790336628502</v>
      </c>
      <c r="C704">
        <v>0.91783407516676896</v>
      </c>
      <c r="D704">
        <v>0.80020200363060001</v>
      </c>
      <c r="E704">
        <v>0.463700351822808</v>
      </c>
      <c r="F704">
        <v>0.27865640268349801</v>
      </c>
      <c r="G704">
        <v>0.148815523435777</v>
      </c>
      <c r="H704">
        <v>8.8981475780333705E-2</v>
      </c>
      <c r="I704">
        <v>8.1574869908968506E-2</v>
      </c>
      <c r="J704">
        <v>7.7751928034470397E-2</v>
      </c>
      <c r="K704">
        <v>7.8722539861863602E-2</v>
      </c>
      <c r="L704">
        <v>868.13269961291405</v>
      </c>
      <c r="M704">
        <v>17.637893521972199</v>
      </c>
      <c r="N704">
        <v>49.632055887720803</v>
      </c>
      <c r="O704">
        <v>48.600127710157103</v>
      </c>
      <c r="P704">
        <v>-8.4551245457887197E-2</v>
      </c>
      <c r="Q704">
        <v>6.8146846979013603E-2</v>
      </c>
      <c r="R704">
        <v>0.99934843393926898</v>
      </c>
      <c r="S704" t="s">
        <v>5444</v>
      </c>
      <c r="T704" t="s">
        <v>9478</v>
      </c>
      <c r="U704" t="s">
        <v>9478</v>
      </c>
      <c r="V704" t="s">
        <v>9478</v>
      </c>
      <c r="W704">
        <v>20</v>
      </c>
      <c r="X704" t="s">
        <v>10182</v>
      </c>
      <c r="Y704">
        <v>0.37126140548418041</v>
      </c>
      <c r="Z704" t="str">
        <f>HYPERLINK("Melting_Curves/meltCurve_sp_P10644_KAP0_HUMAN_.pdf", "Melting_Curves/meltCurve_sp_P10644_KAP0_HUMAN_.pdf")</f>
        <v>Melting_Curves/meltCurve_sp_P10644_KAP0_HUMAN_.pdf</v>
      </c>
      <c r="AA704" t="s">
        <v>14908</v>
      </c>
      <c r="AB704" t="s">
        <v>19539</v>
      </c>
    </row>
    <row r="705" spans="1:28" x14ac:dyDescent="0.25">
      <c r="A705" t="s">
        <v>709</v>
      </c>
      <c r="B705">
        <v>0.99904790336628502</v>
      </c>
      <c r="C705">
        <v>0.87046027934134795</v>
      </c>
      <c r="D705">
        <v>0.87269960733956098</v>
      </c>
      <c r="E705">
        <v>0.71862404739832098</v>
      </c>
      <c r="F705">
        <v>0.330306836047497</v>
      </c>
      <c r="G705">
        <v>0.137991693700764</v>
      </c>
      <c r="H705">
        <v>9.5163821847547306E-2</v>
      </c>
      <c r="I705">
        <v>7.3167813415902602E-2</v>
      </c>
      <c r="J705">
        <v>7.1950040770747403E-2</v>
      </c>
      <c r="K705">
        <v>4.4064508739455999E-2</v>
      </c>
      <c r="L705">
        <v>1064.7830091672799</v>
      </c>
      <c r="M705">
        <v>20.758170072581699</v>
      </c>
      <c r="N705">
        <v>51.556449974587302</v>
      </c>
      <c r="O705">
        <v>50.825719743519201</v>
      </c>
      <c r="P705">
        <v>-9.6999952693690897E-2</v>
      </c>
      <c r="Q705">
        <v>5.0021403914915497E-2</v>
      </c>
      <c r="R705">
        <v>0.98406023888295202</v>
      </c>
      <c r="S705" t="s">
        <v>5445</v>
      </c>
      <c r="T705" t="s">
        <v>9478</v>
      </c>
      <c r="U705" t="s">
        <v>9478</v>
      </c>
      <c r="V705" t="s">
        <v>9478</v>
      </c>
      <c r="W705">
        <v>5</v>
      </c>
      <c r="X705" t="s">
        <v>10183</v>
      </c>
      <c r="Y705">
        <v>0.41997335235315991</v>
      </c>
      <c r="Z705" t="str">
        <f>HYPERLINK("Melting_Curves/meltCurve_sp_P10746_HEM4_HUMAN_.pdf", "Melting_Curves/meltCurve_sp_P10746_HEM4_HUMAN_.pdf")</f>
        <v>Melting_Curves/meltCurve_sp_P10746_HEM4_HUMAN_.pdf</v>
      </c>
      <c r="AA705" t="s">
        <v>14909</v>
      </c>
      <c r="AB705" t="s">
        <v>19540</v>
      </c>
    </row>
    <row r="706" spans="1:28" x14ac:dyDescent="0.25">
      <c r="A706" t="s">
        <v>710</v>
      </c>
      <c r="B706">
        <v>0.99904790336628502</v>
      </c>
      <c r="C706">
        <v>0.94996440638695201</v>
      </c>
      <c r="D706">
        <v>0.96196253201217796</v>
      </c>
      <c r="E706">
        <v>1.0229033159286101</v>
      </c>
      <c r="F706">
        <v>0.95815318926470205</v>
      </c>
      <c r="G706">
        <v>0.52636244338800098</v>
      </c>
      <c r="H706">
        <v>0.100245573520408</v>
      </c>
      <c r="I706">
        <v>4.2105648052437002E-2</v>
      </c>
      <c r="J706">
        <v>2.47864554866499E-2</v>
      </c>
      <c r="K706">
        <v>2.0323228757552301E-2</v>
      </c>
      <c r="L706">
        <v>2250.3436944293398</v>
      </c>
      <c r="M706">
        <v>39.413005306404997</v>
      </c>
      <c r="N706">
        <v>57.168290009632599</v>
      </c>
      <c r="O706">
        <v>56.950078724509801</v>
      </c>
      <c r="P706">
        <v>-0.16883723626658501</v>
      </c>
      <c r="Q706">
        <v>2.4152285654835699E-2</v>
      </c>
      <c r="R706">
        <v>0.99756666769565905</v>
      </c>
      <c r="S706" t="s">
        <v>5446</v>
      </c>
      <c r="T706" t="s">
        <v>9478</v>
      </c>
      <c r="U706" t="s">
        <v>9478</v>
      </c>
      <c r="V706" t="s">
        <v>9478</v>
      </c>
      <c r="W706">
        <v>12</v>
      </c>
      <c r="X706" t="s">
        <v>10184</v>
      </c>
      <c r="Y706">
        <v>0.58418703662690297</v>
      </c>
      <c r="Z706" t="str">
        <f>HYPERLINK("Melting_Curves/meltCurve_sp_P10768_ESTD_HUMAN_.pdf", "Melting_Curves/meltCurve_sp_P10768_ESTD_HUMAN_.pdf")</f>
        <v>Melting_Curves/meltCurve_sp_P10768_ESTD_HUMAN_.pdf</v>
      </c>
      <c r="AA706" t="s">
        <v>14910</v>
      </c>
      <c r="AB706" t="s">
        <v>19541</v>
      </c>
    </row>
    <row r="707" spans="1:28" x14ac:dyDescent="0.25">
      <c r="A707" t="s">
        <v>711</v>
      </c>
      <c r="B707">
        <v>0.99904790336628502</v>
      </c>
      <c r="C707">
        <v>1.08271915749652</v>
      </c>
      <c r="D707">
        <v>1.1267151029475799</v>
      </c>
      <c r="E707">
        <v>1.0368320855078399</v>
      </c>
      <c r="F707">
        <v>0.91060236101272896</v>
      </c>
      <c r="G707">
        <v>0.73539528597463899</v>
      </c>
      <c r="H707">
        <v>0.595705914072164</v>
      </c>
      <c r="I707">
        <v>0.38397777355969998</v>
      </c>
      <c r="J707">
        <v>0.119147592466174</v>
      </c>
      <c r="K707">
        <v>6.5637107053862304E-2</v>
      </c>
      <c r="L707">
        <v>1111.8779652696601</v>
      </c>
      <c r="M707">
        <v>18.069618931452499</v>
      </c>
      <c r="N707">
        <v>61.533007336531902</v>
      </c>
      <c r="O707">
        <v>60.794219793432099</v>
      </c>
      <c r="P707">
        <v>-7.4310095200630505E-2</v>
      </c>
      <c r="Q707">
        <v>0</v>
      </c>
      <c r="R707">
        <v>0.968813845613263</v>
      </c>
      <c r="S707" t="s">
        <v>5447</v>
      </c>
      <c r="T707" t="s">
        <v>9478</v>
      </c>
      <c r="U707" t="s">
        <v>9478</v>
      </c>
      <c r="V707" t="s">
        <v>9478</v>
      </c>
      <c r="W707">
        <v>63</v>
      </c>
      <c r="X707" t="s">
        <v>10185</v>
      </c>
      <c r="Y707">
        <v>0.72120378505144656</v>
      </c>
      <c r="Z707" t="str">
        <f>HYPERLINK("Melting_Curves/meltCurve_sp_P10809_CH60_HUMAN_.pdf", "Melting_Curves/meltCurve_sp_P10809_CH60_HUMAN_.pdf")</f>
        <v>Melting_Curves/meltCurve_sp_P10809_CH60_HUMAN_.pdf</v>
      </c>
      <c r="AA707" t="s">
        <v>14911</v>
      </c>
      <c r="AB707" t="s">
        <v>19542</v>
      </c>
    </row>
    <row r="708" spans="1:28" x14ac:dyDescent="0.25">
      <c r="A708" t="s">
        <v>712</v>
      </c>
      <c r="B708">
        <v>0.99904790336628502</v>
      </c>
      <c r="C708">
        <v>1.0058797216262001</v>
      </c>
      <c r="D708">
        <v>1.04648495474796</v>
      </c>
      <c r="E708">
        <v>0.88555182249478603</v>
      </c>
      <c r="F708">
        <v>0.74248809713780795</v>
      </c>
      <c r="G708">
        <v>0.50224902136265204</v>
      </c>
      <c r="H708">
        <v>0.362091355182526</v>
      </c>
      <c r="I708">
        <v>0.30003377157630801</v>
      </c>
      <c r="J708">
        <v>0.26875546458129301</v>
      </c>
      <c r="K708">
        <v>0.19292644372190301</v>
      </c>
      <c r="L708">
        <v>943.64627640942797</v>
      </c>
      <c r="M708">
        <v>17.023544186779102</v>
      </c>
      <c r="N708">
        <v>57.257029009969997</v>
      </c>
      <c r="O708">
        <v>54.6838792128992</v>
      </c>
      <c r="P708">
        <v>-6.1533802143738603E-2</v>
      </c>
      <c r="Q708">
        <v>0.20940077840329799</v>
      </c>
      <c r="R708">
        <v>0.99267452009503399</v>
      </c>
      <c r="S708" t="s">
        <v>5448</v>
      </c>
      <c r="T708" t="s">
        <v>9478</v>
      </c>
      <c r="U708" t="s">
        <v>9478</v>
      </c>
      <c r="V708" t="s">
        <v>9478</v>
      </c>
      <c r="W708">
        <v>10</v>
      </c>
      <c r="X708" t="s">
        <v>10186</v>
      </c>
      <c r="Y708">
        <v>0.62893957067261819</v>
      </c>
      <c r="Z708" t="str">
        <f>HYPERLINK("Melting_Curves/meltCurve_sp_P10909_4_CLUS_HUMAN_.pdf", "Melting_Curves/meltCurve_sp_P10909_4_CLUS_HUMAN_.pdf")</f>
        <v>Melting_Curves/meltCurve_sp_P10909_4_CLUS_HUMAN_.pdf</v>
      </c>
      <c r="AA708" t="s">
        <v>14912</v>
      </c>
      <c r="AB708" t="s">
        <v>19543</v>
      </c>
    </row>
    <row r="709" spans="1:28" x14ac:dyDescent="0.25">
      <c r="A709" t="s">
        <v>713</v>
      </c>
      <c r="B709">
        <v>0.99904790336628502</v>
      </c>
      <c r="C709">
        <v>1.03864691570356</v>
      </c>
      <c r="D709">
        <v>1.0588979411217601</v>
      </c>
      <c r="E709">
        <v>0.87496435845688603</v>
      </c>
      <c r="F709">
        <v>0.71867953040744104</v>
      </c>
      <c r="G709">
        <v>0.47932615330971901</v>
      </c>
      <c r="H709">
        <v>0.314170935896045</v>
      </c>
      <c r="I709">
        <v>0.18770521270615001</v>
      </c>
      <c r="J709">
        <v>0.11911404266227001</v>
      </c>
      <c r="K709">
        <v>8.5566480214347193E-2</v>
      </c>
      <c r="L709">
        <v>858.37311790169201</v>
      </c>
      <c r="M709">
        <v>15.2007649554293</v>
      </c>
      <c r="N709">
        <v>56.846293050776303</v>
      </c>
      <c r="O709">
        <v>55.518821419191802</v>
      </c>
      <c r="P709">
        <v>-6.5171283153207499E-2</v>
      </c>
      <c r="Q709">
        <v>4.7972685672134502E-2</v>
      </c>
      <c r="R709">
        <v>0.99151620253880202</v>
      </c>
      <c r="S709" t="s">
        <v>5449</v>
      </c>
      <c r="T709" t="s">
        <v>9478</v>
      </c>
      <c r="U709" t="s">
        <v>9478</v>
      </c>
      <c r="V709" t="s">
        <v>9478</v>
      </c>
      <c r="W709">
        <v>47</v>
      </c>
      <c r="X709" t="s">
        <v>10187</v>
      </c>
      <c r="Y709">
        <v>0.58653091473039454</v>
      </c>
      <c r="Z709" t="str">
        <f>HYPERLINK("Melting_Curves/meltCurve_sp_P11021_GRP78_HUMAN_.pdf", "Melting_Curves/meltCurve_sp_P11021_GRP78_HUMAN_.pdf")</f>
        <v>Melting_Curves/meltCurve_sp_P11021_GRP78_HUMAN_.pdf</v>
      </c>
      <c r="AA709" t="s">
        <v>14913</v>
      </c>
      <c r="AB709" t="s">
        <v>19544</v>
      </c>
    </row>
    <row r="710" spans="1:28" x14ac:dyDescent="0.25">
      <c r="A710" t="s">
        <v>714</v>
      </c>
      <c r="B710">
        <v>0.99904790336628502</v>
      </c>
      <c r="C710">
        <v>1.00103176279559</v>
      </c>
      <c r="D710">
        <v>1.0912457643442199</v>
      </c>
      <c r="E710">
        <v>0.80291860499512502</v>
      </c>
      <c r="F710">
        <v>0.61741265404970203</v>
      </c>
      <c r="G710">
        <v>0.44675081262102401</v>
      </c>
      <c r="H710">
        <v>0.25512379995627299</v>
      </c>
      <c r="I710">
        <v>0.210105428686752</v>
      </c>
      <c r="J710">
        <v>0.16642920189035701</v>
      </c>
      <c r="K710">
        <v>0.131661394546227</v>
      </c>
      <c r="L710">
        <v>903.17990751851005</v>
      </c>
      <c r="M710">
        <v>16.6095367595284</v>
      </c>
      <c r="N710">
        <v>55.3984919387769</v>
      </c>
      <c r="O710">
        <v>53.607302669246302</v>
      </c>
      <c r="P710">
        <v>-6.7248316166355696E-2</v>
      </c>
      <c r="Q710">
        <v>0.13188272201887699</v>
      </c>
      <c r="R710">
        <v>0.98283949791091696</v>
      </c>
      <c r="S710" t="s">
        <v>5450</v>
      </c>
      <c r="T710" t="s">
        <v>9478</v>
      </c>
      <c r="U710" t="s">
        <v>9478</v>
      </c>
      <c r="V710" t="s">
        <v>9478</v>
      </c>
      <c r="W710">
        <v>6</v>
      </c>
      <c r="X710" t="s">
        <v>10188</v>
      </c>
      <c r="Y710">
        <v>0.56326593587389218</v>
      </c>
      <c r="Z710" t="str">
        <f>HYPERLINK("Melting_Curves/meltCurve_sp_P11047_LAMC1_HUMAN_.pdf", "Melting_Curves/meltCurve_sp_P11047_LAMC1_HUMAN_.pdf")</f>
        <v>Melting_Curves/meltCurve_sp_P11047_LAMC1_HUMAN_.pdf</v>
      </c>
      <c r="AA710" t="s">
        <v>14914</v>
      </c>
      <c r="AB710" t="s">
        <v>19545</v>
      </c>
    </row>
    <row r="711" spans="1:28" x14ac:dyDescent="0.25">
      <c r="A711" t="s">
        <v>715</v>
      </c>
      <c r="B711">
        <v>0.99904790336628502</v>
      </c>
      <c r="C711">
        <v>1.05121915083769</v>
      </c>
      <c r="D711">
        <v>0.97868544118212097</v>
      </c>
      <c r="E711">
        <v>0.61242160805891399</v>
      </c>
      <c r="F711">
        <v>0.32979060008034899</v>
      </c>
      <c r="G711">
        <v>0.129561530194785</v>
      </c>
      <c r="H711">
        <v>6.2338945649836497E-2</v>
      </c>
      <c r="I711">
        <v>4.5407588872727098E-2</v>
      </c>
      <c r="J711">
        <v>3.5953621003725802E-2</v>
      </c>
      <c r="K711">
        <v>3.15865859027704E-2</v>
      </c>
      <c r="L711">
        <v>1252.8962759870899</v>
      </c>
      <c r="M711">
        <v>24.5451640236702</v>
      </c>
      <c r="N711">
        <v>51.226063343195797</v>
      </c>
      <c r="O711">
        <v>50.709326515047401</v>
      </c>
      <c r="P711">
        <v>-0.11597029801721701</v>
      </c>
      <c r="Q711">
        <v>4.1653910525293797E-2</v>
      </c>
      <c r="R711">
        <v>0.99612214299255097</v>
      </c>
      <c r="S711" t="s">
        <v>5451</v>
      </c>
      <c r="T711" t="s">
        <v>9478</v>
      </c>
      <c r="U711" t="s">
        <v>9478</v>
      </c>
      <c r="V711" t="s">
        <v>9478</v>
      </c>
      <c r="W711">
        <v>47</v>
      </c>
      <c r="X711" t="s">
        <v>10189</v>
      </c>
      <c r="Y711">
        <v>0.4034496012516301</v>
      </c>
      <c r="Z711" t="str">
        <f>HYPERLINK("Melting_Curves/meltCurve_sp_P11142_HSP7C_HUMAN_.pdf", "Melting_Curves/meltCurve_sp_P11142_HSP7C_HUMAN_.pdf")</f>
        <v>Melting_Curves/meltCurve_sp_P11142_HSP7C_HUMAN_.pdf</v>
      </c>
      <c r="AA711" t="s">
        <v>14915</v>
      </c>
      <c r="AB711" t="s">
        <v>19546</v>
      </c>
    </row>
    <row r="712" spans="1:28" x14ac:dyDescent="0.25">
      <c r="A712" t="s">
        <v>716</v>
      </c>
      <c r="B712">
        <v>0.99904790336628502</v>
      </c>
      <c r="C712">
        <v>1.0131036802572899</v>
      </c>
      <c r="D712">
        <v>0.97170197484238197</v>
      </c>
      <c r="E712">
        <v>0.86464718962621701</v>
      </c>
      <c r="F712">
        <v>0.625149699919472</v>
      </c>
      <c r="G712">
        <v>0.411302354450018</v>
      </c>
      <c r="H712">
        <v>0.34109354410444898</v>
      </c>
      <c r="I712">
        <v>0.32707939597591201</v>
      </c>
      <c r="J712">
        <v>0.32064710295642601</v>
      </c>
      <c r="K712">
        <v>0.32235644488857201</v>
      </c>
      <c r="L712">
        <v>1328.7048070402</v>
      </c>
      <c r="M712">
        <v>25.2425480900094</v>
      </c>
      <c r="N712">
        <v>54.8609874701149</v>
      </c>
      <c r="O712">
        <v>52.310470889339399</v>
      </c>
      <c r="P712">
        <v>-8.2004221111559999E-2</v>
      </c>
      <c r="Q712">
        <v>0.32025481038811798</v>
      </c>
      <c r="R712">
        <v>0.99946374367718405</v>
      </c>
      <c r="S712" t="s">
        <v>5452</v>
      </c>
      <c r="T712" t="s">
        <v>9478</v>
      </c>
      <c r="U712" t="s">
        <v>9478</v>
      </c>
      <c r="V712" t="s">
        <v>9478</v>
      </c>
      <c r="W712">
        <v>20</v>
      </c>
      <c r="X712" t="s">
        <v>10190</v>
      </c>
      <c r="Y712">
        <v>0.61272553408221819</v>
      </c>
      <c r="Z712" t="str">
        <f>HYPERLINK("Melting_Curves/meltCurve_sp_P11171_4_41_HUMAN_.pdf", "Melting_Curves/meltCurve_sp_P11171_4_41_HUMAN_.pdf")</f>
        <v>Melting_Curves/meltCurve_sp_P11171_4_41_HUMAN_.pdf</v>
      </c>
      <c r="AA712" t="s">
        <v>14916</v>
      </c>
      <c r="AB712" t="s">
        <v>19547</v>
      </c>
    </row>
    <row r="713" spans="1:28" x14ac:dyDescent="0.25">
      <c r="A713" t="s">
        <v>717</v>
      </c>
      <c r="B713">
        <v>0.99904790336628502</v>
      </c>
      <c r="C713">
        <v>0.86076056516453703</v>
      </c>
      <c r="D713">
        <v>0.71897237546403903</v>
      </c>
      <c r="E713">
        <v>0.46313205931853901</v>
      </c>
      <c r="F713">
        <v>0.228355157621879</v>
      </c>
      <c r="G713">
        <v>0.109715287908372</v>
      </c>
      <c r="H713">
        <v>5.5903274653977902E-2</v>
      </c>
      <c r="I713">
        <v>4.4952958916963701E-2</v>
      </c>
      <c r="J713">
        <v>3.8823926999753698E-2</v>
      </c>
      <c r="K713">
        <v>3.6460044261595298E-2</v>
      </c>
      <c r="L713">
        <v>733.57092044950696</v>
      </c>
      <c r="M713">
        <v>14.998181499913899</v>
      </c>
      <c r="N713">
        <v>49.014357103503798</v>
      </c>
      <c r="O713">
        <v>48.065845415190502</v>
      </c>
      <c r="P713">
        <v>-7.6798033612664601E-2</v>
      </c>
      <c r="Q713">
        <v>1.56167217028768E-2</v>
      </c>
      <c r="R713">
        <v>0.99672005342773495</v>
      </c>
      <c r="S713" t="s">
        <v>5453</v>
      </c>
      <c r="T713" t="s">
        <v>9478</v>
      </c>
      <c r="U713" t="s">
        <v>9478</v>
      </c>
      <c r="V713" t="s">
        <v>9478</v>
      </c>
      <c r="W713">
        <v>24</v>
      </c>
      <c r="X713" t="s">
        <v>10191</v>
      </c>
      <c r="Y713">
        <v>0.33238253040014509</v>
      </c>
      <c r="Z713" t="str">
        <f>HYPERLINK("Melting_Curves/meltCurve_sp_P11172_UMPS_HUMAN_.pdf", "Melting_Curves/meltCurve_sp_P11172_UMPS_HUMAN_.pdf")</f>
        <v>Melting_Curves/meltCurve_sp_P11172_UMPS_HUMAN_.pdf</v>
      </c>
      <c r="AA713" t="s">
        <v>14917</v>
      </c>
      <c r="AB713" t="s">
        <v>19548</v>
      </c>
    </row>
    <row r="714" spans="1:28" x14ac:dyDescent="0.25">
      <c r="A714" t="s">
        <v>718</v>
      </c>
      <c r="B714">
        <v>0.99904790336628502</v>
      </c>
      <c r="C714">
        <v>0.53892531577521796</v>
      </c>
      <c r="D714">
        <v>0.29536655905211601</v>
      </c>
      <c r="E714">
        <v>0.16538034958289299</v>
      </c>
      <c r="F714">
        <v>9.2211469697425899E-2</v>
      </c>
      <c r="G714">
        <v>5.8892761482617399E-2</v>
      </c>
      <c r="H714">
        <v>4.5992313898082601E-2</v>
      </c>
      <c r="I714">
        <v>2.8223541046767602E-2</v>
      </c>
      <c r="J714">
        <v>2.6344753672228799E-2</v>
      </c>
      <c r="K714">
        <v>1.7484002069230301E-2</v>
      </c>
      <c r="L714">
        <v>989.85056746856503</v>
      </c>
      <c r="M714">
        <v>22.693958385268601</v>
      </c>
      <c r="N714">
        <v>43.823551973665701</v>
      </c>
      <c r="O714">
        <v>43.282917646918797</v>
      </c>
      <c r="P714">
        <v>-0.124444262712522</v>
      </c>
      <c r="Q714">
        <v>5.0636440899898397E-2</v>
      </c>
      <c r="R714">
        <v>0.97265114008088704</v>
      </c>
      <c r="S714" t="s">
        <v>5454</v>
      </c>
      <c r="T714" t="s">
        <v>9478</v>
      </c>
      <c r="U714" t="s">
        <v>9478</v>
      </c>
      <c r="V714" t="s">
        <v>9478</v>
      </c>
      <c r="W714">
        <v>8</v>
      </c>
      <c r="X714" t="s">
        <v>10192</v>
      </c>
      <c r="Y714">
        <v>0.17986448112407771</v>
      </c>
      <c r="Z714" t="str">
        <f>HYPERLINK("Melting_Curves/meltCurve_sp_P11177_2_ODPB_HUMAN_.pdf", "Melting_Curves/meltCurve_sp_P11177_2_ODPB_HUMAN_.pdf")</f>
        <v>Melting_Curves/meltCurve_sp_P11177_2_ODPB_HUMAN_.pdf</v>
      </c>
      <c r="AA714" t="s">
        <v>14918</v>
      </c>
      <c r="AB714" t="s">
        <v>19549</v>
      </c>
    </row>
    <row r="715" spans="1:28" x14ac:dyDescent="0.25">
      <c r="A715" t="s">
        <v>719</v>
      </c>
      <c r="B715">
        <v>0.99904790336628502</v>
      </c>
      <c r="C715">
        <v>0.99842889524509704</v>
      </c>
      <c r="D715">
        <v>0.94921450859719303</v>
      </c>
      <c r="E715">
        <v>0.85282296072059904</v>
      </c>
      <c r="F715">
        <v>0.88150207873950504</v>
      </c>
      <c r="G715">
        <v>0.53861918686033505</v>
      </c>
      <c r="H715">
        <v>0.456661438811715</v>
      </c>
      <c r="I715">
        <v>0.46157958725915799</v>
      </c>
      <c r="J715">
        <v>0.45815876623947899</v>
      </c>
      <c r="K715">
        <v>0.44804563369917499</v>
      </c>
      <c r="L715">
        <v>1341.47546818205</v>
      </c>
      <c r="M715">
        <v>24.655075722832301</v>
      </c>
      <c r="N715">
        <v>59.464870279972203</v>
      </c>
      <c r="O715">
        <v>54.055556080492302</v>
      </c>
      <c r="P715">
        <v>-6.4024171260572804E-2</v>
      </c>
      <c r="Q715">
        <v>0.43852328246637201</v>
      </c>
      <c r="R715">
        <v>0.96865092729662605</v>
      </c>
      <c r="S715" t="s">
        <v>5455</v>
      </c>
      <c r="T715" t="s">
        <v>9478</v>
      </c>
      <c r="U715" t="s">
        <v>9478</v>
      </c>
      <c r="V715" t="s">
        <v>9478</v>
      </c>
      <c r="W715">
        <v>10</v>
      </c>
      <c r="X715" t="s">
        <v>10193</v>
      </c>
      <c r="Y715">
        <v>0.71354381363703434</v>
      </c>
      <c r="Z715" t="str">
        <f>HYPERLINK("Melting_Curves/meltCurve_sp_P11182_ODB2_HUMAN_.pdf", "Melting_Curves/meltCurve_sp_P11182_ODB2_HUMAN_.pdf")</f>
        <v>Melting_Curves/meltCurve_sp_P11182_ODB2_HUMAN_.pdf</v>
      </c>
      <c r="AA715" t="s">
        <v>14919</v>
      </c>
      <c r="AB715" t="s">
        <v>19550</v>
      </c>
    </row>
    <row r="716" spans="1:28" x14ac:dyDescent="0.25">
      <c r="A716" t="s">
        <v>720</v>
      </c>
      <c r="B716">
        <v>0.99904790336628502</v>
      </c>
      <c r="C716">
        <v>0.99397988279182803</v>
      </c>
      <c r="D716">
        <v>1.04871372452974</v>
      </c>
      <c r="E716">
        <v>0.99706622653536403</v>
      </c>
      <c r="F716">
        <v>0.81803543768433795</v>
      </c>
      <c r="G716">
        <v>0.39114926126090799</v>
      </c>
      <c r="H716">
        <v>0.116911366781104</v>
      </c>
      <c r="I716">
        <v>8.0305807583153699E-2</v>
      </c>
      <c r="J716">
        <v>5.7751990516637403E-2</v>
      </c>
      <c r="K716">
        <v>4.2730435394106703E-2</v>
      </c>
      <c r="L716">
        <v>1618.7023657475199</v>
      </c>
      <c r="M716">
        <v>28.997845786653301</v>
      </c>
      <c r="N716">
        <v>56.016746153811198</v>
      </c>
      <c r="O716">
        <v>55.558001282675299</v>
      </c>
      <c r="P716">
        <v>-0.12421195687169299</v>
      </c>
      <c r="Q716">
        <v>4.8078473325720801E-2</v>
      </c>
      <c r="R716">
        <v>0.99792203002313395</v>
      </c>
      <c r="S716" t="s">
        <v>5456</v>
      </c>
      <c r="T716" t="s">
        <v>9478</v>
      </c>
      <c r="U716" t="s">
        <v>9478</v>
      </c>
      <c r="V716" t="s">
        <v>9478</v>
      </c>
      <c r="W716">
        <v>42</v>
      </c>
      <c r="X716" t="s">
        <v>10194</v>
      </c>
      <c r="Y716">
        <v>0.55685683570095867</v>
      </c>
      <c r="Z716" t="str">
        <f>HYPERLINK("Melting_Curves/meltCurve_sp_P11216_PYGB_HUMAN_.pdf", "Melting_Curves/meltCurve_sp_P11216_PYGB_HUMAN_.pdf")</f>
        <v>Melting_Curves/meltCurve_sp_P11216_PYGB_HUMAN_.pdf</v>
      </c>
      <c r="AA716" t="s">
        <v>14920</v>
      </c>
      <c r="AB716" t="s">
        <v>19551</v>
      </c>
    </row>
    <row r="717" spans="1:28" x14ac:dyDescent="0.25">
      <c r="A717" t="s">
        <v>721</v>
      </c>
      <c r="B717">
        <v>0.99904790336628502</v>
      </c>
      <c r="C717">
        <v>1.03464854571261</v>
      </c>
      <c r="D717">
        <v>0.87572161146854999</v>
      </c>
      <c r="E717">
        <v>0.72317228461654603</v>
      </c>
      <c r="F717">
        <v>0.59413778385455496</v>
      </c>
      <c r="G717">
        <v>0.39639923599071902</v>
      </c>
      <c r="H717">
        <v>0.335771292727231</v>
      </c>
      <c r="I717">
        <v>0.325675669227599</v>
      </c>
      <c r="J717">
        <v>0.38454672657554501</v>
      </c>
      <c r="K717">
        <v>0.39020038592196399</v>
      </c>
      <c r="L717">
        <v>950.19813518928595</v>
      </c>
      <c r="M717">
        <v>18.675566396802299</v>
      </c>
      <c r="N717">
        <v>54.293445351853997</v>
      </c>
      <c r="O717">
        <v>50.306623660300403</v>
      </c>
      <c r="P717">
        <v>-6.0745963457414801E-2</v>
      </c>
      <c r="Q717">
        <v>0.345499220342531</v>
      </c>
      <c r="R717">
        <v>0.98264991721517603</v>
      </c>
      <c r="S717" t="s">
        <v>5457</v>
      </c>
      <c r="T717" t="s">
        <v>9478</v>
      </c>
      <c r="U717" t="s">
        <v>9478</v>
      </c>
      <c r="V717" t="s">
        <v>9478</v>
      </c>
      <c r="W717">
        <v>9</v>
      </c>
      <c r="X717" t="s">
        <v>10195</v>
      </c>
      <c r="Y717">
        <v>0.59317192891382031</v>
      </c>
      <c r="Z717" t="str">
        <f>HYPERLINK("Melting_Curves/meltCurve_sp_P11226_MBL2_HUMAN_.pdf", "Melting_Curves/meltCurve_sp_P11226_MBL2_HUMAN_.pdf")</f>
        <v>Melting_Curves/meltCurve_sp_P11226_MBL2_HUMAN_.pdf</v>
      </c>
      <c r="AA717" t="s">
        <v>14921</v>
      </c>
      <c r="AB717" t="s">
        <v>19552</v>
      </c>
    </row>
    <row r="718" spans="1:28" x14ac:dyDescent="0.25">
      <c r="A718" t="s">
        <v>722</v>
      </c>
      <c r="B718">
        <v>0.99904790336628502</v>
      </c>
      <c r="C718">
        <v>0.94816004915461105</v>
      </c>
      <c r="D718">
        <v>0.87508978969929896</v>
      </c>
      <c r="E718">
        <v>0.84659818906837003</v>
      </c>
      <c r="F718">
        <v>0.55305872067450401</v>
      </c>
      <c r="G718">
        <v>0.196279006854301</v>
      </c>
      <c r="H718">
        <v>9.2568624684348302E-2</v>
      </c>
      <c r="I718">
        <v>6.2146116562674499E-2</v>
      </c>
      <c r="J718">
        <v>4.8314194399926902E-2</v>
      </c>
      <c r="K718">
        <v>3.7917329402789898E-2</v>
      </c>
      <c r="L718">
        <v>1174.5821789686499</v>
      </c>
      <c r="M718">
        <v>22.038080183621599</v>
      </c>
      <c r="N718">
        <v>53.463428047527799</v>
      </c>
      <c r="O718">
        <v>52.864819581896199</v>
      </c>
      <c r="P718">
        <v>-0.100783203737938</v>
      </c>
      <c r="Q718">
        <v>3.29887729763211E-2</v>
      </c>
      <c r="R718">
        <v>0.99167103103160703</v>
      </c>
      <c r="S718" t="s">
        <v>5458</v>
      </c>
      <c r="T718" t="s">
        <v>9478</v>
      </c>
      <c r="U718" t="s">
        <v>9478</v>
      </c>
      <c r="V718" t="s">
        <v>9478</v>
      </c>
      <c r="W718">
        <v>12</v>
      </c>
      <c r="X718" t="s">
        <v>10196</v>
      </c>
      <c r="Y718">
        <v>0.47284599158048801</v>
      </c>
      <c r="Z718" t="str">
        <f>HYPERLINK("Melting_Curves/meltCurve_sp_P11245_ARY2_HUMAN_.pdf", "Melting_Curves/meltCurve_sp_P11245_ARY2_HUMAN_.pdf")</f>
        <v>Melting_Curves/meltCurve_sp_P11245_ARY2_HUMAN_.pdf</v>
      </c>
      <c r="AA718" t="s">
        <v>14922</v>
      </c>
      <c r="AB718" t="s">
        <v>19553</v>
      </c>
    </row>
    <row r="719" spans="1:28" x14ac:dyDescent="0.25">
      <c r="A719" t="s">
        <v>723</v>
      </c>
      <c r="B719">
        <v>0.99904790336628502</v>
      </c>
      <c r="C719">
        <v>0.96308330230486705</v>
      </c>
      <c r="D719">
        <v>0.95993409403441599</v>
      </c>
      <c r="E719">
        <v>0.81864856312649104</v>
      </c>
      <c r="F719">
        <v>0.66359997312229702</v>
      </c>
      <c r="G719">
        <v>0.39036950460456199</v>
      </c>
      <c r="H719">
        <v>0.30633494789119398</v>
      </c>
      <c r="I719">
        <v>0.24777053493735399</v>
      </c>
      <c r="J719">
        <v>0.215426293337354</v>
      </c>
      <c r="K719">
        <v>0.25177660766025001</v>
      </c>
      <c r="L719">
        <v>974.295724855711</v>
      </c>
      <c r="M719">
        <v>18.209939040618298</v>
      </c>
      <c r="N719">
        <v>55.233627304311703</v>
      </c>
      <c r="O719">
        <v>52.870804427299497</v>
      </c>
      <c r="P719">
        <v>-6.7393880790042396E-2</v>
      </c>
      <c r="Q719">
        <v>0.21735036566199001</v>
      </c>
      <c r="R719">
        <v>0.99695150585469805</v>
      </c>
      <c r="S719" t="s">
        <v>5459</v>
      </c>
      <c r="T719" t="s">
        <v>9478</v>
      </c>
      <c r="U719" t="s">
        <v>9478</v>
      </c>
      <c r="V719" t="s">
        <v>9478</v>
      </c>
      <c r="W719">
        <v>6</v>
      </c>
      <c r="X719" t="s">
        <v>10197</v>
      </c>
      <c r="Y719">
        <v>0.58208884302533437</v>
      </c>
      <c r="Z719" t="str">
        <f>HYPERLINK("Melting_Curves/meltCurve_sp_P11274_2_BCR_HUMAN_.pdf", "Melting_Curves/meltCurve_sp_P11274_2_BCR_HUMAN_.pdf")</f>
        <v>Melting_Curves/meltCurve_sp_P11274_2_BCR_HUMAN_.pdf</v>
      </c>
      <c r="AA719" t="s">
        <v>14923</v>
      </c>
      <c r="AB719" t="s">
        <v>19554</v>
      </c>
    </row>
    <row r="720" spans="1:28" x14ac:dyDescent="0.25">
      <c r="A720" t="s">
        <v>724</v>
      </c>
      <c r="B720">
        <v>0.99904790336628502</v>
      </c>
      <c r="C720">
        <v>0.90006486180632295</v>
      </c>
      <c r="D720">
        <v>0.88104798928289196</v>
      </c>
      <c r="E720">
        <v>0.84245831640477498</v>
      </c>
      <c r="F720">
        <v>0.67519913229610695</v>
      </c>
      <c r="G720">
        <v>0.63081494469925403</v>
      </c>
      <c r="H720">
        <v>0.45364534068279999</v>
      </c>
      <c r="I720">
        <v>0.45223685833528598</v>
      </c>
      <c r="J720">
        <v>0.37342751640362998</v>
      </c>
      <c r="K720">
        <v>0.27545895166561601</v>
      </c>
      <c r="L720">
        <v>390.43518702062403</v>
      </c>
      <c r="M720">
        <v>6.4263065261717802</v>
      </c>
      <c r="N720">
        <v>60.755767911436898</v>
      </c>
      <c r="O720">
        <v>55.673481171487502</v>
      </c>
      <c r="P720">
        <v>-2.8930150874324101E-2</v>
      </c>
      <c r="Q720">
        <v>0</v>
      </c>
      <c r="R720">
        <v>0.98153411309265304</v>
      </c>
      <c r="S720" t="s">
        <v>5460</v>
      </c>
      <c r="T720" t="s">
        <v>9478</v>
      </c>
      <c r="U720" t="s">
        <v>9478</v>
      </c>
      <c r="V720" t="s">
        <v>9478</v>
      </c>
      <c r="W720">
        <v>2</v>
      </c>
      <c r="X720" t="s">
        <v>10198</v>
      </c>
      <c r="Y720">
        <v>0.6531990123557132</v>
      </c>
      <c r="Z720" t="str">
        <f>HYPERLINK("Melting_Curves/meltCurve_sp_P11279_LAMP1_HUMAN_.pdf", "Melting_Curves/meltCurve_sp_P11279_LAMP1_HUMAN_.pdf")</f>
        <v>Melting_Curves/meltCurve_sp_P11279_LAMP1_HUMAN_.pdf</v>
      </c>
      <c r="AA720" t="s">
        <v>14924</v>
      </c>
      <c r="AB720" t="s">
        <v>19555</v>
      </c>
    </row>
    <row r="721" spans="1:28" x14ac:dyDescent="0.25">
      <c r="A721" t="s">
        <v>725</v>
      </c>
      <c r="B721">
        <v>0.99904790336628502</v>
      </c>
      <c r="C721">
        <v>0.98350810014048795</v>
      </c>
      <c r="D721">
        <v>0.98524230908958099</v>
      </c>
      <c r="E721">
        <v>0.739168489595043</v>
      </c>
      <c r="F721">
        <v>0.48360023411259201</v>
      </c>
      <c r="G721">
        <v>0.25949710943061299</v>
      </c>
      <c r="H721">
        <v>0.11066765275401701</v>
      </c>
      <c r="I721">
        <v>6.3674553122855304E-2</v>
      </c>
      <c r="J721">
        <v>4.5059837217535197E-2</v>
      </c>
      <c r="K721">
        <v>3.23211676277078E-2</v>
      </c>
      <c r="L721">
        <v>964.19097325020505</v>
      </c>
      <c r="M721">
        <v>18.233035596857398</v>
      </c>
      <c r="N721">
        <v>53.049976218750103</v>
      </c>
      <c r="O721">
        <v>52.257742562043603</v>
      </c>
      <c r="P721">
        <v>-8.4777340436365298E-2</v>
      </c>
      <c r="Q721">
        <v>2.8123677721385399E-2</v>
      </c>
      <c r="R721">
        <v>0.99793027561518499</v>
      </c>
      <c r="S721" t="s">
        <v>5461</v>
      </c>
      <c r="T721" t="s">
        <v>9478</v>
      </c>
      <c r="U721" t="s">
        <v>9478</v>
      </c>
      <c r="V721" t="s">
        <v>9478</v>
      </c>
      <c r="W721">
        <v>32</v>
      </c>
      <c r="X721" t="s">
        <v>10199</v>
      </c>
      <c r="Y721">
        <v>0.46105207521363989</v>
      </c>
      <c r="Z721" t="str">
        <f>HYPERLINK("Melting_Curves/meltCurve_sp_P11310_ACADM_HUMAN_.pdf", "Melting_Curves/meltCurve_sp_P11310_ACADM_HUMAN_.pdf")</f>
        <v>Melting_Curves/meltCurve_sp_P11310_ACADM_HUMAN_.pdf</v>
      </c>
      <c r="AA721" t="s">
        <v>14925</v>
      </c>
      <c r="AB721" t="s">
        <v>19556</v>
      </c>
    </row>
    <row r="722" spans="1:28" x14ac:dyDescent="0.25">
      <c r="A722" t="s">
        <v>726</v>
      </c>
      <c r="B722">
        <v>0.99904790336628502</v>
      </c>
      <c r="C722">
        <v>1.2627056077005701</v>
      </c>
      <c r="D722">
        <v>1.0567536468134799</v>
      </c>
      <c r="E722">
        <v>1.2330601992744901</v>
      </c>
      <c r="F722">
        <v>1.58352247993308</v>
      </c>
      <c r="G722">
        <v>1.2638901071940301</v>
      </c>
      <c r="H722">
        <v>1.60403248100079</v>
      </c>
      <c r="I722">
        <v>1.25285413353348</v>
      </c>
      <c r="J722">
        <v>1.5510507659164301</v>
      </c>
      <c r="K722">
        <v>1.8236940581220999</v>
      </c>
      <c r="L722">
        <v>12506.786215639801</v>
      </c>
      <c r="M722">
        <v>250</v>
      </c>
      <c r="O722">
        <v>50.023941720817</v>
      </c>
      <c r="P722">
        <v>0.62470085076014403</v>
      </c>
      <c r="Q722">
        <v>1.5</v>
      </c>
      <c r="R722">
        <v>0.50077777458468697</v>
      </c>
      <c r="S722" t="s">
        <v>5462</v>
      </c>
      <c r="T722" t="s">
        <v>9478</v>
      </c>
      <c r="U722" t="s">
        <v>9478</v>
      </c>
      <c r="V722" t="s">
        <v>9478</v>
      </c>
      <c r="W722">
        <v>1</v>
      </c>
      <c r="X722" t="s">
        <v>10200</v>
      </c>
      <c r="Y722">
        <v>1.332837020527027</v>
      </c>
      <c r="Z722" t="str">
        <f>HYPERLINK("Melting_Curves/meltCurve_sp_P11387_TOP1_HUMAN_.pdf", "Melting_Curves/meltCurve_sp_P11387_TOP1_HUMAN_.pdf")</f>
        <v>Melting_Curves/meltCurve_sp_P11387_TOP1_HUMAN_.pdf</v>
      </c>
      <c r="AA722" t="s">
        <v>14926</v>
      </c>
      <c r="AB722" t="s">
        <v>19557</v>
      </c>
    </row>
    <row r="723" spans="1:28" x14ac:dyDescent="0.25">
      <c r="A723" t="s">
        <v>727</v>
      </c>
      <c r="B723">
        <v>0.99904790336628502</v>
      </c>
      <c r="C723">
        <v>0.89954837214626004</v>
      </c>
      <c r="D723">
        <v>0.85564417253551905</v>
      </c>
      <c r="E723">
        <v>0.54769821391280105</v>
      </c>
      <c r="F723">
        <v>0.304001958968736</v>
      </c>
      <c r="G723">
        <v>0.16567110036858301</v>
      </c>
      <c r="H723">
        <v>0.14152535851927101</v>
      </c>
      <c r="I723">
        <v>0.12920406143857399</v>
      </c>
      <c r="J723">
        <v>0.124712379165654</v>
      </c>
      <c r="K723">
        <v>0.119507647411913</v>
      </c>
      <c r="L723">
        <v>951.01966353750299</v>
      </c>
      <c r="M723">
        <v>19.1375874391317</v>
      </c>
      <c r="N723">
        <v>50.364118062086</v>
      </c>
      <c r="O723">
        <v>49.160743863538499</v>
      </c>
      <c r="P723">
        <v>-8.6383223176518906E-2</v>
      </c>
      <c r="Q723">
        <v>0.112427354997537</v>
      </c>
      <c r="R723">
        <v>0.996066761932343</v>
      </c>
      <c r="S723" t="s">
        <v>5463</v>
      </c>
      <c r="T723" t="s">
        <v>9478</v>
      </c>
      <c r="U723" t="s">
        <v>9478</v>
      </c>
      <c r="V723" t="s">
        <v>9478</v>
      </c>
      <c r="W723">
        <v>5</v>
      </c>
      <c r="X723" t="s">
        <v>10201</v>
      </c>
      <c r="Y723">
        <v>0.41271935924488229</v>
      </c>
      <c r="Z723" t="str">
        <f>HYPERLINK("Melting_Curves/meltCurve_sp_P11413_G6PD_HUMAN_.pdf", "Melting_Curves/meltCurve_sp_P11413_G6PD_HUMAN_.pdf")</f>
        <v>Melting_Curves/meltCurve_sp_P11413_G6PD_HUMAN_.pdf</v>
      </c>
      <c r="AA723" t="s">
        <v>14927</v>
      </c>
      <c r="AB723" t="s">
        <v>19558</v>
      </c>
    </row>
    <row r="724" spans="1:28" x14ac:dyDescent="0.25">
      <c r="A724" t="s">
        <v>728</v>
      </c>
      <c r="B724">
        <v>0.99904790336628502</v>
      </c>
      <c r="C724">
        <v>0.95439217189544701</v>
      </c>
      <c r="D724">
        <v>1.02407647831092</v>
      </c>
      <c r="E724">
        <v>0.85657965360661303</v>
      </c>
      <c r="F724">
        <v>0.90407589097170005</v>
      </c>
      <c r="G724">
        <v>0.68762044139387302</v>
      </c>
      <c r="H724">
        <v>0.54918032341546297</v>
      </c>
      <c r="I724">
        <v>0.50158001701575705</v>
      </c>
      <c r="J724">
        <v>0.45285044341892999</v>
      </c>
      <c r="K724">
        <v>0.40856249228772301</v>
      </c>
      <c r="L724">
        <v>774.50262415082398</v>
      </c>
      <c r="M724">
        <v>13.4621831558733</v>
      </c>
      <c r="N724">
        <v>63.595261392521302</v>
      </c>
      <c r="O724">
        <v>56.306739587773997</v>
      </c>
      <c r="P724">
        <v>-3.8171532042437402E-2</v>
      </c>
      <c r="Q724">
        <v>0.36147559052220302</v>
      </c>
      <c r="R724">
        <v>0.97649798799112897</v>
      </c>
      <c r="S724" t="s">
        <v>5464</v>
      </c>
      <c r="T724" t="s">
        <v>9478</v>
      </c>
      <c r="U724" t="s">
        <v>9478</v>
      </c>
      <c r="V724" t="s">
        <v>9478</v>
      </c>
      <c r="W724">
        <v>5</v>
      </c>
      <c r="X724" t="s">
        <v>10202</v>
      </c>
      <c r="Y724">
        <v>0.74417954278611709</v>
      </c>
      <c r="Z724" t="str">
        <f>HYPERLINK("Melting_Curves/meltCurve_sp_P11441_UBL4A_HUMAN_.pdf", "Melting_Curves/meltCurve_sp_P11441_UBL4A_HUMAN_.pdf")</f>
        <v>Melting_Curves/meltCurve_sp_P11441_UBL4A_HUMAN_.pdf</v>
      </c>
      <c r="AA724" t="s">
        <v>14928</v>
      </c>
      <c r="AB724" t="s">
        <v>19559</v>
      </c>
    </row>
    <row r="725" spans="1:28" x14ac:dyDescent="0.25">
      <c r="A725" t="s">
        <v>729</v>
      </c>
      <c r="B725">
        <v>0.99904790336628502</v>
      </c>
      <c r="C725">
        <v>0.76108365910471998</v>
      </c>
      <c r="D725">
        <v>0.47345460583161603</v>
      </c>
      <c r="E725">
        <v>0.17914062398769101</v>
      </c>
      <c r="F725">
        <v>9.2830490224845005E-2</v>
      </c>
      <c r="G725">
        <v>5.8925409004731699E-2</v>
      </c>
      <c r="H725">
        <v>3.6823405927529897E-2</v>
      </c>
      <c r="I725">
        <v>2.7651069744304899E-2</v>
      </c>
      <c r="J725">
        <v>2.45883441363011E-2</v>
      </c>
      <c r="K725">
        <v>1.9237041983400299E-2</v>
      </c>
      <c r="L725">
        <v>909.188727956977</v>
      </c>
      <c r="M725">
        <v>19.933313073166399</v>
      </c>
      <c r="N725">
        <v>45.749960469690301</v>
      </c>
      <c r="O725">
        <v>45.159913005279797</v>
      </c>
      <c r="P725">
        <v>-0.10712238435016599</v>
      </c>
      <c r="Q725">
        <v>2.9267769253625901E-2</v>
      </c>
      <c r="R725">
        <v>0.99645883012049696</v>
      </c>
      <c r="S725" t="s">
        <v>5465</v>
      </c>
      <c r="T725" t="s">
        <v>9478</v>
      </c>
      <c r="U725" t="s">
        <v>9478</v>
      </c>
      <c r="V725" t="s">
        <v>9478</v>
      </c>
      <c r="W725">
        <v>71</v>
      </c>
      <c r="X725" t="s">
        <v>10203</v>
      </c>
      <c r="Y725">
        <v>0.2264319316228561</v>
      </c>
      <c r="Z725" t="str">
        <f>HYPERLINK("Melting_Curves/meltCurve_sp_P11498_PYC_HUMAN_.pdf", "Melting_Curves/meltCurve_sp_P11498_PYC_HUMAN_.pdf")</f>
        <v>Melting_Curves/meltCurve_sp_P11498_PYC_HUMAN_.pdf</v>
      </c>
      <c r="AA725" t="s">
        <v>14929</v>
      </c>
      <c r="AB725" t="s">
        <v>19560</v>
      </c>
    </row>
    <row r="726" spans="1:28" x14ac:dyDescent="0.25">
      <c r="A726" t="s">
        <v>730</v>
      </c>
      <c r="B726">
        <v>0.99904790336628502</v>
      </c>
      <c r="C726">
        <v>1.0921195992244901</v>
      </c>
      <c r="D726">
        <v>0.84150829065092103</v>
      </c>
      <c r="E726">
        <v>0.42964278585528198</v>
      </c>
      <c r="F726">
        <v>0.21449666957313901</v>
      </c>
      <c r="G726">
        <v>9.9334174768791694E-2</v>
      </c>
      <c r="H726">
        <v>4.5908714104074398E-2</v>
      </c>
      <c r="I726">
        <v>3.1873140464594898E-2</v>
      </c>
      <c r="J726">
        <v>2.2490522191038701E-2</v>
      </c>
      <c r="K726">
        <v>1.5680027023085501E-2</v>
      </c>
      <c r="L726">
        <v>1183.6694615696499</v>
      </c>
      <c r="M726">
        <v>23.956561291597001</v>
      </c>
      <c r="N726">
        <v>49.551924457457297</v>
      </c>
      <c r="O726">
        <v>49.068597305888098</v>
      </c>
      <c r="P726">
        <v>-0.117983524533849</v>
      </c>
      <c r="Q726">
        <v>3.3385324357198203E-2</v>
      </c>
      <c r="R726">
        <v>0.99051082663670098</v>
      </c>
      <c r="S726" t="s">
        <v>5466</v>
      </c>
      <c r="T726" t="s">
        <v>9478</v>
      </c>
      <c r="U726" t="s">
        <v>9478</v>
      </c>
      <c r="V726" t="s">
        <v>9478</v>
      </c>
      <c r="W726">
        <v>8</v>
      </c>
      <c r="X726" t="s">
        <v>10204</v>
      </c>
      <c r="Y726">
        <v>0.34591899935386122</v>
      </c>
      <c r="Z726" t="str">
        <f>HYPERLINK("Melting_Curves/meltCurve_sp_P11509_CP2A6_HUMAN_.pdf", "Melting_Curves/meltCurve_sp_P11509_CP2A6_HUMAN_.pdf")</f>
        <v>Melting_Curves/meltCurve_sp_P11509_CP2A6_HUMAN_.pdf</v>
      </c>
      <c r="AA726" t="s">
        <v>14930</v>
      </c>
      <c r="AB726" t="s">
        <v>19561</v>
      </c>
    </row>
    <row r="727" spans="1:28" x14ac:dyDescent="0.25">
      <c r="A727" t="s">
        <v>731</v>
      </c>
      <c r="B727">
        <v>0.99904790336628502</v>
      </c>
      <c r="C727">
        <v>0.95447517116329905</v>
      </c>
      <c r="D727">
        <v>0.99157175569497702</v>
      </c>
      <c r="E727">
        <v>0.80599060988400995</v>
      </c>
      <c r="F727">
        <v>0.546711060311454</v>
      </c>
      <c r="G727">
        <v>0.28438072996017499</v>
      </c>
      <c r="H727">
        <v>0.20826355805184199</v>
      </c>
      <c r="I727">
        <v>0.16934810341178699</v>
      </c>
      <c r="J727">
        <v>0.164829639920854</v>
      </c>
      <c r="K727">
        <v>0.15668739278474</v>
      </c>
      <c r="L727">
        <v>1200.95011850382</v>
      </c>
      <c r="M727">
        <v>22.805535406781299</v>
      </c>
      <c r="N727">
        <v>53.561819113301198</v>
      </c>
      <c r="O727">
        <v>52.260573453036898</v>
      </c>
      <c r="P727">
        <v>-9.1711810715917705E-2</v>
      </c>
      <c r="Q727">
        <v>0.15935864823990201</v>
      </c>
      <c r="R727">
        <v>0.99811682017094205</v>
      </c>
      <c r="S727" t="s">
        <v>5467</v>
      </c>
      <c r="T727" t="s">
        <v>9478</v>
      </c>
      <c r="U727" t="s">
        <v>9478</v>
      </c>
      <c r="V727" t="s">
        <v>9478</v>
      </c>
      <c r="W727">
        <v>22</v>
      </c>
      <c r="X727" t="s">
        <v>10205</v>
      </c>
      <c r="Y727">
        <v>0.52328730197913853</v>
      </c>
      <c r="Z727" t="str">
        <f>HYPERLINK("Melting_Curves/meltCurve_sp_P11532_3_DMD_HUMAN_.pdf", "Melting_Curves/meltCurve_sp_P11532_3_DMD_HUMAN_.pdf")</f>
        <v>Melting_Curves/meltCurve_sp_P11532_3_DMD_HUMAN_.pdf</v>
      </c>
      <c r="AA727" t="s">
        <v>14931</v>
      </c>
      <c r="AB727" t="s">
        <v>19562</v>
      </c>
    </row>
    <row r="728" spans="1:28" x14ac:dyDescent="0.25">
      <c r="A728" t="s">
        <v>732</v>
      </c>
      <c r="B728">
        <v>0.99904790336628502</v>
      </c>
      <c r="C728">
        <v>0.83188862833586197</v>
      </c>
      <c r="D728">
        <v>0.333345061054102</v>
      </c>
      <c r="E728">
        <v>0.13957027062505001</v>
      </c>
      <c r="F728">
        <v>6.7320008906568002E-2</v>
      </c>
      <c r="G728">
        <v>4.3558573507547799E-2</v>
      </c>
      <c r="H728">
        <v>2.8660829941199499E-2</v>
      </c>
      <c r="I728">
        <v>2.1067623419006001E-2</v>
      </c>
      <c r="J728">
        <v>1.9016157607355099E-2</v>
      </c>
      <c r="K728">
        <v>1.66119070738131E-2</v>
      </c>
      <c r="L728">
        <v>1372.1562235681199</v>
      </c>
      <c r="M728">
        <v>30.530438257554501</v>
      </c>
      <c r="N728">
        <v>45.061051423647498</v>
      </c>
      <c r="O728">
        <v>44.752373977592903</v>
      </c>
      <c r="P728">
        <v>-0.164045271987067</v>
      </c>
      <c r="Q728">
        <v>3.8157172286757399E-2</v>
      </c>
      <c r="R728">
        <v>0.99471907978047402</v>
      </c>
      <c r="S728" t="s">
        <v>5468</v>
      </c>
      <c r="T728" t="s">
        <v>9478</v>
      </c>
      <c r="U728" t="s">
        <v>9478</v>
      </c>
      <c r="V728" t="s">
        <v>9478</v>
      </c>
      <c r="W728">
        <v>58</v>
      </c>
      <c r="X728" t="s">
        <v>10206</v>
      </c>
      <c r="Y728">
        <v>0.20262978552896929</v>
      </c>
      <c r="Z728" t="str">
        <f>HYPERLINK("Melting_Curves/meltCurve_sp_P11586_C1TC_HUMAN_.pdf", "Melting_Curves/meltCurve_sp_P11586_C1TC_HUMAN_.pdf")</f>
        <v>Melting_Curves/meltCurve_sp_P11586_C1TC_HUMAN_.pdf</v>
      </c>
      <c r="AA728" t="s">
        <v>14932</v>
      </c>
      <c r="AB728" t="s">
        <v>19563</v>
      </c>
    </row>
    <row r="729" spans="1:28" x14ac:dyDescent="0.25">
      <c r="A729" t="s">
        <v>733</v>
      </c>
      <c r="B729">
        <v>0.99904790336628502</v>
      </c>
      <c r="C729">
        <v>0.94602017734047705</v>
      </c>
      <c r="D729">
        <v>0.78110470007866695</v>
      </c>
      <c r="E729">
        <v>0.43908510041396798</v>
      </c>
      <c r="F729">
        <v>0.22761192572101299</v>
      </c>
      <c r="G729">
        <v>0.11097938448989</v>
      </c>
      <c r="H729">
        <v>8.4066811558435497E-2</v>
      </c>
      <c r="I729">
        <v>3.8195535737484902E-2</v>
      </c>
      <c r="J729">
        <v>4.3480144253721299E-2</v>
      </c>
      <c r="K729">
        <v>2.9127099510079201E-2</v>
      </c>
      <c r="L729">
        <v>911.47975495418905</v>
      </c>
      <c r="M729">
        <v>18.565183186353298</v>
      </c>
      <c r="N729">
        <v>49.300288941093498</v>
      </c>
      <c r="O729">
        <v>48.537180568746102</v>
      </c>
      <c r="P729">
        <v>-9.2090457301464895E-2</v>
      </c>
      <c r="Q729">
        <v>3.6989492392731201E-2</v>
      </c>
      <c r="R729">
        <v>0.99924814515498295</v>
      </c>
      <c r="S729" t="s">
        <v>5469</v>
      </c>
      <c r="T729" t="s">
        <v>9478</v>
      </c>
      <c r="U729" t="s">
        <v>9478</v>
      </c>
      <c r="V729" t="s">
        <v>9478</v>
      </c>
      <c r="W729">
        <v>9</v>
      </c>
      <c r="X729" t="s">
        <v>10207</v>
      </c>
      <c r="Y729">
        <v>0.34463652463840783</v>
      </c>
      <c r="Z729" t="str">
        <f>HYPERLINK("Melting_Curves/meltCurve_sp_P11712_CP2C9_HUMAN_.pdf", "Melting_Curves/meltCurve_sp_P11712_CP2C9_HUMAN_.pdf")</f>
        <v>Melting_Curves/meltCurve_sp_P11712_CP2C9_HUMAN_.pdf</v>
      </c>
      <c r="AA729" t="s">
        <v>14933</v>
      </c>
      <c r="AB729" t="s">
        <v>19564</v>
      </c>
    </row>
    <row r="730" spans="1:28" x14ac:dyDescent="0.25">
      <c r="A730" t="s">
        <v>734</v>
      </c>
      <c r="B730">
        <v>0.99904790336628502</v>
      </c>
      <c r="C730">
        <v>1.01979880804913</v>
      </c>
      <c r="D730">
        <v>1.0249198219855</v>
      </c>
      <c r="E730">
        <v>0.95314403065634001</v>
      </c>
      <c r="F730">
        <v>0.87472562581619595</v>
      </c>
      <c r="G730">
        <v>0.69472562664079296</v>
      </c>
      <c r="H730">
        <v>0.56748635443282802</v>
      </c>
      <c r="I730">
        <v>0.49533672093394099</v>
      </c>
      <c r="J730">
        <v>0.38364999348152201</v>
      </c>
      <c r="K730">
        <v>0.34893247832090002</v>
      </c>
      <c r="L730">
        <v>810.08038976748799</v>
      </c>
      <c r="M730">
        <v>13.7436385996527</v>
      </c>
      <c r="N730">
        <v>62.752616093756501</v>
      </c>
      <c r="O730">
        <v>57.736348234172297</v>
      </c>
      <c r="P730">
        <v>-4.2677327730828697E-2</v>
      </c>
      <c r="Q730">
        <v>0.28296058919892297</v>
      </c>
      <c r="R730">
        <v>0.99334005872809295</v>
      </c>
      <c r="S730" t="s">
        <v>5470</v>
      </c>
      <c r="T730" t="s">
        <v>9478</v>
      </c>
      <c r="U730" t="s">
        <v>9478</v>
      </c>
      <c r="V730" t="s">
        <v>9478</v>
      </c>
      <c r="W730">
        <v>5</v>
      </c>
      <c r="X730" t="s">
        <v>10208</v>
      </c>
      <c r="Y730">
        <v>0.74292351493516262</v>
      </c>
      <c r="Z730" t="str">
        <f>HYPERLINK("Melting_Curves/meltCurve_sp_P11717_MPRI_HUMAN_.pdf", "Melting_Curves/meltCurve_sp_P11717_MPRI_HUMAN_.pdf")</f>
        <v>Melting_Curves/meltCurve_sp_P11717_MPRI_HUMAN_.pdf</v>
      </c>
      <c r="AA730" t="s">
        <v>14934</v>
      </c>
      <c r="AB730" t="s">
        <v>19565</v>
      </c>
    </row>
    <row r="731" spans="1:28" x14ac:dyDescent="0.25">
      <c r="A731" t="s">
        <v>735</v>
      </c>
      <c r="B731">
        <v>0.99904790336628502</v>
      </c>
      <c r="C731">
        <v>1.21812191621178</v>
      </c>
      <c r="D731">
        <v>0.70561818025471601</v>
      </c>
      <c r="E731">
        <v>0.90439451080968503</v>
      </c>
      <c r="F731">
        <v>0.59312948379442798</v>
      </c>
      <c r="G731">
        <v>0.51349889871218801</v>
      </c>
      <c r="H731">
        <v>0.16830192197730601</v>
      </c>
      <c r="I731">
        <v>7.5915913090025905E-2</v>
      </c>
      <c r="J731">
        <v>4.5335750237072002E-2</v>
      </c>
      <c r="K731">
        <v>2.88032503530582E-2</v>
      </c>
      <c r="L731">
        <v>815.29451084327502</v>
      </c>
      <c r="M731">
        <v>14.708361419753199</v>
      </c>
      <c r="N731">
        <v>55.4306821144312</v>
      </c>
      <c r="O731">
        <v>54.436285273485197</v>
      </c>
      <c r="P731">
        <v>-6.7555886832570994E-2</v>
      </c>
      <c r="Q731">
        <v>0</v>
      </c>
      <c r="R731">
        <v>0.91570188349301196</v>
      </c>
      <c r="S731" t="s">
        <v>5471</v>
      </c>
      <c r="T731" t="s">
        <v>9478</v>
      </c>
      <c r="U731" t="s">
        <v>9478</v>
      </c>
      <c r="V731" t="s">
        <v>9478</v>
      </c>
      <c r="W731">
        <v>21</v>
      </c>
      <c r="X731" t="s">
        <v>10209</v>
      </c>
      <c r="Y731">
        <v>0.53337165679687792</v>
      </c>
      <c r="Z731" t="str">
        <f>HYPERLINK("Melting_Curves/meltCurve_sp_P11766_ADHX_HUMAN_.pdf", "Melting_Curves/meltCurve_sp_P11766_ADHX_HUMAN_.pdf")</f>
        <v>Melting_Curves/meltCurve_sp_P11766_ADHX_HUMAN_.pdf</v>
      </c>
      <c r="AA731" t="s">
        <v>14935</v>
      </c>
      <c r="AB731" t="s">
        <v>19566</v>
      </c>
    </row>
    <row r="732" spans="1:28" x14ac:dyDescent="0.25">
      <c r="A732" t="s">
        <v>736</v>
      </c>
      <c r="B732">
        <v>0.99904790336628502</v>
      </c>
      <c r="C732">
        <v>1.1975921447158999</v>
      </c>
      <c r="D732">
        <v>0.99486964152344404</v>
      </c>
      <c r="E732">
        <v>0.84823248670625495</v>
      </c>
      <c r="F732">
        <v>0.73107310587331298</v>
      </c>
      <c r="G732">
        <v>0.36007094891737101</v>
      </c>
      <c r="H732">
        <v>0.17774985715354299</v>
      </c>
      <c r="I732">
        <v>0.14956156771691301</v>
      </c>
      <c r="J732">
        <v>0.10161428315490501</v>
      </c>
      <c r="K732">
        <v>9.4817461397043598E-2</v>
      </c>
      <c r="L732">
        <v>1158.3050847109901</v>
      </c>
      <c r="M732">
        <v>21.127568194025599</v>
      </c>
      <c r="N732">
        <v>55.335977195909003</v>
      </c>
      <c r="O732">
        <v>54.340271920865</v>
      </c>
      <c r="P732">
        <v>-8.8578727628108603E-2</v>
      </c>
      <c r="Q732">
        <v>8.8723129238773193E-2</v>
      </c>
      <c r="R732">
        <v>0.97401747114826398</v>
      </c>
      <c r="S732" t="s">
        <v>5472</v>
      </c>
      <c r="T732" t="s">
        <v>9478</v>
      </c>
      <c r="U732" t="s">
        <v>9478</v>
      </c>
      <c r="V732" t="s">
        <v>9478</v>
      </c>
      <c r="W732">
        <v>4</v>
      </c>
      <c r="X732" t="s">
        <v>10210</v>
      </c>
      <c r="Y732">
        <v>0.55021754202426953</v>
      </c>
      <c r="Z732" t="str">
        <f>HYPERLINK("Melting_Curves/meltCurve_sp_P11802_CDK4_HUMAN_.pdf", "Melting_Curves/meltCurve_sp_P11802_CDK4_HUMAN_.pdf")</f>
        <v>Melting_Curves/meltCurve_sp_P11802_CDK4_HUMAN_.pdf</v>
      </c>
      <c r="AA732" t="s">
        <v>14936</v>
      </c>
      <c r="AB732" t="s">
        <v>19567</v>
      </c>
    </row>
    <row r="733" spans="1:28" x14ac:dyDescent="0.25">
      <c r="A733" t="s">
        <v>737</v>
      </c>
      <c r="B733">
        <v>0.99904790336628502</v>
      </c>
      <c r="C733">
        <v>1.1719423577893999</v>
      </c>
      <c r="D733">
        <v>1.2167849591753499</v>
      </c>
      <c r="E733">
        <v>0.95733649703430901</v>
      </c>
      <c r="F733">
        <v>0.56402167554236204</v>
      </c>
      <c r="G733">
        <v>0.17764942253462301</v>
      </c>
      <c r="H733">
        <v>8.59282162845178E-2</v>
      </c>
      <c r="I733">
        <v>5.9626248598292998E-2</v>
      </c>
      <c r="J733">
        <v>5.5072271903230399E-2</v>
      </c>
      <c r="K733">
        <v>4.9057979769622097E-2</v>
      </c>
      <c r="L733">
        <v>2022.5241440658201</v>
      </c>
      <c r="M733">
        <v>37.9381639594123</v>
      </c>
      <c r="N733">
        <v>53.513247512713697</v>
      </c>
      <c r="O733">
        <v>53.163599942643899</v>
      </c>
      <c r="P733">
        <v>-0.16649135600389001</v>
      </c>
      <c r="Q733">
        <v>6.6770181352461905E-2</v>
      </c>
      <c r="R733">
        <v>0.96466381301110504</v>
      </c>
      <c r="S733" t="s">
        <v>5473</v>
      </c>
      <c r="T733" t="s">
        <v>9478</v>
      </c>
      <c r="U733" t="s">
        <v>9478</v>
      </c>
      <c r="V733" t="s">
        <v>9478</v>
      </c>
      <c r="W733">
        <v>6</v>
      </c>
      <c r="X733" t="s">
        <v>10211</v>
      </c>
      <c r="Y733">
        <v>0.4846647862201286</v>
      </c>
      <c r="Z733" t="str">
        <f>HYPERLINK("Melting_Curves/meltCurve_sp_P11908_PRPS2_HUMAN_.pdf", "Melting_Curves/meltCurve_sp_P11908_PRPS2_HUMAN_.pdf")</f>
        <v>Melting_Curves/meltCurve_sp_P11908_PRPS2_HUMAN_.pdf</v>
      </c>
      <c r="AA733" t="s">
        <v>14937</v>
      </c>
      <c r="AB733" t="s">
        <v>19568</v>
      </c>
    </row>
    <row r="734" spans="1:28" x14ac:dyDescent="0.25">
      <c r="A734" t="s">
        <v>738</v>
      </c>
      <c r="B734">
        <v>0.99904790336628502</v>
      </c>
      <c r="C734">
        <v>0.93073817664986103</v>
      </c>
      <c r="D734">
        <v>0.975365420114501</v>
      </c>
      <c r="E734">
        <v>0.85006624324217195</v>
      </c>
      <c r="F734">
        <v>0.48018876953974099</v>
      </c>
      <c r="G734">
        <v>0.24781908781890499</v>
      </c>
      <c r="H734">
        <v>7.9589589524295901E-2</v>
      </c>
      <c r="I734">
        <v>5.3400641740524502E-2</v>
      </c>
      <c r="J734">
        <v>4.6852314350718897E-2</v>
      </c>
      <c r="K734">
        <v>4.34513343602487E-2</v>
      </c>
      <c r="L734">
        <v>1208.334513885</v>
      </c>
      <c r="M734">
        <v>22.772695288819701</v>
      </c>
      <c r="N734">
        <v>53.2621749813745</v>
      </c>
      <c r="O734">
        <v>52.6565921496939</v>
      </c>
      <c r="P734">
        <v>-0.10365847040708499</v>
      </c>
      <c r="Q734">
        <v>4.1273691014224102E-2</v>
      </c>
      <c r="R734">
        <v>0.99388577188582194</v>
      </c>
      <c r="S734" t="s">
        <v>5474</v>
      </c>
      <c r="T734" t="s">
        <v>9478</v>
      </c>
      <c r="U734" t="s">
        <v>9478</v>
      </c>
      <c r="V734" t="s">
        <v>9478</v>
      </c>
      <c r="W734">
        <v>27</v>
      </c>
      <c r="X734" t="s">
        <v>10212</v>
      </c>
      <c r="Y734">
        <v>0.46914977697923499</v>
      </c>
      <c r="Z734" t="str">
        <f>HYPERLINK("Melting_Curves/meltCurve_sp_P11940_PABP1_HUMAN_.pdf", "Melting_Curves/meltCurve_sp_P11940_PABP1_HUMAN_.pdf")</f>
        <v>Melting_Curves/meltCurve_sp_P11940_PABP1_HUMAN_.pdf</v>
      </c>
      <c r="AA734" t="s">
        <v>14938</v>
      </c>
      <c r="AB734" t="s">
        <v>19569</v>
      </c>
    </row>
    <row r="735" spans="1:28" x14ac:dyDescent="0.25">
      <c r="A735" t="s">
        <v>739</v>
      </c>
      <c r="B735">
        <v>0.99904790336628502</v>
      </c>
      <c r="C735">
        <v>0.97309708922789295</v>
      </c>
      <c r="D735">
        <v>0.953686951331292</v>
      </c>
      <c r="E735">
        <v>0.89966316456026696</v>
      </c>
      <c r="F735">
        <v>0.688536454738639</v>
      </c>
      <c r="G735">
        <v>0.33490669465835599</v>
      </c>
      <c r="H735">
        <v>0.13560324837324</v>
      </c>
      <c r="I735">
        <v>7.4585294901758803E-2</v>
      </c>
      <c r="J735">
        <v>4.7942926581301899E-2</v>
      </c>
      <c r="K735">
        <v>4.0411655617309403E-2</v>
      </c>
      <c r="L735">
        <v>1145.4208183226301</v>
      </c>
      <c r="M735">
        <v>20.8570456982237</v>
      </c>
      <c r="N735">
        <v>55.065508901641003</v>
      </c>
      <c r="O735">
        <v>54.420306007284502</v>
      </c>
      <c r="P735">
        <v>-9.3208627473792993E-2</v>
      </c>
      <c r="Q735">
        <v>2.72248384085273E-2</v>
      </c>
      <c r="R735">
        <v>0.99903261100349205</v>
      </c>
      <c r="S735" t="s">
        <v>5475</v>
      </c>
      <c r="T735" t="s">
        <v>9478</v>
      </c>
      <c r="U735" t="s">
        <v>9478</v>
      </c>
      <c r="V735" t="s">
        <v>9478</v>
      </c>
      <c r="W735">
        <v>14</v>
      </c>
      <c r="X735" t="s">
        <v>10213</v>
      </c>
      <c r="Y735">
        <v>0.52311375334818788</v>
      </c>
      <c r="Z735" t="str">
        <f>HYPERLINK("Melting_Curves/meltCurve_sp_P12004_PCNA_HUMAN_.pdf", "Melting_Curves/meltCurve_sp_P12004_PCNA_HUMAN_.pdf")</f>
        <v>Melting_Curves/meltCurve_sp_P12004_PCNA_HUMAN_.pdf</v>
      </c>
      <c r="AA735" t="s">
        <v>14939</v>
      </c>
      <c r="AB735" t="s">
        <v>19570</v>
      </c>
    </row>
    <row r="736" spans="1:28" x14ac:dyDescent="0.25">
      <c r="A736" t="s">
        <v>740</v>
      </c>
      <c r="B736">
        <v>0.99904790336628502</v>
      </c>
      <c r="C736">
        <v>0.67347467499327796</v>
      </c>
      <c r="D736">
        <v>0.77879628350882102</v>
      </c>
      <c r="E736">
        <v>0.68326271293303198</v>
      </c>
      <c r="F736">
        <v>0.59610855286946896</v>
      </c>
      <c r="G736">
        <v>0.32477961421937401</v>
      </c>
      <c r="H736">
        <v>0.14195789014507099</v>
      </c>
      <c r="I736">
        <v>0.117985573914398</v>
      </c>
      <c r="J736">
        <v>3.52047897395312E-2</v>
      </c>
      <c r="K736">
        <v>4.3816404411594102E-2</v>
      </c>
      <c r="L736">
        <v>516.27940513961801</v>
      </c>
      <c r="M736">
        <v>9.8259221906846506</v>
      </c>
      <c r="N736">
        <v>52.542587274659603</v>
      </c>
      <c r="O736">
        <v>50.505053194415702</v>
      </c>
      <c r="P736">
        <v>-4.8663617037532199E-2</v>
      </c>
      <c r="Q736">
        <v>0</v>
      </c>
      <c r="R736">
        <v>0.92418759722654098</v>
      </c>
      <c r="S736" t="s">
        <v>5476</v>
      </c>
      <c r="T736" t="s">
        <v>9478</v>
      </c>
      <c r="U736" t="s">
        <v>9478</v>
      </c>
      <c r="V736" t="s">
        <v>9478</v>
      </c>
      <c r="W736">
        <v>3</v>
      </c>
      <c r="X736" t="s">
        <v>10214</v>
      </c>
      <c r="Y736">
        <v>0.45466100509178509</v>
      </c>
      <c r="Z736" t="str">
        <f>HYPERLINK("Melting_Curves/meltCurve_sp_P12109_CO6A1_HUMAN_.pdf", "Melting_Curves/meltCurve_sp_P12109_CO6A1_HUMAN_.pdf")</f>
        <v>Melting_Curves/meltCurve_sp_P12109_CO6A1_HUMAN_.pdf</v>
      </c>
      <c r="AA736" t="s">
        <v>14940</v>
      </c>
      <c r="AB736" t="s">
        <v>19571</v>
      </c>
    </row>
    <row r="737" spans="1:28" x14ac:dyDescent="0.25">
      <c r="A737" t="s">
        <v>741</v>
      </c>
      <c r="B737">
        <v>0.99904790336628502</v>
      </c>
      <c r="C737">
        <v>1.0434814940672901</v>
      </c>
      <c r="D737">
        <v>1.11134021969416</v>
      </c>
      <c r="E737">
        <v>1.0080746642835401</v>
      </c>
      <c r="F737">
        <v>0.89530491224310904</v>
      </c>
      <c r="G737">
        <v>0.66909661202600601</v>
      </c>
      <c r="H737">
        <v>0.52302816219152903</v>
      </c>
      <c r="I737">
        <v>0.480328706554703</v>
      </c>
      <c r="J737">
        <v>0.45452764397983503</v>
      </c>
      <c r="K737">
        <v>0.35419645648153297</v>
      </c>
      <c r="L737">
        <v>1255.3983098665201</v>
      </c>
      <c r="M737">
        <v>22.089931397845099</v>
      </c>
      <c r="N737">
        <v>61.400771669416898</v>
      </c>
      <c r="O737">
        <v>56.3716480952071</v>
      </c>
      <c r="P737">
        <v>-5.8448190224827903E-2</v>
      </c>
      <c r="Q737">
        <v>0.40339362958006802</v>
      </c>
      <c r="R737">
        <v>0.96985873831787195</v>
      </c>
      <c r="S737" t="s">
        <v>5477</v>
      </c>
      <c r="T737" t="s">
        <v>9478</v>
      </c>
      <c r="U737" t="s">
        <v>9478</v>
      </c>
      <c r="V737" t="s">
        <v>9478</v>
      </c>
      <c r="W737">
        <v>87</v>
      </c>
      <c r="X737" t="s">
        <v>10215</v>
      </c>
      <c r="Y737">
        <v>0.74459574102275683</v>
      </c>
      <c r="Z737" t="str">
        <f>HYPERLINK("Melting_Curves/meltCurve_sp_P12270_TPR_HUMAN_.pdf", "Melting_Curves/meltCurve_sp_P12270_TPR_HUMAN_.pdf")</f>
        <v>Melting_Curves/meltCurve_sp_P12270_TPR_HUMAN_.pdf</v>
      </c>
      <c r="AA737" t="s">
        <v>14941</v>
      </c>
      <c r="AB737" t="s">
        <v>19572</v>
      </c>
    </row>
    <row r="738" spans="1:28" x14ac:dyDescent="0.25">
      <c r="A738" t="s">
        <v>742</v>
      </c>
      <c r="B738">
        <v>0.99904790336628502</v>
      </c>
      <c r="C738">
        <v>0.89493613030734998</v>
      </c>
      <c r="D738">
        <v>0.297247161267086</v>
      </c>
      <c r="E738">
        <v>0.24227426982548</v>
      </c>
      <c r="F738">
        <v>0.12256085038367399</v>
      </c>
      <c r="G738">
        <v>5.7075457495681998E-2</v>
      </c>
      <c r="H738">
        <v>2.7012432485774601E-2</v>
      </c>
      <c r="I738">
        <v>1.9145629451633599E-2</v>
      </c>
      <c r="J738">
        <v>1.7813480733556999E-2</v>
      </c>
      <c r="K738">
        <v>1.24632686619374E-2</v>
      </c>
      <c r="L738">
        <v>1735.682692112</v>
      </c>
      <c r="M738">
        <v>38.661923835892097</v>
      </c>
      <c r="N738">
        <v>45.056329096947401</v>
      </c>
      <c r="O738">
        <v>44.774256804298702</v>
      </c>
      <c r="P738">
        <v>-0.20182561139126801</v>
      </c>
      <c r="Q738">
        <v>6.5067899721990494E-2</v>
      </c>
      <c r="R738">
        <v>0.96863105705089703</v>
      </c>
      <c r="S738" t="s">
        <v>5478</v>
      </c>
      <c r="T738" t="s">
        <v>9478</v>
      </c>
      <c r="U738" t="s">
        <v>9478</v>
      </c>
      <c r="V738" t="s">
        <v>9478</v>
      </c>
      <c r="W738">
        <v>11</v>
      </c>
      <c r="X738" t="s">
        <v>10216</v>
      </c>
      <c r="Y738">
        <v>0.2209317118851345</v>
      </c>
      <c r="Z738" t="str">
        <f>HYPERLINK("Melting_Curves/meltCurve_sp_P12694_ODBA_HUMAN_.pdf", "Melting_Curves/meltCurve_sp_P12694_ODBA_HUMAN_.pdf")</f>
        <v>Melting_Curves/meltCurve_sp_P12694_ODBA_HUMAN_.pdf</v>
      </c>
      <c r="AA738" t="s">
        <v>14942</v>
      </c>
      <c r="AB738" t="s">
        <v>19573</v>
      </c>
    </row>
    <row r="739" spans="1:28" x14ac:dyDescent="0.25">
      <c r="A739" t="s">
        <v>743</v>
      </c>
      <c r="B739">
        <v>0.99904790336628502</v>
      </c>
      <c r="C739">
        <v>0.86384803493783102</v>
      </c>
      <c r="D739">
        <v>1.0261379120741301</v>
      </c>
      <c r="E739">
        <v>1.02814417663738</v>
      </c>
      <c r="F739">
        <v>1.2661496491752799</v>
      </c>
      <c r="G739">
        <v>0.86560414989136103</v>
      </c>
      <c r="H739">
        <v>0.69363415264306605</v>
      </c>
      <c r="I739">
        <v>0.61914712297562702</v>
      </c>
      <c r="J739">
        <v>0.621375377071266</v>
      </c>
      <c r="K739">
        <v>0.39660246800364801</v>
      </c>
      <c r="L739">
        <v>1491.76843068315</v>
      </c>
      <c r="M739">
        <v>24.4588680047138</v>
      </c>
      <c r="N739">
        <v>68.600958767075895</v>
      </c>
      <c r="O739">
        <v>60.587581699167202</v>
      </c>
      <c r="P739">
        <v>-5.3809173052945601E-2</v>
      </c>
      <c r="Q739">
        <v>0.46684041055032099</v>
      </c>
      <c r="R739">
        <v>0.79462447858596796</v>
      </c>
      <c r="S739" t="s">
        <v>5479</v>
      </c>
      <c r="T739" t="s">
        <v>9478</v>
      </c>
      <c r="U739" t="s">
        <v>9478</v>
      </c>
      <c r="V739" t="s">
        <v>9478</v>
      </c>
      <c r="W739">
        <v>1</v>
      </c>
      <c r="X739" t="s">
        <v>10217</v>
      </c>
      <c r="Y739">
        <v>0.84326851382282919</v>
      </c>
      <c r="Z739" t="str">
        <f>HYPERLINK("Melting_Curves/meltCurve_sp_P12724_ECP_HUMAN_.pdf", "Melting_Curves/meltCurve_sp_P12724_ECP_HUMAN_.pdf")</f>
        <v>Melting_Curves/meltCurve_sp_P12724_ECP_HUMAN_.pdf</v>
      </c>
      <c r="AA739" t="s">
        <v>14943</v>
      </c>
      <c r="AB739" t="s">
        <v>19574</v>
      </c>
    </row>
    <row r="740" spans="1:28" x14ac:dyDescent="0.25">
      <c r="A740" t="s">
        <v>744</v>
      </c>
      <c r="B740">
        <v>0.99904790336628502</v>
      </c>
      <c r="C740">
        <v>1.0368537765779799</v>
      </c>
      <c r="D740">
        <v>1.09186307962851</v>
      </c>
      <c r="E740">
        <v>1.0697778667156601</v>
      </c>
      <c r="F740">
        <v>0.91879816674945403</v>
      </c>
      <c r="G740">
        <v>0.87243341782970096</v>
      </c>
      <c r="H740">
        <v>0.50150859931716496</v>
      </c>
      <c r="I740">
        <v>7.8107905309134099E-2</v>
      </c>
      <c r="J740">
        <v>4.2322617549391497E-2</v>
      </c>
      <c r="K740">
        <v>3.7785354904662498E-2</v>
      </c>
      <c r="L740">
        <v>2194.4831822047099</v>
      </c>
      <c r="M740">
        <v>36.1398748139787</v>
      </c>
      <c r="N740">
        <v>60.730886723661698</v>
      </c>
      <c r="O740">
        <v>60.536915035481996</v>
      </c>
      <c r="P740">
        <v>-0.148850318352687</v>
      </c>
      <c r="Q740">
        <v>2.6627264359489499E-3</v>
      </c>
      <c r="R740">
        <v>0.98474980984620397</v>
      </c>
      <c r="S740" t="s">
        <v>5480</v>
      </c>
      <c r="T740" t="s">
        <v>9478</v>
      </c>
      <c r="U740" t="s">
        <v>9478</v>
      </c>
      <c r="V740" t="s">
        <v>9478</v>
      </c>
      <c r="W740">
        <v>59</v>
      </c>
      <c r="X740" t="s">
        <v>10218</v>
      </c>
      <c r="Y740">
        <v>0.69603658824606396</v>
      </c>
      <c r="Z740" t="str">
        <f>HYPERLINK("Melting_Curves/meltCurve_sp_P12814_ACTN1_HUMAN_.pdf", "Melting_Curves/meltCurve_sp_P12814_ACTN1_HUMAN_.pdf")</f>
        <v>Melting_Curves/meltCurve_sp_P12814_ACTN1_HUMAN_.pdf</v>
      </c>
      <c r="AA740" t="s">
        <v>14944</v>
      </c>
      <c r="AB740" t="s">
        <v>19575</v>
      </c>
    </row>
    <row r="741" spans="1:28" x14ac:dyDescent="0.25">
      <c r="A741" t="s">
        <v>745</v>
      </c>
      <c r="B741">
        <v>0.99904790336628502</v>
      </c>
      <c r="C741">
        <v>0.88620982013053795</v>
      </c>
      <c r="D741">
        <v>0.77977048622921197</v>
      </c>
      <c r="E741">
        <v>0.61195175675038704</v>
      </c>
      <c r="F741">
        <v>0.37541254206798003</v>
      </c>
      <c r="G741">
        <v>0.22252991191305799</v>
      </c>
      <c r="H741">
        <v>7.1655555883995095E-2</v>
      </c>
      <c r="I741">
        <v>4.67848029188059E-2</v>
      </c>
      <c r="J741">
        <v>2.9951149866248E-2</v>
      </c>
      <c r="K741">
        <v>3.5436912886425302E-2</v>
      </c>
      <c r="L741">
        <v>668.607936076447</v>
      </c>
      <c r="M741">
        <v>13.090340634348999</v>
      </c>
      <c r="N741">
        <v>51.076435320901602</v>
      </c>
      <c r="O741">
        <v>49.928535348992803</v>
      </c>
      <c r="P741">
        <v>-6.5556631425681106E-2</v>
      </c>
      <c r="Q741">
        <v>0</v>
      </c>
      <c r="R741">
        <v>0.99479874429570103</v>
      </c>
      <c r="S741" t="s">
        <v>5481</v>
      </c>
      <c r="T741" t="s">
        <v>9478</v>
      </c>
      <c r="U741" t="s">
        <v>9478</v>
      </c>
      <c r="V741" t="s">
        <v>9478</v>
      </c>
      <c r="W741">
        <v>6</v>
      </c>
      <c r="X741" t="s">
        <v>10219</v>
      </c>
      <c r="Y741">
        <v>0.3977917252319666</v>
      </c>
      <c r="Z741" t="str">
        <f>HYPERLINK("Melting_Curves/meltCurve_sp_P12931_SRC_HUMAN_.pdf", "Melting_Curves/meltCurve_sp_P12931_SRC_HUMAN_.pdf")</f>
        <v>Melting_Curves/meltCurve_sp_P12931_SRC_HUMAN_.pdf</v>
      </c>
      <c r="AA741" t="s">
        <v>14945</v>
      </c>
      <c r="AB741" t="s">
        <v>19576</v>
      </c>
    </row>
    <row r="742" spans="1:28" x14ac:dyDescent="0.25">
      <c r="A742" t="s">
        <v>746</v>
      </c>
      <c r="B742">
        <v>0.99904790336628502</v>
      </c>
      <c r="C742">
        <v>1.01205619931483</v>
      </c>
      <c r="D742">
        <v>1.08310594560485</v>
      </c>
      <c r="E742">
        <v>0.95347323107847004</v>
      </c>
      <c r="F742">
        <v>0.73902594550806799</v>
      </c>
      <c r="G742">
        <v>0.35758197682092902</v>
      </c>
      <c r="H742">
        <v>0.11476655377814</v>
      </c>
      <c r="I742">
        <v>4.3458713306529402E-2</v>
      </c>
      <c r="J742">
        <v>2.8955450068228201E-2</v>
      </c>
      <c r="K742">
        <v>2.86390853016452E-2</v>
      </c>
      <c r="L742">
        <v>1368.62500472018</v>
      </c>
      <c r="M742">
        <v>24.695192428022001</v>
      </c>
      <c r="N742">
        <v>55.5035911581828</v>
      </c>
      <c r="O742">
        <v>55.0611292247672</v>
      </c>
      <c r="P742">
        <v>-0.110098045550884</v>
      </c>
      <c r="Q742">
        <v>1.8102485591483201E-2</v>
      </c>
      <c r="R742">
        <v>0.99527254338146998</v>
      </c>
      <c r="S742" t="s">
        <v>5482</v>
      </c>
      <c r="T742" t="s">
        <v>9478</v>
      </c>
      <c r="U742" t="s">
        <v>9478</v>
      </c>
      <c r="V742" t="s">
        <v>9478</v>
      </c>
      <c r="W742">
        <v>18</v>
      </c>
      <c r="X742" t="s">
        <v>10220</v>
      </c>
      <c r="Y742">
        <v>0.53207738068313593</v>
      </c>
      <c r="Z742" t="str">
        <f>HYPERLINK("Melting_Curves/meltCurve_sp_P12955_PEPD_HUMAN_.pdf", "Melting_Curves/meltCurve_sp_P12955_PEPD_HUMAN_.pdf")</f>
        <v>Melting_Curves/meltCurve_sp_P12955_PEPD_HUMAN_.pdf</v>
      </c>
      <c r="AA742" t="s">
        <v>14946</v>
      </c>
      <c r="AB742" t="s">
        <v>19577</v>
      </c>
    </row>
    <row r="743" spans="1:28" x14ac:dyDescent="0.25">
      <c r="A743" t="s">
        <v>747</v>
      </c>
      <c r="B743">
        <v>0.99904790336628502</v>
      </c>
      <c r="C743">
        <v>0.98495795565444599</v>
      </c>
      <c r="D743">
        <v>0.969953452090073</v>
      </c>
      <c r="E743">
        <v>0.88496031135104403</v>
      </c>
      <c r="F743">
        <v>0.63407875863171703</v>
      </c>
      <c r="G743">
        <v>0.29629609260372602</v>
      </c>
      <c r="H743">
        <v>8.7145292228259993E-2</v>
      </c>
      <c r="I743">
        <v>5.9710570401136802E-2</v>
      </c>
      <c r="J743">
        <v>4.8814906105059501E-2</v>
      </c>
      <c r="K743">
        <v>3.9648138145307099E-2</v>
      </c>
      <c r="L743">
        <v>1202.0904626405299</v>
      </c>
      <c r="M743">
        <v>22.131326712477598</v>
      </c>
      <c r="N743">
        <v>54.457874659992001</v>
      </c>
      <c r="O743">
        <v>53.878601950089397</v>
      </c>
      <c r="P743">
        <v>-9.9820934146973198E-2</v>
      </c>
      <c r="Q743">
        <v>2.7966972364085001E-2</v>
      </c>
      <c r="R743">
        <v>0.99929012807358697</v>
      </c>
      <c r="S743" t="s">
        <v>5483</v>
      </c>
      <c r="T743" t="s">
        <v>9478</v>
      </c>
      <c r="U743" t="s">
        <v>9478</v>
      </c>
      <c r="V743" t="s">
        <v>9478</v>
      </c>
      <c r="W743">
        <v>24</v>
      </c>
      <c r="X743" t="s">
        <v>10221</v>
      </c>
      <c r="Y743">
        <v>0.50296497495270587</v>
      </c>
      <c r="Z743" t="str">
        <f>HYPERLINK("Melting_Curves/meltCurve_sp_P12956_XRCC6_HUMAN_.pdf", "Melting_Curves/meltCurve_sp_P12956_XRCC6_HUMAN_.pdf")</f>
        <v>Melting_Curves/meltCurve_sp_P12956_XRCC6_HUMAN_.pdf</v>
      </c>
      <c r="AA743" t="s">
        <v>14947</v>
      </c>
      <c r="AB743" t="s">
        <v>19578</v>
      </c>
    </row>
    <row r="744" spans="1:28" x14ac:dyDescent="0.25">
      <c r="A744" t="s">
        <v>748</v>
      </c>
      <c r="B744">
        <v>0.99904790336628502</v>
      </c>
      <c r="C744">
        <v>0.95001398007432403</v>
      </c>
      <c r="D744">
        <v>0.83309657836943996</v>
      </c>
      <c r="E744">
        <v>0.77301932546713503</v>
      </c>
      <c r="F744">
        <v>0.68611738924844601</v>
      </c>
      <c r="G744">
        <v>0.42121257784036598</v>
      </c>
      <c r="H744">
        <v>0.25099787663809697</v>
      </c>
      <c r="I744">
        <v>0.25267785724008801</v>
      </c>
      <c r="J744">
        <v>0.237808543063983</v>
      </c>
      <c r="K744">
        <v>0.22087563277887501</v>
      </c>
      <c r="L744">
        <v>652.24102268061597</v>
      </c>
      <c r="M744">
        <v>12.093735051282</v>
      </c>
      <c r="N744">
        <v>55.5120723398569</v>
      </c>
      <c r="O744">
        <v>52.521047582418802</v>
      </c>
      <c r="P744">
        <v>-4.9195635443592699E-2</v>
      </c>
      <c r="Q744">
        <v>0.14560652714976299</v>
      </c>
      <c r="R744">
        <v>0.98279520078761695</v>
      </c>
      <c r="S744" t="s">
        <v>5484</v>
      </c>
      <c r="T744" t="s">
        <v>9478</v>
      </c>
      <c r="U744" t="s">
        <v>9478</v>
      </c>
      <c r="V744" t="s">
        <v>9478</v>
      </c>
      <c r="W744">
        <v>19</v>
      </c>
      <c r="X744" t="s">
        <v>10222</v>
      </c>
      <c r="Y744">
        <v>0.56468537649112904</v>
      </c>
      <c r="Z744" t="str">
        <f>HYPERLINK("Melting_Curves/meltCurve_sp_P13010_XRCC5_HUMAN_.pdf", "Melting_Curves/meltCurve_sp_P13010_XRCC5_HUMAN_.pdf")</f>
        <v>Melting_Curves/meltCurve_sp_P13010_XRCC5_HUMAN_.pdf</v>
      </c>
      <c r="AA744" t="s">
        <v>14948</v>
      </c>
      <c r="AB744" t="s">
        <v>19579</v>
      </c>
    </row>
    <row r="745" spans="1:28" x14ac:dyDescent="0.25">
      <c r="A745" t="s">
        <v>749</v>
      </c>
      <c r="B745">
        <v>0.99904790336628502</v>
      </c>
      <c r="C745">
        <v>1.06355851670595</v>
      </c>
      <c r="D745">
        <v>1.01389603360395</v>
      </c>
      <c r="E745">
        <v>0.833100229150466</v>
      </c>
      <c r="F745">
        <v>0.71786616922183</v>
      </c>
      <c r="G745">
        <v>0.536099351219126</v>
      </c>
      <c r="H745">
        <v>0.46534981014292698</v>
      </c>
      <c r="I745">
        <v>0.44309857147419401</v>
      </c>
      <c r="J745">
        <v>0.485119779446466</v>
      </c>
      <c r="K745">
        <v>0.50719816307985399</v>
      </c>
      <c r="L745">
        <v>1246.63272999884</v>
      </c>
      <c r="M745">
        <v>23.834457340436501</v>
      </c>
      <c r="N745">
        <v>59.330175652044304</v>
      </c>
      <c r="O745">
        <v>51.939797272321698</v>
      </c>
      <c r="P745">
        <v>-6.07716921753199E-2</v>
      </c>
      <c r="Q745">
        <v>0.470276648284562</v>
      </c>
      <c r="R745">
        <v>0.98185170315098202</v>
      </c>
      <c r="S745" t="s">
        <v>5485</v>
      </c>
      <c r="T745" t="s">
        <v>9478</v>
      </c>
      <c r="U745" t="s">
        <v>9478</v>
      </c>
      <c r="V745" t="s">
        <v>9478</v>
      </c>
      <c r="W745">
        <v>5</v>
      </c>
      <c r="X745" t="s">
        <v>10223</v>
      </c>
      <c r="Y745">
        <v>0.69284033827199454</v>
      </c>
      <c r="Z745" t="str">
        <f>HYPERLINK("Melting_Curves/meltCurve_sp_P13073_COX41_HUMAN_.pdf", "Melting_Curves/meltCurve_sp_P13073_COX41_HUMAN_.pdf")</f>
        <v>Melting_Curves/meltCurve_sp_P13073_COX41_HUMAN_.pdf</v>
      </c>
      <c r="AA745" t="s">
        <v>14949</v>
      </c>
      <c r="AB745" t="s">
        <v>19580</v>
      </c>
    </row>
    <row r="746" spans="1:28" x14ac:dyDescent="0.25">
      <c r="A746" t="s">
        <v>750</v>
      </c>
      <c r="B746">
        <v>0.99904790336628502</v>
      </c>
      <c r="C746">
        <v>0.98298896847841799</v>
      </c>
      <c r="D746">
        <v>0.89566623869180195</v>
      </c>
      <c r="E746">
        <v>0.72555350532090002</v>
      </c>
      <c r="F746">
        <v>0.50779668954700796</v>
      </c>
      <c r="G746">
        <v>0.26332636604418203</v>
      </c>
      <c r="H746">
        <v>0.14884847313969299</v>
      </c>
      <c r="I746">
        <v>0.12981684536801499</v>
      </c>
      <c r="J746">
        <v>0.12073446724880101</v>
      </c>
      <c r="K746">
        <v>0.11590523975686701</v>
      </c>
      <c r="L746">
        <v>898.64525484310604</v>
      </c>
      <c r="M746">
        <v>17.1761392032945</v>
      </c>
      <c r="N746">
        <v>52.957175317448502</v>
      </c>
      <c r="O746">
        <v>51.625653285332497</v>
      </c>
      <c r="P746">
        <v>-7.5409534978880505E-2</v>
      </c>
      <c r="Q746">
        <v>9.3431776855456297E-2</v>
      </c>
      <c r="R746">
        <v>0.99892679357039105</v>
      </c>
      <c r="S746" t="s">
        <v>5486</v>
      </c>
      <c r="T746" t="s">
        <v>9478</v>
      </c>
      <c r="U746" t="s">
        <v>9478</v>
      </c>
      <c r="V746" t="s">
        <v>9478</v>
      </c>
      <c r="W746">
        <v>10</v>
      </c>
      <c r="X746" t="s">
        <v>10224</v>
      </c>
      <c r="Y746">
        <v>0.48193515291250633</v>
      </c>
      <c r="Z746" t="str">
        <f>HYPERLINK("Melting_Curves/meltCurve_sp_P13196_HEM1_HUMAN_.pdf", "Melting_Curves/meltCurve_sp_P13196_HEM1_HUMAN_.pdf")</f>
        <v>Melting_Curves/meltCurve_sp_P13196_HEM1_HUMAN_.pdf</v>
      </c>
      <c r="AA746" t="s">
        <v>14950</v>
      </c>
      <c r="AB746" t="s">
        <v>19581</v>
      </c>
    </row>
    <row r="747" spans="1:28" x14ac:dyDescent="0.25">
      <c r="A747" t="s">
        <v>751</v>
      </c>
      <c r="B747">
        <v>0.99904790336628502</v>
      </c>
      <c r="C747">
        <v>1.26890354554638</v>
      </c>
      <c r="D747">
        <v>1.2920739279093401</v>
      </c>
      <c r="E747">
        <v>1.27776169215633</v>
      </c>
      <c r="F747">
        <v>1.4568748306664201</v>
      </c>
      <c r="G747">
        <v>1.04466711957122</v>
      </c>
      <c r="H747">
        <v>0.68830456026554998</v>
      </c>
      <c r="I747">
        <v>0.61789703884378899</v>
      </c>
      <c r="J747">
        <v>0.59430704111697197</v>
      </c>
      <c r="K747">
        <v>0.46415277186397902</v>
      </c>
      <c r="L747">
        <v>4841.4175187741203</v>
      </c>
      <c r="M747">
        <v>80.172679568260307</v>
      </c>
      <c r="O747">
        <v>60.349832639753501</v>
      </c>
      <c r="P747">
        <v>-0.14747255630160599</v>
      </c>
      <c r="Q747">
        <v>0.55596130969850699</v>
      </c>
      <c r="R747">
        <v>0.59435342917935796</v>
      </c>
      <c r="S747" t="s">
        <v>5487</v>
      </c>
      <c r="T747" t="s">
        <v>9478</v>
      </c>
      <c r="U747" t="s">
        <v>9478</v>
      </c>
      <c r="V747" t="s">
        <v>9478</v>
      </c>
      <c r="W747">
        <v>2</v>
      </c>
      <c r="X747" t="s">
        <v>10225</v>
      </c>
      <c r="Y747">
        <v>0.85817893785524901</v>
      </c>
      <c r="Z747" t="str">
        <f>HYPERLINK("Melting_Curves/meltCurve_sp_P13284_GILT_HUMAN_.pdf", "Melting_Curves/meltCurve_sp_P13284_GILT_HUMAN_.pdf")</f>
        <v>Melting_Curves/meltCurve_sp_P13284_GILT_HUMAN_.pdf</v>
      </c>
      <c r="AA747" t="s">
        <v>14951</v>
      </c>
      <c r="AB747" t="s">
        <v>19582</v>
      </c>
    </row>
    <row r="748" spans="1:28" x14ac:dyDescent="0.25">
      <c r="A748" t="s">
        <v>752</v>
      </c>
      <c r="B748">
        <v>0.99904790336628502</v>
      </c>
      <c r="C748">
        <v>1.0790123702855901</v>
      </c>
      <c r="D748">
        <v>0.94212125180070905</v>
      </c>
      <c r="E748">
        <v>1.0222494567798299</v>
      </c>
      <c r="F748">
        <v>0.97614605914982999</v>
      </c>
      <c r="G748">
        <v>0.741106515819972</v>
      </c>
      <c r="H748">
        <v>0.46308079382407902</v>
      </c>
      <c r="I748">
        <v>0.40528597961422502</v>
      </c>
      <c r="J748">
        <v>0.48114166567113498</v>
      </c>
      <c r="K748">
        <v>0.54191635317398201</v>
      </c>
      <c r="L748">
        <v>14252.023719823401</v>
      </c>
      <c r="M748">
        <v>250</v>
      </c>
      <c r="N748">
        <v>57.680294380009897</v>
      </c>
      <c r="O748">
        <v>57.004433479342801</v>
      </c>
      <c r="P748">
        <v>-0.57796347694629002</v>
      </c>
      <c r="Q748">
        <v>0.47285618834944498</v>
      </c>
      <c r="R748">
        <v>0.968844123920931</v>
      </c>
      <c r="S748" t="s">
        <v>5488</v>
      </c>
      <c r="T748" t="s">
        <v>9478</v>
      </c>
      <c r="U748" t="s">
        <v>9478</v>
      </c>
      <c r="V748" t="s">
        <v>9478</v>
      </c>
      <c r="W748">
        <v>2</v>
      </c>
      <c r="X748" t="s">
        <v>10226</v>
      </c>
      <c r="Y748">
        <v>0.77176599365465193</v>
      </c>
      <c r="Z748" t="str">
        <f>HYPERLINK("Melting_Curves/meltCurve_sp_P13473_LAMP2_HUMAN_.pdf", "Melting_Curves/meltCurve_sp_P13473_LAMP2_HUMAN_.pdf")</f>
        <v>Melting_Curves/meltCurve_sp_P13473_LAMP2_HUMAN_.pdf</v>
      </c>
      <c r="AA748" t="s">
        <v>14952</v>
      </c>
      <c r="AB748" t="s">
        <v>19583</v>
      </c>
    </row>
    <row r="749" spans="1:28" x14ac:dyDescent="0.25">
      <c r="A749" t="s">
        <v>753</v>
      </c>
      <c r="B749">
        <v>0.99904790336628502</v>
      </c>
      <c r="C749">
        <v>1.0371545489168501</v>
      </c>
      <c r="D749">
        <v>1.03536259933323</v>
      </c>
      <c r="E749">
        <v>1.02460410470926</v>
      </c>
      <c r="F749">
        <v>0.98445280391381995</v>
      </c>
      <c r="G749">
        <v>0.66597596992925701</v>
      </c>
      <c r="H749">
        <v>0.50749523172753697</v>
      </c>
      <c r="I749">
        <v>0.46657034819285498</v>
      </c>
      <c r="J749">
        <v>0.35782341402370699</v>
      </c>
      <c r="K749">
        <v>0.218132535318068</v>
      </c>
      <c r="L749">
        <v>1044.0165754758</v>
      </c>
      <c r="M749">
        <v>17.6330793646122</v>
      </c>
      <c r="N749">
        <v>61.433519326655997</v>
      </c>
      <c r="O749">
        <v>58.462082398955303</v>
      </c>
      <c r="P749">
        <v>-5.7608405664378103E-2</v>
      </c>
      <c r="Q749">
        <v>0.236043328911196</v>
      </c>
      <c r="R749">
        <v>0.97074402388252901</v>
      </c>
      <c r="S749" t="s">
        <v>5489</v>
      </c>
      <c r="T749" t="s">
        <v>9478</v>
      </c>
      <c r="U749" t="s">
        <v>9478</v>
      </c>
      <c r="V749" t="s">
        <v>9478</v>
      </c>
      <c r="W749">
        <v>24</v>
      </c>
      <c r="X749" t="s">
        <v>10227</v>
      </c>
      <c r="Y749">
        <v>0.73295669786027107</v>
      </c>
      <c r="Z749" t="str">
        <f>HYPERLINK("Melting_Curves/meltCurve_sp_P13489_RINI_HUMAN_.pdf", "Melting_Curves/meltCurve_sp_P13489_RINI_HUMAN_.pdf")</f>
        <v>Melting_Curves/meltCurve_sp_P13489_RINI_HUMAN_.pdf</v>
      </c>
      <c r="AA749" t="s">
        <v>14953</v>
      </c>
      <c r="AB749" t="s">
        <v>19584</v>
      </c>
    </row>
    <row r="750" spans="1:28" x14ac:dyDescent="0.25">
      <c r="A750" t="s">
        <v>754</v>
      </c>
      <c r="B750">
        <v>0.99904790336628502</v>
      </c>
      <c r="C750">
        <v>1.01923481684871</v>
      </c>
      <c r="D750">
        <v>0.74380932349716999</v>
      </c>
      <c r="E750">
        <v>0.990839319792581</v>
      </c>
      <c r="F750">
        <v>0.97619210351449903</v>
      </c>
      <c r="G750">
        <v>0.71924258651793704</v>
      </c>
      <c r="H750">
        <v>0.583013543214568</v>
      </c>
      <c r="I750">
        <v>0.78540194915726103</v>
      </c>
      <c r="J750">
        <v>0.65362583027480203</v>
      </c>
      <c r="K750">
        <v>0.74499675508938601</v>
      </c>
      <c r="L750">
        <v>3773.90889486887</v>
      </c>
      <c r="M750">
        <v>68.6742305102496</v>
      </c>
      <c r="O750">
        <v>54.907247142144598</v>
      </c>
      <c r="P750">
        <v>-9.6204937034238797E-2</v>
      </c>
      <c r="Q750">
        <v>0.69232438849280098</v>
      </c>
      <c r="R750">
        <v>0.60744513541242595</v>
      </c>
      <c r="S750" t="s">
        <v>5490</v>
      </c>
      <c r="T750" t="s">
        <v>9478</v>
      </c>
      <c r="U750" t="s">
        <v>9478</v>
      </c>
      <c r="V750" t="s">
        <v>9478</v>
      </c>
      <c r="W750">
        <v>1</v>
      </c>
      <c r="X750" t="s">
        <v>10228</v>
      </c>
      <c r="Y750">
        <v>0.84608252547155161</v>
      </c>
      <c r="Z750" t="str">
        <f>HYPERLINK("Melting_Curves/meltCurve_sp_P13498_CY24A_HUMAN_.pdf", "Melting_Curves/meltCurve_sp_P13498_CY24A_HUMAN_.pdf")</f>
        <v>Melting_Curves/meltCurve_sp_P13498_CY24A_HUMAN_.pdf</v>
      </c>
      <c r="AA750" t="s">
        <v>14954</v>
      </c>
      <c r="AB750" t="s">
        <v>19585</v>
      </c>
    </row>
    <row r="751" spans="1:28" x14ac:dyDescent="0.25">
      <c r="A751" t="s">
        <v>755</v>
      </c>
      <c r="B751">
        <v>0.99904790336628502</v>
      </c>
      <c r="C751">
        <v>1.0158775397984099</v>
      </c>
      <c r="D751">
        <v>1.06436235508399</v>
      </c>
      <c r="E751">
        <v>1.0309053264636501</v>
      </c>
      <c r="F751">
        <v>0.91993070181663295</v>
      </c>
      <c r="G751">
        <v>0.471304646771953</v>
      </c>
      <c r="H751">
        <v>0.10612987714925599</v>
      </c>
      <c r="I751">
        <v>6.1472994470241897E-2</v>
      </c>
      <c r="J751">
        <v>4.50850308822624E-2</v>
      </c>
      <c r="K751">
        <v>4.0062836602405401E-2</v>
      </c>
      <c r="L751">
        <v>2068.9705138157301</v>
      </c>
      <c r="M751">
        <v>36.512942083711899</v>
      </c>
      <c r="N751">
        <v>56.800673704334201</v>
      </c>
      <c r="O751">
        <v>56.494848328347203</v>
      </c>
      <c r="P751">
        <v>-0.15478329304928001</v>
      </c>
      <c r="Q751">
        <v>4.2045360786348303E-2</v>
      </c>
      <c r="R751">
        <v>0.99699915923746396</v>
      </c>
      <c r="S751" t="s">
        <v>5491</v>
      </c>
      <c r="T751" t="s">
        <v>9478</v>
      </c>
      <c r="U751" t="s">
        <v>9478</v>
      </c>
      <c r="V751" t="s">
        <v>9478</v>
      </c>
      <c r="W751">
        <v>48</v>
      </c>
      <c r="X751" t="s">
        <v>10229</v>
      </c>
      <c r="Y751">
        <v>0.57859314379458948</v>
      </c>
      <c r="Z751" t="str">
        <f>HYPERLINK("Melting_Curves/meltCurve_sp_P13639_EF2_HUMAN_.pdf", "Melting_Curves/meltCurve_sp_P13639_EF2_HUMAN_.pdf")</f>
        <v>Melting_Curves/meltCurve_sp_P13639_EF2_HUMAN_.pdf</v>
      </c>
      <c r="AA751" t="s">
        <v>14955</v>
      </c>
      <c r="AB751" t="s">
        <v>19586</v>
      </c>
    </row>
    <row r="752" spans="1:28" x14ac:dyDescent="0.25">
      <c r="A752" t="s">
        <v>756</v>
      </c>
      <c r="B752">
        <v>0.99904790336628502</v>
      </c>
      <c r="C752">
        <v>1.1298214333246901</v>
      </c>
      <c r="D752">
        <v>1.11888767422173</v>
      </c>
      <c r="E752">
        <v>1.08872353332761</v>
      </c>
      <c r="F752">
        <v>1.64101762786352</v>
      </c>
      <c r="G752">
        <v>0.84973084059695103</v>
      </c>
      <c r="H752">
        <v>2.27625755685711</v>
      </c>
      <c r="I752">
        <v>2.0636949542637</v>
      </c>
      <c r="J752">
        <v>4.2581284922957003</v>
      </c>
      <c r="K752">
        <v>4.1830466900743204</v>
      </c>
      <c r="L752">
        <v>12576.685126885</v>
      </c>
      <c r="M752">
        <v>250</v>
      </c>
      <c r="O752">
        <v>50.3035214730455</v>
      </c>
      <c r="P752">
        <v>0.62122887792024695</v>
      </c>
      <c r="Q752">
        <v>1.5</v>
      </c>
      <c r="R752">
        <v>-9.8476253985655002E-2</v>
      </c>
      <c r="S752" t="s">
        <v>5492</v>
      </c>
      <c r="T752" t="s">
        <v>9478</v>
      </c>
      <c r="U752" t="s">
        <v>9478</v>
      </c>
      <c r="V752" t="s">
        <v>9478</v>
      </c>
      <c r="W752">
        <v>6</v>
      </c>
      <c r="X752" t="s">
        <v>10230</v>
      </c>
      <c r="Y752">
        <v>1.3281768477676781</v>
      </c>
      <c r="Z752" t="str">
        <f>HYPERLINK("Melting_Curves/meltCurve_sp_P13640_2_MT1G_HUMAN_.pdf", "Melting_Curves/meltCurve_sp_P13640_2_MT1G_HUMAN_.pdf")</f>
        <v>Melting_Curves/meltCurve_sp_P13640_2_MT1G_HUMAN_.pdf</v>
      </c>
      <c r="AA752" t="s">
        <v>14956</v>
      </c>
      <c r="AB752" t="s">
        <v>19587</v>
      </c>
    </row>
    <row r="753" spans="1:28" x14ac:dyDescent="0.25">
      <c r="A753" t="s">
        <v>757</v>
      </c>
      <c r="B753">
        <v>0.99904790336628502</v>
      </c>
      <c r="C753">
        <v>0.91448421883587405</v>
      </c>
      <c r="D753">
        <v>1.0309567078531201</v>
      </c>
      <c r="E753">
        <v>1.27383263331309</v>
      </c>
      <c r="F753">
        <v>1.15730229864488</v>
      </c>
      <c r="G753">
        <v>0.94635977224526202</v>
      </c>
      <c r="H753">
        <v>0.79031728109030797</v>
      </c>
      <c r="I753">
        <v>1.02274985882825</v>
      </c>
      <c r="J753">
        <v>0.93169892590372705</v>
      </c>
      <c r="K753">
        <v>1.3613707486527999</v>
      </c>
      <c r="L753">
        <v>11509.591175822001</v>
      </c>
      <c r="M753">
        <v>250</v>
      </c>
      <c r="O753">
        <v>46.035418316247899</v>
      </c>
      <c r="P753">
        <v>9.3800353852957E-2</v>
      </c>
      <c r="Q753">
        <v>1.0690902167201599</v>
      </c>
      <c r="R753">
        <v>5.8922393899370699E-2</v>
      </c>
      <c r="S753" t="s">
        <v>5493</v>
      </c>
      <c r="T753" t="s">
        <v>9478</v>
      </c>
      <c r="U753" t="s">
        <v>9478</v>
      </c>
      <c r="V753" t="s">
        <v>9478</v>
      </c>
      <c r="W753">
        <v>6</v>
      </c>
      <c r="X753" t="s">
        <v>10231</v>
      </c>
      <c r="Y753">
        <v>1.055178236931769</v>
      </c>
      <c r="Z753" t="str">
        <f>HYPERLINK("Melting_Curves/meltCurve_sp_P13640_MT1G_HUMAN_.pdf", "Melting_Curves/meltCurve_sp_P13640_MT1G_HUMAN_.pdf")</f>
        <v>Melting_Curves/meltCurve_sp_P13640_MT1G_HUMAN_.pdf</v>
      </c>
      <c r="AA753" t="s">
        <v>14956</v>
      </c>
      <c r="AB753" t="s">
        <v>19588</v>
      </c>
    </row>
    <row r="754" spans="1:28" x14ac:dyDescent="0.25">
      <c r="A754" t="s">
        <v>758</v>
      </c>
      <c r="B754">
        <v>0.99904790336628502</v>
      </c>
      <c r="C754">
        <v>0.72901535616878799</v>
      </c>
      <c r="D754">
        <v>1.09802414824109</v>
      </c>
      <c r="E754">
        <v>1.6378490548962901</v>
      </c>
      <c r="F754">
        <v>0.24082533623810001</v>
      </c>
      <c r="G754">
        <v>4.6086032930048297</v>
      </c>
      <c r="H754">
        <v>0.103245988625577</v>
      </c>
      <c r="I754">
        <v>0.30897697422781101</v>
      </c>
      <c r="J754">
        <v>0.63802728840796796</v>
      </c>
      <c r="K754">
        <v>0.32464334872131401</v>
      </c>
      <c r="L754">
        <v>1676.1126039918699</v>
      </c>
      <c r="M754">
        <v>26.2174170942233</v>
      </c>
      <c r="N754">
        <v>66.277827645283594</v>
      </c>
      <c r="O754">
        <v>63.562788972905302</v>
      </c>
      <c r="P754">
        <v>-7.1937457060787094E-2</v>
      </c>
      <c r="Q754">
        <v>0.30237300187819699</v>
      </c>
      <c r="R754">
        <v>5.8324370570680101E-2</v>
      </c>
      <c r="S754" t="s">
        <v>5494</v>
      </c>
      <c r="T754" t="s">
        <v>9478</v>
      </c>
      <c r="U754" t="s">
        <v>9478</v>
      </c>
      <c r="V754" t="s">
        <v>9478</v>
      </c>
      <c r="W754">
        <v>22</v>
      </c>
      <c r="X754" t="s">
        <v>10232</v>
      </c>
      <c r="Y754">
        <v>0.85881846173104903</v>
      </c>
      <c r="Z754" t="str">
        <f>HYPERLINK("Melting_Curves/meltCurve_sp_P13647_K2C5_HUMAN_.pdf", "Melting_Curves/meltCurve_sp_P13647_K2C5_HUMAN_.pdf")</f>
        <v>Melting_Curves/meltCurve_sp_P13647_K2C5_HUMAN_.pdf</v>
      </c>
      <c r="AA754" t="s">
        <v>14957</v>
      </c>
      <c r="AB754" t="s">
        <v>19589</v>
      </c>
    </row>
    <row r="755" spans="1:28" x14ac:dyDescent="0.25">
      <c r="A755" t="s">
        <v>759</v>
      </c>
      <c r="B755">
        <v>0.99904790336628502</v>
      </c>
      <c r="C755">
        <v>1.0308286984488899</v>
      </c>
      <c r="D755">
        <v>1.0545000606189401</v>
      </c>
      <c r="E755">
        <v>1.00374088461805</v>
      </c>
      <c r="F755">
        <v>0.84651930448698098</v>
      </c>
      <c r="G755">
        <v>0.48645339899810203</v>
      </c>
      <c r="H755">
        <v>0.24166336811789699</v>
      </c>
      <c r="I755">
        <v>0.14832371794236199</v>
      </c>
      <c r="J755">
        <v>0.106732457543066</v>
      </c>
      <c r="K755">
        <v>7.4110946951299203E-2</v>
      </c>
      <c r="L755">
        <v>1377.5445643957</v>
      </c>
      <c r="M755">
        <v>24.345912649701301</v>
      </c>
      <c r="N755">
        <v>57.0264057612657</v>
      </c>
      <c r="O755">
        <v>56.204563484798499</v>
      </c>
      <c r="P755">
        <v>-9.8939036993130697E-2</v>
      </c>
      <c r="Q755">
        <v>8.6377661709770404E-2</v>
      </c>
      <c r="R755">
        <v>0.99562750091129604</v>
      </c>
      <c r="S755" t="s">
        <v>5495</v>
      </c>
      <c r="T755" t="s">
        <v>9478</v>
      </c>
      <c r="U755" t="s">
        <v>9478</v>
      </c>
      <c r="V755" t="s">
        <v>9478</v>
      </c>
      <c r="W755">
        <v>58</v>
      </c>
      <c r="X755" t="s">
        <v>10233</v>
      </c>
      <c r="Y755">
        <v>0.60003672197104307</v>
      </c>
      <c r="Z755" t="str">
        <f>HYPERLINK("Melting_Curves/meltCurve_sp_P13667_PDIA4_HUMAN_.pdf", "Melting_Curves/meltCurve_sp_P13667_PDIA4_HUMAN_.pdf")</f>
        <v>Melting_Curves/meltCurve_sp_P13667_PDIA4_HUMAN_.pdf</v>
      </c>
      <c r="AA755" t="s">
        <v>14958</v>
      </c>
      <c r="AB755" t="s">
        <v>19590</v>
      </c>
    </row>
    <row r="756" spans="1:28" x14ac:dyDescent="0.25">
      <c r="A756" t="s">
        <v>760</v>
      </c>
      <c r="B756">
        <v>0.99904790336628502</v>
      </c>
      <c r="C756">
        <v>0.97267744455137295</v>
      </c>
      <c r="D756">
        <v>0.98802471177956297</v>
      </c>
      <c r="E756">
        <v>0.90148338205564005</v>
      </c>
      <c r="F756">
        <v>0.86709339684069198</v>
      </c>
      <c r="G756">
        <v>0.22023976704231599</v>
      </c>
      <c r="H756">
        <v>0.12204692639883399</v>
      </c>
      <c r="I756">
        <v>0.106400603980473</v>
      </c>
      <c r="J756">
        <v>9.0924317929638399E-2</v>
      </c>
      <c r="K756">
        <v>8.5506619380676996E-2</v>
      </c>
      <c r="L756">
        <v>2575.5679362723499</v>
      </c>
      <c r="M756">
        <v>46.953967019281301</v>
      </c>
      <c r="N756">
        <v>55.107184252081801</v>
      </c>
      <c r="O756">
        <v>54.7538248502455</v>
      </c>
      <c r="P756">
        <v>-0.193515995401395</v>
      </c>
      <c r="Q756">
        <v>9.7351790781119898E-2</v>
      </c>
      <c r="R756">
        <v>0.99436956648775998</v>
      </c>
      <c r="S756" t="s">
        <v>5496</v>
      </c>
      <c r="T756" t="s">
        <v>9478</v>
      </c>
      <c r="U756" t="s">
        <v>9478</v>
      </c>
      <c r="V756" t="s">
        <v>9478</v>
      </c>
      <c r="W756">
        <v>17</v>
      </c>
      <c r="X756" t="s">
        <v>10234</v>
      </c>
      <c r="Y756">
        <v>0.54673032032385904</v>
      </c>
      <c r="Z756" t="str">
        <f>HYPERLINK("Melting_Curves/meltCurve_sp_P13671_CO6_HUMAN_.pdf", "Melting_Curves/meltCurve_sp_P13671_CO6_HUMAN_.pdf")</f>
        <v>Melting_Curves/meltCurve_sp_P13671_CO6_HUMAN_.pdf</v>
      </c>
      <c r="AA756" t="s">
        <v>14959</v>
      </c>
      <c r="AB756" t="s">
        <v>19591</v>
      </c>
    </row>
    <row r="757" spans="1:28" x14ac:dyDescent="0.25">
      <c r="A757" t="s">
        <v>761</v>
      </c>
      <c r="B757">
        <v>0.99904790336628502</v>
      </c>
      <c r="C757">
        <v>0.93818778828820304</v>
      </c>
      <c r="D757">
        <v>0.784608909830116</v>
      </c>
      <c r="E757">
        <v>0.327413393530815</v>
      </c>
      <c r="F757">
        <v>0.18299208729028199</v>
      </c>
      <c r="G757">
        <v>0.104066658566207</v>
      </c>
      <c r="H757">
        <v>6.1224131868902902E-2</v>
      </c>
      <c r="I757">
        <v>5.03560925345568E-2</v>
      </c>
      <c r="J757">
        <v>4.4562355412704299E-2</v>
      </c>
      <c r="K757">
        <v>3.7175104299429503E-2</v>
      </c>
      <c r="L757">
        <v>1093.2841093837999</v>
      </c>
      <c r="M757">
        <v>22.636287747618599</v>
      </c>
      <c r="N757">
        <v>48.5304723988245</v>
      </c>
      <c r="O757">
        <v>47.925648516609499</v>
      </c>
      <c r="P757">
        <v>-0.112011806562439</v>
      </c>
      <c r="Q757">
        <v>5.1411212250527603E-2</v>
      </c>
      <c r="R757">
        <v>0.99840263407330998</v>
      </c>
      <c r="S757" t="s">
        <v>5497</v>
      </c>
      <c r="T757" t="s">
        <v>9478</v>
      </c>
      <c r="U757" t="s">
        <v>9478</v>
      </c>
      <c r="V757" t="s">
        <v>9478</v>
      </c>
      <c r="W757">
        <v>14</v>
      </c>
      <c r="X757" t="s">
        <v>10235</v>
      </c>
      <c r="Y757">
        <v>0.32411943458491038</v>
      </c>
      <c r="Z757" t="str">
        <f>HYPERLINK("Melting_Curves/meltCurve_sp_P13674_2_P4HA1_HUMAN_.pdf", "Melting_Curves/meltCurve_sp_P13674_2_P4HA1_HUMAN_.pdf")</f>
        <v>Melting_Curves/meltCurve_sp_P13674_2_P4HA1_HUMAN_.pdf</v>
      </c>
      <c r="AA757" t="s">
        <v>14960</v>
      </c>
      <c r="AB757" t="s">
        <v>19592</v>
      </c>
    </row>
    <row r="758" spans="1:28" x14ac:dyDescent="0.25">
      <c r="A758" t="s">
        <v>762</v>
      </c>
      <c r="B758">
        <v>0.99904790336628502</v>
      </c>
      <c r="C758">
        <v>0.996959574425759</v>
      </c>
      <c r="D758">
        <v>0.95372094043337896</v>
      </c>
      <c r="E758">
        <v>0.92023757817295504</v>
      </c>
      <c r="F758">
        <v>0.79616727278936905</v>
      </c>
      <c r="G758">
        <v>0.50797414059360102</v>
      </c>
      <c r="H758">
        <v>0.412235004960403</v>
      </c>
      <c r="I758">
        <v>0.415921356533896</v>
      </c>
      <c r="J758">
        <v>0.44054852473697798</v>
      </c>
      <c r="K758">
        <v>0.40030127783075398</v>
      </c>
      <c r="L758">
        <v>1508.60804668948</v>
      </c>
      <c r="M758">
        <v>27.953024811020001</v>
      </c>
      <c r="N758">
        <v>57.4525632778996</v>
      </c>
      <c r="O758">
        <v>53.695474602867598</v>
      </c>
      <c r="P758">
        <v>-7.7024678409453304E-2</v>
      </c>
      <c r="Q758">
        <v>0.408172875300986</v>
      </c>
      <c r="R758">
        <v>0.99397863155616095</v>
      </c>
      <c r="S758" t="s">
        <v>5498</v>
      </c>
      <c r="T758" t="s">
        <v>9478</v>
      </c>
      <c r="U758" t="s">
        <v>9478</v>
      </c>
      <c r="V758" t="s">
        <v>9478</v>
      </c>
      <c r="W758">
        <v>10</v>
      </c>
      <c r="X758" t="s">
        <v>10236</v>
      </c>
      <c r="Y758">
        <v>0.68820402909356193</v>
      </c>
      <c r="Z758" t="str">
        <f>HYPERLINK("Melting_Curves/meltCurve_sp_P13693_TCTP_HUMAN_.pdf", "Melting_Curves/meltCurve_sp_P13693_TCTP_HUMAN_.pdf")</f>
        <v>Melting_Curves/meltCurve_sp_P13693_TCTP_HUMAN_.pdf</v>
      </c>
      <c r="AA758" t="s">
        <v>14961</v>
      </c>
      <c r="AB758" t="s">
        <v>19593</v>
      </c>
    </row>
    <row r="759" spans="1:28" x14ac:dyDescent="0.25">
      <c r="A759" t="s">
        <v>763</v>
      </c>
      <c r="B759">
        <v>0.99904790336628502</v>
      </c>
      <c r="C759">
        <v>1.02299360323997</v>
      </c>
      <c r="D759">
        <v>0.97681579656415196</v>
      </c>
      <c r="E759">
        <v>1.03905105945002</v>
      </c>
      <c r="F759">
        <v>0.86359619558487999</v>
      </c>
      <c r="G759">
        <v>0.88791379663615699</v>
      </c>
      <c r="H759">
        <v>0.62015654676118304</v>
      </c>
      <c r="I759">
        <v>0.60547766388529101</v>
      </c>
      <c r="J759">
        <v>0.43363522295117801</v>
      </c>
      <c r="K759">
        <v>0.14738585111795899</v>
      </c>
      <c r="L759">
        <v>906.05306827228799</v>
      </c>
      <c r="M759">
        <v>14.049932255386899</v>
      </c>
      <c r="N759">
        <v>64.488095540970306</v>
      </c>
      <c r="O759">
        <v>63.223812013651298</v>
      </c>
      <c r="P759">
        <v>-5.55635820824944E-2</v>
      </c>
      <c r="Q759">
        <v>0</v>
      </c>
      <c r="R759">
        <v>0.95241185106568405</v>
      </c>
      <c r="S759" t="s">
        <v>5499</v>
      </c>
      <c r="T759" t="s">
        <v>9478</v>
      </c>
      <c r="U759" t="s">
        <v>9478</v>
      </c>
      <c r="V759" t="s">
        <v>9478</v>
      </c>
      <c r="W759">
        <v>23</v>
      </c>
      <c r="X759" t="s">
        <v>10237</v>
      </c>
      <c r="Y759">
        <v>0.79190004064394559</v>
      </c>
      <c r="Z759" t="str">
        <f>HYPERLINK("Melting_Curves/meltCurve_sp_P13796_PLSL_HUMAN_.pdf", "Melting_Curves/meltCurve_sp_P13796_PLSL_HUMAN_.pdf")</f>
        <v>Melting_Curves/meltCurve_sp_P13796_PLSL_HUMAN_.pdf</v>
      </c>
      <c r="AA759" t="s">
        <v>14962</v>
      </c>
      <c r="AB759" t="s">
        <v>19594</v>
      </c>
    </row>
    <row r="760" spans="1:28" x14ac:dyDescent="0.25">
      <c r="A760" t="s">
        <v>764</v>
      </c>
      <c r="B760">
        <v>0.99904790336628502</v>
      </c>
      <c r="C760">
        <v>1.0775253009257399</v>
      </c>
      <c r="D760">
        <v>1.0674893634693801</v>
      </c>
      <c r="E760">
        <v>1.0513077045077199</v>
      </c>
      <c r="F760">
        <v>1.0258517375474501</v>
      </c>
      <c r="G760">
        <v>0.62907994038567605</v>
      </c>
      <c r="H760">
        <v>0.15845591805883699</v>
      </c>
      <c r="I760">
        <v>0.131014025136411</v>
      </c>
      <c r="J760">
        <v>0.109863040385989</v>
      </c>
      <c r="K760">
        <v>8.5213827941273398E-2</v>
      </c>
      <c r="L760">
        <v>3046.49307453238</v>
      </c>
      <c r="M760">
        <v>53.093446341685997</v>
      </c>
      <c r="N760">
        <v>57.651121388561698</v>
      </c>
      <c r="O760">
        <v>57.298603712444098</v>
      </c>
      <c r="P760">
        <v>-0.206046247577238</v>
      </c>
      <c r="Q760">
        <v>0.110537726062115</v>
      </c>
      <c r="R760">
        <v>0.99175941253613298</v>
      </c>
      <c r="S760" t="s">
        <v>5500</v>
      </c>
      <c r="T760" t="s">
        <v>9478</v>
      </c>
      <c r="U760" t="s">
        <v>9478</v>
      </c>
      <c r="V760" t="s">
        <v>9478</v>
      </c>
      <c r="W760">
        <v>38</v>
      </c>
      <c r="X760" t="s">
        <v>10238</v>
      </c>
      <c r="Y760">
        <v>0.62781973502094923</v>
      </c>
      <c r="Z760" t="str">
        <f>HYPERLINK("Melting_Curves/meltCurve_sp_P13797_PLST_HUMAN_.pdf", "Melting_Curves/meltCurve_sp_P13797_PLST_HUMAN_.pdf")</f>
        <v>Melting_Curves/meltCurve_sp_P13797_PLST_HUMAN_.pdf</v>
      </c>
      <c r="AA760" t="s">
        <v>14963</v>
      </c>
      <c r="AB760" t="s">
        <v>19595</v>
      </c>
    </row>
    <row r="761" spans="1:28" x14ac:dyDescent="0.25">
      <c r="A761" t="s">
        <v>765</v>
      </c>
      <c r="B761">
        <v>0.99904790336628502</v>
      </c>
      <c r="C761">
        <v>1.05150632790367</v>
      </c>
      <c r="D761">
        <v>1.0993973703530799</v>
      </c>
      <c r="E761">
        <v>1.07537552419701</v>
      </c>
      <c r="F761">
        <v>0.93333854316797005</v>
      </c>
      <c r="G761">
        <v>0.85344566699907598</v>
      </c>
      <c r="H761">
        <v>0.65997370522246501</v>
      </c>
      <c r="I761">
        <v>0.54873551972860102</v>
      </c>
      <c r="J761">
        <v>0.30852293460271002</v>
      </c>
      <c r="K761">
        <v>0.117261807894133</v>
      </c>
      <c r="L761">
        <v>1105.5655318664001</v>
      </c>
      <c r="M761">
        <v>17.3401875184293</v>
      </c>
      <c r="N761">
        <v>63.757416363352299</v>
      </c>
      <c r="O761">
        <v>62.9275824997003</v>
      </c>
      <c r="P761">
        <v>-6.8893393142346895E-2</v>
      </c>
      <c r="Q761">
        <v>0</v>
      </c>
      <c r="R761">
        <v>0.971175745844163</v>
      </c>
      <c r="S761" t="s">
        <v>5501</v>
      </c>
      <c r="T761" t="s">
        <v>9478</v>
      </c>
      <c r="U761" t="s">
        <v>9478</v>
      </c>
      <c r="V761" t="s">
        <v>9478</v>
      </c>
      <c r="W761">
        <v>26</v>
      </c>
      <c r="X761" t="s">
        <v>10239</v>
      </c>
      <c r="Y761">
        <v>0.78302541413264071</v>
      </c>
      <c r="Z761" t="str">
        <f>HYPERLINK("Melting_Curves/meltCurve_sp_P13798_ACPH_HUMAN_.pdf", "Melting_Curves/meltCurve_sp_P13798_ACPH_HUMAN_.pdf")</f>
        <v>Melting_Curves/meltCurve_sp_P13798_ACPH_HUMAN_.pdf</v>
      </c>
      <c r="AA761" t="s">
        <v>14964</v>
      </c>
      <c r="AB761" t="s">
        <v>19596</v>
      </c>
    </row>
    <row r="762" spans="1:28" x14ac:dyDescent="0.25">
      <c r="A762" t="s">
        <v>766</v>
      </c>
      <c r="B762">
        <v>0.99904790336628502</v>
      </c>
      <c r="C762">
        <v>1.06443260546184</v>
      </c>
      <c r="D762">
        <v>0.99131768774126205</v>
      </c>
      <c r="E762">
        <v>0.83328509474284096</v>
      </c>
      <c r="F762">
        <v>0.61193894626933498</v>
      </c>
      <c r="G762">
        <v>0.26857144436352798</v>
      </c>
      <c r="H762">
        <v>6.8491431488738694E-2</v>
      </c>
      <c r="I762">
        <v>3.8027981815827602E-2</v>
      </c>
      <c r="J762">
        <v>2.97569762963267E-2</v>
      </c>
      <c r="K762">
        <v>2.6811183495522001E-2</v>
      </c>
      <c r="L762">
        <v>1155.3378537145099</v>
      </c>
      <c r="M762">
        <v>21.373182531847799</v>
      </c>
      <c r="N762">
        <v>54.101433117999797</v>
      </c>
      <c r="O762">
        <v>53.588954937360803</v>
      </c>
      <c r="P762">
        <v>-9.8814664438016994E-2</v>
      </c>
      <c r="Q762">
        <v>8.9932201171966809E-3</v>
      </c>
      <c r="R762">
        <v>0.99675549470429103</v>
      </c>
      <c r="S762" t="s">
        <v>5502</v>
      </c>
      <c r="T762" t="s">
        <v>9478</v>
      </c>
      <c r="U762" t="s">
        <v>9478</v>
      </c>
      <c r="V762" t="s">
        <v>9478</v>
      </c>
      <c r="W762">
        <v>26</v>
      </c>
      <c r="X762" t="s">
        <v>10240</v>
      </c>
      <c r="Y762">
        <v>0.48536387041538442</v>
      </c>
      <c r="Z762" t="str">
        <f>HYPERLINK("Melting_Curves/meltCurve_sp_P13804_ETFA_HUMAN_.pdf", "Melting_Curves/meltCurve_sp_P13804_ETFA_HUMAN_.pdf")</f>
        <v>Melting_Curves/meltCurve_sp_P13804_ETFA_HUMAN_.pdf</v>
      </c>
      <c r="AA762" t="s">
        <v>14965</v>
      </c>
      <c r="AB762" t="s">
        <v>19597</v>
      </c>
    </row>
    <row r="763" spans="1:28" x14ac:dyDescent="0.25">
      <c r="A763" t="s">
        <v>767</v>
      </c>
      <c r="B763">
        <v>0.99904790336628502</v>
      </c>
      <c r="C763">
        <v>1.01203218602492</v>
      </c>
      <c r="D763">
        <v>1.01167163223325</v>
      </c>
      <c r="E763">
        <v>0.75343996547662395</v>
      </c>
      <c r="F763">
        <v>0.447544738241903</v>
      </c>
      <c r="G763">
        <v>0.166701656731085</v>
      </c>
      <c r="H763">
        <v>8.7214826644044299E-2</v>
      </c>
      <c r="I763">
        <v>6.6498319027588002E-2</v>
      </c>
      <c r="J763">
        <v>5.2419404871496003E-2</v>
      </c>
      <c r="K763">
        <v>4.5399892825688001E-2</v>
      </c>
      <c r="L763">
        <v>1296.0821103445701</v>
      </c>
      <c r="M763">
        <v>24.7986387206773</v>
      </c>
      <c r="N763">
        <v>52.503477077452203</v>
      </c>
      <c r="O763">
        <v>51.9279387726504</v>
      </c>
      <c r="P763">
        <v>-0.113013138122759</v>
      </c>
      <c r="Q763">
        <v>5.3422585662270101E-2</v>
      </c>
      <c r="R763">
        <v>0.99851106644769905</v>
      </c>
      <c r="S763" t="s">
        <v>5503</v>
      </c>
      <c r="T763" t="s">
        <v>9478</v>
      </c>
      <c r="U763" t="s">
        <v>9478</v>
      </c>
      <c r="V763" t="s">
        <v>9478</v>
      </c>
      <c r="W763">
        <v>21</v>
      </c>
      <c r="X763" t="s">
        <v>10241</v>
      </c>
      <c r="Y763">
        <v>0.44918904374915802</v>
      </c>
      <c r="Z763" t="str">
        <f>HYPERLINK("Melting_Curves/meltCurve_sp_P13861_KAP2_HUMAN_.pdf", "Melting_Curves/meltCurve_sp_P13861_KAP2_HUMAN_.pdf")</f>
        <v>Melting_Curves/meltCurve_sp_P13861_KAP2_HUMAN_.pdf</v>
      </c>
      <c r="AA763" t="s">
        <v>14966</v>
      </c>
      <c r="AB763" t="s">
        <v>19598</v>
      </c>
    </row>
    <row r="764" spans="1:28" x14ac:dyDescent="0.25">
      <c r="A764" t="s">
        <v>768</v>
      </c>
      <c r="B764">
        <v>0.99904790336628502</v>
      </c>
      <c r="C764">
        <v>1.0330196694813001</v>
      </c>
      <c r="D764">
        <v>1.0651054977035399</v>
      </c>
      <c r="E764">
        <v>1.0405525615489699</v>
      </c>
      <c r="F764">
        <v>0.92750123286909802</v>
      </c>
      <c r="G764">
        <v>0.62399054764844497</v>
      </c>
      <c r="H764">
        <v>0.16958684063641699</v>
      </c>
      <c r="I764">
        <v>6.9688868636979207E-2</v>
      </c>
      <c r="J764">
        <v>4.0554693146547999E-2</v>
      </c>
      <c r="K764">
        <v>3.7125463920810099E-2</v>
      </c>
      <c r="L764">
        <v>1890.0306927599199</v>
      </c>
      <c r="M764">
        <v>32.729391026877302</v>
      </c>
      <c r="N764">
        <v>57.859974588029701</v>
      </c>
      <c r="O764">
        <v>57.532903747677899</v>
      </c>
      <c r="P764">
        <v>-0.137826322986453</v>
      </c>
      <c r="Q764">
        <v>3.0900211913641101E-2</v>
      </c>
      <c r="R764">
        <v>0.99584011838142705</v>
      </c>
      <c r="S764" t="s">
        <v>5504</v>
      </c>
      <c r="T764" t="s">
        <v>9478</v>
      </c>
      <c r="U764" t="s">
        <v>9478</v>
      </c>
      <c r="V764" t="s">
        <v>9478</v>
      </c>
      <c r="W764">
        <v>29</v>
      </c>
      <c r="X764" t="s">
        <v>10242</v>
      </c>
      <c r="Y764">
        <v>0.60970444371531074</v>
      </c>
      <c r="Z764" t="str">
        <f>HYPERLINK("Melting_Curves/meltCurve_sp_P13929_ENOB_HUMAN_.pdf", "Melting_Curves/meltCurve_sp_P13929_ENOB_HUMAN_.pdf")</f>
        <v>Melting_Curves/meltCurve_sp_P13929_ENOB_HUMAN_.pdf</v>
      </c>
      <c r="AA764" t="s">
        <v>14967</v>
      </c>
      <c r="AB764" t="s">
        <v>19599</v>
      </c>
    </row>
    <row r="765" spans="1:28" x14ac:dyDescent="0.25">
      <c r="A765" t="s">
        <v>769</v>
      </c>
      <c r="B765">
        <v>0.99904790336628502</v>
      </c>
      <c r="C765">
        <v>0.86708917563041299</v>
      </c>
      <c r="D765">
        <v>0.88217771639814302</v>
      </c>
      <c r="E765">
        <v>0.77367331864709499</v>
      </c>
      <c r="F765">
        <v>0.61142524220860395</v>
      </c>
      <c r="G765">
        <v>0.29781196692579698</v>
      </c>
      <c r="H765">
        <v>0.18878912128474001</v>
      </c>
      <c r="I765">
        <v>0.12816557271037199</v>
      </c>
      <c r="J765">
        <v>0.13509053560631601</v>
      </c>
      <c r="K765">
        <v>0.134293654031441</v>
      </c>
      <c r="L765">
        <v>772.88597036487499</v>
      </c>
      <c r="M765">
        <v>14.467396700741601</v>
      </c>
      <c r="N765">
        <v>54.021714351137398</v>
      </c>
      <c r="O765">
        <v>52.433021754394403</v>
      </c>
      <c r="P765">
        <v>-6.3875089846607197E-2</v>
      </c>
      <c r="Q765">
        <v>7.4118354130583097E-2</v>
      </c>
      <c r="R765">
        <v>0.98321521576721604</v>
      </c>
      <c r="S765" t="s">
        <v>5505</v>
      </c>
      <c r="T765" t="s">
        <v>9478</v>
      </c>
      <c r="U765" t="s">
        <v>9478</v>
      </c>
      <c r="V765" t="s">
        <v>9478</v>
      </c>
      <c r="W765">
        <v>8</v>
      </c>
      <c r="X765" t="s">
        <v>10243</v>
      </c>
      <c r="Y765">
        <v>0.50887644232002871</v>
      </c>
      <c r="Z765" t="str">
        <f>HYPERLINK("Melting_Curves/meltCurve_sp_P13984_T2FB_HUMAN_.pdf", "Melting_Curves/meltCurve_sp_P13984_T2FB_HUMAN_.pdf")</f>
        <v>Melting_Curves/meltCurve_sp_P13984_T2FB_HUMAN_.pdf</v>
      </c>
      <c r="AA765" t="s">
        <v>14968</v>
      </c>
      <c r="AB765" t="s">
        <v>19600</v>
      </c>
    </row>
    <row r="766" spans="1:28" x14ac:dyDescent="0.25">
      <c r="A766" t="s">
        <v>770</v>
      </c>
      <c r="B766">
        <v>0.99904790336628502</v>
      </c>
      <c r="C766">
        <v>1.06750920135925</v>
      </c>
      <c r="D766">
        <v>0.96088688212385098</v>
      </c>
      <c r="E766">
        <v>0.99500183119672103</v>
      </c>
      <c r="F766">
        <v>1.02660414158059</v>
      </c>
      <c r="G766">
        <v>0.86714515499142297</v>
      </c>
      <c r="H766">
        <v>0.54702744276832305</v>
      </c>
      <c r="I766">
        <v>0.61271199462083004</v>
      </c>
      <c r="J766">
        <v>0.57385513323039705</v>
      </c>
      <c r="K766">
        <v>0.41193260849872998</v>
      </c>
      <c r="L766">
        <v>3173.1085943678299</v>
      </c>
      <c r="M766">
        <v>54.730777246966298</v>
      </c>
      <c r="O766">
        <v>57.899431010735803</v>
      </c>
      <c r="P766">
        <v>-0.111458202538011</v>
      </c>
      <c r="Q766">
        <v>0.52835586619262598</v>
      </c>
      <c r="R766">
        <v>0.94474776170339103</v>
      </c>
      <c r="S766" t="s">
        <v>5506</v>
      </c>
      <c r="T766" t="s">
        <v>9478</v>
      </c>
      <c r="U766" t="s">
        <v>9478</v>
      </c>
      <c r="V766" t="s">
        <v>9478</v>
      </c>
      <c r="W766">
        <v>5</v>
      </c>
      <c r="X766" t="s">
        <v>10244</v>
      </c>
      <c r="Y766">
        <v>0.81197930324653589</v>
      </c>
      <c r="Z766" t="str">
        <f>HYPERLINK("Melting_Curves/meltCurve_sp_P14174_MIF_HUMAN_.pdf", "Melting_Curves/meltCurve_sp_P14174_MIF_HUMAN_.pdf")</f>
        <v>Melting_Curves/meltCurve_sp_P14174_MIF_HUMAN_.pdf</v>
      </c>
      <c r="AA766" t="s">
        <v>14969</v>
      </c>
      <c r="AB766" t="s">
        <v>19601</v>
      </c>
    </row>
    <row r="767" spans="1:28" x14ac:dyDescent="0.25">
      <c r="A767" t="s">
        <v>771</v>
      </c>
      <c r="B767">
        <v>0.99904790336628502</v>
      </c>
      <c r="C767">
        <v>1.1495690158302401</v>
      </c>
      <c r="D767">
        <v>0.86230349415600005</v>
      </c>
      <c r="E767">
        <v>0.47564185477846799</v>
      </c>
      <c r="F767">
        <v>0.60754886210903103</v>
      </c>
      <c r="G767">
        <v>0.60062517055951703</v>
      </c>
      <c r="H767">
        <v>0.363266507336788</v>
      </c>
      <c r="I767">
        <v>0.123984923671648</v>
      </c>
      <c r="J767">
        <v>0.24503739487367901</v>
      </c>
      <c r="K767">
        <v>0.168642984651316</v>
      </c>
      <c r="L767">
        <v>508.121210150747</v>
      </c>
      <c r="M767">
        <v>9.3474517148766498</v>
      </c>
      <c r="N767">
        <v>55.305625560998998</v>
      </c>
      <c r="O767">
        <v>52.045387991735801</v>
      </c>
      <c r="P767">
        <v>-4.1608419363229301E-2</v>
      </c>
      <c r="Q767">
        <v>7.39016192851049E-2</v>
      </c>
      <c r="R767">
        <v>0.86273150155924305</v>
      </c>
      <c r="S767" t="s">
        <v>5507</v>
      </c>
      <c r="T767" t="s">
        <v>9478</v>
      </c>
      <c r="U767" t="s">
        <v>9478</v>
      </c>
      <c r="V767" t="s">
        <v>9478</v>
      </c>
      <c r="W767">
        <v>2</v>
      </c>
      <c r="X767" t="s">
        <v>10245</v>
      </c>
      <c r="Y767">
        <v>0.54473101637718579</v>
      </c>
      <c r="Z767" t="str">
        <f>HYPERLINK("Melting_Curves/meltCurve_sp_P14209_3_CD99_HUMAN_.pdf", "Melting_Curves/meltCurve_sp_P14209_3_CD99_HUMAN_.pdf")</f>
        <v>Melting_Curves/meltCurve_sp_P14209_3_CD99_HUMAN_.pdf</v>
      </c>
      <c r="AA767" t="s">
        <v>14970</v>
      </c>
      <c r="AB767" t="s">
        <v>19602</v>
      </c>
    </row>
    <row r="768" spans="1:28" x14ac:dyDescent="0.25">
      <c r="A768" t="s">
        <v>772</v>
      </c>
      <c r="B768">
        <v>0.99904790336628502</v>
      </c>
      <c r="C768">
        <v>1.0493952761636001</v>
      </c>
      <c r="D768">
        <v>1.1039772613702601</v>
      </c>
      <c r="E768">
        <v>0.96277816066458299</v>
      </c>
      <c r="F768">
        <v>0.76413122576604398</v>
      </c>
      <c r="G768">
        <v>0.57047293266560395</v>
      </c>
      <c r="H768">
        <v>0.41650715384735798</v>
      </c>
      <c r="I768">
        <v>0.31314832801889703</v>
      </c>
      <c r="J768">
        <v>0.228378486676174</v>
      </c>
      <c r="K768">
        <v>0.14324406712339499</v>
      </c>
      <c r="L768">
        <v>870.69386997821505</v>
      </c>
      <c r="M768">
        <v>15.1131743365686</v>
      </c>
      <c r="N768">
        <v>58.728512626192298</v>
      </c>
      <c r="O768">
        <v>56.631147775205498</v>
      </c>
      <c r="P768">
        <v>-5.8389869021963102E-2</v>
      </c>
      <c r="Q768">
        <v>0.12490626202988001</v>
      </c>
      <c r="R768">
        <v>0.97817150548748499</v>
      </c>
      <c r="S768" t="s">
        <v>5508</v>
      </c>
      <c r="T768" t="s">
        <v>9478</v>
      </c>
      <c r="U768" t="s">
        <v>9478</v>
      </c>
      <c r="V768" t="s">
        <v>9478</v>
      </c>
      <c r="W768">
        <v>2</v>
      </c>
      <c r="X768" t="s">
        <v>10246</v>
      </c>
      <c r="Y768">
        <v>0.65121736863446744</v>
      </c>
      <c r="Z768" t="str">
        <f>HYPERLINK("Melting_Curves/meltCurve_sp_P14210_3_HGF_HUMAN_.pdf", "Melting_Curves/meltCurve_sp_P14210_3_HGF_HUMAN_.pdf")</f>
        <v>Melting_Curves/meltCurve_sp_P14210_3_HGF_HUMAN_.pdf</v>
      </c>
      <c r="AA768" t="s">
        <v>14971</v>
      </c>
      <c r="AB768" t="s">
        <v>19603</v>
      </c>
    </row>
    <row r="769" spans="1:28" x14ac:dyDescent="0.25">
      <c r="A769" t="s">
        <v>773</v>
      </c>
      <c r="B769">
        <v>0.99904790336628502</v>
      </c>
      <c r="C769">
        <v>0.98097082334776298</v>
      </c>
      <c r="D769">
        <v>0.93666121974863703</v>
      </c>
      <c r="E769">
        <v>0.89200203281511203</v>
      </c>
      <c r="F769">
        <v>0.97528421681727695</v>
      </c>
      <c r="G769">
        <v>0.68960357822531504</v>
      </c>
      <c r="H769">
        <v>0.65717557344638</v>
      </c>
      <c r="I769">
        <v>0.63796001269024205</v>
      </c>
      <c r="J769">
        <v>0.69631339306560402</v>
      </c>
      <c r="K769">
        <v>0.71702031293745405</v>
      </c>
      <c r="L769">
        <v>4136.5200355129</v>
      </c>
      <c r="M769">
        <v>75.644572642662496</v>
      </c>
      <c r="O769">
        <v>54.645451056873</v>
      </c>
      <c r="P769">
        <v>-0.111862883445633</v>
      </c>
      <c r="Q769">
        <v>0.67676217800830496</v>
      </c>
      <c r="R769">
        <v>0.90224184436243504</v>
      </c>
      <c r="S769" t="s">
        <v>5509</v>
      </c>
      <c r="T769" t="s">
        <v>9478</v>
      </c>
      <c r="U769" t="s">
        <v>9478</v>
      </c>
      <c r="V769" t="s">
        <v>9478</v>
      </c>
      <c r="W769">
        <v>7</v>
      </c>
      <c r="X769" t="s">
        <v>10247</v>
      </c>
      <c r="Y769">
        <v>0.83531193425079475</v>
      </c>
      <c r="Z769" t="str">
        <f>HYPERLINK("Melting_Curves/meltCurve_sp_P14317_HCLS1_HUMAN_.pdf", "Melting_Curves/meltCurve_sp_P14317_HCLS1_HUMAN_.pdf")</f>
        <v>Melting_Curves/meltCurve_sp_P14317_HCLS1_HUMAN_.pdf</v>
      </c>
      <c r="AA769" t="s">
        <v>14972</v>
      </c>
      <c r="AB769" t="s">
        <v>19604</v>
      </c>
    </row>
    <row r="770" spans="1:28" x14ac:dyDescent="0.25">
      <c r="A770" t="s">
        <v>774</v>
      </c>
      <c r="B770">
        <v>0.99904790336628502</v>
      </c>
      <c r="C770">
        <v>0.99535591429369397</v>
      </c>
      <c r="D770">
        <v>0.90520770789099803</v>
      </c>
      <c r="E770">
        <v>0.267392890105692</v>
      </c>
      <c r="F770">
        <v>0.12410154367641001</v>
      </c>
      <c r="G770">
        <v>7.2766708188077206E-2</v>
      </c>
      <c r="H770">
        <v>4.3591638622447297E-2</v>
      </c>
      <c r="I770">
        <v>3.1157523243319E-2</v>
      </c>
      <c r="J770">
        <v>2.6482916943554199E-2</v>
      </c>
      <c r="K770">
        <v>2.2194914503293899E-2</v>
      </c>
      <c r="L770">
        <v>1829.1346161241499</v>
      </c>
      <c r="M770">
        <v>37.6852602583769</v>
      </c>
      <c r="N770">
        <v>48.656994092229802</v>
      </c>
      <c r="O770">
        <v>48.401067574165303</v>
      </c>
      <c r="P770">
        <v>-0.18602362405282899</v>
      </c>
      <c r="Q770">
        <v>4.43246742530473E-2</v>
      </c>
      <c r="R770">
        <v>0.99781748996406405</v>
      </c>
      <c r="S770" t="s">
        <v>5510</v>
      </c>
      <c r="T770" t="s">
        <v>9478</v>
      </c>
      <c r="U770" t="s">
        <v>9478</v>
      </c>
      <c r="V770" t="s">
        <v>9478</v>
      </c>
      <c r="W770">
        <v>13</v>
      </c>
      <c r="X770" t="s">
        <v>10248</v>
      </c>
      <c r="Y770">
        <v>0.31990748027015042</v>
      </c>
      <c r="Z770" t="str">
        <f>HYPERLINK("Melting_Curves/meltCurve_sp_P14324_2_FPPS_HUMAN_.pdf", "Melting_Curves/meltCurve_sp_P14324_2_FPPS_HUMAN_.pdf")</f>
        <v>Melting_Curves/meltCurve_sp_P14324_2_FPPS_HUMAN_.pdf</v>
      </c>
      <c r="AA770" t="s">
        <v>14973</v>
      </c>
      <c r="AB770" t="s">
        <v>19605</v>
      </c>
    </row>
    <row r="771" spans="1:28" x14ac:dyDescent="0.25">
      <c r="A771" t="s">
        <v>775</v>
      </c>
      <c r="B771">
        <v>0.99904790336628502</v>
      </c>
      <c r="C771">
        <v>0.91181531195101395</v>
      </c>
      <c r="D771">
        <v>0.96647863357590302</v>
      </c>
      <c r="E771">
        <v>0.91073902424629805</v>
      </c>
      <c r="F771">
        <v>0.71658235824426397</v>
      </c>
      <c r="G771">
        <v>0.53612817303648297</v>
      </c>
      <c r="H771">
        <v>0.29057716284838597</v>
      </c>
      <c r="I771">
        <v>0.21354617086762401</v>
      </c>
      <c r="J771">
        <v>0.13450858227807699</v>
      </c>
      <c r="K771">
        <v>0.11795095327611201</v>
      </c>
      <c r="L771">
        <v>798.30756479409297</v>
      </c>
      <c r="M771">
        <v>14.0457023864659</v>
      </c>
      <c r="N771">
        <v>57.207714891878297</v>
      </c>
      <c r="O771">
        <v>55.721524741577603</v>
      </c>
      <c r="P771">
        <v>-6.0279989776314602E-2</v>
      </c>
      <c r="Q771">
        <v>4.3563919909654303E-2</v>
      </c>
      <c r="R771">
        <v>0.99226594626145403</v>
      </c>
      <c r="S771" t="s">
        <v>5511</v>
      </c>
      <c r="T771" t="s">
        <v>9478</v>
      </c>
      <c r="U771" t="s">
        <v>9478</v>
      </c>
      <c r="V771" t="s">
        <v>9478</v>
      </c>
      <c r="W771">
        <v>8</v>
      </c>
      <c r="X771" t="s">
        <v>10249</v>
      </c>
      <c r="Y771">
        <v>0.59635099503811839</v>
      </c>
      <c r="Z771" t="str">
        <f>HYPERLINK("Melting_Curves/meltCurve_sp_P14543_NID1_HUMAN_.pdf", "Melting_Curves/meltCurve_sp_P14543_NID1_HUMAN_.pdf")</f>
        <v>Melting_Curves/meltCurve_sp_P14543_NID1_HUMAN_.pdf</v>
      </c>
      <c r="AA771" t="s">
        <v>14974</v>
      </c>
      <c r="AB771" t="s">
        <v>19606</v>
      </c>
    </row>
    <row r="772" spans="1:28" x14ac:dyDescent="0.25">
      <c r="A772" t="s">
        <v>776</v>
      </c>
      <c r="B772">
        <v>0.99904790336628502</v>
      </c>
      <c r="C772">
        <v>0.89598452764553105</v>
      </c>
      <c r="D772">
        <v>0.87938142062201197</v>
      </c>
      <c r="E772">
        <v>0.63948990420731699</v>
      </c>
      <c r="F772">
        <v>0.16318564728804699</v>
      </c>
      <c r="G772">
        <v>8.9610908328059596E-2</v>
      </c>
      <c r="H772">
        <v>4.5599470087412199E-2</v>
      </c>
      <c r="I772">
        <v>3.0231095664039899E-2</v>
      </c>
      <c r="J772">
        <v>2.4267267959057499E-2</v>
      </c>
      <c r="K772">
        <v>1.9515707325892698E-2</v>
      </c>
      <c r="L772">
        <v>1535.31012339991</v>
      </c>
      <c r="M772">
        <v>30.382230431315499</v>
      </c>
      <c r="N772">
        <v>50.630604877168402</v>
      </c>
      <c r="O772">
        <v>50.315756434938102</v>
      </c>
      <c r="P772">
        <v>-0.14667195036661601</v>
      </c>
      <c r="Q772">
        <v>2.8397357867001701E-2</v>
      </c>
      <c r="R772">
        <v>0.98617130549760901</v>
      </c>
      <c r="S772" t="s">
        <v>5512</v>
      </c>
      <c r="T772" t="s">
        <v>9478</v>
      </c>
      <c r="U772" t="s">
        <v>9478</v>
      </c>
      <c r="V772" t="s">
        <v>9478</v>
      </c>
      <c r="W772">
        <v>25</v>
      </c>
      <c r="X772" t="s">
        <v>10250</v>
      </c>
      <c r="Y772">
        <v>0.37544186950058339</v>
      </c>
      <c r="Z772" t="str">
        <f>HYPERLINK("Melting_Curves/meltCurve_sp_P14550_AK1A1_HUMAN_.pdf", "Melting_Curves/meltCurve_sp_P14550_AK1A1_HUMAN_.pdf")</f>
        <v>Melting_Curves/meltCurve_sp_P14550_AK1A1_HUMAN_.pdf</v>
      </c>
      <c r="AA772" t="s">
        <v>14975</v>
      </c>
      <c r="AB772" t="s">
        <v>19607</v>
      </c>
    </row>
    <row r="773" spans="1:28" x14ac:dyDescent="0.25">
      <c r="A773" t="s">
        <v>777</v>
      </c>
      <c r="B773">
        <v>0.99904790336628502</v>
      </c>
      <c r="C773">
        <v>0.91840013443723301</v>
      </c>
      <c r="D773">
        <v>0.772619662956473</v>
      </c>
      <c r="E773">
        <v>0.52066823316986</v>
      </c>
      <c r="F773">
        <v>0.43244474825474699</v>
      </c>
      <c r="G773">
        <v>0.30801332720292801</v>
      </c>
      <c r="H773">
        <v>0.101800622790156</v>
      </c>
      <c r="I773">
        <v>4.9090387236180998E-2</v>
      </c>
      <c r="J773">
        <v>2.6842774407455201E-2</v>
      </c>
      <c r="K773">
        <v>2.5072251422436999E-2</v>
      </c>
      <c r="L773">
        <v>601.59093168673303</v>
      </c>
      <c r="M773">
        <v>11.7533992174835</v>
      </c>
      <c r="N773">
        <v>51.184420857682198</v>
      </c>
      <c r="O773">
        <v>49.770116204512398</v>
      </c>
      <c r="P773">
        <v>-5.9053861942118403E-2</v>
      </c>
      <c r="Q773">
        <v>0</v>
      </c>
      <c r="R773">
        <v>0.98873928225835095</v>
      </c>
      <c r="S773" t="s">
        <v>5513</v>
      </c>
      <c r="T773" t="s">
        <v>9478</v>
      </c>
      <c r="U773" t="s">
        <v>9478</v>
      </c>
      <c r="V773" t="s">
        <v>9478</v>
      </c>
      <c r="W773">
        <v>14</v>
      </c>
      <c r="X773" t="s">
        <v>10251</v>
      </c>
      <c r="Y773">
        <v>0.40600898362511267</v>
      </c>
      <c r="Z773" t="str">
        <f>HYPERLINK("Melting_Curves/meltCurve_sp_P14618_KPYM_HUMAN_.pdf", "Melting_Curves/meltCurve_sp_P14618_KPYM_HUMAN_.pdf")</f>
        <v>Melting_Curves/meltCurve_sp_P14618_KPYM_HUMAN_.pdf</v>
      </c>
      <c r="AA773" t="s">
        <v>14976</v>
      </c>
      <c r="AB773" t="s">
        <v>19608</v>
      </c>
    </row>
    <row r="774" spans="1:28" x14ac:dyDescent="0.25">
      <c r="A774" t="s">
        <v>778</v>
      </c>
      <c r="B774">
        <v>0.99904790336628502</v>
      </c>
      <c r="C774">
        <v>0.89877188805290098</v>
      </c>
      <c r="D774">
        <v>0.81316928105763397</v>
      </c>
      <c r="E774">
        <v>0.82046107021023196</v>
      </c>
      <c r="F774">
        <v>0.76534677766264203</v>
      </c>
      <c r="G774">
        <v>0.65530090790440199</v>
      </c>
      <c r="H774">
        <v>0.38134935478480497</v>
      </c>
      <c r="I774">
        <v>0.27891966047985201</v>
      </c>
      <c r="J774">
        <v>0.22383210145683799</v>
      </c>
      <c r="K774">
        <v>0.24519963849673701</v>
      </c>
      <c r="L774">
        <v>501.38335631874497</v>
      </c>
      <c r="M774">
        <v>8.5301100702573507</v>
      </c>
      <c r="N774">
        <v>58.778064070365502</v>
      </c>
      <c r="O774">
        <v>55.814807493669399</v>
      </c>
      <c r="P774">
        <v>-3.8241172002863102E-2</v>
      </c>
      <c r="Q774">
        <v>0</v>
      </c>
      <c r="R774">
        <v>0.95928142711242004</v>
      </c>
      <c r="S774" t="s">
        <v>5514</v>
      </c>
      <c r="T774" t="s">
        <v>9478</v>
      </c>
      <c r="U774" t="s">
        <v>9478</v>
      </c>
      <c r="V774" t="s">
        <v>9478</v>
      </c>
      <c r="W774">
        <v>7</v>
      </c>
      <c r="X774" t="s">
        <v>10252</v>
      </c>
      <c r="Y774">
        <v>0.62527118525306036</v>
      </c>
      <c r="Z774" t="str">
        <f>HYPERLINK("Melting_Curves/meltCurve_sp_P14621_ACYP2_HUMAN_.pdf", "Melting_Curves/meltCurve_sp_P14621_ACYP2_HUMAN_.pdf")</f>
        <v>Melting_Curves/meltCurve_sp_P14621_ACYP2_HUMAN_.pdf</v>
      </c>
      <c r="AA774" t="s">
        <v>14977</v>
      </c>
      <c r="AB774" t="s">
        <v>19609</v>
      </c>
    </row>
    <row r="775" spans="1:28" x14ac:dyDescent="0.25">
      <c r="A775" t="s">
        <v>779</v>
      </c>
      <c r="B775">
        <v>0.99904790336628502</v>
      </c>
      <c r="C775">
        <v>1.0453355138200999</v>
      </c>
      <c r="D775">
        <v>1.1415051466100601</v>
      </c>
      <c r="E775">
        <v>1.06055621161618</v>
      </c>
      <c r="F775">
        <v>0.77135246599521101</v>
      </c>
      <c r="G775">
        <v>0.30539131035497102</v>
      </c>
      <c r="H775">
        <v>0.12659696930293299</v>
      </c>
      <c r="I775">
        <v>7.1860345438537906E-2</v>
      </c>
      <c r="J775">
        <v>5.0115671931872503E-2</v>
      </c>
      <c r="K775">
        <v>3.8604876076906797E-2</v>
      </c>
      <c r="L775">
        <v>1803.7436061390399</v>
      </c>
      <c r="M775">
        <v>32.7039815703017</v>
      </c>
      <c r="N775">
        <v>55.363256470383099</v>
      </c>
      <c r="O775">
        <v>54.9486475090618</v>
      </c>
      <c r="P775">
        <v>-0.14012943479296699</v>
      </c>
      <c r="Q775">
        <v>5.8232428205730498E-2</v>
      </c>
      <c r="R775">
        <v>0.98400708294280903</v>
      </c>
      <c r="S775" t="s">
        <v>5515</v>
      </c>
      <c r="T775" t="s">
        <v>9478</v>
      </c>
      <c r="U775" t="s">
        <v>9478</v>
      </c>
      <c r="V775" t="s">
        <v>9478</v>
      </c>
      <c r="W775">
        <v>64</v>
      </c>
      <c r="X775" t="s">
        <v>10253</v>
      </c>
      <c r="Y775">
        <v>0.5392458309061865</v>
      </c>
      <c r="Z775" t="str">
        <f>HYPERLINK("Melting_Curves/meltCurve_sp_P14625_ENPL_HUMAN_.pdf", "Melting_Curves/meltCurve_sp_P14625_ENPL_HUMAN_.pdf")</f>
        <v>Melting_Curves/meltCurve_sp_P14625_ENPL_HUMAN_.pdf</v>
      </c>
      <c r="AA775" t="s">
        <v>14978</v>
      </c>
      <c r="AB775" t="s">
        <v>19610</v>
      </c>
    </row>
    <row r="776" spans="1:28" x14ac:dyDescent="0.25">
      <c r="A776" t="s">
        <v>780</v>
      </c>
      <c r="B776">
        <v>0.99904790336628502</v>
      </c>
      <c r="C776">
        <v>0.94161559625552305</v>
      </c>
      <c r="D776">
        <v>0.88080812448197499</v>
      </c>
      <c r="E776">
        <v>0.80245143825380505</v>
      </c>
      <c r="F776">
        <v>0.765381818348848</v>
      </c>
      <c r="G776">
        <v>0.53337987675797205</v>
      </c>
      <c r="H776">
        <v>0.51687312475541103</v>
      </c>
      <c r="I776">
        <v>0.38932794002585303</v>
      </c>
      <c r="J776">
        <v>0.41974829404206898</v>
      </c>
      <c r="K776">
        <v>0.334908231858148</v>
      </c>
      <c r="L776">
        <v>501.41948937669099</v>
      </c>
      <c r="M776">
        <v>8.9676382408802109</v>
      </c>
      <c r="N776">
        <v>60.3463712572144</v>
      </c>
      <c r="O776">
        <v>53.343736347108802</v>
      </c>
      <c r="P776">
        <v>-3.1913360039328299E-2</v>
      </c>
      <c r="Q776">
        <v>0.24121581959803201</v>
      </c>
      <c r="R776">
        <v>0.98006393875231301</v>
      </c>
      <c r="S776" t="s">
        <v>5516</v>
      </c>
      <c r="T776" t="s">
        <v>9478</v>
      </c>
      <c r="U776" t="s">
        <v>9478</v>
      </c>
      <c r="V776" t="s">
        <v>9478</v>
      </c>
      <c r="W776">
        <v>4</v>
      </c>
      <c r="X776" t="s">
        <v>10254</v>
      </c>
      <c r="Y776">
        <v>0.65989850722307186</v>
      </c>
      <c r="Z776" t="str">
        <f>HYPERLINK("Melting_Curves/meltCurve_sp_P14649_MYL6B_HUMAN_.pdf", "Melting_Curves/meltCurve_sp_P14649_MYL6B_HUMAN_.pdf")</f>
        <v>Melting_Curves/meltCurve_sp_P14649_MYL6B_HUMAN_.pdf</v>
      </c>
      <c r="AA776" t="s">
        <v>14979</v>
      </c>
      <c r="AB776" t="s">
        <v>19611</v>
      </c>
    </row>
    <row r="777" spans="1:28" x14ac:dyDescent="0.25">
      <c r="A777" t="s">
        <v>781</v>
      </c>
      <c r="B777">
        <v>0.99904790336628502</v>
      </c>
      <c r="C777">
        <v>1.00828358318098</v>
      </c>
      <c r="D777">
        <v>1.07643527322639</v>
      </c>
      <c r="E777">
        <v>0.90837167179470002</v>
      </c>
      <c r="F777">
        <v>0.62647199626627603</v>
      </c>
      <c r="G777">
        <v>0.294270640870265</v>
      </c>
      <c r="H777">
        <v>0.10391606161469</v>
      </c>
      <c r="I777">
        <v>6.4540311569153602E-2</v>
      </c>
      <c r="J777">
        <v>4.7194223719947803E-2</v>
      </c>
      <c r="K777">
        <v>3.32017139157358E-2</v>
      </c>
      <c r="L777">
        <v>1300.73691959077</v>
      </c>
      <c r="M777">
        <v>23.954174618995602</v>
      </c>
      <c r="N777">
        <v>54.482835879808803</v>
      </c>
      <c r="O777">
        <v>53.926859195505102</v>
      </c>
      <c r="P777">
        <v>-0.106786064709156</v>
      </c>
      <c r="Q777">
        <v>3.8406395208536302E-2</v>
      </c>
      <c r="R777">
        <v>0.99465086212229104</v>
      </c>
      <c r="S777" t="s">
        <v>5517</v>
      </c>
      <c r="T777" t="s">
        <v>9478</v>
      </c>
      <c r="U777" t="s">
        <v>9478</v>
      </c>
      <c r="V777" t="s">
        <v>9478</v>
      </c>
      <c r="W777">
        <v>33</v>
      </c>
      <c r="X777" t="s">
        <v>10255</v>
      </c>
      <c r="Y777">
        <v>0.50640857502672054</v>
      </c>
      <c r="Z777" t="str">
        <f>HYPERLINK("Melting_Curves/meltCurve_sp_P14735_IDE_HUMAN_.pdf", "Melting_Curves/meltCurve_sp_P14735_IDE_HUMAN_.pdf")</f>
        <v>Melting_Curves/meltCurve_sp_P14735_IDE_HUMAN_.pdf</v>
      </c>
      <c r="AA777" t="s">
        <v>14980</v>
      </c>
      <c r="AB777" t="s">
        <v>19612</v>
      </c>
    </row>
    <row r="778" spans="1:28" x14ac:dyDescent="0.25">
      <c r="A778" t="s">
        <v>782</v>
      </c>
      <c r="B778">
        <v>0.99904790336628502</v>
      </c>
      <c r="C778">
        <v>1.00986444164444</v>
      </c>
      <c r="D778">
        <v>0.91569890804669696</v>
      </c>
      <c r="E778">
        <v>0.83477451008159398</v>
      </c>
      <c r="F778">
        <v>0.772294662300261</v>
      </c>
      <c r="G778">
        <v>0.58648743369977496</v>
      </c>
      <c r="H778">
        <v>0.50432137929257903</v>
      </c>
      <c r="I778">
        <v>0.45889511596844601</v>
      </c>
      <c r="J778">
        <v>0.51373267973575598</v>
      </c>
      <c r="K778">
        <v>0.490406281213428</v>
      </c>
      <c r="L778">
        <v>820.65418219078799</v>
      </c>
      <c r="M778">
        <v>15.474531679289701</v>
      </c>
      <c r="N778">
        <v>63.504166473663197</v>
      </c>
      <c r="O778">
        <v>52.1706120290306</v>
      </c>
      <c r="P778">
        <v>-3.9970446236379499E-2</v>
      </c>
      <c r="Q778">
        <v>0.46102515608702999</v>
      </c>
      <c r="R778">
        <v>0.98397872268467101</v>
      </c>
      <c r="S778" t="s">
        <v>5518</v>
      </c>
      <c r="T778" t="s">
        <v>9478</v>
      </c>
      <c r="U778" t="s">
        <v>9478</v>
      </c>
      <c r="V778" t="s">
        <v>9478</v>
      </c>
      <c r="W778">
        <v>6</v>
      </c>
      <c r="X778" t="s">
        <v>10256</v>
      </c>
      <c r="Y778">
        <v>0.70625189059999749</v>
      </c>
      <c r="Z778" t="str">
        <f>HYPERLINK("Melting_Curves/meltCurve_sp_P14854_CX6B1_HUMAN_.pdf", "Melting_Curves/meltCurve_sp_P14854_CX6B1_HUMAN_.pdf")</f>
        <v>Melting_Curves/meltCurve_sp_P14854_CX6B1_HUMAN_.pdf</v>
      </c>
      <c r="AA778" t="s">
        <v>14981</v>
      </c>
      <c r="AB778" t="s">
        <v>19613</v>
      </c>
    </row>
    <row r="779" spans="1:28" x14ac:dyDescent="0.25">
      <c r="A779" t="s">
        <v>783</v>
      </c>
      <c r="B779">
        <v>0.99904790336628502</v>
      </c>
      <c r="C779">
        <v>0.94769259772074699</v>
      </c>
      <c r="D779">
        <v>0.88892426563986104</v>
      </c>
      <c r="E779">
        <v>0.51219935839349995</v>
      </c>
      <c r="F779">
        <v>0.385427041381877</v>
      </c>
      <c r="G779">
        <v>0.21240211920812299</v>
      </c>
      <c r="H779">
        <v>0.10816367483145201</v>
      </c>
      <c r="I779">
        <v>9.2066599475096003E-2</v>
      </c>
      <c r="J779">
        <v>6.7246310315552602E-2</v>
      </c>
      <c r="K779">
        <v>4.86965727456352E-2</v>
      </c>
      <c r="L779">
        <v>813.63071394246901</v>
      </c>
      <c r="M779">
        <v>16.0848990650973</v>
      </c>
      <c r="N779">
        <v>50.949391780092299</v>
      </c>
      <c r="O779">
        <v>49.821044654279397</v>
      </c>
      <c r="P779">
        <v>-7.6316842081897901E-2</v>
      </c>
      <c r="Q779">
        <v>5.4543688600155203E-2</v>
      </c>
      <c r="R779">
        <v>0.99447386271243898</v>
      </c>
      <c r="S779" t="s">
        <v>5519</v>
      </c>
      <c r="T779" t="s">
        <v>9478</v>
      </c>
      <c r="U779" t="s">
        <v>9478</v>
      </c>
      <c r="V779" t="s">
        <v>9478</v>
      </c>
      <c r="W779">
        <v>14</v>
      </c>
      <c r="X779" t="s">
        <v>10257</v>
      </c>
      <c r="Y779">
        <v>0.40769490027566557</v>
      </c>
      <c r="Z779" t="str">
        <f>HYPERLINK("Melting_Curves/meltCurve_sp_P14866_HNRPL_HUMAN_.pdf", "Melting_Curves/meltCurve_sp_P14866_HNRPL_HUMAN_.pdf")</f>
        <v>Melting_Curves/meltCurve_sp_P14866_HNRPL_HUMAN_.pdf</v>
      </c>
      <c r="AA779" t="s">
        <v>14982</v>
      </c>
      <c r="AB779" t="s">
        <v>19614</v>
      </c>
    </row>
    <row r="780" spans="1:28" x14ac:dyDescent="0.25">
      <c r="A780" t="s">
        <v>784</v>
      </c>
      <c r="B780">
        <v>0.99904790336628502</v>
      </c>
      <c r="C780">
        <v>0.88691185555694896</v>
      </c>
      <c r="D780">
        <v>0.66129639931774598</v>
      </c>
      <c r="E780">
        <v>0.31832793821674599</v>
      </c>
      <c r="F780">
        <v>0.14298552895855701</v>
      </c>
      <c r="G780">
        <v>8.5332201683753203E-2</v>
      </c>
      <c r="H780">
        <v>5.1598305200453803E-2</v>
      </c>
      <c r="I780">
        <v>3.3419110672126801E-2</v>
      </c>
      <c r="J780">
        <v>2.7611497512941698E-2</v>
      </c>
      <c r="K780">
        <v>2.145077483041E-2</v>
      </c>
      <c r="L780">
        <v>889.31633017787203</v>
      </c>
      <c r="M780">
        <v>18.6775417519104</v>
      </c>
      <c r="N780">
        <v>47.760264348439101</v>
      </c>
      <c r="O780">
        <v>47.078472821886301</v>
      </c>
      <c r="P780">
        <v>-9.6433935222993206E-2</v>
      </c>
      <c r="Q780">
        <v>2.77590868967066E-2</v>
      </c>
      <c r="R780">
        <v>0.99901035937999205</v>
      </c>
      <c r="S780" t="s">
        <v>5520</v>
      </c>
      <c r="T780" t="s">
        <v>9478</v>
      </c>
      <c r="U780" t="s">
        <v>9478</v>
      </c>
      <c r="V780" t="s">
        <v>9478</v>
      </c>
      <c r="W780">
        <v>31</v>
      </c>
      <c r="X780" t="s">
        <v>10258</v>
      </c>
      <c r="Y780">
        <v>0.29067122420697411</v>
      </c>
      <c r="Z780" t="str">
        <f>HYPERLINK("Melting_Curves/meltCurve_sp_P14868_SYDC_HUMAN_.pdf", "Melting_Curves/meltCurve_sp_P14868_SYDC_HUMAN_.pdf")</f>
        <v>Melting_Curves/meltCurve_sp_P14868_SYDC_HUMAN_.pdf</v>
      </c>
      <c r="AA780" t="s">
        <v>14983</v>
      </c>
      <c r="AB780" t="s">
        <v>19615</v>
      </c>
    </row>
    <row r="781" spans="1:28" x14ac:dyDescent="0.25">
      <c r="A781" t="s">
        <v>785</v>
      </c>
      <c r="B781">
        <v>0.99904790336628502</v>
      </c>
      <c r="C781">
        <v>1.06308170652171</v>
      </c>
      <c r="D781">
        <v>1.0912184285200901</v>
      </c>
      <c r="E781">
        <v>1.0633557903400399</v>
      </c>
      <c r="F781">
        <v>1.0724267507359</v>
      </c>
      <c r="G781">
        <v>0.85649484551229205</v>
      </c>
      <c r="H781">
        <v>0.71780745971848703</v>
      </c>
      <c r="I781">
        <v>0.66264799523491003</v>
      </c>
      <c r="J781">
        <v>0.588852788647235</v>
      </c>
      <c r="K781">
        <v>0.37740386721734798</v>
      </c>
      <c r="L781">
        <v>915.82329251996305</v>
      </c>
      <c r="M781">
        <v>14.073845805862399</v>
      </c>
      <c r="N781">
        <v>67.567622926654593</v>
      </c>
      <c r="O781">
        <v>63.801178942526597</v>
      </c>
      <c r="P781">
        <v>-4.3977757046710399E-2</v>
      </c>
      <c r="Q781">
        <v>0.20264323537415499</v>
      </c>
      <c r="R781">
        <v>0.92712717613162898</v>
      </c>
      <c r="S781" t="s">
        <v>5521</v>
      </c>
      <c r="T781" t="s">
        <v>9478</v>
      </c>
      <c r="U781" t="s">
        <v>9478</v>
      </c>
      <c r="V781" t="s">
        <v>9478</v>
      </c>
      <c r="W781">
        <v>12</v>
      </c>
      <c r="X781" t="s">
        <v>10259</v>
      </c>
      <c r="Y781">
        <v>0.84513414214647187</v>
      </c>
      <c r="Z781" t="str">
        <f>HYPERLINK("Melting_Curves/meltCurve_sp_P14920_OXDA_HUMAN_.pdf", "Melting_Curves/meltCurve_sp_P14920_OXDA_HUMAN_.pdf")</f>
        <v>Melting_Curves/meltCurve_sp_P14920_OXDA_HUMAN_.pdf</v>
      </c>
      <c r="AA781" t="s">
        <v>14984</v>
      </c>
      <c r="AB781" t="s">
        <v>19616</v>
      </c>
    </row>
    <row r="782" spans="1:28" x14ac:dyDescent="0.25">
      <c r="A782" t="s">
        <v>786</v>
      </c>
      <c r="B782">
        <v>0.99904790336628502</v>
      </c>
      <c r="C782">
        <v>0.942130562856764</v>
      </c>
      <c r="D782">
        <v>0.95277447556782202</v>
      </c>
      <c r="E782">
        <v>0.88002140947051699</v>
      </c>
      <c r="F782">
        <v>0.65176343847695095</v>
      </c>
      <c r="G782">
        <v>0.697857925988837</v>
      </c>
      <c r="H782">
        <v>0.23515990515263699</v>
      </c>
      <c r="I782">
        <v>0.11086643272704599</v>
      </c>
      <c r="J782">
        <v>5.50764285204643E-2</v>
      </c>
      <c r="K782">
        <v>6.2106304940287599E-2</v>
      </c>
      <c r="L782">
        <v>867.318124597066</v>
      </c>
      <c r="M782">
        <v>15.1493714513998</v>
      </c>
      <c r="N782">
        <v>57.251096415594901</v>
      </c>
      <c r="O782">
        <v>56.281319237231699</v>
      </c>
      <c r="P782">
        <v>-6.7299611237208803E-2</v>
      </c>
      <c r="Q782">
        <v>0</v>
      </c>
      <c r="R782">
        <v>0.95936762477264603</v>
      </c>
      <c r="S782" t="s">
        <v>5522</v>
      </c>
      <c r="T782" t="s">
        <v>9478</v>
      </c>
      <c r="U782" t="s">
        <v>9478</v>
      </c>
      <c r="V782" t="s">
        <v>9478</v>
      </c>
      <c r="W782">
        <v>21</v>
      </c>
      <c r="X782" t="s">
        <v>10260</v>
      </c>
      <c r="Y782">
        <v>0.59022875284968535</v>
      </c>
      <c r="Z782" t="str">
        <f>HYPERLINK("Melting_Curves/meltCurve_sp_P14923_PLAK_HUMAN_.pdf", "Melting_Curves/meltCurve_sp_P14923_PLAK_HUMAN_.pdf")</f>
        <v>Melting_Curves/meltCurve_sp_P14923_PLAK_HUMAN_.pdf</v>
      </c>
      <c r="AA782" t="s">
        <v>14985</v>
      </c>
      <c r="AB782" t="s">
        <v>19617</v>
      </c>
    </row>
    <row r="783" spans="1:28" x14ac:dyDescent="0.25">
      <c r="A783" t="s">
        <v>787</v>
      </c>
      <c r="B783">
        <v>0.99904790336628502</v>
      </c>
      <c r="C783">
        <v>1.03596244724997</v>
      </c>
      <c r="D783">
        <v>1.09575818947408</v>
      </c>
      <c r="E783">
        <v>1.0030265748423901</v>
      </c>
      <c r="F783">
        <v>0.86544605837255695</v>
      </c>
      <c r="G783">
        <v>0.60274542780476503</v>
      </c>
      <c r="H783">
        <v>8.9335974695215495E-2</v>
      </c>
      <c r="I783">
        <v>7.1974827159043603E-2</v>
      </c>
      <c r="J783">
        <v>5.9114446099889098E-2</v>
      </c>
      <c r="K783">
        <v>5.91408428095615E-2</v>
      </c>
      <c r="L783">
        <v>1999.4342762952299</v>
      </c>
      <c r="M783">
        <v>34.887606234205201</v>
      </c>
      <c r="N783">
        <v>57.4494024954423</v>
      </c>
      <c r="O783">
        <v>57.123412228621397</v>
      </c>
      <c r="P783">
        <v>-0.146520137409933</v>
      </c>
      <c r="Q783">
        <v>4.03812307000442E-2</v>
      </c>
      <c r="R783">
        <v>0.98867827903244099</v>
      </c>
      <c r="S783" t="s">
        <v>5523</v>
      </c>
      <c r="T783" t="s">
        <v>9478</v>
      </c>
      <c r="U783" t="s">
        <v>9478</v>
      </c>
      <c r="V783" t="s">
        <v>9478</v>
      </c>
      <c r="W783">
        <v>11</v>
      </c>
      <c r="X783" t="s">
        <v>10261</v>
      </c>
      <c r="Y783">
        <v>0.59896612262068494</v>
      </c>
      <c r="Z783" t="str">
        <f>HYPERLINK("Melting_Curves/meltCurve_sp_P15104_GLNA_HUMAN_.pdf", "Melting_Curves/meltCurve_sp_P15104_GLNA_HUMAN_.pdf")</f>
        <v>Melting_Curves/meltCurve_sp_P15104_GLNA_HUMAN_.pdf</v>
      </c>
      <c r="AA783" t="s">
        <v>14986</v>
      </c>
      <c r="AB783" t="s">
        <v>19618</v>
      </c>
    </row>
    <row r="784" spans="1:28" x14ac:dyDescent="0.25">
      <c r="A784" t="s">
        <v>788</v>
      </c>
      <c r="B784">
        <v>0.99904790336628502</v>
      </c>
      <c r="C784">
        <v>0.94661921653944103</v>
      </c>
      <c r="D784">
        <v>0.92669568931727797</v>
      </c>
      <c r="E784">
        <v>0.90808856289204498</v>
      </c>
      <c r="F784">
        <v>0.75233812007493694</v>
      </c>
      <c r="G784">
        <v>0.176199471720073</v>
      </c>
      <c r="H784">
        <v>9.0198640628117596E-2</v>
      </c>
      <c r="I784">
        <v>5.9289087990928302E-2</v>
      </c>
      <c r="J784">
        <v>5.4743804836326002E-2</v>
      </c>
      <c r="K784">
        <v>4.5064794082507499E-2</v>
      </c>
      <c r="L784">
        <v>1997.29743598088</v>
      </c>
      <c r="M784">
        <v>36.764070425459003</v>
      </c>
      <c r="N784">
        <v>54.495165044033499</v>
      </c>
      <c r="O784">
        <v>54.1674434084631</v>
      </c>
      <c r="P784">
        <v>-0.16060126157947899</v>
      </c>
      <c r="Q784">
        <v>5.3496140406816703E-2</v>
      </c>
      <c r="R784">
        <v>0.99286561755120994</v>
      </c>
      <c r="S784" t="s">
        <v>5524</v>
      </c>
      <c r="T784" t="s">
        <v>9478</v>
      </c>
      <c r="U784" t="s">
        <v>9478</v>
      </c>
      <c r="V784" t="s">
        <v>9478</v>
      </c>
      <c r="W784">
        <v>6</v>
      </c>
      <c r="X784" t="s">
        <v>10262</v>
      </c>
      <c r="Y784">
        <v>0.50972195062105696</v>
      </c>
      <c r="Z784" t="str">
        <f>HYPERLINK("Melting_Curves/meltCurve_sp_P15121_ALDR_HUMAN_.pdf", "Melting_Curves/meltCurve_sp_P15121_ALDR_HUMAN_.pdf")</f>
        <v>Melting_Curves/meltCurve_sp_P15121_ALDR_HUMAN_.pdf</v>
      </c>
      <c r="AA784" t="s">
        <v>14987</v>
      </c>
      <c r="AB784" t="s">
        <v>19619</v>
      </c>
    </row>
    <row r="785" spans="1:28" x14ac:dyDescent="0.25">
      <c r="A785" t="s">
        <v>789</v>
      </c>
      <c r="B785">
        <v>0.99904790336628502</v>
      </c>
      <c r="C785">
        <v>0.97123802228238898</v>
      </c>
      <c r="D785">
        <v>0.91307043385409503</v>
      </c>
      <c r="E785">
        <v>0.74351817392692898</v>
      </c>
      <c r="F785">
        <v>0.64562795332998502</v>
      </c>
      <c r="G785">
        <v>0.547883835601361</v>
      </c>
      <c r="H785">
        <v>0.39480776518128902</v>
      </c>
      <c r="I785">
        <v>0.32730971782415502</v>
      </c>
      <c r="J785">
        <v>0.24803242522747901</v>
      </c>
      <c r="K785">
        <v>0.11709481253489699</v>
      </c>
      <c r="L785">
        <v>489.77141255255401</v>
      </c>
      <c r="M785">
        <v>8.5108607593416998</v>
      </c>
      <c r="N785">
        <v>57.546640222330701</v>
      </c>
      <c r="O785">
        <v>54.633422046003801</v>
      </c>
      <c r="P785">
        <v>-3.8980239997766598E-2</v>
      </c>
      <c r="Q785">
        <v>0</v>
      </c>
      <c r="R785">
        <v>0.98892479500927399</v>
      </c>
      <c r="S785" t="s">
        <v>5525</v>
      </c>
      <c r="T785" t="s">
        <v>9478</v>
      </c>
      <c r="U785" t="s">
        <v>9478</v>
      </c>
      <c r="V785" t="s">
        <v>9478</v>
      </c>
      <c r="W785">
        <v>15</v>
      </c>
      <c r="X785" t="s">
        <v>10263</v>
      </c>
      <c r="Y785">
        <v>0.59409416285259553</v>
      </c>
      <c r="Z785" t="str">
        <f>HYPERLINK("Melting_Curves/meltCurve_sp_P15144_AMPN_HUMAN_.pdf", "Melting_Curves/meltCurve_sp_P15144_AMPN_HUMAN_.pdf")</f>
        <v>Melting_Curves/meltCurve_sp_P15144_AMPN_HUMAN_.pdf</v>
      </c>
      <c r="AA785" t="s">
        <v>14988</v>
      </c>
      <c r="AB785" t="s">
        <v>19620</v>
      </c>
    </row>
    <row r="786" spans="1:28" x14ac:dyDescent="0.25">
      <c r="A786" t="s">
        <v>790</v>
      </c>
      <c r="B786">
        <v>0.99904790336628502</v>
      </c>
      <c r="C786">
        <v>0.98054579093654204</v>
      </c>
      <c r="D786">
        <v>0.94082292927501798</v>
      </c>
      <c r="E786">
        <v>0.82999107180325304</v>
      </c>
      <c r="F786">
        <v>0.59523387336866396</v>
      </c>
      <c r="G786">
        <v>0.263006433742625</v>
      </c>
      <c r="H786">
        <v>0.114373529170522</v>
      </c>
      <c r="I786">
        <v>6.9217670228325798E-2</v>
      </c>
      <c r="J786">
        <v>4.8155655854581703E-2</v>
      </c>
      <c r="K786">
        <v>4.1072620373688598E-2</v>
      </c>
      <c r="L786">
        <v>1062.6231879795901</v>
      </c>
      <c r="M786">
        <v>19.7406862358918</v>
      </c>
      <c r="N786">
        <v>53.987447036675697</v>
      </c>
      <c r="O786">
        <v>53.285818310154099</v>
      </c>
      <c r="P786">
        <v>-9.0014789445036394E-2</v>
      </c>
      <c r="Q786">
        <v>2.8129267529398601E-2</v>
      </c>
      <c r="R786">
        <v>0.99935478573132397</v>
      </c>
      <c r="S786" t="s">
        <v>5526</v>
      </c>
      <c r="T786" t="s">
        <v>9478</v>
      </c>
      <c r="U786" t="s">
        <v>9478</v>
      </c>
      <c r="V786" t="s">
        <v>9478</v>
      </c>
      <c r="W786">
        <v>24</v>
      </c>
      <c r="X786" t="s">
        <v>10264</v>
      </c>
      <c r="Y786">
        <v>0.48965816539236579</v>
      </c>
      <c r="Z786" t="str">
        <f>HYPERLINK("Melting_Curves/meltCurve_sp_P15170_2_ERF3A_HUMAN_.pdf", "Melting_Curves/meltCurve_sp_P15170_2_ERF3A_HUMAN_.pdf")</f>
        <v>Melting_Curves/meltCurve_sp_P15170_2_ERF3A_HUMAN_.pdf</v>
      </c>
      <c r="AA786" t="s">
        <v>14989</v>
      </c>
      <c r="AB786" t="s">
        <v>19621</v>
      </c>
    </row>
    <row r="787" spans="1:28" x14ac:dyDescent="0.25">
      <c r="A787" t="s">
        <v>791</v>
      </c>
      <c r="B787">
        <v>0.99904790336628502</v>
      </c>
      <c r="C787">
        <v>0.699922999487255</v>
      </c>
      <c r="D787">
        <v>0.77308621605771599</v>
      </c>
      <c r="E787">
        <v>0.70419798301579895</v>
      </c>
      <c r="F787">
        <v>0.56160478783571399</v>
      </c>
      <c r="G787">
        <v>0.45958542036221001</v>
      </c>
      <c r="H787">
        <v>0.33754298737439498</v>
      </c>
      <c r="I787">
        <v>0.23185450818508399</v>
      </c>
      <c r="J787">
        <v>2.6710885241666701E-2</v>
      </c>
      <c r="K787">
        <v>0</v>
      </c>
      <c r="L787">
        <v>450.34086659462702</v>
      </c>
      <c r="M787">
        <v>8.3685535239467708</v>
      </c>
      <c r="N787">
        <v>53.813465305075503</v>
      </c>
      <c r="O787">
        <v>51.003702074694097</v>
      </c>
      <c r="P787">
        <v>-4.10585337415941E-2</v>
      </c>
      <c r="Q787">
        <v>0</v>
      </c>
      <c r="R787">
        <v>0.90893933508880598</v>
      </c>
      <c r="S787" t="s">
        <v>5527</v>
      </c>
      <c r="T787" t="s">
        <v>9478</v>
      </c>
      <c r="U787" t="s">
        <v>9478</v>
      </c>
      <c r="V787" t="s">
        <v>9478</v>
      </c>
      <c r="W787">
        <v>11</v>
      </c>
      <c r="X787" t="s">
        <v>10265</v>
      </c>
      <c r="Y787">
        <v>0.49502949156905429</v>
      </c>
      <c r="Z787" t="str">
        <f>HYPERLINK("Melting_Curves/meltCurve_sp_P15289_2_ARSA_HUMAN_.pdf", "Melting_Curves/meltCurve_sp_P15289_2_ARSA_HUMAN_.pdf")</f>
        <v>Melting_Curves/meltCurve_sp_P15289_2_ARSA_HUMAN_.pdf</v>
      </c>
      <c r="AA787" t="s">
        <v>14990</v>
      </c>
      <c r="AB787" t="s">
        <v>19622</v>
      </c>
    </row>
    <row r="788" spans="1:28" x14ac:dyDescent="0.25">
      <c r="A788" t="s">
        <v>792</v>
      </c>
      <c r="B788">
        <v>0.99904790336628502</v>
      </c>
      <c r="C788">
        <v>0.75946470598218696</v>
      </c>
      <c r="D788">
        <v>0.81609459450156596</v>
      </c>
      <c r="E788">
        <v>0.87572433566113195</v>
      </c>
      <c r="F788">
        <v>0.83041487035946804</v>
      </c>
      <c r="G788">
        <v>0.78081355063465596</v>
      </c>
      <c r="H788">
        <v>0.62206451097295101</v>
      </c>
      <c r="I788">
        <v>0.52451101097166897</v>
      </c>
      <c r="J788">
        <v>0.32039572118576198</v>
      </c>
      <c r="K788">
        <v>0.15022036859607901</v>
      </c>
      <c r="L788">
        <v>593.03408583965995</v>
      </c>
      <c r="M788">
        <v>9.4596861632407094</v>
      </c>
      <c r="N788">
        <v>62.690655035468701</v>
      </c>
      <c r="O788">
        <v>60.080757885534702</v>
      </c>
      <c r="P788">
        <v>-3.9386040876655801E-2</v>
      </c>
      <c r="Q788">
        <v>0</v>
      </c>
      <c r="R788">
        <v>0.83392678591352598</v>
      </c>
      <c r="S788" t="s">
        <v>5528</v>
      </c>
      <c r="T788" t="s">
        <v>9478</v>
      </c>
      <c r="U788" t="s">
        <v>9478</v>
      </c>
      <c r="V788" t="s">
        <v>9478</v>
      </c>
      <c r="W788">
        <v>12</v>
      </c>
      <c r="X788" t="s">
        <v>10266</v>
      </c>
      <c r="Y788">
        <v>0.72445405120993545</v>
      </c>
      <c r="Z788" t="str">
        <f>HYPERLINK("Melting_Curves/meltCurve_sp_P15289_ARSA_HUMAN_.pdf", "Melting_Curves/meltCurve_sp_P15289_ARSA_HUMAN_.pdf")</f>
        <v>Melting_Curves/meltCurve_sp_P15289_ARSA_HUMAN_.pdf</v>
      </c>
      <c r="AA788" t="s">
        <v>14990</v>
      </c>
      <c r="AB788" t="s">
        <v>19623</v>
      </c>
    </row>
    <row r="789" spans="1:28" x14ac:dyDescent="0.25">
      <c r="A789" t="s">
        <v>793</v>
      </c>
      <c r="B789">
        <v>0.99904790336628502</v>
      </c>
      <c r="C789">
        <v>1.00466502724299</v>
      </c>
      <c r="D789">
        <v>0.96866183458356903</v>
      </c>
      <c r="E789">
        <v>0.92968215698677903</v>
      </c>
      <c r="F789">
        <v>1.0184460202694701</v>
      </c>
      <c r="G789">
        <v>0.232430343818224</v>
      </c>
      <c r="H789">
        <v>9.1024271742073906E-2</v>
      </c>
      <c r="I789">
        <v>6.6039802890846502E-2</v>
      </c>
      <c r="J789">
        <v>5.5861230704348501E-2</v>
      </c>
      <c r="K789">
        <v>5.2118768629874801E-2</v>
      </c>
      <c r="L789">
        <v>14162.777354956401</v>
      </c>
      <c r="M789">
        <v>250</v>
      </c>
      <c r="N789">
        <v>56.683343537017699</v>
      </c>
      <c r="O789">
        <v>56.647484172290497</v>
      </c>
      <c r="P789">
        <v>-1.0302079197305201</v>
      </c>
      <c r="Q789">
        <v>6.6261012647225795E-2</v>
      </c>
      <c r="R789">
        <v>0.996366057966383</v>
      </c>
      <c r="S789" t="s">
        <v>5529</v>
      </c>
      <c r="T789" t="s">
        <v>9478</v>
      </c>
      <c r="U789" t="s">
        <v>9478</v>
      </c>
      <c r="V789" t="s">
        <v>9478</v>
      </c>
      <c r="W789">
        <v>39</v>
      </c>
      <c r="X789" t="s">
        <v>10267</v>
      </c>
      <c r="Y789">
        <v>0.58461351493801417</v>
      </c>
      <c r="Z789" t="str">
        <f>HYPERLINK("Melting_Curves/meltCurve_sp_P15311_EZRI_HUMAN_.pdf", "Melting_Curves/meltCurve_sp_P15311_EZRI_HUMAN_.pdf")</f>
        <v>Melting_Curves/meltCurve_sp_P15311_EZRI_HUMAN_.pdf</v>
      </c>
      <c r="AA789" t="s">
        <v>14991</v>
      </c>
      <c r="AB789" t="s">
        <v>19624</v>
      </c>
    </row>
    <row r="790" spans="1:28" x14ac:dyDescent="0.25">
      <c r="A790" t="s">
        <v>794</v>
      </c>
      <c r="B790">
        <v>0.99904790336628502</v>
      </c>
      <c r="C790">
        <v>0.96219273185354404</v>
      </c>
      <c r="D790">
        <v>1.0133812087004701</v>
      </c>
      <c r="E790">
        <v>0.95492845370881096</v>
      </c>
      <c r="F790">
        <v>0.99634840315380402</v>
      </c>
      <c r="G790">
        <v>0.72002770628091495</v>
      </c>
      <c r="H790">
        <v>0.51316417946563597</v>
      </c>
      <c r="I790">
        <v>0.50676709740382797</v>
      </c>
      <c r="J790">
        <v>0.49704138051272001</v>
      </c>
      <c r="K790">
        <v>0.50643569278263401</v>
      </c>
      <c r="L790">
        <v>3371.66495690085</v>
      </c>
      <c r="M790">
        <v>59.407725463756599</v>
      </c>
      <c r="O790">
        <v>56.690451791525099</v>
      </c>
      <c r="P790">
        <v>-0.13002281337197599</v>
      </c>
      <c r="Q790">
        <v>0.50369762022928399</v>
      </c>
      <c r="R790">
        <v>0.99282386151291602</v>
      </c>
      <c r="S790" t="s">
        <v>5530</v>
      </c>
      <c r="T790" t="s">
        <v>9478</v>
      </c>
      <c r="U790" t="s">
        <v>9478</v>
      </c>
      <c r="V790" t="s">
        <v>9478</v>
      </c>
      <c r="W790">
        <v>2</v>
      </c>
      <c r="X790" t="s">
        <v>10268</v>
      </c>
      <c r="Y790">
        <v>0.7817551420479798</v>
      </c>
      <c r="Z790" t="str">
        <f>HYPERLINK("Melting_Curves/meltCurve_sp_P15336_3_ATF2_HUMAN_.pdf", "Melting_Curves/meltCurve_sp_P15336_3_ATF2_HUMAN_.pdf")</f>
        <v>Melting_Curves/meltCurve_sp_P15336_3_ATF2_HUMAN_.pdf</v>
      </c>
      <c r="AA790" t="s">
        <v>14992</v>
      </c>
      <c r="AB790" t="s">
        <v>19625</v>
      </c>
    </row>
    <row r="791" spans="1:28" x14ac:dyDescent="0.25">
      <c r="A791" t="s">
        <v>795</v>
      </c>
      <c r="B791">
        <v>0.99904790336628502</v>
      </c>
      <c r="C791">
        <v>0.974208875024553</v>
      </c>
      <c r="D791">
        <v>0.95598246618025495</v>
      </c>
      <c r="E791">
        <v>0.93455695937953298</v>
      </c>
      <c r="F791">
        <v>0.88625736937942901</v>
      </c>
      <c r="G791">
        <v>0.59695822848447</v>
      </c>
      <c r="H791">
        <v>0.27167003817771701</v>
      </c>
      <c r="I791">
        <v>0.148313191431696</v>
      </c>
      <c r="J791">
        <v>9.94244970801961E-2</v>
      </c>
      <c r="K791">
        <v>7.0328654361342294E-2</v>
      </c>
      <c r="L791">
        <v>1218.2633038183201</v>
      </c>
      <c r="M791">
        <v>21.0886682764562</v>
      </c>
      <c r="N791">
        <v>58.025170482465597</v>
      </c>
      <c r="O791">
        <v>57.256697552453097</v>
      </c>
      <c r="P791">
        <v>-8.7983258027752601E-2</v>
      </c>
      <c r="Q791">
        <v>4.4510973019461601E-2</v>
      </c>
      <c r="R791">
        <v>0.99764118709722305</v>
      </c>
      <c r="S791" t="s">
        <v>5531</v>
      </c>
      <c r="T791" t="s">
        <v>9478</v>
      </c>
      <c r="U791" t="s">
        <v>9478</v>
      </c>
      <c r="V791" t="s">
        <v>9478</v>
      </c>
      <c r="W791">
        <v>11</v>
      </c>
      <c r="X791" t="s">
        <v>10269</v>
      </c>
      <c r="Y791">
        <v>0.62087870638198395</v>
      </c>
      <c r="Z791" t="str">
        <f>HYPERLINK("Melting_Curves/meltCurve_sp_P15374_UCHL3_HUMAN_.pdf", "Melting_Curves/meltCurve_sp_P15374_UCHL3_HUMAN_.pdf")</f>
        <v>Melting_Curves/meltCurve_sp_P15374_UCHL3_HUMAN_.pdf</v>
      </c>
      <c r="AA791" t="s">
        <v>14993</v>
      </c>
      <c r="AB791" t="s">
        <v>19626</v>
      </c>
    </row>
    <row r="792" spans="1:28" x14ac:dyDescent="0.25">
      <c r="A792" t="s">
        <v>796</v>
      </c>
      <c r="B792">
        <v>0.99904790336628502</v>
      </c>
      <c r="C792">
        <v>0.99583603752664596</v>
      </c>
      <c r="D792">
        <v>0.92771348939924603</v>
      </c>
      <c r="E792">
        <v>0.55733650889310604</v>
      </c>
      <c r="F792">
        <v>0.133025975907822</v>
      </c>
      <c r="G792">
        <v>8.72374034420247E-2</v>
      </c>
      <c r="H792">
        <v>4.8787080615936201E-2</v>
      </c>
      <c r="I792">
        <v>3.6934752646497697E-2</v>
      </c>
      <c r="J792">
        <v>2.4570114642243901E-2</v>
      </c>
      <c r="K792">
        <v>1.5712844830984299E-2</v>
      </c>
      <c r="L792">
        <v>1762.7100787163499</v>
      </c>
      <c r="M792">
        <v>35.155885912129499</v>
      </c>
      <c r="N792">
        <v>50.245344448137701</v>
      </c>
      <c r="O792">
        <v>49.978427812882799</v>
      </c>
      <c r="P792">
        <v>-0.16959866105844301</v>
      </c>
      <c r="Q792">
        <v>3.5581740311909103E-2</v>
      </c>
      <c r="R792">
        <v>0.99754394577494898</v>
      </c>
      <c r="S792" t="s">
        <v>5532</v>
      </c>
      <c r="T792" t="s">
        <v>9478</v>
      </c>
      <c r="U792" t="s">
        <v>9478</v>
      </c>
      <c r="V792" t="s">
        <v>9478</v>
      </c>
      <c r="W792">
        <v>11</v>
      </c>
      <c r="X792" t="s">
        <v>10270</v>
      </c>
      <c r="Y792">
        <v>0.36588856635143191</v>
      </c>
      <c r="Z792" t="str">
        <f>HYPERLINK("Melting_Curves/meltCurve_sp_P15428_PGDH_HUMAN_.pdf", "Melting_Curves/meltCurve_sp_P15428_PGDH_HUMAN_.pdf")</f>
        <v>Melting_Curves/meltCurve_sp_P15428_PGDH_HUMAN_.pdf</v>
      </c>
      <c r="AA792" t="s">
        <v>14994</v>
      </c>
      <c r="AB792" t="s">
        <v>19627</v>
      </c>
    </row>
    <row r="793" spans="1:28" x14ac:dyDescent="0.25">
      <c r="A793" t="s">
        <v>797</v>
      </c>
      <c r="B793">
        <v>0.99904790336628502</v>
      </c>
      <c r="C793">
        <v>1.1584742973109201</v>
      </c>
      <c r="D793">
        <v>1.15975109132273</v>
      </c>
      <c r="E793">
        <v>1.1318992445885101</v>
      </c>
      <c r="F793">
        <v>0.96697997242394196</v>
      </c>
      <c r="G793">
        <v>0.84402322255864404</v>
      </c>
      <c r="H793">
        <v>0.65147418526469902</v>
      </c>
      <c r="I793">
        <v>0.31522864726737498</v>
      </c>
      <c r="J793">
        <v>0.21481226881798601</v>
      </c>
      <c r="K793">
        <v>0.23499663256487499</v>
      </c>
      <c r="L793">
        <v>1675.72648399594</v>
      </c>
      <c r="M793">
        <v>27.431163891676199</v>
      </c>
      <c r="N793">
        <v>62.052111731964601</v>
      </c>
      <c r="O793">
        <v>60.766557298952698</v>
      </c>
      <c r="P793">
        <v>-9.32813262621289E-2</v>
      </c>
      <c r="Q793">
        <v>0.17344665610316201</v>
      </c>
      <c r="R793">
        <v>0.94126532816966102</v>
      </c>
      <c r="S793" t="s">
        <v>5533</v>
      </c>
      <c r="T793" t="s">
        <v>9478</v>
      </c>
      <c r="U793" t="s">
        <v>9478</v>
      </c>
      <c r="V793" t="s">
        <v>9478</v>
      </c>
      <c r="W793">
        <v>10</v>
      </c>
      <c r="X793" t="s">
        <v>10271</v>
      </c>
      <c r="Y793">
        <v>0.75932037645699546</v>
      </c>
      <c r="Z793" t="str">
        <f>HYPERLINK("Melting_Curves/meltCurve_sp_P15531_NDKA_HUMAN_.pdf", "Melting_Curves/meltCurve_sp_P15531_NDKA_HUMAN_.pdf")</f>
        <v>Melting_Curves/meltCurve_sp_P15531_NDKA_HUMAN_.pdf</v>
      </c>
      <c r="AA793" t="s">
        <v>14995</v>
      </c>
      <c r="AB793" t="s">
        <v>19628</v>
      </c>
    </row>
    <row r="794" spans="1:28" x14ac:dyDescent="0.25">
      <c r="A794" t="s">
        <v>798</v>
      </c>
      <c r="B794">
        <v>0.99904790336628502</v>
      </c>
      <c r="C794">
        <v>1.01246688017061</v>
      </c>
      <c r="D794">
        <v>0.86185659799199299</v>
      </c>
      <c r="E794">
        <v>0.39553366889163299</v>
      </c>
      <c r="F794">
        <v>0.17839673466421299</v>
      </c>
      <c r="G794">
        <v>8.3857635244224404E-2</v>
      </c>
      <c r="H794">
        <v>8.9482576680508102E-2</v>
      </c>
      <c r="I794">
        <v>5.36629211834527E-2</v>
      </c>
      <c r="J794">
        <v>4.48475734419852E-2</v>
      </c>
      <c r="K794">
        <v>4.1157861726091698E-2</v>
      </c>
      <c r="L794">
        <v>1328.0089520174099</v>
      </c>
      <c r="M794">
        <v>27.1032612766219</v>
      </c>
      <c r="N794">
        <v>49.223043145933303</v>
      </c>
      <c r="O794">
        <v>48.733713727804201</v>
      </c>
      <c r="P794">
        <v>-0.13094107500566399</v>
      </c>
      <c r="Q794">
        <v>5.82413619359331E-2</v>
      </c>
      <c r="R794">
        <v>0.99837621568258705</v>
      </c>
      <c r="S794" t="s">
        <v>5534</v>
      </c>
      <c r="T794" t="s">
        <v>9478</v>
      </c>
      <c r="U794" t="s">
        <v>9478</v>
      </c>
      <c r="V794" t="s">
        <v>9478</v>
      </c>
      <c r="W794">
        <v>7</v>
      </c>
      <c r="X794" t="s">
        <v>10272</v>
      </c>
      <c r="Y794">
        <v>0.3477761621443744</v>
      </c>
      <c r="Z794" t="str">
        <f>HYPERLINK("Melting_Curves/meltCurve_sp_P15735_2_PHKG2_HUMAN_.pdf", "Melting_Curves/meltCurve_sp_P15735_2_PHKG2_HUMAN_.pdf")</f>
        <v>Melting_Curves/meltCurve_sp_P15735_2_PHKG2_HUMAN_.pdf</v>
      </c>
      <c r="AA794" t="s">
        <v>14996</v>
      </c>
      <c r="AB794" t="s">
        <v>19629</v>
      </c>
    </row>
    <row r="795" spans="1:28" x14ac:dyDescent="0.25">
      <c r="A795" t="s">
        <v>799</v>
      </c>
      <c r="B795">
        <v>0.99904790336628502</v>
      </c>
      <c r="C795">
        <v>0.90014453395401395</v>
      </c>
      <c r="D795">
        <v>0.85710710185886096</v>
      </c>
      <c r="E795">
        <v>0.81713844053145801</v>
      </c>
      <c r="F795">
        <v>0.76876117462068605</v>
      </c>
      <c r="G795">
        <v>0.64430582401543801</v>
      </c>
      <c r="H795">
        <v>0.48110987976083902</v>
      </c>
      <c r="I795">
        <v>0.42256012108233099</v>
      </c>
      <c r="J795">
        <v>0.27857529344766702</v>
      </c>
      <c r="K795">
        <v>0.15043753445844599</v>
      </c>
      <c r="L795">
        <v>494.83686990006203</v>
      </c>
      <c r="M795">
        <v>8.2500528573625704</v>
      </c>
      <c r="N795">
        <v>59.979842053615897</v>
      </c>
      <c r="O795">
        <v>56.765382252939403</v>
      </c>
      <c r="P795">
        <v>-3.63706195800656E-2</v>
      </c>
      <c r="Q795">
        <v>0</v>
      </c>
      <c r="R795">
        <v>0.97094551108534799</v>
      </c>
      <c r="S795" t="s">
        <v>5535</v>
      </c>
      <c r="T795" t="s">
        <v>9478</v>
      </c>
      <c r="U795" t="s">
        <v>9478</v>
      </c>
      <c r="V795" t="s">
        <v>9478</v>
      </c>
      <c r="W795">
        <v>11</v>
      </c>
      <c r="X795" t="s">
        <v>10273</v>
      </c>
      <c r="Y795">
        <v>0.65281236452329927</v>
      </c>
      <c r="Z795" t="str">
        <f>HYPERLINK("Melting_Curves/meltCurve_sp_P15848_ARSB_HUMAN_.pdf", "Melting_Curves/meltCurve_sp_P15848_ARSB_HUMAN_.pdf")</f>
        <v>Melting_Curves/meltCurve_sp_P15848_ARSB_HUMAN_.pdf</v>
      </c>
      <c r="AA795" t="s">
        <v>14997</v>
      </c>
      <c r="AB795" t="s">
        <v>19630</v>
      </c>
    </row>
    <row r="796" spans="1:28" x14ac:dyDescent="0.25">
      <c r="A796" t="s">
        <v>800</v>
      </c>
      <c r="B796">
        <v>0.99904790336628502</v>
      </c>
      <c r="C796">
        <v>1.0467492714211899</v>
      </c>
      <c r="D796">
        <v>0.93722394817324295</v>
      </c>
      <c r="E796">
        <v>0.541304709040343</v>
      </c>
      <c r="F796">
        <v>0.14287677349775599</v>
      </c>
      <c r="G796">
        <v>0.19444104178850899</v>
      </c>
      <c r="H796">
        <v>0.123907978458571</v>
      </c>
      <c r="I796">
        <v>0.108743117566568</v>
      </c>
      <c r="J796">
        <v>0.103689388637536</v>
      </c>
      <c r="K796">
        <v>0.102540566947194</v>
      </c>
      <c r="L796">
        <v>2317.24965191912</v>
      </c>
      <c r="M796">
        <v>46.476353883608098</v>
      </c>
      <c r="N796">
        <v>50.157992627649399</v>
      </c>
      <c r="O796">
        <v>49.766635280819301</v>
      </c>
      <c r="P796">
        <v>-0.20519567652482601</v>
      </c>
      <c r="Q796">
        <v>0.121111197522084</v>
      </c>
      <c r="R796">
        <v>0.992684078923604</v>
      </c>
      <c r="S796" t="s">
        <v>5536</v>
      </c>
      <c r="T796" t="s">
        <v>9478</v>
      </c>
      <c r="U796" t="s">
        <v>9478</v>
      </c>
      <c r="V796" t="s">
        <v>9478</v>
      </c>
      <c r="W796">
        <v>6</v>
      </c>
      <c r="X796" t="s">
        <v>10274</v>
      </c>
      <c r="Y796">
        <v>0.41217320515131428</v>
      </c>
      <c r="Z796" t="str">
        <f>HYPERLINK("Melting_Curves/meltCurve_sp_P15907_SIAT1_HUMAN_.pdf", "Melting_Curves/meltCurve_sp_P15907_SIAT1_HUMAN_.pdf")</f>
        <v>Melting_Curves/meltCurve_sp_P15907_SIAT1_HUMAN_.pdf</v>
      </c>
      <c r="AA796" t="s">
        <v>14998</v>
      </c>
      <c r="AB796" t="s">
        <v>19631</v>
      </c>
    </row>
    <row r="797" spans="1:28" x14ac:dyDescent="0.25">
      <c r="A797" t="s">
        <v>801</v>
      </c>
      <c r="B797">
        <v>0.99904790336628502</v>
      </c>
      <c r="C797">
        <v>1.02616541542575</v>
      </c>
      <c r="D797">
        <v>0.99314536457528102</v>
      </c>
      <c r="E797">
        <v>0.75343887394857001</v>
      </c>
      <c r="F797">
        <v>0.44166557505960602</v>
      </c>
      <c r="G797">
        <v>0.60941880515411995</v>
      </c>
      <c r="H797">
        <v>0.224529580878401</v>
      </c>
      <c r="I797">
        <v>0.214618065215472</v>
      </c>
      <c r="J797">
        <v>0.19091692693742701</v>
      </c>
      <c r="K797">
        <v>0.17432506288254801</v>
      </c>
      <c r="L797">
        <v>697.79927855102005</v>
      </c>
      <c r="M797">
        <v>12.991470537025499</v>
      </c>
      <c r="N797">
        <v>55.036093013407303</v>
      </c>
      <c r="O797">
        <v>52.4872457445328</v>
      </c>
      <c r="P797">
        <v>-5.3584258746546702E-2</v>
      </c>
      <c r="Q797">
        <v>0.13420360034571199</v>
      </c>
      <c r="R797">
        <v>0.93187737326829601</v>
      </c>
      <c r="S797" t="s">
        <v>5537</v>
      </c>
      <c r="T797" t="s">
        <v>9478</v>
      </c>
      <c r="U797" t="s">
        <v>9478</v>
      </c>
      <c r="V797" t="s">
        <v>9478</v>
      </c>
      <c r="W797">
        <v>93</v>
      </c>
      <c r="X797" t="s">
        <v>10275</v>
      </c>
      <c r="Y797">
        <v>0.55132314205322841</v>
      </c>
      <c r="Z797" t="str">
        <f>HYPERLINK("Melting_Curves/meltCurve_sp_P15924_DESP_HUMAN_.pdf", "Melting_Curves/meltCurve_sp_P15924_DESP_HUMAN_.pdf")</f>
        <v>Melting_Curves/meltCurve_sp_P15924_DESP_HUMAN_.pdf</v>
      </c>
      <c r="AA797" t="s">
        <v>14999</v>
      </c>
      <c r="AB797" t="s">
        <v>19632</v>
      </c>
    </row>
    <row r="798" spans="1:28" x14ac:dyDescent="0.25">
      <c r="A798" t="s">
        <v>802</v>
      </c>
      <c r="B798">
        <v>0.99904790336628502</v>
      </c>
      <c r="C798">
        <v>1.0180717324573001</v>
      </c>
      <c r="D798">
        <v>1.03764288505078</v>
      </c>
      <c r="E798">
        <v>0.97651484957884704</v>
      </c>
      <c r="F798">
        <v>0.85507564219721099</v>
      </c>
      <c r="G798">
        <v>0.49905065393648401</v>
      </c>
      <c r="H798">
        <v>0.21854446439094799</v>
      </c>
      <c r="I798">
        <v>0.17284000487958401</v>
      </c>
      <c r="J798">
        <v>0.16291002597794299</v>
      </c>
      <c r="K798">
        <v>0.13405911530012099</v>
      </c>
      <c r="L798">
        <v>1536.7751799959501</v>
      </c>
      <c r="M798">
        <v>27.327021949351401</v>
      </c>
      <c r="N798">
        <v>56.916029059796003</v>
      </c>
      <c r="O798">
        <v>55.937912553139803</v>
      </c>
      <c r="P798">
        <v>-0.10513175474448599</v>
      </c>
      <c r="Q798">
        <v>0.139197189080395</v>
      </c>
      <c r="R798">
        <v>0.99834201891892904</v>
      </c>
      <c r="S798" t="s">
        <v>5538</v>
      </c>
      <c r="T798" t="s">
        <v>9478</v>
      </c>
      <c r="U798" t="s">
        <v>9478</v>
      </c>
      <c r="V798" t="s">
        <v>9478</v>
      </c>
      <c r="W798">
        <v>3</v>
      </c>
      <c r="X798" t="s">
        <v>10276</v>
      </c>
      <c r="Y798">
        <v>0.61185510983456737</v>
      </c>
      <c r="Z798" t="str">
        <f>HYPERLINK("Melting_Curves/meltCurve_sp_P15927_RFA2_HUMAN_.pdf", "Melting_Curves/meltCurve_sp_P15927_RFA2_HUMAN_.pdf")</f>
        <v>Melting_Curves/meltCurve_sp_P15927_RFA2_HUMAN_.pdf</v>
      </c>
      <c r="AA798" t="s">
        <v>15000</v>
      </c>
      <c r="AB798" t="s">
        <v>19633</v>
      </c>
    </row>
    <row r="799" spans="1:28" x14ac:dyDescent="0.25">
      <c r="A799" t="s">
        <v>803</v>
      </c>
      <c r="B799">
        <v>0.99904790336628502</v>
      </c>
      <c r="C799">
        <v>1.03841800453582</v>
      </c>
      <c r="D799">
        <v>1.1439038592199999</v>
      </c>
      <c r="E799">
        <v>1.1112138945280501</v>
      </c>
      <c r="F799">
        <v>1.34481919412003</v>
      </c>
      <c r="G799">
        <v>1.25350584470256</v>
      </c>
      <c r="H799">
        <v>0.56931076871178399</v>
      </c>
      <c r="I799">
        <v>0.13278412215777899</v>
      </c>
      <c r="J799">
        <v>7.5718509568697898E-2</v>
      </c>
      <c r="K799">
        <v>0.100344318366867</v>
      </c>
      <c r="L799">
        <v>6629.5557437951402</v>
      </c>
      <c r="M799">
        <v>108.59185196040301</v>
      </c>
      <c r="N799">
        <v>61.176957109992898</v>
      </c>
      <c r="O799">
        <v>61.029516501109804</v>
      </c>
      <c r="P799">
        <v>-0.40002434310054902</v>
      </c>
      <c r="Q799">
        <v>0.100732113364533</v>
      </c>
      <c r="R799">
        <v>0.905554252156069</v>
      </c>
      <c r="S799" t="s">
        <v>5539</v>
      </c>
      <c r="T799" t="s">
        <v>9478</v>
      </c>
      <c r="U799" t="s">
        <v>9478</v>
      </c>
      <c r="V799" t="s">
        <v>9478</v>
      </c>
      <c r="W799">
        <v>1</v>
      </c>
      <c r="X799" t="s">
        <v>10277</v>
      </c>
      <c r="Y799">
        <v>0.73223594241571022</v>
      </c>
      <c r="Z799" t="str">
        <f>HYPERLINK("Melting_Curves/meltCurve_sp_P16112_3_PGCA_HUMAN_.pdf", "Melting_Curves/meltCurve_sp_P16112_3_PGCA_HUMAN_.pdf")</f>
        <v>Melting_Curves/meltCurve_sp_P16112_3_PGCA_HUMAN_.pdf</v>
      </c>
      <c r="AA799" t="s">
        <v>15001</v>
      </c>
      <c r="AB799" t="s">
        <v>19634</v>
      </c>
    </row>
    <row r="800" spans="1:28" x14ac:dyDescent="0.25">
      <c r="A800" t="s">
        <v>804</v>
      </c>
      <c r="B800">
        <v>0.99904790336628502</v>
      </c>
      <c r="C800">
        <v>0.93660586978896798</v>
      </c>
      <c r="D800">
        <v>0.87735436558092506</v>
      </c>
      <c r="E800">
        <v>0.48157646917730601</v>
      </c>
      <c r="F800">
        <v>0.18753090141627199</v>
      </c>
      <c r="G800">
        <v>8.7755983482613903E-2</v>
      </c>
      <c r="H800">
        <v>5.1252662519685001E-2</v>
      </c>
      <c r="I800">
        <v>3.7919365164692902E-2</v>
      </c>
      <c r="J800">
        <v>3.43620972163248E-2</v>
      </c>
      <c r="K800">
        <v>2.9242893883058899E-2</v>
      </c>
      <c r="L800">
        <v>1181.6716055531499</v>
      </c>
      <c r="M800">
        <v>23.820192262424602</v>
      </c>
      <c r="N800">
        <v>49.754039204421701</v>
      </c>
      <c r="O800">
        <v>49.262313330039099</v>
      </c>
      <c r="P800">
        <v>-0.11680418253941401</v>
      </c>
      <c r="Q800">
        <v>3.3769263140082197E-2</v>
      </c>
      <c r="R800">
        <v>0.99846297971251197</v>
      </c>
      <c r="S800" t="s">
        <v>5540</v>
      </c>
      <c r="T800" t="s">
        <v>9478</v>
      </c>
      <c r="U800" t="s">
        <v>9478</v>
      </c>
      <c r="V800" t="s">
        <v>9478</v>
      </c>
      <c r="W800">
        <v>21</v>
      </c>
      <c r="X800" t="s">
        <v>10278</v>
      </c>
      <c r="Y800">
        <v>0.35270901776629499</v>
      </c>
      <c r="Z800" t="str">
        <f>HYPERLINK("Melting_Curves/meltCurve_sp_P16118_F261_HUMAN_.pdf", "Melting_Curves/meltCurve_sp_P16118_F261_HUMAN_.pdf")</f>
        <v>Melting_Curves/meltCurve_sp_P16118_F261_HUMAN_.pdf</v>
      </c>
      <c r="AA800" t="s">
        <v>15002</v>
      </c>
      <c r="AB800" t="s">
        <v>19635</v>
      </c>
    </row>
    <row r="801" spans="1:28" x14ac:dyDescent="0.25">
      <c r="A801" t="s">
        <v>805</v>
      </c>
      <c r="B801">
        <v>0.99904790336628502</v>
      </c>
      <c r="C801">
        <v>0.97459325591323498</v>
      </c>
      <c r="D801">
        <v>0.93359344631155206</v>
      </c>
      <c r="E801">
        <v>0.88540741260887701</v>
      </c>
      <c r="F801">
        <v>0.76245138803745005</v>
      </c>
      <c r="G801">
        <v>0.42460720015447501</v>
      </c>
      <c r="H801">
        <v>0.170373918559103</v>
      </c>
      <c r="I801">
        <v>0.10664803756105599</v>
      </c>
      <c r="J801">
        <v>6.5129379398466497E-2</v>
      </c>
      <c r="K801">
        <v>4.1398076273685497E-2</v>
      </c>
      <c r="L801">
        <v>1032.8571569779399</v>
      </c>
      <c r="M801">
        <v>18.462770570177302</v>
      </c>
      <c r="N801">
        <v>56.033347141114298</v>
      </c>
      <c r="O801">
        <v>55.298790602230703</v>
      </c>
      <c r="P801">
        <v>-8.2243674821059806E-2</v>
      </c>
      <c r="Q801">
        <v>1.4715007520124701E-2</v>
      </c>
      <c r="R801">
        <v>0.99737045737374497</v>
      </c>
      <c r="S801" t="s">
        <v>5541</v>
      </c>
      <c r="T801" t="s">
        <v>9478</v>
      </c>
      <c r="U801" t="s">
        <v>9478</v>
      </c>
      <c r="V801" t="s">
        <v>9478</v>
      </c>
      <c r="W801">
        <v>29</v>
      </c>
      <c r="X801" t="s">
        <v>10279</v>
      </c>
      <c r="Y801">
        <v>0.55243803449025464</v>
      </c>
      <c r="Z801" t="str">
        <f>HYPERLINK("Melting_Curves/meltCurve_sp_P16152_CBR1_HUMAN_.pdf", "Melting_Curves/meltCurve_sp_P16152_CBR1_HUMAN_.pdf")</f>
        <v>Melting_Curves/meltCurve_sp_P16152_CBR1_HUMAN_.pdf</v>
      </c>
      <c r="AA801" t="s">
        <v>15003</v>
      </c>
      <c r="AB801" t="s">
        <v>19636</v>
      </c>
    </row>
    <row r="802" spans="1:28" x14ac:dyDescent="0.25">
      <c r="A802" t="s">
        <v>806</v>
      </c>
      <c r="B802">
        <v>0.99904790336628502</v>
      </c>
      <c r="C802">
        <v>0.98646512419937404</v>
      </c>
      <c r="D802">
        <v>0.93860404400481201</v>
      </c>
      <c r="E802">
        <v>0.57001698826562996</v>
      </c>
      <c r="F802">
        <v>0.37337954958846098</v>
      </c>
      <c r="G802">
        <v>0.23044250407721301</v>
      </c>
      <c r="H802">
        <v>7.5527852282907704E-2</v>
      </c>
      <c r="I802">
        <v>4.4258553994113603E-2</v>
      </c>
      <c r="J802">
        <v>3.3223892949452299E-2</v>
      </c>
      <c r="K802">
        <v>2.6895472063916501E-2</v>
      </c>
      <c r="L802">
        <v>886.62011068746995</v>
      </c>
      <c r="M802">
        <v>17.288206403090498</v>
      </c>
      <c r="N802">
        <v>51.437967902280803</v>
      </c>
      <c r="O802">
        <v>50.6132547291839</v>
      </c>
      <c r="P802">
        <v>-8.3254450513814596E-2</v>
      </c>
      <c r="Q802">
        <v>2.5107717579860099E-2</v>
      </c>
      <c r="R802">
        <v>0.99367763472457704</v>
      </c>
      <c r="S802" t="s">
        <v>5542</v>
      </c>
      <c r="T802" t="s">
        <v>9478</v>
      </c>
      <c r="U802" t="s">
        <v>9478</v>
      </c>
      <c r="V802" t="s">
        <v>9478</v>
      </c>
      <c r="W802">
        <v>20</v>
      </c>
      <c r="X802" t="s">
        <v>10280</v>
      </c>
      <c r="Y802">
        <v>0.4093957683518441</v>
      </c>
      <c r="Z802" t="str">
        <f>HYPERLINK("Melting_Curves/meltCurve_sp_P16219_ACADS_HUMAN_.pdf", "Melting_Curves/meltCurve_sp_P16219_ACADS_HUMAN_.pdf")</f>
        <v>Melting_Curves/meltCurve_sp_P16219_ACADS_HUMAN_.pdf</v>
      </c>
      <c r="AA802" t="s">
        <v>15004</v>
      </c>
      <c r="AB802" t="s">
        <v>19637</v>
      </c>
    </row>
    <row r="803" spans="1:28" x14ac:dyDescent="0.25">
      <c r="A803" t="s">
        <v>807</v>
      </c>
      <c r="B803">
        <v>0.99904790336628502</v>
      </c>
      <c r="C803">
        <v>0.84618582326849801</v>
      </c>
      <c r="D803">
        <v>0.92538847280348702</v>
      </c>
      <c r="E803">
        <v>0.86714038882153399</v>
      </c>
      <c r="F803">
        <v>0.77291898252730196</v>
      </c>
      <c r="G803">
        <v>0.51296228906345598</v>
      </c>
      <c r="H803">
        <v>0.48701359865628502</v>
      </c>
      <c r="I803">
        <v>0.34754127222481102</v>
      </c>
      <c r="J803">
        <v>0.462216167472976</v>
      </c>
      <c r="K803">
        <v>0.45306006450909903</v>
      </c>
      <c r="L803">
        <v>905.51126288657201</v>
      </c>
      <c r="M803">
        <v>16.936484376213599</v>
      </c>
      <c r="N803">
        <v>59.1633361439808</v>
      </c>
      <c r="O803">
        <v>52.736439124932097</v>
      </c>
      <c r="P803">
        <v>-4.8003139913969303E-2</v>
      </c>
      <c r="Q803">
        <v>0.40215315324030798</v>
      </c>
      <c r="R803">
        <v>0.92382185639427805</v>
      </c>
      <c r="S803" t="s">
        <v>5543</v>
      </c>
      <c r="T803" t="s">
        <v>9478</v>
      </c>
      <c r="U803" t="s">
        <v>9478</v>
      </c>
      <c r="V803" t="s">
        <v>9478</v>
      </c>
      <c r="W803">
        <v>2</v>
      </c>
      <c r="X803" t="s">
        <v>10281</v>
      </c>
      <c r="Y803">
        <v>0.68111966551400827</v>
      </c>
      <c r="Z803" t="str">
        <f>HYPERLINK("Melting_Curves/meltCurve_sp_P16220_3_CREB1_HUMAN_.pdf", "Melting_Curves/meltCurve_sp_P16220_3_CREB1_HUMAN_.pdf")</f>
        <v>Melting_Curves/meltCurve_sp_P16220_3_CREB1_HUMAN_.pdf</v>
      </c>
      <c r="AA803" t="s">
        <v>15005</v>
      </c>
      <c r="AB803" t="s">
        <v>19638</v>
      </c>
    </row>
    <row r="804" spans="1:28" x14ac:dyDescent="0.25">
      <c r="A804" t="s">
        <v>808</v>
      </c>
      <c r="B804">
        <v>0.99904790336628502</v>
      </c>
      <c r="C804">
        <v>0.82407666667566104</v>
      </c>
      <c r="D804">
        <v>0.57845780035196603</v>
      </c>
      <c r="E804">
        <v>0.27243802039244702</v>
      </c>
      <c r="F804">
        <v>0.17178913219281799</v>
      </c>
      <c r="G804">
        <v>0.103953919266821</v>
      </c>
      <c r="H804">
        <v>7.62457540786598E-2</v>
      </c>
      <c r="I804">
        <v>5.1200435844353701E-2</v>
      </c>
      <c r="J804">
        <v>3.4016783434996298E-2</v>
      </c>
      <c r="K804">
        <v>2.57405129839096E-2</v>
      </c>
      <c r="L804">
        <v>804.67188408449601</v>
      </c>
      <c r="M804">
        <v>17.2121599841098</v>
      </c>
      <c r="N804">
        <v>47.002510490974899</v>
      </c>
      <c r="O804">
        <v>46.1328446188285</v>
      </c>
      <c r="P804">
        <v>-8.9164202415521199E-2</v>
      </c>
      <c r="Q804">
        <v>4.4128015772455002E-2</v>
      </c>
      <c r="R804">
        <v>0.99640810695346804</v>
      </c>
      <c r="S804" t="s">
        <v>5544</v>
      </c>
      <c r="T804" t="s">
        <v>9478</v>
      </c>
      <c r="U804" t="s">
        <v>9478</v>
      </c>
      <c r="V804" t="s">
        <v>9478</v>
      </c>
      <c r="W804">
        <v>13</v>
      </c>
      <c r="X804" t="s">
        <v>10282</v>
      </c>
      <c r="Y804">
        <v>0.27890679444700528</v>
      </c>
      <c r="Z804" t="str">
        <f>HYPERLINK("Melting_Curves/meltCurve_sp_P16278_3_BGAL_HUMAN_.pdf", "Melting_Curves/meltCurve_sp_P16278_3_BGAL_HUMAN_.pdf")</f>
        <v>Melting_Curves/meltCurve_sp_P16278_3_BGAL_HUMAN_.pdf</v>
      </c>
      <c r="AA804" t="s">
        <v>15006</v>
      </c>
      <c r="AB804" t="s">
        <v>19639</v>
      </c>
    </row>
    <row r="805" spans="1:28" x14ac:dyDescent="0.25">
      <c r="A805" t="s">
        <v>809</v>
      </c>
      <c r="B805">
        <v>0.99904790336628502</v>
      </c>
      <c r="C805">
        <v>0.97758082337282104</v>
      </c>
      <c r="D805">
        <v>1.0393378912736</v>
      </c>
      <c r="E805">
        <v>0.95280891451899896</v>
      </c>
      <c r="F805">
        <v>0.847955323778947</v>
      </c>
      <c r="G805">
        <v>0.61552219060233404</v>
      </c>
      <c r="H805">
        <v>0.32980860739617601</v>
      </c>
      <c r="I805">
        <v>0.18042547216042401</v>
      </c>
      <c r="J805">
        <v>7.5586987292940902E-2</v>
      </c>
      <c r="K805">
        <v>5.6904155241716298E-2</v>
      </c>
      <c r="L805">
        <v>1037.94348711204</v>
      </c>
      <c r="M805">
        <v>17.753011457247599</v>
      </c>
      <c r="N805">
        <v>58.465771154017702</v>
      </c>
      <c r="O805">
        <v>57.739069979315701</v>
      </c>
      <c r="P805">
        <v>-7.6871417023630206E-2</v>
      </c>
      <c r="Q805">
        <v>0</v>
      </c>
      <c r="R805">
        <v>0.99778259214810305</v>
      </c>
      <c r="S805" t="s">
        <v>5545</v>
      </c>
      <c r="T805" t="s">
        <v>9478</v>
      </c>
      <c r="U805" t="s">
        <v>9478</v>
      </c>
      <c r="V805" t="s">
        <v>9478</v>
      </c>
      <c r="W805">
        <v>8</v>
      </c>
      <c r="X805" t="s">
        <v>10283</v>
      </c>
      <c r="Y805">
        <v>0.62720795905295146</v>
      </c>
      <c r="Z805" t="str">
        <f>HYPERLINK("Melting_Curves/meltCurve_sp_P16298_3_PP2BB_HUMAN_.pdf", "Melting_Curves/meltCurve_sp_P16298_3_PP2BB_HUMAN_.pdf")</f>
        <v>Melting_Curves/meltCurve_sp_P16298_3_PP2BB_HUMAN_.pdf</v>
      </c>
      <c r="AA805" t="s">
        <v>15007</v>
      </c>
      <c r="AB805" t="s">
        <v>19640</v>
      </c>
    </row>
    <row r="806" spans="1:28" x14ac:dyDescent="0.25">
      <c r="A806" t="s">
        <v>810</v>
      </c>
      <c r="B806">
        <v>0.99904790336628502</v>
      </c>
      <c r="C806">
        <v>0.94070233209913601</v>
      </c>
      <c r="D806">
        <v>0.89828511739513905</v>
      </c>
      <c r="E806">
        <v>0.85905049471881001</v>
      </c>
      <c r="F806">
        <v>0.53100225248030897</v>
      </c>
      <c r="G806">
        <v>0.32363115386923702</v>
      </c>
      <c r="H806">
        <v>0.24722050281183799</v>
      </c>
      <c r="I806">
        <v>0.19771639893182899</v>
      </c>
      <c r="J806">
        <v>0.150012431820777</v>
      </c>
      <c r="K806">
        <v>0.49481482810009297</v>
      </c>
      <c r="L806">
        <v>1624.2971897023201</v>
      </c>
      <c r="M806">
        <v>31.204950577580998</v>
      </c>
      <c r="N806">
        <v>53.390501133856098</v>
      </c>
      <c r="O806">
        <v>51.8401773384305</v>
      </c>
      <c r="P806">
        <v>-0.109667169224081</v>
      </c>
      <c r="Q806">
        <v>0.27125232109977199</v>
      </c>
      <c r="R806">
        <v>0.91663333242062905</v>
      </c>
      <c r="S806" t="s">
        <v>5546</v>
      </c>
      <c r="T806" t="s">
        <v>9478</v>
      </c>
      <c r="U806" t="s">
        <v>9478</v>
      </c>
      <c r="V806" t="s">
        <v>9478</v>
      </c>
      <c r="W806">
        <v>7</v>
      </c>
      <c r="X806" t="s">
        <v>10284</v>
      </c>
      <c r="Y806">
        <v>0.56833740893466045</v>
      </c>
      <c r="Z806" t="str">
        <f>HYPERLINK("Melting_Curves/meltCurve_sp_P16333_NCK1_HUMAN_.pdf", "Melting_Curves/meltCurve_sp_P16333_NCK1_HUMAN_.pdf")</f>
        <v>Melting_Curves/meltCurve_sp_P16333_NCK1_HUMAN_.pdf</v>
      </c>
      <c r="AA806" t="s">
        <v>15008</v>
      </c>
      <c r="AB806" t="s">
        <v>19641</v>
      </c>
    </row>
    <row r="807" spans="1:28" x14ac:dyDescent="0.25">
      <c r="A807" t="s">
        <v>811</v>
      </c>
      <c r="B807">
        <v>0.99904790336628502</v>
      </c>
      <c r="C807">
        <v>0.98030431065798096</v>
      </c>
      <c r="D807">
        <v>0.96766193674291101</v>
      </c>
      <c r="E807">
        <v>0.61955448639792698</v>
      </c>
      <c r="F807">
        <v>0.323168554126608</v>
      </c>
      <c r="G807">
        <v>0.19985149256446699</v>
      </c>
      <c r="H807">
        <v>0.121964045239791</v>
      </c>
      <c r="I807">
        <v>8.2512891015921699E-2</v>
      </c>
      <c r="J807">
        <v>8.3459016415196097E-2</v>
      </c>
      <c r="K807">
        <v>8.3877580417289793E-2</v>
      </c>
      <c r="L807">
        <v>1224.5404435580999</v>
      </c>
      <c r="M807">
        <v>24.115580994483501</v>
      </c>
      <c r="N807">
        <v>51.221198082182099</v>
      </c>
      <c r="O807">
        <v>50.432683458686597</v>
      </c>
      <c r="P807">
        <v>-0.10828773429937601</v>
      </c>
      <c r="Q807">
        <v>9.4169767886864195E-2</v>
      </c>
      <c r="R807">
        <v>0.99695817123032004</v>
      </c>
      <c r="S807" t="s">
        <v>5547</v>
      </c>
      <c r="T807" t="s">
        <v>9478</v>
      </c>
      <c r="U807" t="s">
        <v>9478</v>
      </c>
      <c r="V807" t="s">
        <v>9478</v>
      </c>
      <c r="W807">
        <v>8</v>
      </c>
      <c r="X807" t="s">
        <v>10285</v>
      </c>
      <c r="Y807">
        <v>0.42836805449958198</v>
      </c>
      <c r="Z807" t="str">
        <f>HYPERLINK("Melting_Curves/meltCurve_sp_P16383_2_GCFC2_HUMAN_.pdf", "Melting_Curves/meltCurve_sp_P16383_2_GCFC2_HUMAN_.pdf")</f>
        <v>Melting_Curves/meltCurve_sp_P16383_2_GCFC2_HUMAN_.pdf</v>
      </c>
      <c r="AA807" t="s">
        <v>15009</v>
      </c>
      <c r="AB807" t="s">
        <v>19642</v>
      </c>
    </row>
    <row r="808" spans="1:28" x14ac:dyDescent="0.25">
      <c r="A808" t="s">
        <v>812</v>
      </c>
      <c r="B808">
        <v>0.99904790336628502</v>
      </c>
      <c r="C808">
        <v>1.0824606783053701</v>
      </c>
      <c r="D808">
        <v>1.04636021477356</v>
      </c>
      <c r="E808">
        <v>1.0378562011283301</v>
      </c>
      <c r="F808">
        <v>0.84625774188427905</v>
      </c>
      <c r="G808">
        <v>0.55459603936879198</v>
      </c>
      <c r="H808">
        <v>0.52963866558801798</v>
      </c>
      <c r="I808">
        <v>0.47651332410543201</v>
      </c>
      <c r="J808">
        <v>0.50868747111403201</v>
      </c>
      <c r="K808">
        <v>0.39231797525022</v>
      </c>
      <c r="L808">
        <v>2076.62398712185</v>
      </c>
      <c r="M808">
        <v>38.161598512165597</v>
      </c>
      <c r="N808">
        <v>58.972552544164998</v>
      </c>
      <c r="O808">
        <v>54.267815875291902</v>
      </c>
      <c r="P808">
        <v>-9.2510396721206201E-2</v>
      </c>
      <c r="Q808">
        <v>0.47378267712517003</v>
      </c>
      <c r="R808">
        <v>0.96806108071493502</v>
      </c>
      <c r="S808" t="s">
        <v>5548</v>
      </c>
      <c r="T808" t="s">
        <v>9478</v>
      </c>
      <c r="U808" t="s">
        <v>9478</v>
      </c>
      <c r="V808" t="s">
        <v>9478</v>
      </c>
      <c r="W808">
        <v>5</v>
      </c>
      <c r="X808" t="s">
        <v>10286</v>
      </c>
      <c r="Y808">
        <v>0.72882604782841487</v>
      </c>
      <c r="Z808" t="str">
        <f>HYPERLINK("Melting_Curves/meltCurve_sp_P16401_H15_HUMAN_.pdf", "Melting_Curves/meltCurve_sp_P16401_H15_HUMAN_.pdf")</f>
        <v>Melting_Curves/meltCurve_sp_P16401_H15_HUMAN_.pdf</v>
      </c>
      <c r="AA808" t="s">
        <v>15010</v>
      </c>
      <c r="AB808" t="s">
        <v>19643</v>
      </c>
    </row>
    <row r="809" spans="1:28" x14ac:dyDescent="0.25">
      <c r="A809" t="s">
        <v>813</v>
      </c>
      <c r="B809">
        <v>0.99904790336628502</v>
      </c>
      <c r="C809">
        <v>0.97725967018357596</v>
      </c>
      <c r="D809">
        <v>0.90508826333457404</v>
      </c>
      <c r="E809">
        <v>0.67316362578441102</v>
      </c>
      <c r="F809">
        <v>0.31742477303759298</v>
      </c>
      <c r="G809">
        <v>9.8972088769245598E-2</v>
      </c>
      <c r="H809">
        <v>5.2574139162214401E-2</v>
      </c>
      <c r="I809">
        <v>4.23458738661062E-2</v>
      </c>
      <c r="J809">
        <v>3.6491452720890501E-2</v>
      </c>
      <c r="K809">
        <v>3.04683269438576E-2</v>
      </c>
      <c r="L809">
        <v>1224.51630860355</v>
      </c>
      <c r="M809">
        <v>23.912670371738901</v>
      </c>
      <c r="N809">
        <v>51.338242659928099</v>
      </c>
      <c r="O809">
        <v>50.853753472869897</v>
      </c>
      <c r="P809">
        <v>-0.114094186178365</v>
      </c>
      <c r="Q809">
        <v>2.9464388452390401E-2</v>
      </c>
      <c r="R809">
        <v>0.99872521180570095</v>
      </c>
      <c r="S809" t="s">
        <v>5549</v>
      </c>
      <c r="T809" t="s">
        <v>9478</v>
      </c>
      <c r="U809" t="s">
        <v>9478</v>
      </c>
      <c r="V809" t="s">
        <v>9478</v>
      </c>
      <c r="W809">
        <v>24</v>
      </c>
      <c r="X809" t="s">
        <v>10287</v>
      </c>
      <c r="Y809">
        <v>0.40163560401627341</v>
      </c>
      <c r="Z809" t="str">
        <f>HYPERLINK("Melting_Curves/meltCurve_sp_P16435_NCPR_HUMAN_.pdf", "Melting_Curves/meltCurve_sp_P16435_NCPR_HUMAN_.pdf")</f>
        <v>Melting_Curves/meltCurve_sp_P16435_NCPR_HUMAN_.pdf</v>
      </c>
      <c r="AA809" t="s">
        <v>15011</v>
      </c>
      <c r="AB809" t="s">
        <v>19644</v>
      </c>
    </row>
    <row r="810" spans="1:28" x14ac:dyDescent="0.25">
      <c r="A810" t="s">
        <v>814</v>
      </c>
      <c r="B810">
        <v>0.99904790336628502</v>
      </c>
      <c r="C810">
        <v>0.87918432180288297</v>
      </c>
      <c r="D810">
        <v>0.84099751684052704</v>
      </c>
      <c r="E810">
        <v>0.78578934748020002</v>
      </c>
      <c r="F810">
        <v>0.477646187074238</v>
      </c>
      <c r="G810">
        <v>0.19198164615725899</v>
      </c>
      <c r="H810">
        <v>9.4284695072149594E-2</v>
      </c>
      <c r="I810">
        <v>5.7853932880004899E-2</v>
      </c>
      <c r="J810">
        <v>4.50423402684322E-2</v>
      </c>
      <c r="K810">
        <v>4.2426077143361399E-2</v>
      </c>
      <c r="L810">
        <v>863.63095191893296</v>
      </c>
      <c r="M810">
        <v>16.387495990044702</v>
      </c>
      <c r="N810">
        <v>52.745169887569801</v>
      </c>
      <c r="O810">
        <v>51.934586800596797</v>
      </c>
      <c r="P810">
        <v>-7.8348606314043001E-2</v>
      </c>
      <c r="Q810">
        <v>6.8740430227846299E-3</v>
      </c>
      <c r="R810">
        <v>0.98386914897780398</v>
      </c>
      <c r="S810" t="s">
        <v>5550</v>
      </c>
      <c r="T810" t="s">
        <v>9478</v>
      </c>
      <c r="U810" t="s">
        <v>9478</v>
      </c>
      <c r="V810" t="s">
        <v>9478</v>
      </c>
      <c r="W810">
        <v>6</v>
      </c>
      <c r="X810" t="s">
        <v>10288</v>
      </c>
      <c r="Y810">
        <v>0.44628856058557259</v>
      </c>
      <c r="Z810" t="str">
        <f>HYPERLINK("Melting_Curves/meltCurve_sp_P16455_MGMT_HUMAN_.pdf", "Melting_Curves/meltCurve_sp_P16455_MGMT_HUMAN_.pdf")</f>
        <v>Melting_Curves/meltCurve_sp_P16455_MGMT_HUMAN_.pdf</v>
      </c>
      <c r="AA810" t="s">
        <v>15012</v>
      </c>
      <c r="AB810" t="s">
        <v>19645</v>
      </c>
    </row>
    <row r="811" spans="1:28" x14ac:dyDescent="0.25">
      <c r="A811" t="s">
        <v>815</v>
      </c>
      <c r="B811">
        <v>0.99904790336628502</v>
      </c>
      <c r="C811">
        <v>1.1310500507671899</v>
      </c>
      <c r="D811">
        <v>0.78479143412205299</v>
      </c>
      <c r="E811">
        <v>0.36874955412335197</v>
      </c>
      <c r="F811">
        <v>0.209719559757192</v>
      </c>
      <c r="G811">
        <v>0.11143812116578</v>
      </c>
      <c r="H811">
        <v>7.7598967324547394E-2</v>
      </c>
      <c r="I811">
        <v>6.8777082679698703E-2</v>
      </c>
      <c r="J811">
        <v>5.37161296322968E-2</v>
      </c>
      <c r="K811">
        <v>5.2059050083435698E-2</v>
      </c>
      <c r="L811">
        <v>1247.8151694953899</v>
      </c>
      <c r="M811">
        <v>25.653450564003499</v>
      </c>
      <c r="N811">
        <v>48.935305222452698</v>
      </c>
      <c r="O811">
        <v>48.348524681691998</v>
      </c>
      <c r="P811">
        <v>-0.123174165706928</v>
      </c>
      <c r="Q811">
        <v>7.1435914578830695E-2</v>
      </c>
      <c r="R811">
        <v>0.98136732573045504</v>
      </c>
      <c r="S811" t="s">
        <v>5551</v>
      </c>
      <c r="T811" t="s">
        <v>9478</v>
      </c>
      <c r="U811" t="s">
        <v>9478</v>
      </c>
      <c r="V811" t="s">
        <v>9478</v>
      </c>
      <c r="W811">
        <v>6</v>
      </c>
      <c r="X811" t="s">
        <v>10289</v>
      </c>
      <c r="Y811">
        <v>0.34668379876620953</v>
      </c>
      <c r="Z811" t="str">
        <f>HYPERLINK("Melting_Curves/meltCurve_sp_P16662_UD2B7_HUMAN_.pdf", "Melting_Curves/meltCurve_sp_P16662_UD2B7_HUMAN_.pdf")</f>
        <v>Melting_Curves/meltCurve_sp_P16662_UD2B7_HUMAN_.pdf</v>
      </c>
      <c r="AA811" t="s">
        <v>15013</v>
      </c>
      <c r="AB811" t="s">
        <v>19646</v>
      </c>
    </row>
    <row r="812" spans="1:28" x14ac:dyDescent="0.25">
      <c r="A812" t="s">
        <v>816</v>
      </c>
      <c r="B812">
        <v>0.99904790336628502</v>
      </c>
      <c r="C812">
        <v>1.6051872910470499</v>
      </c>
      <c r="D812">
        <v>1.5888223510267301</v>
      </c>
      <c r="E812">
        <v>0.93667564270367498</v>
      </c>
      <c r="F812">
        <v>0.781303787979021</v>
      </c>
      <c r="G812">
        <v>0.51942722051982104</v>
      </c>
      <c r="H812">
        <v>0.46068656038526001</v>
      </c>
      <c r="I812">
        <v>0.482916387954547</v>
      </c>
      <c r="J812">
        <v>0.59263776981955596</v>
      </c>
      <c r="K812">
        <v>0.220536833032939</v>
      </c>
      <c r="L812">
        <v>1878.0970651723501</v>
      </c>
      <c r="M812">
        <v>34.924013382275199</v>
      </c>
      <c r="N812">
        <v>57.200621546663498</v>
      </c>
      <c r="O812">
        <v>53.601263737704699</v>
      </c>
      <c r="P812">
        <v>-9.1512818589498904E-2</v>
      </c>
      <c r="Q812">
        <v>0.43818767902820599</v>
      </c>
      <c r="R812">
        <v>0.60533555116593296</v>
      </c>
      <c r="S812" t="s">
        <v>5552</v>
      </c>
      <c r="T812" t="s">
        <v>9478</v>
      </c>
      <c r="U812" t="s">
        <v>9478</v>
      </c>
      <c r="V812" t="s">
        <v>9478</v>
      </c>
      <c r="W812">
        <v>4</v>
      </c>
      <c r="X812" t="s">
        <v>10290</v>
      </c>
      <c r="Y812">
        <v>0.69891632037912854</v>
      </c>
      <c r="Z812" t="str">
        <f>HYPERLINK("Melting_Curves/meltCurve_sp_P16885_PLCG2_HUMAN_.pdf", "Melting_Curves/meltCurve_sp_P16885_PLCG2_HUMAN_.pdf")</f>
        <v>Melting_Curves/meltCurve_sp_P16885_PLCG2_HUMAN_.pdf</v>
      </c>
      <c r="AA812" t="s">
        <v>15014</v>
      </c>
      <c r="AB812" t="s">
        <v>19647</v>
      </c>
    </row>
    <row r="813" spans="1:28" x14ac:dyDescent="0.25">
      <c r="A813" t="s">
        <v>817</v>
      </c>
      <c r="B813">
        <v>0.99904790336628502</v>
      </c>
      <c r="C813">
        <v>0.92660096609592002</v>
      </c>
      <c r="D813">
        <v>0.97248757108644701</v>
      </c>
      <c r="E813">
        <v>0.94368610048731605</v>
      </c>
      <c r="F813">
        <v>0.90110179013281999</v>
      </c>
      <c r="G813">
        <v>0.748294569247829</v>
      </c>
      <c r="H813">
        <v>0.63933816106353003</v>
      </c>
      <c r="I813">
        <v>0.55150788842242104</v>
      </c>
      <c r="J813">
        <v>0.39268430902055701</v>
      </c>
      <c r="K813">
        <v>0.13640138569743401</v>
      </c>
      <c r="L813">
        <v>759.95429110412203</v>
      </c>
      <c r="M813">
        <v>11.957214609427799</v>
      </c>
      <c r="N813">
        <v>63.556130423893499</v>
      </c>
      <c r="O813">
        <v>61.856719219830502</v>
      </c>
      <c r="P813">
        <v>-4.8338065281229303E-2</v>
      </c>
      <c r="Q813">
        <v>0</v>
      </c>
      <c r="R813">
        <v>0.96226130140730903</v>
      </c>
      <c r="S813" t="s">
        <v>5553</v>
      </c>
      <c r="T813" t="s">
        <v>9478</v>
      </c>
      <c r="U813" t="s">
        <v>9478</v>
      </c>
      <c r="V813" t="s">
        <v>9478</v>
      </c>
      <c r="W813">
        <v>21</v>
      </c>
      <c r="X813" t="s">
        <v>10291</v>
      </c>
      <c r="Y813">
        <v>0.76014982285816024</v>
      </c>
      <c r="Z813" t="str">
        <f>HYPERLINK("Melting_Curves/meltCurve_sp_P16930_FAAA_HUMAN_.pdf", "Melting_Curves/meltCurve_sp_P16930_FAAA_HUMAN_.pdf")</f>
        <v>Melting_Curves/meltCurve_sp_P16930_FAAA_HUMAN_.pdf</v>
      </c>
      <c r="AA813" t="s">
        <v>15015</v>
      </c>
      <c r="AB813" t="s">
        <v>19648</v>
      </c>
    </row>
    <row r="814" spans="1:28" x14ac:dyDescent="0.25">
      <c r="A814" t="s">
        <v>818</v>
      </c>
      <c r="B814">
        <v>0.99904790336628502</v>
      </c>
      <c r="C814">
        <v>0.99706281753915604</v>
      </c>
      <c r="D814">
        <v>0.978278629226081</v>
      </c>
      <c r="E814">
        <v>0.97727052280527005</v>
      </c>
      <c r="F814">
        <v>1.05296748784574</v>
      </c>
      <c r="G814">
        <v>0.87891526547565502</v>
      </c>
      <c r="H814">
        <v>0.85669896995753303</v>
      </c>
      <c r="I814">
        <v>0.82296980457913804</v>
      </c>
      <c r="J814">
        <v>0.918159665158925</v>
      </c>
      <c r="K814">
        <v>0.92953469057086802</v>
      </c>
      <c r="L814">
        <v>13818.953431192</v>
      </c>
      <c r="M814">
        <v>250</v>
      </c>
      <c r="O814">
        <v>55.272276494419103</v>
      </c>
      <c r="P814">
        <v>-0.1342854266754</v>
      </c>
      <c r="Q814">
        <v>0.88124382053958905</v>
      </c>
      <c r="R814">
        <v>0.75681522095132303</v>
      </c>
      <c r="S814" t="s">
        <v>5554</v>
      </c>
      <c r="T814" t="s">
        <v>9478</v>
      </c>
      <c r="U814" t="s">
        <v>9478</v>
      </c>
      <c r="V814" t="s">
        <v>9478</v>
      </c>
      <c r="W814">
        <v>8</v>
      </c>
      <c r="X814" t="s">
        <v>10292</v>
      </c>
      <c r="Y814">
        <v>0.94172525006535346</v>
      </c>
      <c r="Z814" t="str">
        <f>HYPERLINK("Melting_Curves/meltCurve_sp_P16949_STMN1_HUMAN_.pdf", "Melting_Curves/meltCurve_sp_P16949_STMN1_HUMAN_.pdf")</f>
        <v>Melting_Curves/meltCurve_sp_P16949_STMN1_HUMAN_.pdf</v>
      </c>
      <c r="AA814" t="s">
        <v>15016</v>
      </c>
      <c r="AB814" t="s">
        <v>19649</v>
      </c>
    </row>
    <row r="815" spans="1:28" x14ac:dyDescent="0.25">
      <c r="A815" t="s">
        <v>819</v>
      </c>
      <c r="B815">
        <v>0.99904790336628502</v>
      </c>
      <c r="C815">
        <v>1.15710135457774</v>
      </c>
      <c r="D815">
        <v>1.1698307150545999</v>
      </c>
      <c r="E815">
        <v>1.0131739194587199</v>
      </c>
      <c r="F815">
        <v>0.99036176025846401</v>
      </c>
      <c r="G815">
        <v>0.76814781869275695</v>
      </c>
      <c r="H815">
        <v>0.73142183776743097</v>
      </c>
      <c r="I815">
        <v>0.72525209328463203</v>
      </c>
      <c r="J815">
        <v>0.68859993043038603</v>
      </c>
      <c r="K815">
        <v>0.616403321239272</v>
      </c>
      <c r="L815">
        <v>2821.8099704467199</v>
      </c>
      <c r="M815">
        <v>50.474340951779403</v>
      </c>
      <c r="O815">
        <v>55.818283928530001</v>
      </c>
      <c r="P815">
        <v>-7.0515404693551303E-2</v>
      </c>
      <c r="Q815">
        <v>0.68807551854753002</v>
      </c>
      <c r="R815">
        <v>0.83254464459810196</v>
      </c>
      <c r="S815" t="s">
        <v>5555</v>
      </c>
      <c r="T815" t="s">
        <v>9478</v>
      </c>
      <c r="U815" t="s">
        <v>9478</v>
      </c>
      <c r="V815" t="s">
        <v>9478</v>
      </c>
      <c r="W815">
        <v>7</v>
      </c>
      <c r="X815" t="s">
        <v>10293</v>
      </c>
      <c r="Y815">
        <v>0.85421013270820301</v>
      </c>
      <c r="Z815" t="str">
        <f>HYPERLINK("Melting_Curves/meltCurve_sp_P16989_2_YBOX3_HUMAN_.pdf", "Melting_Curves/meltCurve_sp_P16989_2_YBOX3_HUMAN_.pdf")</f>
        <v>Melting_Curves/meltCurve_sp_P16989_2_YBOX3_HUMAN_.pdf</v>
      </c>
      <c r="AA815" t="s">
        <v>15017</v>
      </c>
      <c r="AB815" t="s">
        <v>19650</v>
      </c>
    </row>
    <row r="816" spans="1:28" x14ac:dyDescent="0.25">
      <c r="A816" t="s">
        <v>820</v>
      </c>
      <c r="B816">
        <v>0.99904790336628502</v>
      </c>
      <c r="C816">
        <v>1.1265245653229301</v>
      </c>
      <c r="D816">
        <v>1.1464061617605099</v>
      </c>
      <c r="E816">
        <v>0.95556964159260704</v>
      </c>
      <c r="F816">
        <v>0.58187770637791802</v>
      </c>
      <c r="G816">
        <v>0.46039950349825998</v>
      </c>
      <c r="H816">
        <v>0.31302352112055998</v>
      </c>
      <c r="I816">
        <v>0.33535236670436802</v>
      </c>
      <c r="J816">
        <v>0.32759122386253298</v>
      </c>
      <c r="K816">
        <v>0.29367001451313701</v>
      </c>
      <c r="L816">
        <v>2142.5873166625302</v>
      </c>
      <c r="M816">
        <v>40.777345235388601</v>
      </c>
      <c r="N816">
        <v>54.026875136024003</v>
      </c>
      <c r="O816">
        <v>52.417676675791498</v>
      </c>
      <c r="P816">
        <v>-0.12898419743460501</v>
      </c>
      <c r="Q816">
        <v>0.336784781996816</v>
      </c>
      <c r="R816">
        <v>0.95576748737637396</v>
      </c>
      <c r="S816" t="s">
        <v>5556</v>
      </c>
      <c r="T816" t="s">
        <v>9478</v>
      </c>
      <c r="U816" t="s">
        <v>9478</v>
      </c>
      <c r="V816" t="s">
        <v>9478</v>
      </c>
      <c r="W816">
        <v>3</v>
      </c>
      <c r="X816" t="s">
        <v>10294</v>
      </c>
      <c r="Y816">
        <v>0.61640334199398239</v>
      </c>
      <c r="Z816" t="str">
        <f>HYPERLINK("Melting_Curves/meltCurve_sp_P17028_ZNF24_HUMAN_.pdf", "Melting_Curves/meltCurve_sp_P17028_ZNF24_HUMAN_.pdf")</f>
        <v>Melting_Curves/meltCurve_sp_P17028_ZNF24_HUMAN_.pdf</v>
      </c>
      <c r="AA816" t="s">
        <v>15018</v>
      </c>
      <c r="AB816" t="s">
        <v>19651</v>
      </c>
    </row>
    <row r="817" spans="1:28" x14ac:dyDescent="0.25">
      <c r="A817" t="s">
        <v>821</v>
      </c>
      <c r="B817">
        <v>0.99904790336628502</v>
      </c>
      <c r="C817">
        <v>0.79933889341036501</v>
      </c>
      <c r="D817">
        <v>0.73062413052985098</v>
      </c>
      <c r="E817">
        <v>0.74480436809559003</v>
      </c>
      <c r="F817">
        <v>0.77657300199114698</v>
      </c>
      <c r="G817">
        <v>0.64028511226913798</v>
      </c>
      <c r="H817">
        <v>0.49581645672187602</v>
      </c>
      <c r="I817">
        <v>0.54685894336615903</v>
      </c>
      <c r="J817">
        <v>0.56605595747543602</v>
      </c>
      <c r="K817">
        <v>0.56850358066490003</v>
      </c>
      <c r="L817">
        <v>336.16686526980698</v>
      </c>
      <c r="M817">
        <v>6.8051257393472904</v>
      </c>
      <c r="O817">
        <v>45.6598661162921</v>
      </c>
      <c r="P817">
        <v>-1.95695341081706E-2</v>
      </c>
      <c r="Q817">
        <v>0.47586021859840499</v>
      </c>
      <c r="R817">
        <v>0.82392738574084901</v>
      </c>
      <c r="S817" t="s">
        <v>5557</v>
      </c>
      <c r="T817" t="s">
        <v>9478</v>
      </c>
      <c r="U817" t="s">
        <v>9478</v>
      </c>
      <c r="V817" t="s">
        <v>9478</v>
      </c>
      <c r="W817">
        <v>4</v>
      </c>
      <c r="X817" t="s">
        <v>10295</v>
      </c>
      <c r="Y817">
        <v>0.67974114576717171</v>
      </c>
      <c r="Z817" t="str">
        <f>HYPERLINK("Melting_Curves/meltCurve_sp_P17029_ZKSC1_HUMAN_.pdf", "Melting_Curves/meltCurve_sp_P17029_ZKSC1_HUMAN_.pdf")</f>
        <v>Melting_Curves/meltCurve_sp_P17029_ZKSC1_HUMAN_.pdf</v>
      </c>
      <c r="AA817" t="s">
        <v>15019</v>
      </c>
      <c r="AB817" t="s">
        <v>19652</v>
      </c>
    </row>
    <row r="818" spans="1:28" x14ac:dyDescent="0.25">
      <c r="A818" t="s">
        <v>822</v>
      </c>
      <c r="B818">
        <v>0.99904790336628502</v>
      </c>
      <c r="C818">
        <v>0.95609587559653897</v>
      </c>
      <c r="D818">
        <v>0.96702406696969501</v>
      </c>
      <c r="E818">
        <v>0.96123150893202702</v>
      </c>
      <c r="F818">
        <v>0.84049754540245403</v>
      </c>
      <c r="G818">
        <v>0.561345593868259</v>
      </c>
      <c r="H818">
        <v>0.180925754948079</v>
      </c>
      <c r="I818">
        <v>5.6113017251729097E-2</v>
      </c>
      <c r="J818">
        <v>2.6468794702343701E-2</v>
      </c>
      <c r="K818">
        <v>2.5636648731542901E-2</v>
      </c>
      <c r="L818">
        <v>1345.6361826437301</v>
      </c>
      <c r="M818">
        <v>23.482470683458601</v>
      </c>
      <c r="N818">
        <v>57.3038623940596</v>
      </c>
      <c r="O818">
        <v>56.8931379861992</v>
      </c>
      <c r="P818">
        <v>-0.103188523012177</v>
      </c>
      <c r="Q818">
        <v>0</v>
      </c>
      <c r="R818">
        <v>0.99679169568857595</v>
      </c>
      <c r="S818" t="s">
        <v>5558</v>
      </c>
      <c r="T818" t="s">
        <v>9478</v>
      </c>
      <c r="U818" t="s">
        <v>9478</v>
      </c>
      <c r="V818" t="s">
        <v>9478</v>
      </c>
      <c r="W818">
        <v>10</v>
      </c>
      <c r="X818" t="s">
        <v>10296</v>
      </c>
      <c r="Y818">
        <v>0.58657905554452783</v>
      </c>
      <c r="Z818" t="str">
        <f>HYPERLINK("Melting_Curves/meltCurve_sp_P17050_NAGAB_HUMAN_.pdf", "Melting_Curves/meltCurve_sp_P17050_NAGAB_HUMAN_.pdf")</f>
        <v>Melting_Curves/meltCurve_sp_P17050_NAGAB_HUMAN_.pdf</v>
      </c>
      <c r="AA818" t="s">
        <v>15020</v>
      </c>
      <c r="AB818" t="s">
        <v>19653</v>
      </c>
    </row>
    <row r="819" spans="1:28" x14ac:dyDescent="0.25">
      <c r="A819" t="s">
        <v>823</v>
      </c>
      <c r="B819">
        <v>0.99904790336628502</v>
      </c>
      <c r="C819">
        <v>0.93859690756318803</v>
      </c>
      <c r="D819">
        <v>0.90288695866985202</v>
      </c>
      <c r="E819">
        <v>0.53885342836265804</v>
      </c>
      <c r="F819">
        <v>0.36450935041899102</v>
      </c>
      <c r="G819">
        <v>0.15191057451378401</v>
      </c>
      <c r="H819">
        <v>8.8673656045952898E-2</v>
      </c>
      <c r="I819">
        <v>7.46987012739979E-2</v>
      </c>
      <c r="J819">
        <v>5.4476452035480599E-2</v>
      </c>
      <c r="K819">
        <v>5.1270551895122703E-2</v>
      </c>
      <c r="L819">
        <v>916.42595698923105</v>
      </c>
      <c r="M819">
        <v>18.1165676149913</v>
      </c>
      <c r="N819">
        <v>50.8677241197461</v>
      </c>
      <c r="O819">
        <v>49.980709461725503</v>
      </c>
      <c r="P819">
        <v>-8.62813706193995E-2</v>
      </c>
      <c r="Q819">
        <v>4.7899886584149599E-2</v>
      </c>
      <c r="R819">
        <v>0.99708654721316303</v>
      </c>
      <c r="S819" t="s">
        <v>5559</v>
      </c>
      <c r="T819" t="s">
        <v>9478</v>
      </c>
      <c r="U819" t="s">
        <v>9478</v>
      </c>
      <c r="V819" t="s">
        <v>9478</v>
      </c>
      <c r="W819">
        <v>10</v>
      </c>
      <c r="X819" t="s">
        <v>10297</v>
      </c>
      <c r="Y819">
        <v>0.3997607527863391</v>
      </c>
      <c r="Z819" t="str">
        <f>HYPERLINK("Melting_Curves/meltCurve_sp_P17066_HSP76_HUMAN_.pdf", "Melting_Curves/meltCurve_sp_P17066_HSP76_HUMAN_.pdf")</f>
        <v>Melting_Curves/meltCurve_sp_P17066_HSP76_HUMAN_.pdf</v>
      </c>
      <c r="AA819" t="s">
        <v>15021</v>
      </c>
      <c r="AB819" t="s">
        <v>19654</v>
      </c>
    </row>
    <row r="820" spans="1:28" x14ac:dyDescent="0.25">
      <c r="A820" t="s">
        <v>824</v>
      </c>
      <c r="B820">
        <v>0.99904790336628502</v>
      </c>
      <c r="C820">
        <v>0.89822204491153701</v>
      </c>
      <c r="D820">
        <v>1.0825288303920599</v>
      </c>
      <c r="E820">
        <v>0.91013009514162801</v>
      </c>
      <c r="F820">
        <v>0.8433574107431</v>
      </c>
      <c r="G820">
        <v>0.73999200382782404</v>
      </c>
      <c r="H820">
        <v>0.69791761721484702</v>
      </c>
      <c r="I820">
        <v>0.52569479601376001</v>
      </c>
      <c r="J820">
        <v>0.36744441490338697</v>
      </c>
      <c r="K820">
        <v>0.992569696043755</v>
      </c>
      <c r="L820">
        <v>1267.8173135152899</v>
      </c>
      <c r="M820">
        <v>23.692686702776101</v>
      </c>
      <c r="O820">
        <v>53.134075239195298</v>
      </c>
      <c r="P820">
        <v>-3.9705349634819198E-2</v>
      </c>
      <c r="Q820">
        <v>0.64382732148255295</v>
      </c>
      <c r="R820">
        <v>0.48303665496741599</v>
      </c>
      <c r="S820" t="s">
        <v>5560</v>
      </c>
      <c r="T820" t="s">
        <v>9478</v>
      </c>
      <c r="U820" t="s">
        <v>9478</v>
      </c>
      <c r="V820" t="s">
        <v>9478</v>
      </c>
      <c r="W820">
        <v>1</v>
      </c>
      <c r="X820" t="s">
        <v>10298</v>
      </c>
      <c r="Y820">
        <v>0.80786417426068746</v>
      </c>
      <c r="Z820" t="str">
        <f>HYPERLINK("Melting_Curves/meltCurve_sp_P17096_2_HMGA1_HUMAN_.pdf", "Melting_Curves/meltCurve_sp_P17096_2_HMGA1_HUMAN_.pdf")</f>
        <v>Melting_Curves/meltCurve_sp_P17096_2_HMGA1_HUMAN_.pdf</v>
      </c>
      <c r="AA820" t="s">
        <v>15022</v>
      </c>
      <c r="AB820" t="s">
        <v>19655</v>
      </c>
    </row>
    <row r="821" spans="1:28" x14ac:dyDescent="0.25">
      <c r="A821" t="s">
        <v>825</v>
      </c>
      <c r="B821">
        <v>0.99904790336628502</v>
      </c>
      <c r="C821">
        <v>0.96436888260924702</v>
      </c>
      <c r="D821">
        <v>1.00710847023603</v>
      </c>
      <c r="E821">
        <v>1.01052641093708</v>
      </c>
      <c r="F821">
        <v>0.98323120920626295</v>
      </c>
      <c r="G821">
        <v>0.88284779486700604</v>
      </c>
      <c r="H821">
        <v>0.74995810310626898</v>
      </c>
      <c r="I821">
        <v>0.68236636291735797</v>
      </c>
      <c r="J821">
        <v>0.56622812495185904</v>
      </c>
      <c r="K821">
        <v>0.24375889937648201</v>
      </c>
      <c r="L821">
        <v>984.79006282764203</v>
      </c>
      <c r="M821">
        <v>14.7771712832592</v>
      </c>
      <c r="N821">
        <v>66.642682932167403</v>
      </c>
      <c r="O821">
        <v>65.457912419879506</v>
      </c>
      <c r="P821">
        <v>-5.6443727972632099E-2</v>
      </c>
      <c r="Q821">
        <v>0</v>
      </c>
      <c r="R821">
        <v>0.96244823260870704</v>
      </c>
      <c r="S821" t="s">
        <v>5561</v>
      </c>
      <c r="T821" t="s">
        <v>9478</v>
      </c>
      <c r="U821" t="s">
        <v>9478</v>
      </c>
      <c r="V821" t="s">
        <v>9478</v>
      </c>
      <c r="W821">
        <v>36</v>
      </c>
      <c r="X821" t="s">
        <v>10299</v>
      </c>
      <c r="Y821">
        <v>0.84378249899629942</v>
      </c>
      <c r="Z821" t="str">
        <f>HYPERLINK("Melting_Curves/meltCurve_sp_P17174_AATC_HUMAN_.pdf", "Melting_Curves/meltCurve_sp_P17174_AATC_HUMAN_.pdf")</f>
        <v>Melting_Curves/meltCurve_sp_P17174_AATC_HUMAN_.pdf</v>
      </c>
      <c r="AA821" t="s">
        <v>15023</v>
      </c>
      <c r="AB821" t="s">
        <v>19656</v>
      </c>
    </row>
    <row r="822" spans="1:28" x14ac:dyDescent="0.25">
      <c r="A822" t="s">
        <v>826</v>
      </c>
      <c r="B822">
        <v>0.99904790336628502</v>
      </c>
      <c r="C822">
        <v>0.96000898120144595</v>
      </c>
      <c r="D822">
        <v>0.981022934718359</v>
      </c>
      <c r="E822">
        <v>0.83403811189312305</v>
      </c>
      <c r="F822">
        <v>0.81203695513356999</v>
      </c>
      <c r="G822">
        <v>0.51218920725114603</v>
      </c>
      <c r="H822">
        <v>0.443469661279768</v>
      </c>
      <c r="I822">
        <v>0.37132153526114198</v>
      </c>
      <c r="J822">
        <v>0.42353584922919202</v>
      </c>
      <c r="K822">
        <v>0.39666488957372398</v>
      </c>
      <c r="L822">
        <v>1035.930379898</v>
      </c>
      <c r="M822">
        <v>19.167609335220099</v>
      </c>
      <c r="N822">
        <v>58.336105381600497</v>
      </c>
      <c r="O822">
        <v>53.467921260650698</v>
      </c>
      <c r="P822">
        <v>-5.5757358863807498E-2</v>
      </c>
      <c r="Q822">
        <v>0.377884773934554</v>
      </c>
      <c r="R822">
        <v>0.98065747134521197</v>
      </c>
      <c r="S822" t="s">
        <v>5562</v>
      </c>
      <c r="T822" t="s">
        <v>9478</v>
      </c>
      <c r="U822" t="s">
        <v>9478</v>
      </c>
      <c r="V822" t="s">
        <v>9478</v>
      </c>
      <c r="W822">
        <v>4</v>
      </c>
      <c r="X822" t="s">
        <v>10300</v>
      </c>
      <c r="Y822">
        <v>0.67819331904002356</v>
      </c>
      <c r="Z822" t="str">
        <f>HYPERLINK("Melting_Curves/meltCurve_sp_P17480_2_UBF1_HUMAN_.pdf", "Melting_Curves/meltCurve_sp_P17480_2_UBF1_HUMAN_.pdf")</f>
        <v>Melting_Curves/meltCurve_sp_P17480_2_UBF1_HUMAN_.pdf</v>
      </c>
      <c r="AA822" t="s">
        <v>15024</v>
      </c>
      <c r="AB822" t="s">
        <v>19657</v>
      </c>
    </row>
    <row r="823" spans="1:28" x14ac:dyDescent="0.25">
      <c r="A823" t="s">
        <v>827</v>
      </c>
      <c r="B823">
        <v>0.99904790336628502</v>
      </c>
      <c r="C823">
        <v>0.89508315863986398</v>
      </c>
      <c r="D823">
        <v>0.83789266166269205</v>
      </c>
      <c r="E823">
        <v>0.45348333174199101</v>
      </c>
      <c r="F823">
        <v>0.23935648318136499</v>
      </c>
      <c r="G823">
        <v>0.16700204335810701</v>
      </c>
      <c r="H823">
        <v>0.106983953145411</v>
      </c>
      <c r="I823">
        <v>7.9048847794223207E-2</v>
      </c>
      <c r="J823">
        <v>6.3512523950428307E-2</v>
      </c>
      <c r="K823">
        <v>4.8613587411096303E-2</v>
      </c>
      <c r="L823">
        <v>921.05522723869501</v>
      </c>
      <c r="M823">
        <v>18.7170950398936</v>
      </c>
      <c r="N823">
        <v>49.585554747193598</v>
      </c>
      <c r="O823">
        <v>48.6579068779021</v>
      </c>
      <c r="P823">
        <v>-8.9804380014511895E-2</v>
      </c>
      <c r="Q823">
        <v>6.6199506363795999E-2</v>
      </c>
      <c r="R823">
        <v>0.99510165276470897</v>
      </c>
      <c r="S823" t="s">
        <v>5563</v>
      </c>
      <c r="T823" t="s">
        <v>9478</v>
      </c>
      <c r="U823" t="s">
        <v>9478</v>
      </c>
      <c r="V823" t="s">
        <v>9478</v>
      </c>
      <c r="W823">
        <v>25</v>
      </c>
      <c r="X823" t="s">
        <v>10301</v>
      </c>
      <c r="Y823">
        <v>0.36776681147111773</v>
      </c>
      <c r="Z823" t="str">
        <f>HYPERLINK("Melting_Curves/meltCurve_sp_P17516_AK1C4_HUMAN_.pdf", "Melting_Curves/meltCurve_sp_P17516_AK1C4_HUMAN_.pdf")</f>
        <v>Melting_Curves/meltCurve_sp_P17516_AK1C4_HUMAN_.pdf</v>
      </c>
      <c r="AA823" t="s">
        <v>15025</v>
      </c>
      <c r="AB823" t="s">
        <v>19658</v>
      </c>
    </row>
    <row r="824" spans="1:28" x14ac:dyDescent="0.25">
      <c r="A824" t="s">
        <v>828</v>
      </c>
      <c r="B824">
        <v>0.99904790336628502</v>
      </c>
      <c r="C824">
        <v>1.12485648195522</v>
      </c>
      <c r="D824">
        <v>1.01969042308736</v>
      </c>
      <c r="E824">
        <v>0.91784006183613498</v>
      </c>
      <c r="F824">
        <v>0.814277621680779</v>
      </c>
      <c r="G824">
        <v>0.49065642537562498</v>
      </c>
      <c r="H824">
        <v>0.46695363755962799</v>
      </c>
      <c r="I824">
        <v>0.45166047547351101</v>
      </c>
      <c r="J824">
        <v>0.38065828372724497</v>
      </c>
      <c r="K824">
        <v>0.38890926091282002</v>
      </c>
      <c r="L824">
        <v>1561.3459810316899</v>
      </c>
      <c r="M824">
        <v>28.854364840905699</v>
      </c>
      <c r="N824">
        <v>57.509176889046302</v>
      </c>
      <c r="O824">
        <v>53.853349945275397</v>
      </c>
      <c r="P824">
        <v>-7.9150813291562802E-2</v>
      </c>
      <c r="Q824">
        <v>0.40910097421684</v>
      </c>
      <c r="R824">
        <v>0.97144120587829796</v>
      </c>
      <c r="S824" t="s">
        <v>5564</v>
      </c>
      <c r="T824" t="s">
        <v>9478</v>
      </c>
      <c r="U824" t="s">
        <v>9478</v>
      </c>
      <c r="V824" t="s">
        <v>9478</v>
      </c>
      <c r="W824">
        <v>1</v>
      </c>
      <c r="X824" t="s">
        <v>10302</v>
      </c>
      <c r="Y824">
        <v>0.69123255488306856</v>
      </c>
      <c r="Z824" t="str">
        <f>HYPERLINK("Melting_Curves/meltCurve_sp_P17544_5_ATF7_HUMAN_.pdf", "Melting_Curves/meltCurve_sp_P17544_5_ATF7_HUMAN_.pdf")</f>
        <v>Melting_Curves/meltCurve_sp_P17544_5_ATF7_HUMAN_.pdf</v>
      </c>
      <c r="AA824" t="s">
        <v>15026</v>
      </c>
      <c r="AB824" t="s">
        <v>19659</v>
      </c>
    </row>
    <row r="825" spans="1:28" x14ac:dyDescent="0.25">
      <c r="A825" t="s">
        <v>829</v>
      </c>
      <c r="B825">
        <v>0.99904790336628502</v>
      </c>
      <c r="C825">
        <v>1.1408372953943999</v>
      </c>
      <c r="D825">
        <v>1.1670550095982299</v>
      </c>
      <c r="E825">
        <v>1.0206314871548301</v>
      </c>
      <c r="F825">
        <v>0.57753257251217405</v>
      </c>
      <c r="G825">
        <v>0.15791645174848501</v>
      </c>
      <c r="H825">
        <v>8.5475689160494597E-2</v>
      </c>
      <c r="I825">
        <v>5.9450249054156398E-2</v>
      </c>
      <c r="J825">
        <v>5.5213668668707902E-2</v>
      </c>
      <c r="K825">
        <v>5.9965724799250497E-2</v>
      </c>
      <c r="L825">
        <v>2715.7432701652401</v>
      </c>
      <c r="M825">
        <v>51.006014275821499</v>
      </c>
      <c r="N825">
        <v>53.415916984423703</v>
      </c>
      <c r="O825">
        <v>53.161935961936003</v>
      </c>
      <c r="P825">
        <v>-0.221664944201373</v>
      </c>
      <c r="Q825">
        <v>7.5863622944040199E-2</v>
      </c>
      <c r="R825">
        <v>0.97572531110101002</v>
      </c>
      <c r="S825" t="s">
        <v>5565</v>
      </c>
      <c r="T825" t="s">
        <v>9478</v>
      </c>
      <c r="U825" t="s">
        <v>9478</v>
      </c>
      <c r="V825" t="s">
        <v>9478</v>
      </c>
      <c r="W825">
        <v>15</v>
      </c>
      <c r="X825" t="s">
        <v>10303</v>
      </c>
      <c r="Y825">
        <v>0.48591127644722421</v>
      </c>
      <c r="Z825" t="str">
        <f>HYPERLINK("Melting_Curves/meltCurve_sp_P17612_KAPCA_HUMAN_.pdf", "Melting_Curves/meltCurve_sp_P17612_KAPCA_HUMAN_.pdf")</f>
        <v>Melting_Curves/meltCurve_sp_P17612_KAPCA_HUMAN_.pdf</v>
      </c>
      <c r="AA825" t="s">
        <v>15027</v>
      </c>
      <c r="AB825" t="s">
        <v>19660</v>
      </c>
    </row>
    <row r="826" spans="1:28" x14ac:dyDescent="0.25">
      <c r="A826" t="s">
        <v>830</v>
      </c>
      <c r="B826">
        <v>0.99904790336628502</v>
      </c>
      <c r="C826">
        <v>1.06830626629388</v>
      </c>
      <c r="D826">
        <v>1.08490784411859</v>
      </c>
      <c r="E826">
        <v>1.1077406896592099</v>
      </c>
      <c r="F826">
        <v>0.92778324963385705</v>
      </c>
      <c r="G826">
        <v>0.30501900934903797</v>
      </c>
      <c r="H826">
        <v>9.7904036845117601E-2</v>
      </c>
      <c r="I826">
        <v>5.9273987112851097E-2</v>
      </c>
      <c r="J826">
        <v>5.3267985395289798E-2</v>
      </c>
      <c r="K826">
        <v>5.4549971117811298E-2</v>
      </c>
      <c r="L826">
        <v>2742.8878061545302</v>
      </c>
      <c r="M826">
        <v>49.164084215162397</v>
      </c>
      <c r="N826">
        <v>55.940950230157497</v>
      </c>
      <c r="O826">
        <v>55.698406798358903</v>
      </c>
      <c r="P826">
        <v>-0.20700367688694099</v>
      </c>
      <c r="Q826">
        <v>6.19359885326628E-2</v>
      </c>
      <c r="R826">
        <v>0.98870287158431602</v>
      </c>
      <c r="S826" t="s">
        <v>5566</v>
      </c>
      <c r="T826" t="s">
        <v>9478</v>
      </c>
      <c r="U826" t="s">
        <v>9478</v>
      </c>
      <c r="V826" t="s">
        <v>9478</v>
      </c>
      <c r="W826">
        <v>13</v>
      </c>
      <c r="X826" t="s">
        <v>10304</v>
      </c>
      <c r="Y826">
        <v>0.55807074555630576</v>
      </c>
      <c r="Z826" t="str">
        <f>HYPERLINK("Melting_Curves/meltCurve_sp_P17655_CAN2_HUMAN_.pdf", "Melting_Curves/meltCurve_sp_P17655_CAN2_HUMAN_.pdf")</f>
        <v>Melting_Curves/meltCurve_sp_P17655_CAN2_HUMAN_.pdf</v>
      </c>
      <c r="AA826" t="s">
        <v>15028</v>
      </c>
      <c r="AB826" t="s">
        <v>19661</v>
      </c>
    </row>
    <row r="827" spans="1:28" x14ac:dyDescent="0.25">
      <c r="A827" t="s">
        <v>831</v>
      </c>
      <c r="B827">
        <v>0.99904790336628502</v>
      </c>
      <c r="C827">
        <v>0.80295678285229199</v>
      </c>
      <c r="D827">
        <v>0.84320740290197005</v>
      </c>
      <c r="E827">
        <v>0.80530877870207196</v>
      </c>
      <c r="F827">
        <v>0.68567127714637999</v>
      </c>
      <c r="G827">
        <v>0.63617624219241597</v>
      </c>
      <c r="H827">
        <v>0.47230712235202998</v>
      </c>
      <c r="I827">
        <v>0.409725595108685</v>
      </c>
      <c r="J827">
        <v>0.51171915231910103</v>
      </c>
      <c r="K827">
        <v>0.47011618108338199</v>
      </c>
      <c r="L827">
        <v>380.86115013778999</v>
      </c>
      <c r="M827">
        <v>7.0967732455513799</v>
      </c>
      <c r="N827">
        <v>63.334385996062203</v>
      </c>
      <c r="O827">
        <v>49.894644939153501</v>
      </c>
      <c r="P827">
        <v>-2.3839397187760899E-2</v>
      </c>
      <c r="Q827">
        <v>0.33075744012384301</v>
      </c>
      <c r="R827">
        <v>0.90990225811766001</v>
      </c>
      <c r="S827" t="s">
        <v>5567</v>
      </c>
      <c r="T827" t="s">
        <v>9478</v>
      </c>
      <c r="U827" t="s">
        <v>9478</v>
      </c>
      <c r="V827" t="s">
        <v>9478</v>
      </c>
      <c r="W827">
        <v>1</v>
      </c>
      <c r="X827" t="s">
        <v>10305</v>
      </c>
      <c r="Y827">
        <v>0.6613176369628595</v>
      </c>
      <c r="Z827" t="str">
        <f>HYPERLINK("Melting_Curves/meltCurve_sp_P17676_CEBPB_HUMAN_.pdf", "Melting_Curves/meltCurve_sp_P17676_CEBPB_HUMAN_.pdf")</f>
        <v>Melting_Curves/meltCurve_sp_P17676_CEBPB_HUMAN_.pdf</v>
      </c>
      <c r="AA827" t="s">
        <v>15029</v>
      </c>
      <c r="AB827" t="s">
        <v>19662</v>
      </c>
    </row>
    <row r="828" spans="1:28" x14ac:dyDescent="0.25">
      <c r="A828" t="s">
        <v>832</v>
      </c>
      <c r="B828">
        <v>0.99904790336628502</v>
      </c>
      <c r="C828">
        <v>1.0535491068587499</v>
      </c>
      <c r="D828">
        <v>1.07660397608884</v>
      </c>
      <c r="E828">
        <v>0.95958704067012901</v>
      </c>
      <c r="F828">
        <v>0.67929303469993396</v>
      </c>
      <c r="G828">
        <v>0.317723039171044</v>
      </c>
      <c r="H828">
        <v>0.137183183138751</v>
      </c>
      <c r="I828">
        <v>7.9628565229964005E-2</v>
      </c>
      <c r="J828">
        <v>6.6600312031971795E-2</v>
      </c>
      <c r="K828">
        <v>4.03406324752449E-2</v>
      </c>
      <c r="L828">
        <v>1394.4227409663199</v>
      </c>
      <c r="M828">
        <v>25.488071755650999</v>
      </c>
      <c r="N828">
        <v>54.968359147523103</v>
      </c>
      <c r="O828">
        <v>54.375400852551302</v>
      </c>
      <c r="P828">
        <v>-0.110543884013433</v>
      </c>
      <c r="Q828">
        <v>5.6689292493753297E-2</v>
      </c>
      <c r="R828">
        <v>0.99279161387463599</v>
      </c>
      <c r="S828" t="s">
        <v>5568</v>
      </c>
      <c r="T828" t="s">
        <v>9478</v>
      </c>
      <c r="U828" t="s">
        <v>9478</v>
      </c>
      <c r="V828" t="s">
        <v>9478</v>
      </c>
      <c r="W828">
        <v>11</v>
      </c>
      <c r="X828" t="s">
        <v>10306</v>
      </c>
      <c r="Y828">
        <v>0.52762730347646636</v>
      </c>
      <c r="Z828" t="str">
        <f>HYPERLINK("Melting_Curves/meltCurve_sp_P17735_ATTY_HUMAN_.pdf", "Melting_Curves/meltCurve_sp_P17735_ATTY_HUMAN_.pdf")</f>
        <v>Melting_Curves/meltCurve_sp_P17735_ATTY_HUMAN_.pdf</v>
      </c>
      <c r="AA828" t="s">
        <v>15030</v>
      </c>
      <c r="AB828" t="s">
        <v>19663</v>
      </c>
    </row>
    <row r="829" spans="1:28" x14ac:dyDescent="0.25">
      <c r="A829" t="s">
        <v>833</v>
      </c>
      <c r="B829">
        <v>0.99904790336628502</v>
      </c>
      <c r="C829">
        <v>0.92611969120253201</v>
      </c>
      <c r="D829">
        <v>0.77268690627497805</v>
      </c>
      <c r="E829">
        <v>0.498706902890246</v>
      </c>
      <c r="F829">
        <v>0.36277048340254298</v>
      </c>
      <c r="G829">
        <v>0.17494893095088401</v>
      </c>
      <c r="H829">
        <v>7.6468743667326103E-2</v>
      </c>
      <c r="I829">
        <v>3.9718570460665799E-2</v>
      </c>
      <c r="J829">
        <v>3.7639990912262097E-2</v>
      </c>
      <c r="K829">
        <v>1.9762557729998399E-2</v>
      </c>
      <c r="L829">
        <v>684.14048247204596</v>
      </c>
      <c r="M829">
        <v>13.592853256967601</v>
      </c>
      <c r="N829">
        <v>50.330895157880398</v>
      </c>
      <c r="O829">
        <v>49.279031377111501</v>
      </c>
      <c r="P829">
        <v>-6.8968846816473001E-2</v>
      </c>
      <c r="Q829">
        <v>0</v>
      </c>
      <c r="R829">
        <v>0.99803242526983804</v>
      </c>
      <c r="S829" t="s">
        <v>5569</v>
      </c>
      <c r="T829" t="s">
        <v>9478</v>
      </c>
      <c r="U829" t="s">
        <v>9478</v>
      </c>
      <c r="V829" t="s">
        <v>9478</v>
      </c>
      <c r="W829">
        <v>13</v>
      </c>
      <c r="X829" t="s">
        <v>10307</v>
      </c>
      <c r="Y829">
        <v>0.37223197501447047</v>
      </c>
      <c r="Z829" t="str">
        <f>HYPERLINK("Melting_Curves/meltCurve_sp_P17812_PYRG1_HUMAN_.pdf", "Melting_Curves/meltCurve_sp_P17812_PYRG1_HUMAN_.pdf")</f>
        <v>Melting_Curves/meltCurve_sp_P17812_PYRG1_HUMAN_.pdf</v>
      </c>
      <c r="AA829" t="s">
        <v>15031</v>
      </c>
      <c r="AB829" t="s">
        <v>19664</v>
      </c>
    </row>
    <row r="830" spans="1:28" x14ac:dyDescent="0.25">
      <c r="A830" t="s">
        <v>834</v>
      </c>
      <c r="B830">
        <v>0.99904790336628502</v>
      </c>
      <c r="C830">
        <v>0.98803568728709501</v>
      </c>
      <c r="D830">
        <v>1.0248206331087499</v>
      </c>
      <c r="E830">
        <v>0.92630235626327795</v>
      </c>
      <c r="F830">
        <v>0.69395490192748399</v>
      </c>
      <c r="G830">
        <v>0.372847858699831</v>
      </c>
      <c r="H830">
        <v>9.4111388629700907E-2</v>
      </c>
      <c r="I830">
        <v>4.8019327207204497E-2</v>
      </c>
      <c r="J830">
        <v>3.2776963380225399E-2</v>
      </c>
      <c r="K830">
        <v>3.0609700919087199E-2</v>
      </c>
      <c r="L830">
        <v>1221.3620851118701</v>
      </c>
      <c r="M830">
        <v>22.103647979343499</v>
      </c>
      <c r="N830">
        <v>55.302216749580197</v>
      </c>
      <c r="O830">
        <v>54.809836627229103</v>
      </c>
      <c r="P830">
        <v>-9.9902342452345194E-2</v>
      </c>
      <c r="Q830">
        <v>9.1211356147791398E-3</v>
      </c>
      <c r="R830">
        <v>0.99770668410873797</v>
      </c>
      <c r="S830" t="s">
        <v>5570</v>
      </c>
      <c r="T830" t="s">
        <v>9478</v>
      </c>
      <c r="U830" t="s">
        <v>9478</v>
      </c>
      <c r="V830" t="s">
        <v>9478</v>
      </c>
      <c r="W830">
        <v>18</v>
      </c>
      <c r="X830" t="s">
        <v>10308</v>
      </c>
      <c r="Y830">
        <v>0.52426052902926379</v>
      </c>
      <c r="Z830" t="str">
        <f>HYPERLINK("Melting_Curves/meltCurve_sp_P17858_K6PL_HUMAN_.pdf", "Melting_Curves/meltCurve_sp_P17858_K6PL_HUMAN_.pdf")</f>
        <v>Melting_Curves/meltCurve_sp_P17858_K6PL_HUMAN_.pdf</v>
      </c>
      <c r="AA830" t="s">
        <v>15032</v>
      </c>
      <c r="AB830" t="s">
        <v>19665</v>
      </c>
    </row>
    <row r="831" spans="1:28" x14ac:dyDescent="0.25">
      <c r="A831" t="s">
        <v>835</v>
      </c>
      <c r="B831">
        <v>0.99904790336628502</v>
      </c>
      <c r="C831">
        <v>0.99606597236738603</v>
      </c>
      <c r="D831">
        <v>0.93113107442235499</v>
      </c>
      <c r="E831">
        <v>0.90132018640034495</v>
      </c>
      <c r="F831">
        <v>0.71540238507474496</v>
      </c>
      <c r="G831">
        <v>0.57938033671529798</v>
      </c>
      <c r="H831">
        <v>0.43950218183648299</v>
      </c>
      <c r="I831">
        <v>0.35673896156915902</v>
      </c>
      <c r="J831">
        <v>0.32841358242508201</v>
      </c>
      <c r="K831">
        <v>0.25026949321199199</v>
      </c>
      <c r="L831">
        <v>673.17558436655395</v>
      </c>
      <c r="M831">
        <v>11.911888058752499</v>
      </c>
      <c r="N831">
        <v>59.011469435098398</v>
      </c>
      <c r="O831">
        <v>54.990829586716202</v>
      </c>
      <c r="P831">
        <v>-4.3439497567209003E-2</v>
      </c>
      <c r="Q831">
        <v>0.198051042008521</v>
      </c>
      <c r="R831">
        <v>0.99429199544149305</v>
      </c>
      <c r="S831" t="s">
        <v>5571</v>
      </c>
      <c r="T831" t="s">
        <v>9478</v>
      </c>
      <c r="U831" t="s">
        <v>9478</v>
      </c>
      <c r="V831" t="s">
        <v>9478</v>
      </c>
      <c r="W831">
        <v>4</v>
      </c>
      <c r="X831" t="s">
        <v>10309</v>
      </c>
      <c r="Y831">
        <v>0.65442717858723964</v>
      </c>
      <c r="Z831" t="str">
        <f>HYPERLINK("Melting_Curves/meltCurve_sp_P17900_SAP3_HUMAN_.pdf", "Melting_Curves/meltCurve_sp_P17900_SAP3_HUMAN_.pdf")</f>
        <v>Melting_Curves/meltCurve_sp_P17900_SAP3_HUMAN_.pdf</v>
      </c>
      <c r="AA831" t="s">
        <v>15033</v>
      </c>
      <c r="AB831" t="s">
        <v>19666</v>
      </c>
    </row>
    <row r="832" spans="1:28" x14ac:dyDescent="0.25">
      <c r="A832" t="s">
        <v>836</v>
      </c>
      <c r="B832">
        <v>0.99904790336628502</v>
      </c>
      <c r="C832">
        <v>0.95552335562811097</v>
      </c>
      <c r="D832">
        <v>0.94897094795100401</v>
      </c>
      <c r="E832">
        <v>0.83589888008706703</v>
      </c>
      <c r="F832">
        <v>0.672671756763909</v>
      </c>
      <c r="G832">
        <v>0.47970048624129003</v>
      </c>
      <c r="H832">
        <v>0.31144728324378101</v>
      </c>
      <c r="I832">
        <v>0.205245930240084</v>
      </c>
      <c r="J832">
        <v>0.18782617827883</v>
      </c>
      <c r="K832">
        <v>0.163726135815421</v>
      </c>
      <c r="L832">
        <v>738.626706851422</v>
      </c>
      <c r="M832">
        <v>13.3292877927856</v>
      </c>
      <c r="N832">
        <v>56.3743495364346</v>
      </c>
      <c r="O832">
        <v>54.211125908810303</v>
      </c>
      <c r="P832">
        <v>-5.5233899112287099E-2</v>
      </c>
      <c r="Q832">
        <v>0.101583782603267</v>
      </c>
      <c r="R832">
        <v>0.99833134903291698</v>
      </c>
      <c r="S832" t="s">
        <v>5572</v>
      </c>
      <c r="T832" t="s">
        <v>9478</v>
      </c>
      <c r="U832" t="s">
        <v>9478</v>
      </c>
      <c r="V832" t="s">
        <v>9478</v>
      </c>
      <c r="W832">
        <v>4</v>
      </c>
      <c r="X832" t="s">
        <v>10310</v>
      </c>
      <c r="Y832">
        <v>0.58179927520616304</v>
      </c>
      <c r="Z832" t="str">
        <f>HYPERLINK("Melting_Curves/meltCurve_sp_P17931_LEG3_HUMAN_.pdf", "Melting_Curves/meltCurve_sp_P17931_LEG3_HUMAN_.pdf")</f>
        <v>Melting_Curves/meltCurve_sp_P17931_LEG3_HUMAN_.pdf</v>
      </c>
      <c r="AA832" t="s">
        <v>15034</v>
      </c>
      <c r="AB832" t="s">
        <v>19667</v>
      </c>
    </row>
    <row r="833" spans="1:28" x14ac:dyDescent="0.25">
      <c r="A833" t="s">
        <v>837</v>
      </c>
      <c r="B833">
        <v>0.99904790336628502</v>
      </c>
      <c r="C833">
        <v>1.0660815025780801</v>
      </c>
      <c r="D833">
        <v>1.09054190575563</v>
      </c>
      <c r="E833">
        <v>0.98708275400226797</v>
      </c>
      <c r="F833">
        <v>0.74660522119192896</v>
      </c>
      <c r="G833">
        <v>0.26329103822183098</v>
      </c>
      <c r="H833">
        <v>8.5484226222618406E-2</v>
      </c>
      <c r="I833">
        <v>5.9943141555153602E-2</v>
      </c>
      <c r="J833">
        <v>4.8219042437604803E-2</v>
      </c>
      <c r="K833">
        <v>3.9696129269023502E-2</v>
      </c>
      <c r="L833">
        <v>1780.4354004685299</v>
      </c>
      <c r="M833">
        <v>32.502850970200498</v>
      </c>
      <c r="N833">
        <v>54.947145255313501</v>
      </c>
      <c r="O833">
        <v>54.571715394457698</v>
      </c>
      <c r="P833">
        <v>-0.14180502247488899</v>
      </c>
      <c r="Q833">
        <v>4.7651946452020498E-2</v>
      </c>
      <c r="R833">
        <v>0.99310575380045796</v>
      </c>
      <c r="S833" t="s">
        <v>5573</v>
      </c>
      <c r="T833" t="s">
        <v>9478</v>
      </c>
      <c r="U833" t="s">
        <v>9478</v>
      </c>
      <c r="V833" t="s">
        <v>9478</v>
      </c>
      <c r="W833">
        <v>23</v>
      </c>
      <c r="X833" t="s">
        <v>10311</v>
      </c>
      <c r="Y833">
        <v>0.52218030309855168</v>
      </c>
      <c r="Z833" t="str">
        <f>HYPERLINK("Melting_Curves/meltCurve_sp_P17987_TCPA_HUMAN_.pdf", "Melting_Curves/meltCurve_sp_P17987_TCPA_HUMAN_.pdf")</f>
        <v>Melting_Curves/meltCurve_sp_P17987_TCPA_HUMAN_.pdf</v>
      </c>
      <c r="AA833" t="s">
        <v>15035</v>
      </c>
      <c r="AB833" t="s">
        <v>19668</v>
      </c>
    </row>
    <row r="834" spans="1:28" x14ac:dyDescent="0.25">
      <c r="A834" t="s">
        <v>838</v>
      </c>
      <c r="B834">
        <v>0.99904790336628502</v>
      </c>
      <c r="C834">
        <v>1.02376113768224</v>
      </c>
      <c r="D834">
        <v>0.96601213940236896</v>
      </c>
      <c r="E834">
        <v>0.78872934810361095</v>
      </c>
      <c r="F834">
        <v>0.33498719761965001</v>
      </c>
      <c r="G834">
        <v>0.15090121438879001</v>
      </c>
      <c r="H834">
        <v>9.0436547331795E-2</v>
      </c>
      <c r="I834">
        <v>9.1590139293032294E-2</v>
      </c>
      <c r="J834">
        <v>7.8806393102983402E-2</v>
      </c>
      <c r="K834">
        <v>6.7002968704673399E-2</v>
      </c>
      <c r="L834">
        <v>1809.5477945529699</v>
      </c>
      <c r="M834">
        <v>35.053446871360698</v>
      </c>
      <c r="N834">
        <v>51.903733229098499</v>
      </c>
      <c r="O834">
        <v>51.455384203730098</v>
      </c>
      <c r="P834">
        <v>-0.155581580831682</v>
      </c>
      <c r="Q834">
        <v>8.6482635572043401E-2</v>
      </c>
      <c r="R834">
        <v>0.99827591935528104</v>
      </c>
      <c r="S834" t="s">
        <v>5574</v>
      </c>
      <c r="T834" t="s">
        <v>9478</v>
      </c>
      <c r="U834" t="s">
        <v>9478</v>
      </c>
      <c r="V834" t="s">
        <v>9478</v>
      </c>
      <c r="W834">
        <v>6</v>
      </c>
      <c r="X834" t="s">
        <v>10312</v>
      </c>
      <c r="Y834">
        <v>0.44464482177287729</v>
      </c>
      <c r="Z834" t="str">
        <f>HYPERLINK("Melting_Curves/meltCurve_sp_P18031_PTN1_HUMAN_.pdf", "Melting_Curves/meltCurve_sp_P18031_PTN1_HUMAN_.pdf")</f>
        <v>Melting_Curves/meltCurve_sp_P18031_PTN1_HUMAN_.pdf</v>
      </c>
      <c r="AA834" t="s">
        <v>15036</v>
      </c>
      <c r="AB834" t="s">
        <v>19669</v>
      </c>
    </row>
    <row r="835" spans="1:28" x14ac:dyDescent="0.25">
      <c r="A835" t="s">
        <v>839</v>
      </c>
      <c r="B835">
        <v>0.99904790336628502</v>
      </c>
      <c r="C835">
        <v>1.34573230535396</v>
      </c>
      <c r="D835">
        <v>1.41348551333599</v>
      </c>
      <c r="E835">
        <v>1.0407861818056401</v>
      </c>
      <c r="F835">
        <v>0.859754109399257</v>
      </c>
      <c r="G835">
        <v>0.52126398010892205</v>
      </c>
      <c r="H835">
        <v>0.38585513880776801</v>
      </c>
      <c r="I835">
        <v>0.38735841274264599</v>
      </c>
      <c r="J835">
        <v>0.248305712927815</v>
      </c>
      <c r="K835">
        <v>0.145386043501018</v>
      </c>
      <c r="L835">
        <v>1405.76159037705</v>
      </c>
      <c r="M835">
        <v>24.947602294937099</v>
      </c>
      <c r="N835">
        <v>57.907809137206101</v>
      </c>
      <c r="O835">
        <v>55.990248988820298</v>
      </c>
      <c r="P835">
        <v>-8.4147982518004205E-2</v>
      </c>
      <c r="Q835">
        <v>0.24459230807847199</v>
      </c>
      <c r="R835">
        <v>0.82772294999615503</v>
      </c>
      <c r="S835" t="s">
        <v>5575</v>
      </c>
      <c r="T835" t="s">
        <v>9478</v>
      </c>
      <c r="U835" t="s">
        <v>9478</v>
      </c>
      <c r="V835" t="s">
        <v>9478</v>
      </c>
      <c r="W835">
        <v>1</v>
      </c>
      <c r="X835" t="s">
        <v>10313</v>
      </c>
      <c r="Y835">
        <v>0.66317605662386347</v>
      </c>
      <c r="Z835" t="str">
        <f>HYPERLINK("Melting_Curves/meltCurve_sp_P18054_LOX12_HUMAN_.pdf", "Melting_Curves/meltCurve_sp_P18054_LOX12_HUMAN_.pdf")</f>
        <v>Melting_Curves/meltCurve_sp_P18054_LOX12_HUMAN_.pdf</v>
      </c>
      <c r="AA835" t="s">
        <v>15037</v>
      </c>
      <c r="AB835" t="s">
        <v>19670</v>
      </c>
    </row>
    <row r="836" spans="1:28" x14ac:dyDescent="0.25">
      <c r="A836" t="s">
        <v>840</v>
      </c>
      <c r="B836">
        <v>0.99904790336628502</v>
      </c>
      <c r="C836">
        <v>1.0447750258213899</v>
      </c>
      <c r="D836">
        <v>0.93319530690986896</v>
      </c>
      <c r="E836">
        <v>0.90693735240822104</v>
      </c>
      <c r="F836">
        <v>0.83443254712847403</v>
      </c>
      <c r="G836">
        <v>0.69720190098630397</v>
      </c>
      <c r="H836">
        <v>0.65155123720855002</v>
      </c>
      <c r="I836">
        <v>0.59172416246112203</v>
      </c>
      <c r="J836">
        <v>0.63983249269366904</v>
      </c>
      <c r="K836">
        <v>0.64221604706105495</v>
      </c>
      <c r="L836">
        <v>964.03485859015404</v>
      </c>
      <c r="M836">
        <v>18.100863233537101</v>
      </c>
      <c r="O836">
        <v>52.621768312677503</v>
      </c>
      <c r="P836">
        <v>-3.3113048940898102E-2</v>
      </c>
      <c r="Q836">
        <v>0.61496131325270498</v>
      </c>
      <c r="R836">
        <v>0.97117691458879796</v>
      </c>
      <c r="S836" t="s">
        <v>5576</v>
      </c>
      <c r="T836" t="s">
        <v>9478</v>
      </c>
      <c r="U836" t="s">
        <v>9478</v>
      </c>
      <c r="V836" t="s">
        <v>9478</v>
      </c>
      <c r="W836">
        <v>10</v>
      </c>
      <c r="X836" t="s">
        <v>10314</v>
      </c>
      <c r="Y836">
        <v>0.79135329241931085</v>
      </c>
      <c r="Z836" t="str">
        <f>HYPERLINK("Melting_Curves/meltCurve_sp_P18065_IBP2_HUMAN_.pdf", "Melting_Curves/meltCurve_sp_P18065_IBP2_HUMAN_.pdf")</f>
        <v>Melting_Curves/meltCurve_sp_P18065_IBP2_HUMAN_.pdf</v>
      </c>
      <c r="AA836" t="s">
        <v>15038</v>
      </c>
      <c r="AB836" t="s">
        <v>19671</v>
      </c>
    </row>
    <row r="837" spans="1:28" x14ac:dyDescent="0.25">
      <c r="A837" t="s">
        <v>841</v>
      </c>
      <c r="B837">
        <v>0.99904790336628502</v>
      </c>
      <c r="C837">
        <v>0.91351886735214605</v>
      </c>
      <c r="D837">
        <v>0.68576335548490097</v>
      </c>
      <c r="E837">
        <v>0.368303373888338</v>
      </c>
      <c r="F837">
        <v>0.19533702704731301</v>
      </c>
      <c r="G837">
        <v>0.10088439581426401</v>
      </c>
      <c r="H837">
        <v>6.7848939601330399E-2</v>
      </c>
      <c r="I837">
        <v>4.2286845800382201E-2</v>
      </c>
      <c r="J837">
        <v>3.56060344812529E-2</v>
      </c>
      <c r="K837">
        <v>2.82121694236184E-2</v>
      </c>
      <c r="L837">
        <v>845.086766613843</v>
      </c>
      <c r="M837">
        <v>17.557101353747601</v>
      </c>
      <c r="N837">
        <v>48.326403824581803</v>
      </c>
      <c r="O837">
        <v>47.522194945723399</v>
      </c>
      <c r="P837">
        <v>-8.9243267961515202E-2</v>
      </c>
      <c r="Q837">
        <v>3.3825673125716299E-2</v>
      </c>
      <c r="R837">
        <v>0.99884348438318404</v>
      </c>
      <c r="S837" t="s">
        <v>5577</v>
      </c>
      <c r="T837" t="s">
        <v>9478</v>
      </c>
      <c r="U837" t="s">
        <v>9478</v>
      </c>
      <c r="V837" t="s">
        <v>9478</v>
      </c>
      <c r="W837">
        <v>6</v>
      </c>
      <c r="X837" t="s">
        <v>10315</v>
      </c>
      <c r="Y837">
        <v>0.31375456736237239</v>
      </c>
      <c r="Z837" t="str">
        <f>HYPERLINK("Melting_Curves/meltCurve_sp_P18085_ARF4_HUMAN_.pdf", "Melting_Curves/meltCurve_sp_P18085_ARF4_HUMAN_.pdf")</f>
        <v>Melting_Curves/meltCurve_sp_P18085_ARF4_HUMAN_.pdf</v>
      </c>
      <c r="AA837" t="s">
        <v>15039</v>
      </c>
      <c r="AB837" t="s">
        <v>19672</v>
      </c>
    </row>
    <row r="838" spans="1:28" x14ac:dyDescent="0.25">
      <c r="A838" t="s">
        <v>842</v>
      </c>
      <c r="B838">
        <v>0.99904790336628502</v>
      </c>
      <c r="C838">
        <v>0.99634317163557395</v>
      </c>
      <c r="D838">
        <v>1.03570868287461</v>
      </c>
      <c r="E838">
        <v>1.0445483689723001</v>
      </c>
      <c r="F838">
        <v>0.92151845666063603</v>
      </c>
      <c r="G838">
        <v>0.87043842510636704</v>
      </c>
      <c r="H838">
        <v>0.69925274616003097</v>
      </c>
      <c r="I838">
        <v>0.70842277727132597</v>
      </c>
      <c r="J838">
        <v>0.42534143803104402</v>
      </c>
      <c r="K838">
        <v>8.2605104768686599E-2</v>
      </c>
      <c r="L838">
        <v>1242.97811059532</v>
      </c>
      <c r="M838">
        <v>19.065834421123199</v>
      </c>
      <c r="N838">
        <v>65.194028805051005</v>
      </c>
      <c r="O838">
        <v>64.489522085903602</v>
      </c>
      <c r="P838">
        <v>-7.3913522228357995E-2</v>
      </c>
      <c r="Q838">
        <v>0</v>
      </c>
      <c r="R838">
        <v>0.93815834400048803</v>
      </c>
      <c r="S838" t="s">
        <v>5578</v>
      </c>
      <c r="T838" t="s">
        <v>9478</v>
      </c>
      <c r="U838" t="s">
        <v>9478</v>
      </c>
      <c r="V838" t="s">
        <v>9478</v>
      </c>
      <c r="W838">
        <v>78</v>
      </c>
      <c r="X838" t="s">
        <v>10316</v>
      </c>
      <c r="Y838">
        <v>0.82424870546966567</v>
      </c>
      <c r="Z838" t="str">
        <f>HYPERLINK("Melting_Curves/meltCurve_sp_P18206_2_VINC_HUMAN_.pdf", "Melting_Curves/meltCurve_sp_P18206_2_VINC_HUMAN_.pdf")</f>
        <v>Melting_Curves/meltCurve_sp_P18206_2_VINC_HUMAN_.pdf</v>
      </c>
      <c r="AA838" t="s">
        <v>15040</v>
      </c>
      <c r="AB838" t="s">
        <v>19673</v>
      </c>
    </row>
    <row r="839" spans="1:28" x14ac:dyDescent="0.25">
      <c r="A839" t="s">
        <v>843</v>
      </c>
      <c r="B839">
        <v>0.99904790336628502</v>
      </c>
      <c r="C839">
        <v>0.66097653735554296</v>
      </c>
      <c r="D839">
        <v>0.625098191994645</v>
      </c>
      <c r="E839">
        <v>0.49759638070029999</v>
      </c>
      <c r="F839">
        <v>0.32367308670088502</v>
      </c>
      <c r="G839">
        <v>0.19852656832146101</v>
      </c>
      <c r="H839">
        <v>0.11109493328136601</v>
      </c>
      <c r="I839">
        <v>7.0943868380997796E-2</v>
      </c>
      <c r="J839">
        <v>4.1687184441692199E-2</v>
      </c>
      <c r="K839">
        <v>3.0883662662040699E-2</v>
      </c>
      <c r="L839">
        <v>470.27642661132597</v>
      </c>
      <c r="M839">
        <v>9.6646314370604607</v>
      </c>
      <c r="N839">
        <v>48.6595305012208</v>
      </c>
      <c r="O839">
        <v>46.713209308640401</v>
      </c>
      <c r="P839">
        <v>-5.1751881389569397E-2</v>
      </c>
      <c r="Q839">
        <v>0</v>
      </c>
      <c r="R839">
        <v>0.96605350907896004</v>
      </c>
      <c r="S839" t="s">
        <v>5579</v>
      </c>
      <c r="T839" t="s">
        <v>9478</v>
      </c>
      <c r="U839" t="s">
        <v>9478</v>
      </c>
      <c r="V839" t="s">
        <v>9478</v>
      </c>
      <c r="W839">
        <v>13</v>
      </c>
      <c r="X839" t="s">
        <v>10317</v>
      </c>
      <c r="Y839">
        <v>0.34153187804073148</v>
      </c>
      <c r="Z839" t="str">
        <f>HYPERLINK("Melting_Curves/meltCurve_sp_P18283_GPX2_HUMAN_.pdf", "Melting_Curves/meltCurve_sp_P18283_GPX2_HUMAN_.pdf")</f>
        <v>Melting_Curves/meltCurve_sp_P18283_GPX2_HUMAN_.pdf</v>
      </c>
      <c r="AA839" t="s">
        <v>15041</v>
      </c>
      <c r="AB839" t="s">
        <v>19674</v>
      </c>
    </row>
    <row r="840" spans="1:28" x14ac:dyDescent="0.25">
      <c r="A840" t="s">
        <v>844</v>
      </c>
      <c r="B840">
        <v>0.99904790336628502</v>
      </c>
      <c r="C840">
        <v>0.94049244629587603</v>
      </c>
      <c r="D840">
        <v>0.88151762607803497</v>
      </c>
      <c r="E840">
        <v>1.1581938935439799</v>
      </c>
      <c r="F840">
        <v>0.87365267142712699</v>
      </c>
      <c r="G840">
        <v>0.61984962351133799</v>
      </c>
      <c r="H840">
        <v>0.600881857392215</v>
      </c>
      <c r="I840">
        <v>0.222621678603627</v>
      </c>
      <c r="J840">
        <v>0.10324521059667099</v>
      </c>
      <c r="K840">
        <v>0.13045069645360599</v>
      </c>
      <c r="L840">
        <v>996.97093058340602</v>
      </c>
      <c r="M840">
        <v>16.516590638569902</v>
      </c>
      <c r="N840">
        <v>60.361797347809599</v>
      </c>
      <c r="O840">
        <v>59.497750077720397</v>
      </c>
      <c r="P840">
        <v>-6.9404870269350202E-2</v>
      </c>
      <c r="Q840">
        <v>0</v>
      </c>
      <c r="R840">
        <v>0.92917542869172398</v>
      </c>
      <c r="S840" t="s">
        <v>5580</v>
      </c>
      <c r="T840" t="s">
        <v>9478</v>
      </c>
      <c r="U840" t="s">
        <v>9478</v>
      </c>
      <c r="V840" t="s">
        <v>9478</v>
      </c>
      <c r="W840">
        <v>1</v>
      </c>
      <c r="X840" t="s">
        <v>10318</v>
      </c>
      <c r="Y840">
        <v>0.68533896127107441</v>
      </c>
      <c r="Z840" t="str">
        <f>HYPERLINK("Melting_Curves/meltCurve_sp_P18428_LBP_HUMAN_.pdf", "Melting_Curves/meltCurve_sp_P18428_LBP_HUMAN_.pdf")</f>
        <v>Melting_Curves/meltCurve_sp_P18428_LBP_HUMAN_.pdf</v>
      </c>
      <c r="AA840" t="s">
        <v>15042</v>
      </c>
      <c r="AB840" t="s">
        <v>19675</v>
      </c>
    </row>
    <row r="841" spans="1:28" x14ac:dyDescent="0.25">
      <c r="A841" t="s">
        <v>845</v>
      </c>
      <c r="B841">
        <v>0.99904790336628502</v>
      </c>
      <c r="C841">
        <v>0.89265435956801598</v>
      </c>
      <c r="D841">
        <v>0.66755961045067003</v>
      </c>
      <c r="E841">
        <v>0.455191240094097</v>
      </c>
      <c r="F841">
        <v>0.23495613449071101</v>
      </c>
      <c r="G841">
        <v>0.131212843072571</v>
      </c>
      <c r="H841">
        <v>0.10565572189630699</v>
      </c>
      <c r="I841">
        <v>9.3704751778523096E-2</v>
      </c>
      <c r="J841">
        <v>9.0316510290773797E-2</v>
      </c>
      <c r="K841">
        <v>6.2501742703319499E-2</v>
      </c>
      <c r="L841">
        <v>750.14076636801201</v>
      </c>
      <c r="M841">
        <v>15.530938123825001</v>
      </c>
      <c r="N841">
        <v>48.745464854847498</v>
      </c>
      <c r="O841">
        <v>47.520269170232503</v>
      </c>
      <c r="P841">
        <v>-7.6305467619190798E-2</v>
      </c>
      <c r="Q841">
        <v>6.6189887180971699E-2</v>
      </c>
      <c r="R841">
        <v>0.99526033682582904</v>
      </c>
      <c r="S841" t="s">
        <v>5581</v>
      </c>
      <c r="T841" t="s">
        <v>9478</v>
      </c>
      <c r="U841" t="s">
        <v>9478</v>
      </c>
      <c r="V841" t="s">
        <v>9478</v>
      </c>
      <c r="W841">
        <v>1</v>
      </c>
      <c r="X841" t="s">
        <v>10319</v>
      </c>
      <c r="Y841">
        <v>0.34667690121911587</v>
      </c>
      <c r="Z841" t="str">
        <f>HYPERLINK("Melting_Curves/meltCurve_sp_P18440_ARY1_HUMAN_.pdf", "Melting_Curves/meltCurve_sp_P18440_ARY1_HUMAN_.pdf")</f>
        <v>Melting_Curves/meltCurve_sp_P18440_ARY1_HUMAN_.pdf</v>
      </c>
      <c r="AA841" t="s">
        <v>15043</v>
      </c>
      <c r="AB841" t="s">
        <v>19676</v>
      </c>
    </row>
    <row r="842" spans="1:28" x14ac:dyDescent="0.25">
      <c r="A842" t="s">
        <v>846</v>
      </c>
      <c r="B842">
        <v>0.99904790336628502</v>
      </c>
      <c r="C842">
        <v>0.88009921087585397</v>
      </c>
      <c r="D842">
        <v>0.89993345862254703</v>
      </c>
      <c r="E842">
        <v>0.80457578409796704</v>
      </c>
      <c r="F842">
        <v>0.69545598428016997</v>
      </c>
      <c r="G842">
        <v>0.342780627008756</v>
      </c>
      <c r="H842">
        <v>0.19211980156388</v>
      </c>
      <c r="I842">
        <v>0.15199925802349501</v>
      </c>
      <c r="J842">
        <v>0.168280550380105</v>
      </c>
      <c r="K842">
        <v>0.16730842961126</v>
      </c>
      <c r="L842">
        <v>919.73333740436601</v>
      </c>
      <c r="M842">
        <v>17.0338146089526</v>
      </c>
      <c r="N842">
        <v>54.853202096678601</v>
      </c>
      <c r="O842">
        <v>53.266855574323898</v>
      </c>
      <c r="P842">
        <v>-7.0594358487729797E-2</v>
      </c>
      <c r="Q842">
        <v>0.1170247660748</v>
      </c>
      <c r="R842">
        <v>0.97897473277127101</v>
      </c>
      <c r="S842" t="s">
        <v>5582</v>
      </c>
      <c r="T842" t="s">
        <v>9478</v>
      </c>
      <c r="U842" t="s">
        <v>9478</v>
      </c>
      <c r="V842" t="s">
        <v>9478</v>
      </c>
      <c r="W842">
        <v>3</v>
      </c>
      <c r="X842" t="s">
        <v>10320</v>
      </c>
      <c r="Y842">
        <v>0.54422591249836261</v>
      </c>
      <c r="Z842" t="str">
        <f>HYPERLINK("Melting_Curves/meltCurve_sp_P18510_4_IL1RA_HUMAN_.pdf", "Melting_Curves/meltCurve_sp_P18510_4_IL1RA_HUMAN_.pdf")</f>
        <v>Melting_Curves/meltCurve_sp_P18510_4_IL1RA_HUMAN_.pdf</v>
      </c>
      <c r="AA842" t="s">
        <v>15044</v>
      </c>
      <c r="AB842" t="s">
        <v>19677</v>
      </c>
    </row>
    <row r="843" spans="1:28" x14ac:dyDescent="0.25">
      <c r="A843" t="s">
        <v>847</v>
      </c>
      <c r="B843">
        <v>0.99904790336628502</v>
      </c>
      <c r="C843">
        <v>0.96970664646234594</v>
      </c>
      <c r="D843">
        <v>0.92897293075532805</v>
      </c>
      <c r="E843">
        <v>0.91566459094695596</v>
      </c>
      <c r="F843">
        <v>1.02932114170231</v>
      </c>
      <c r="G843">
        <v>0.67510780723681996</v>
      </c>
      <c r="H843">
        <v>0.59007087125124402</v>
      </c>
      <c r="I843">
        <v>0.65891527072537404</v>
      </c>
      <c r="J843">
        <v>0.66813917498237996</v>
      </c>
      <c r="K843">
        <v>0.63752820362737594</v>
      </c>
      <c r="L843">
        <v>14125.3008620032</v>
      </c>
      <c r="M843">
        <v>250</v>
      </c>
      <c r="O843">
        <v>56.497587837667702</v>
      </c>
      <c r="P843">
        <v>-0.39972572178536903</v>
      </c>
      <c r="Q843">
        <v>0.63866337577065002</v>
      </c>
      <c r="R843">
        <v>0.93581557020015804</v>
      </c>
      <c r="S843" t="s">
        <v>5583</v>
      </c>
      <c r="T843" t="s">
        <v>9478</v>
      </c>
      <c r="U843" t="s">
        <v>9478</v>
      </c>
      <c r="V843" t="s">
        <v>9478</v>
      </c>
      <c r="W843">
        <v>5</v>
      </c>
      <c r="X843" t="s">
        <v>10321</v>
      </c>
      <c r="Y843">
        <v>0.83744884377327566</v>
      </c>
      <c r="Z843" t="str">
        <f>HYPERLINK("Melting_Curves/meltCurve_sp_P18583_6_SON_HUMAN_.pdf", "Melting_Curves/meltCurve_sp_P18583_6_SON_HUMAN_.pdf")</f>
        <v>Melting_Curves/meltCurve_sp_P18583_6_SON_HUMAN_.pdf</v>
      </c>
      <c r="AA843" t="s">
        <v>15045</v>
      </c>
      <c r="AB843" t="s">
        <v>19678</v>
      </c>
    </row>
    <row r="844" spans="1:28" x14ac:dyDescent="0.25">
      <c r="A844" t="s">
        <v>848</v>
      </c>
      <c r="B844">
        <v>0.99904790336628502</v>
      </c>
      <c r="C844">
        <v>1.10431178718628</v>
      </c>
      <c r="D844">
        <v>1.10411197475434</v>
      </c>
      <c r="E844">
        <v>1.0219241021474299</v>
      </c>
      <c r="F844">
        <v>0.99973146271500501</v>
      </c>
      <c r="G844">
        <v>0.56477308711201002</v>
      </c>
      <c r="H844">
        <v>0.54738694456418102</v>
      </c>
      <c r="I844">
        <v>0.48650889582393803</v>
      </c>
      <c r="J844">
        <v>0.54219416923616204</v>
      </c>
      <c r="K844">
        <v>0.60088285823927801</v>
      </c>
      <c r="L844">
        <v>7877.0864632581297</v>
      </c>
      <c r="M844">
        <v>141.24841366403601</v>
      </c>
      <c r="O844">
        <v>55.756433121585601</v>
      </c>
      <c r="P844">
        <v>-0.28864397785524298</v>
      </c>
      <c r="Q844">
        <v>0.54424243132856198</v>
      </c>
      <c r="R844">
        <v>0.95487660150016296</v>
      </c>
      <c r="S844" t="s">
        <v>5584</v>
      </c>
      <c r="T844" t="s">
        <v>9478</v>
      </c>
      <c r="U844" t="s">
        <v>9478</v>
      </c>
      <c r="V844" t="s">
        <v>9478</v>
      </c>
      <c r="W844">
        <v>3</v>
      </c>
      <c r="X844" t="s">
        <v>10322</v>
      </c>
      <c r="Y844">
        <v>0.78392248638583495</v>
      </c>
      <c r="Z844" t="str">
        <f>HYPERLINK("Melting_Curves/meltCurve_sp_P18615_NELFE_HUMAN_.pdf", "Melting_Curves/meltCurve_sp_P18615_NELFE_HUMAN_.pdf")</f>
        <v>Melting_Curves/meltCurve_sp_P18615_NELFE_HUMAN_.pdf</v>
      </c>
      <c r="AA844" t="s">
        <v>15046</v>
      </c>
      <c r="AB844" t="s">
        <v>19679</v>
      </c>
    </row>
    <row r="845" spans="1:28" x14ac:dyDescent="0.25">
      <c r="A845" t="s">
        <v>849</v>
      </c>
      <c r="B845">
        <v>0.99904790336628502</v>
      </c>
      <c r="C845">
        <v>0.91140139578967005</v>
      </c>
      <c r="D845">
        <v>0.94759199258314597</v>
      </c>
      <c r="E845">
        <v>0.94715338734992405</v>
      </c>
      <c r="F845">
        <v>0.91885785028362199</v>
      </c>
      <c r="G845">
        <v>0.465417868720433</v>
      </c>
      <c r="H845">
        <v>9.9250397425139303E-2</v>
      </c>
      <c r="I845">
        <v>6.1830362573517497E-2</v>
      </c>
      <c r="J845">
        <v>4.7264410121178303E-2</v>
      </c>
      <c r="K845">
        <v>3.83496356595555E-2</v>
      </c>
      <c r="L845">
        <v>1946.4650933775099</v>
      </c>
      <c r="M845">
        <v>34.388591758458801</v>
      </c>
      <c r="N845">
        <v>56.732064842760302</v>
      </c>
      <c r="O845">
        <v>56.4116803888449</v>
      </c>
      <c r="P845">
        <v>-0.14662627509538301</v>
      </c>
      <c r="Q845">
        <v>3.7889899423463602E-2</v>
      </c>
      <c r="R845">
        <v>0.99276360499599803</v>
      </c>
      <c r="S845" t="s">
        <v>5585</v>
      </c>
      <c r="T845" t="s">
        <v>9478</v>
      </c>
      <c r="U845" t="s">
        <v>9478</v>
      </c>
      <c r="V845" t="s">
        <v>9478</v>
      </c>
      <c r="W845">
        <v>21</v>
      </c>
      <c r="X845" t="s">
        <v>10323</v>
      </c>
      <c r="Y845">
        <v>0.57531329343494375</v>
      </c>
      <c r="Z845" t="str">
        <f>HYPERLINK("Melting_Curves/meltCurve_sp_P18669_PGAM1_HUMAN_.pdf", "Melting_Curves/meltCurve_sp_P18669_PGAM1_HUMAN_.pdf")</f>
        <v>Melting_Curves/meltCurve_sp_P18669_PGAM1_HUMAN_.pdf</v>
      </c>
      <c r="AA845" t="s">
        <v>15047</v>
      </c>
      <c r="AB845" t="s">
        <v>19680</v>
      </c>
    </row>
    <row r="846" spans="1:28" x14ac:dyDescent="0.25">
      <c r="A846" t="s">
        <v>850</v>
      </c>
      <c r="B846">
        <v>0.99904790336628502</v>
      </c>
      <c r="C846">
        <v>1.1563742068305201</v>
      </c>
      <c r="D846">
        <v>1.1608756434441201</v>
      </c>
      <c r="E846">
        <v>1.0649477072815701</v>
      </c>
      <c r="F846">
        <v>0.90712674836349605</v>
      </c>
      <c r="G846">
        <v>0.72411361999593904</v>
      </c>
      <c r="H846">
        <v>0.47354812811869501</v>
      </c>
      <c r="I846">
        <v>0.524876916049269</v>
      </c>
      <c r="J846">
        <v>0.44965238518748701</v>
      </c>
      <c r="K846">
        <v>0.59847324418960302</v>
      </c>
      <c r="L846">
        <v>2084.4027269150602</v>
      </c>
      <c r="M846">
        <v>37.031938566402303</v>
      </c>
      <c r="O846">
        <v>56.1232393095639</v>
      </c>
      <c r="P846">
        <v>-8.1303591120914606E-2</v>
      </c>
      <c r="Q846">
        <v>0.50712728798772699</v>
      </c>
      <c r="R846">
        <v>0.89893997457784702</v>
      </c>
      <c r="S846" t="s">
        <v>5586</v>
      </c>
      <c r="T846" t="s">
        <v>9478</v>
      </c>
      <c r="U846" t="s">
        <v>9478</v>
      </c>
      <c r="V846" t="s">
        <v>9478</v>
      </c>
      <c r="W846">
        <v>2</v>
      </c>
      <c r="X846" t="s">
        <v>10324</v>
      </c>
      <c r="Y846">
        <v>0.77691364627783877</v>
      </c>
      <c r="Z846" t="str">
        <f>HYPERLINK("Melting_Curves/meltCurve_sp_P18827_SDC1_HUMAN_.pdf", "Melting_Curves/meltCurve_sp_P18827_SDC1_HUMAN_.pdf")</f>
        <v>Melting_Curves/meltCurve_sp_P18827_SDC1_HUMAN_.pdf</v>
      </c>
      <c r="AA846" t="s">
        <v>15048</v>
      </c>
      <c r="AB846" t="s">
        <v>19681</v>
      </c>
    </row>
    <row r="847" spans="1:28" x14ac:dyDescent="0.25">
      <c r="A847" t="s">
        <v>851</v>
      </c>
      <c r="B847">
        <v>0.99904790336628502</v>
      </c>
      <c r="C847">
        <v>1.00108223108757</v>
      </c>
      <c r="D847">
        <v>0.91524511939798403</v>
      </c>
      <c r="E847">
        <v>0.79694202650035995</v>
      </c>
      <c r="F847">
        <v>0.76154334748004104</v>
      </c>
      <c r="G847">
        <v>0.58879163787357103</v>
      </c>
      <c r="H847">
        <v>0.55273353057547303</v>
      </c>
      <c r="I847">
        <v>0.57378429290872401</v>
      </c>
      <c r="J847">
        <v>0.73815191342486097</v>
      </c>
      <c r="K847">
        <v>0.826868403183038</v>
      </c>
      <c r="L847">
        <v>1136.0349307325801</v>
      </c>
      <c r="M847">
        <v>23.180925370365799</v>
      </c>
      <c r="O847">
        <v>48.646977399682001</v>
      </c>
      <c r="P847">
        <v>-4.03265784439302E-2</v>
      </c>
      <c r="Q847">
        <v>0.66149230143040705</v>
      </c>
      <c r="R847">
        <v>0.74388391468817405</v>
      </c>
      <c r="S847" t="s">
        <v>5587</v>
      </c>
      <c r="T847" t="s">
        <v>9478</v>
      </c>
      <c r="U847" t="s">
        <v>9478</v>
      </c>
      <c r="V847" t="s">
        <v>9478</v>
      </c>
      <c r="W847">
        <v>5</v>
      </c>
      <c r="X847" t="s">
        <v>10325</v>
      </c>
      <c r="Y847">
        <v>0.76663192676149916</v>
      </c>
      <c r="Z847" t="str">
        <f>HYPERLINK("Melting_Curves/meltCurve_sp_P18859_ATP5J_HUMAN_.pdf", "Melting_Curves/meltCurve_sp_P18859_ATP5J_HUMAN_.pdf")</f>
        <v>Melting_Curves/meltCurve_sp_P18859_ATP5J_HUMAN_.pdf</v>
      </c>
      <c r="AA847" t="s">
        <v>15049</v>
      </c>
      <c r="AB847" t="s">
        <v>19682</v>
      </c>
    </row>
    <row r="848" spans="1:28" x14ac:dyDescent="0.25">
      <c r="A848" t="s">
        <v>852</v>
      </c>
      <c r="B848">
        <v>0.99904790336628502</v>
      </c>
      <c r="C848">
        <v>1.08269979292631</v>
      </c>
      <c r="D848">
        <v>1.04034244706249</v>
      </c>
      <c r="E848">
        <v>0.92021586110054798</v>
      </c>
      <c r="F848">
        <v>0.79411256015884801</v>
      </c>
      <c r="G848">
        <v>0.59236717299763997</v>
      </c>
      <c r="H848">
        <v>0.48287982093979398</v>
      </c>
      <c r="I848">
        <v>0.38158394947109397</v>
      </c>
      <c r="J848">
        <v>0.42090306783763598</v>
      </c>
      <c r="K848">
        <v>0.32834169084270998</v>
      </c>
      <c r="L848">
        <v>1017.29906176551</v>
      </c>
      <c r="M848">
        <v>18.335241778019</v>
      </c>
      <c r="N848">
        <v>59.425644556744203</v>
      </c>
      <c r="O848">
        <v>54.835899671598497</v>
      </c>
      <c r="P848">
        <v>-5.4182239574749602E-2</v>
      </c>
      <c r="Q848">
        <v>0.35185020552762702</v>
      </c>
      <c r="R848">
        <v>0.98086228538586195</v>
      </c>
      <c r="S848" t="s">
        <v>5588</v>
      </c>
      <c r="T848" t="s">
        <v>9478</v>
      </c>
      <c r="U848" t="s">
        <v>9478</v>
      </c>
      <c r="V848" t="s">
        <v>9478</v>
      </c>
      <c r="W848">
        <v>8</v>
      </c>
      <c r="X848" t="s">
        <v>10326</v>
      </c>
      <c r="Y848">
        <v>0.69595013603997413</v>
      </c>
      <c r="Z848" t="str">
        <f>HYPERLINK("Melting_Curves/meltCurve_sp_P19105_ML12A_HUMAN_.pdf", "Melting_Curves/meltCurve_sp_P19105_ML12A_HUMAN_.pdf")</f>
        <v>Melting_Curves/meltCurve_sp_P19105_ML12A_HUMAN_.pdf</v>
      </c>
      <c r="AA848" t="s">
        <v>15050</v>
      </c>
      <c r="AB848" t="s">
        <v>19683</v>
      </c>
    </row>
    <row r="849" spans="1:28" x14ac:dyDescent="0.25">
      <c r="A849" t="s">
        <v>853</v>
      </c>
      <c r="B849">
        <v>0.99904790336628502</v>
      </c>
      <c r="C849">
        <v>1.02793584612397</v>
      </c>
      <c r="D849">
        <v>1.0990799371806399</v>
      </c>
      <c r="E849">
        <v>0.51825329005087295</v>
      </c>
      <c r="F849">
        <v>0.226479614579503</v>
      </c>
      <c r="G849">
        <v>0.15001430768992899</v>
      </c>
      <c r="H849">
        <v>3.9878597227413402E-2</v>
      </c>
      <c r="I849">
        <v>3.19127115071327E-2</v>
      </c>
      <c r="J849">
        <v>3.0473923543478599E-2</v>
      </c>
      <c r="K849">
        <v>2.9716101385763E-2</v>
      </c>
      <c r="L849">
        <v>1806.7070253536599</v>
      </c>
      <c r="M849">
        <v>35.993454982854502</v>
      </c>
      <c r="N849">
        <v>50.3685532492335</v>
      </c>
      <c r="O849">
        <v>50.041244715266103</v>
      </c>
      <c r="P849">
        <v>-0.16935717145287901</v>
      </c>
      <c r="Q849">
        <v>5.8182452573884998E-2</v>
      </c>
      <c r="R849">
        <v>0.98320447632219299</v>
      </c>
      <c r="S849" t="s">
        <v>5589</v>
      </c>
      <c r="T849" t="s">
        <v>9478</v>
      </c>
      <c r="U849" t="s">
        <v>9478</v>
      </c>
      <c r="V849" t="s">
        <v>9478</v>
      </c>
      <c r="W849">
        <v>4</v>
      </c>
      <c r="X849" t="s">
        <v>10327</v>
      </c>
      <c r="Y849">
        <v>0.38230170026980398</v>
      </c>
      <c r="Z849" t="str">
        <f>HYPERLINK("Melting_Curves/meltCurve_sp_P19174_PLCG1_HUMAN_.pdf", "Melting_Curves/meltCurve_sp_P19174_PLCG1_HUMAN_.pdf")</f>
        <v>Melting_Curves/meltCurve_sp_P19174_PLCG1_HUMAN_.pdf</v>
      </c>
      <c r="AA849" t="s">
        <v>15051</v>
      </c>
      <c r="AB849" t="s">
        <v>19684</v>
      </c>
    </row>
    <row r="850" spans="1:28" x14ac:dyDescent="0.25">
      <c r="A850" t="s">
        <v>854</v>
      </c>
      <c r="B850">
        <v>0.99904790336628502</v>
      </c>
      <c r="C850">
        <v>1.00888956424522</v>
      </c>
      <c r="D850">
        <v>1.0305064236863799</v>
      </c>
      <c r="E850">
        <v>1.0226369660180601</v>
      </c>
      <c r="F850">
        <v>0.95604970225240504</v>
      </c>
      <c r="G850">
        <v>0.78683903925758603</v>
      </c>
      <c r="H850">
        <v>0.64120849135554803</v>
      </c>
      <c r="I850">
        <v>0.60975244161722897</v>
      </c>
      <c r="J850">
        <v>0.59533359746846404</v>
      </c>
      <c r="K850">
        <v>0.52564777921486205</v>
      </c>
      <c r="L850">
        <v>1442.2147459385001</v>
      </c>
      <c r="M850">
        <v>25.132068859545299</v>
      </c>
      <c r="O850">
        <v>57.025798838344301</v>
      </c>
      <c r="P850">
        <v>-4.8522403781987397E-2</v>
      </c>
      <c r="Q850">
        <v>0.55960761809899195</v>
      </c>
      <c r="R850">
        <v>0.98760301064116196</v>
      </c>
      <c r="S850" t="s">
        <v>5590</v>
      </c>
      <c r="T850" t="s">
        <v>9478</v>
      </c>
      <c r="U850" t="s">
        <v>9478</v>
      </c>
      <c r="V850" t="s">
        <v>9478</v>
      </c>
      <c r="W850">
        <v>36</v>
      </c>
      <c r="X850" t="s">
        <v>10328</v>
      </c>
      <c r="Y850">
        <v>0.81871363494599647</v>
      </c>
      <c r="Z850" t="str">
        <f>HYPERLINK("Melting_Curves/meltCurve_sp_P19338_NUCL_HUMAN_.pdf", "Melting_Curves/meltCurve_sp_P19338_NUCL_HUMAN_.pdf")</f>
        <v>Melting_Curves/meltCurve_sp_P19338_NUCL_HUMAN_.pdf</v>
      </c>
      <c r="AA850" t="s">
        <v>15052</v>
      </c>
      <c r="AB850" t="s">
        <v>19685</v>
      </c>
    </row>
    <row r="851" spans="1:28" x14ac:dyDescent="0.25">
      <c r="A851" t="s">
        <v>855</v>
      </c>
      <c r="B851">
        <v>0.99904790336628502</v>
      </c>
      <c r="C851">
        <v>1.0653839825435001</v>
      </c>
      <c r="D851">
        <v>1.04606134239229</v>
      </c>
      <c r="E851">
        <v>0.79354020257227897</v>
      </c>
      <c r="F851">
        <v>0.46610704752520798</v>
      </c>
      <c r="G851">
        <v>0.19121146217478199</v>
      </c>
      <c r="H851">
        <v>8.7682438532000695E-2</v>
      </c>
      <c r="I851">
        <v>7.80726609404441E-2</v>
      </c>
      <c r="J851">
        <v>4.3626436486672603E-2</v>
      </c>
      <c r="K851">
        <v>5.5294932765273898E-2</v>
      </c>
      <c r="L851">
        <v>1380.8659297101599</v>
      </c>
      <c r="M851">
        <v>26.2852535612415</v>
      </c>
      <c r="N851">
        <v>52.794265854520198</v>
      </c>
      <c r="O851">
        <v>52.232640781240903</v>
      </c>
      <c r="P851">
        <v>-0.118160962303033</v>
      </c>
      <c r="Q851">
        <v>6.0798217888295099E-2</v>
      </c>
      <c r="R851">
        <v>0.99412013215436301</v>
      </c>
      <c r="S851" t="s">
        <v>5591</v>
      </c>
      <c r="T851" t="s">
        <v>9478</v>
      </c>
      <c r="U851" t="s">
        <v>9478</v>
      </c>
      <c r="V851" t="s">
        <v>9478</v>
      </c>
      <c r="W851">
        <v>1</v>
      </c>
      <c r="X851" t="s">
        <v>10329</v>
      </c>
      <c r="Y851">
        <v>0.46102069519462457</v>
      </c>
      <c r="Z851" t="str">
        <f>HYPERLINK("Melting_Curves/meltCurve_sp_P19367_4_HXK1_HUMAN_.pdf", "Melting_Curves/meltCurve_sp_P19367_4_HXK1_HUMAN_.pdf")</f>
        <v>Melting_Curves/meltCurve_sp_P19367_4_HXK1_HUMAN_.pdf</v>
      </c>
      <c r="AA851" t="s">
        <v>15053</v>
      </c>
      <c r="AB851" t="s">
        <v>19686</v>
      </c>
    </row>
    <row r="852" spans="1:28" x14ac:dyDescent="0.25">
      <c r="A852" t="s">
        <v>856</v>
      </c>
      <c r="B852">
        <v>0.99904790336628502</v>
      </c>
      <c r="C852">
        <v>0.77045209453661301</v>
      </c>
      <c r="D852">
        <v>0.92237877236937305</v>
      </c>
      <c r="E852">
        <v>0.68678536033000004</v>
      </c>
      <c r="F852">
        <v>0.39093468592813801</v>
      </c>
      <c r="G852">
        <v>7.23381300405435E-2</v>
      </c>
      <c r="H852">
        <v>0.21619822949956599</v>
      </c>
      <c r="I852">
        <v>9.7807772941457302E-2</v>
      </c>
      <c r="J852">
        <v>0.11135891654675301</v>
      </c>
      <c r="K852">
        <v>6.7107308046525899E-2</v>
      </c>
      <c r="L852">
        <v>1079.16218419652</v>
      </c>
      <c r="M852">
        <v>21.1089162216246</v>
      </c>
      <c r="N852">
        <v>51.603496498882599</v>
      </c>
      <c r="O852">
        <v>50.671336792897399</v>
      </c>
      <c r="P852">
        <v>-9.4865902130158705E-2</v>
      </c>
      <c r="Q852">
        <v>8.9132558110889895E-2</v>
      </c>
      <c r="R852">
        <v>0.94497285409328402</v>
      </c>
      <c r="S852" t="s">
        <v>5592</v>
      </c>
      <c r="T852" t="s">
        <v>9478</v>
      </c>
      <c r="U852" t="s">
        <v>9478</v>
      </c>
      <c r="V852" t="s">
        <v>9478</v>
      </c>
      <c r="W852">
        <v>3</v>
      </c>
      <c r="X852" t="s">
        <v>10330</v>
      </c>
      <c r="Y852">
        <v>0.43829013155386692</v>
      </c>
      <c r="Z852" t="str">
        <f>HYPERLINK("Melting_Curves/meltCurve_sp_P19388_RPAB1_HUMAN_.pdf", "Melting_Curves/meltCurve_sp_P19388_RPAB1_HUMAN_.pdf")</f>
        <v>Melting_Curves/meltCurve_sp_P19388_RPAB1_HUMAN_.pdf</v>
      </c>
      <c r="AA852" t="s">
        <v>15054</v>
      </c>
      <c r="AB852" t="s">
        <v>19687</v>
      </c>
    </row>
    <row r="853" spans="1:28" x14ac:dyDescent="0.25">
      <c r="A853" t="s">
        <v>857</v>
      </c>
      <c r="B853">
        <v>0.99904790336628502</v>
      </c>
      <c r="C853">
        <v>0.96394757322713498</v>
      </c>
      <c r="D853">
        <v>0.95060436939498605</v>
      </c>
      <c r="E853">
        <v>0.88695232651025802</v>
      </c>
      <c r="F853">
        <v>0.83043533563024996</v>
      </c>
      <c r="G853">
        <v>0.71326531709276797</v>
      </c>
      <c r="H853">
        <v>0.52461643357167498</v>
      </c>
      <c r="I853">
        <v>0.41273359148188699</v>
      </c>
      <c r="J853">
        <v>0.36600712610406699</v>
      </c>
      <c r="K853">
        <v>0.27127904156334198</v>
      </c>
      <c r="L853">
        <v>564.78205477633196</v>
      </c>
      <c r="M853">
        <v>9.1576018478167001</v>
      </c>
      <c r="N853">
        <v>62.082571540368903</v>
      </c>
      <c r="O853">
        <v>58.9462300186064</v>
      </c>
      <c r="P853">
        <v>-3.7727480400946499E-2</v>
      </c>
      <c r="Q853">
        <v>2.9273506332115999E-2</v>
      </c>
      <c r="R853">
        <v>0.99655583501172795</v>
      </c>
      <c r="S853" t="s">
        <v>5593</v>
      </c>
      <c r="T853" t="s">
        <v>9478</v>
      </c>
      <c r="U853" t="s">
        <v>9478</v>
      </c>
      <c r="V853" t="s">
        <v>9478</v>
      </c>
      <c r="W853">
        <v>10</v>
      </c>
      <c r="X853" t="s">
        <v>10331</v>
      </c>
      <c r="Y853">
        <v>0.70769401838615009</v>
      </c>
      <c r="Z853" t="str">
        <f>HYPERLINK("Melting_Curves/meltCurve_sp_P19404_NDUV2_HUMAN_.pdf", "Melting_Curves/meltCurve_sp_P19404_NDUV2_HUMAN_.pdf")</f>
        <v>Melting_Curves/meltCurve_sp_P19404_NDUV2_HUMAN_.pdf</v>
      </c>
      <c r="AA853" t="s">
        <v>15055</v>
      </c>
      <c r="AB853" t="s">
        <v>19688</v>
      </c>
    </row>
    <row r="854" spans="1:28" x14ac:dyDescent="0.25">
      <c r="A854" t="s">
        <v>858</v>
      </c>
      <c r="B854">
        <v>0.99904790336628502</v>
      </c>
      <c r="C854">
        <v>0.99402336878200204</v>
      </c>
      <c r="D854">
        <v>0.67799894920841097</v>
      </c>
      <c r="E854">
        <v>0.54237045446843402</v>
      </c>
      <c r="F854">
        <v>0.42565420127667702</v>
      </c>
      <c r="G854">
        <v>0.313489248906478</v>
      </c>
      <c r="H854">
        <v>0.22659595785043599</v>
      </c>
      <c r="I854">
        <v>0.21092783442604399</v>
      </c>
      <c r="J854">
        <v>0.20466725762385399</v>
      </c>
      <c r="K854">
        <v>0.17422779915414599</v>
      </c>
      <c r="L854">
        <v>668.45488671721102</v>
      </c>
      <c r="M854">
        <v>13.604938909627</v>
      </c>
      <c r="N854">
        <v>50.802139365090198</v>
      </c>
      <c r="O854">
        <v>48.1081649735643</v>
      </c>
      <c r="P854">
        <v>-5.7967771857765103E-2</v>
      </c>
      <c r="Q854">
        <v>0.18020618080574199</v>
      </c>
      <c r="R854">
        <v>0.97852076602449301</v>
      </c>
      <c r="S854" t="s">
        <v>5594</v>
      </c>
      <c r="T854" t="s">
        <v>9478</v>
      </c>
      <c r="U854" t="s">
        <v>9478</v>
      </c>
      <c r="V854" t="s">
        <v>9478</v>
      </c>
      <c r="W854">
        <v>12</v>
      </c>
      <c r="X854" t="s">
        <v>10332</v>
      </c>
      <c r="Y854">
        <v>0.45384948911150669</v>
      </c>
      <c r="Z854" t="str">
        <f>HYPERLINK("Melting_Curves/meltCurve_sp_P19525_E2AK2_HUMAN_.pdf", "Melting_Curves/meltCurve_sp_P19525_E2AK2_HUMAN_.pdf")</f>
        <v>Melting_Curves/meltCurve_sp_P19525_E2AK2_HUMAN_.pdf</v>
      </c>
      <c r="AA854" t="s">
        <v>15056</v>
      </c>
      <c r="AB854" t="s">
        <v>19689</v>
      </c>
    </row>
    <row r="855" spans="1:28" x14ac:dyDescent="0.25">
      <c r="A855" t="s">
        <v>859</v>
      </c>
      <c r="B855">
        <v>0.99904790336628502</v>
      </c>
      <c r="C855">
        <v>0.75070710995507395</v>
      </c>
      <c r="D855">
        <v>0.69562734695870698</v>
      </c>
      <c r="E855">
        <v>0.34040940247462897</v>
      </c>
      <c r="F855">
        <v>0.122093663475909</v>
      </c>
      <c r="G855">
        <v>7.5383209196773798E-2</v>
      </c>
      <c r="H855">
        <v>3.8112522905379399E-2</v>
      </c>
      <c r="I855">
        <v>2.43373990227157E-2</v>
      </c>
      <c r="J855">
        <v>1.8966687294606301E-2</v>
      </c>
      <c r="K855">
        <v>1.7259881752073099E-2</v>
      </c>
      <c r="L855">
        <v>742.36843566679499</v>
      </c>
      <c r="M855">
        <v>15.584998775231201</v>
      </c>
      <c r="N855">
        <v>47.648059720154897</v>
      </c>
      <c r="O855">
        <v>46.869961131453898</v>
      </c>
      <c r="P855">
        <v>-8.2939034982983398E-2</v>
      </c>
      <c r="Q855">
        <v>2.3711446347580299E-3</v>
      </c>
      <c r="R855">
        <v>0.98514057741467398</v>
      </c>
      <c r="S855" t="s">
        <v>5595</v>
      </c>
      <c r="T855" t="s">
        <v>9478</v>
      </c>
      <c r="U855" t="s">
        <v>9478</v>
      </c>
      <c r="V855" t="s">
        <v>9478</v>
      </c>
      <c r="W855">
        <v>7</v>
      </c>
      <c r="X855" t="s">
        <v>10333</v>
      </c>
      <c r="Y855">
        <v>0.28041214434658002</v>
      </c>
      <c r="Z855" t="str">
        <f>HYPERLINK("Melting_Curves/meltCurve_sp_P19623_SPEE_HUMAN_.pdf", "Melting_Curves/meltCurve_sp_P19623_SPEE_HUMAN_.pdf")</f>
        <v>Melting_Curves/meltCurve_sp_P19623_SPEE_HUMAN_.pdf</v>
      </c>
      <c r="AA855" t="s">
        <v>15057</v>
      </c>
      <c r="AB855" t="s">
        <v>19690</v>
      </c>
    </row>
    <row r="856" spans="1:28" x14ac:dyDescent="0.25">
      <c r="A856" t="s">
        <v>860</v>
      </c>
      <c r="B856">
        <v>0.99904790336628502</v>
      </c>
      <c r="C856">
        <v>0.85699392514182204</v>
      </c>
      <c r="D856">
        <v>0.92481085331531199</v>
      </c>
      <c r="E856">
        <v>0.93356413991895604</v>
      </c>
      <c r="F856">
        <v>0.89876288876662402</v>
      </c>
      <c r="G856">
        <v>0.80671240233654096</v>
      </c>
      <c r="H856">
        <v>0.678125811497169</v>
      </c>
      <c r="I856">
        <v>0.61766802966753698</v>
      </c>
      <c r="J856">
        <v>0.55745864501396503</v>
      </c>
      <c r="K856">
        <v>0.47734967575367299</v>
      </c>
      <c r="L856">
        <v>414.70388716509302</v>
      </c>
      <c r="M856">
        <v>5.9785110775349697</v>
      </c>
      <c r="N856">
        <v>69.365751186453096</v>
      </c>
      <c r="O856">
        <v>62.797481020036201</v>
      </c>
      <c r="P856">
        <v>-2.38788274427306E-2</v>
      </c>
      <c r="Q856">
        <v>0</v>
      </c>
      <c r="R856">
        <v>0.93919761287685999</v>
      </c>
      <c r="S856" t="s">
        <v>5596</v>
      </c>
      <c r="T856" t="s">
        <v>9478</v>
      </c>
      <c r="U856" t="s">
        <v>9478</v>
      </c>
      <c r="V856" t="s">
        <v>9478</v>
      </c>
      <c r="W856">
        <v>10</v>
      </c>
      <c r="X856" t="s">
        <v>10334</v>
      </c>
      <c r="Y856">
        <v>0.79339273759318918</v>
      </c>
      <c r="Z856" t="str">
        <f>HYPERLINK("Melting_Curves/meltCurve_sp_P19652_A1AG2_HUMAN_.pdf", "Melting_Curves/meltCurve_sp_P19652_A1AG2_HUMAN_.pdf")</f>
        <v>Melting_Curves/meltCurve_sp_P19652_A1AG2_HUMAN_.pdf</v>
      </c>
      <c r="AA856" t="s">
        <v>15058</v>
      </c>
      <c r="AB856" t="s">
        <v>19691</v>
      </c>
    </row>
    <row r="857" spans="1:28" x14ac:dyDescent="0.25">
      <c r="A857" t="s">
        <v>861</v>
      </c>
      <c r="B857">
        <v>0.99904790336628502</v>
      </c>
      <c r="C857">
        <v>0.85510134955029005</v>
      </c>
      <c r="D857">
        <v>0.85778177256116905</v>
      </c>
      <c r="E857">
        <v>0.75531711245458799</v>
      </c>
      <c r="F857">
        <v>0.427015213130164</v>
      </c>
      <c r="G857">
        <v>0.27135610831568002</v>
      </c>
      <c r="H857">
        <v>0.16143842527913899</v>
      </c>
      <c r="I857">
        <v>0.108731849470521</v>
      </c>
      <c r="J857">
        <v>7.1663977514662497E-2</v>
      </c>
      <c r="K857">
        <v>5.23214913968819E-2</v>
      </c>
      <c r="L857">
        <v>675.10079352354001</v>
      </c>
      <c r="M857">
        <v>12.8278550883535</v>
      </c>
      <c r="N857">
        <v>52.722703723538601</v>
      </c>
      <c r="O857">
        <v>51.397965708107201</v>
      </c>
      <c r="P857">
        <v>-6.1693699013822198E-2</v>
      </c>
      <c r="Q857">
        <v>1.1419889377611301E-2</v>
      </c>
      <c r="R857">
        <v>0.983818345094437</v>
      </c>
      <c r="S857" t="s">
        <v>5597</v>
      </c>
      <c r="T857" t="s">
        <v>9478</v>
      </c>
      <c r="U857" t="s">
        <v>9478</v>
      </c>
      <c r="V857" t="s">
        <v>9478</v>
      </c>
      <c r="W857">
        <v>7</v>
      </c>
      <c r="X857" t="s">
        <v>10335</v>
      </c>
      <c r="Y857">
        <v>0.4542234429142209</v>
      </c>
      <c r="Z857" t="str">
        <f>HYPERLINK("Melting_Curves/meltCurve_sp_P19784_CSK22_HUMAN_.pdf", "Melting_Curves/meltCurve_sp_P19784_CSK22_HUMAN_.pdf")</f>
        <v>Melting_Curves/meltCurve_sp_P19784_CSK22_HUMAN_.pdf</v>
      </c>
      <c r="AA857" t="s">
        <v>15059</v>
      </c>
      <c r="AB857" t="s">
        <v>19692</v>
      </c>
    </row>
    <row r="858" spans="1:28" x14ac:dyDescent="0.25">
      <c r="A858" t="s">
        <v>862</v>
      </c>
      <c r="B858">
        <v>0.99904790336628502</v>
      </c>
      <c r="C858">
        <v>0.98561654449661495</v>
      </c>
      <c r="D858">
        <v>0.97978910534947095</v>
      </c>
      <c r="E858">
        <v>0.81621608436802395</v>
      </c>
      <c r="F858">
        <v>0.63707334339838895</v>
      </c>
      <c r="G858">
        <v>0.34406304210188299</v>
      </c>
      <c r="H858">
        <v>0.196339962301531</v>
      </c>
      <c r="I858">
        <v>0.12032750426646401</v>
      </c>
      <c r="J858">
        <v>8.67903776324849E-2</v>
      </c>
      <c r="K858">
        <v>6.0369340108428801E-2</v>
      </c>
      <c r="L858">
        <v>911.02012694448695</v>
      </c>
      <c r="M858">
        <v>16.722006917878801</v>
      </c>
      <c r="N858">
        <v>54.794719838451201</v>
      </c>
      <c r="O858">
        <v>53.719062338174901</v>
      </c>
      <c r="P858">
        <v>-7.4266505481766804E-2</v>
      </c>
      <c r="Q858">
        <v>4.5745163518495398E-2</v>
      </c>
      <c r="R858">
        <v>0.99934077798865595</v>
      </c>
      <c r="S858" t="s">
        <v>5598</v>
      </c>
      <c r="T858" t="s">
        <v>9478</v>
      </c>
      <c r="U858" t="s">
        <v>9478</v>
      </c>
      <c r="V858" t="s">
        <v>9478</v>
      </c>
      <c r="W858">
        <v>13</v>
      </c>
      <c r="X858" t="s">
        <v>10336</v>
      </c>
      <c r="Y858">
        <v>0.52298715968582876</v>
      </c>
      <c r="Z858" t="str">
        <f>HYPERLINK("Melting_Curves/meltCurve_sp_P19827_ITIH1_HUMAN_.pdf", "Melting_Curves/meltCurve_sp_P19827_ITIH1_HUMAN_.pdf")</f>
        <v>Melting_Curves/meltCurve_sp_P19827_ITIH1_HUMAN_.pdf</v>
      </c>
      <c r="AA858" t="s">
        <v>15060</v>
      </c>
      <c r="AB858" t="s">
        <v>19693</v>
      </c>
    </row>
    <row r="859" spans="1:28" x14ac:dyDescent="0.25">
      <c r="A859" t="s">
        <v>863</v>
      </c>
      <c r="B859">
        <v>0.99904790336628502</v>
      </c>
      <c r="C859">
        <v>0.91519159600419597</v>
      </c>
      <c r="D859">
        <v>0.90845589017920103</v>
      </c>
      <c r="E859">
        <v>0.70034952257366501</v>
      </c>
      <c r="F859">
        <v>0.39939956387748199</v>
      </c>
      <c r="G859">
        <v>0.187531938541209</v>
      </c>
      <c r="H859">
        <v>0.111968557677773</v>
      </c>
      <c r="I859">
        <v>8.9585138959876007E-2</v>
      </c>
      <c r="J859">
        <v>7.1051032802382494E-2</v>
      </c>
      <c r="K859">
        <v>9.6010093408955097E-2</v>
      </c>
      <c r="L859">
        <v>1014.6003162309</v>
      </c>
      <c r="M859">
        <v>19.682527415090799</v>
      </c>
      <c r="N859">
        <v>51.953997800273399</v>
      </c>
      <c r="O859">
        <v>51.025008687053401</v>
      </c>
      <c r="P859">
        <v>-8.9568977895649798E-2</v>
      </c>
      <c r="Q859">
        <v>7.1237270653208298E-2</v>
      </c>
      <c r="R859">
        <v>0.99548957478344002</v>
      </c>
      <c r="S859" t="s">
        <v>5599</v>
      </c>
      <c r="T859" t="s">
        <v>9478</v>
      </c>
      <c r="U859" t="s">
        <v>9478</v>
      </c>
      <c r="V859" t="s">
        <v>9478</v>
      </c>
      <c r="W859">
        <v>7</v>
      </c>
      <c r="X859" t="s">
        <v>10337</v>
      </c>
      <c r="Y859">
        <v>0.44201223968732101</v>
      </c>
      <c r="Z859" t="str">
        <f>HYPERLINK("Melting_Curves/meltCurve_sp_P19838_NFKB1_HUMAN_.pdf", "Melting_Curves/meltCurve_sp_P19838_NFKB1_HUMAN_.pdf")</f>
        <v>Melting_Curves/meltCurve_sp_P19838_NFKB1_HUMAN_.pdf</v>
      </c>
      <c r="AA859" t="s">
        <v>15061</v>
      </c>
      <c r="AB859" t="s">
        <v>19694</v>
      </c>
    </row>
    <row r="860" spans="1:28" x14ac:dyDescent="0.25">
      <c r="A860" t="s">
        <v>864</v>
      </c>
      <c r="B860">
        <v>0.99904790336628502</v>
      </c>
      <c r="C860">
        <v>0.95527843841313698</v>
      </c>
      <c r="D860">
        <v>0.98757403351101103</v>
      </c>
      <c r="E860">
        <v>0.92620579925216995</v>
      </c>
      <c r="F860">
        <v>0.87600133768835597</v>
      </c>
      <c r="G860">
        <v>0.67664873016739802</v>
      </c>
      <c r="H860">
        <v>0.48105376695497098</v>
      </c>
      <c r="I860">
        <v>0.30487068451054999</v>
      </c>
      <c r="J860">
        <v>0.12815889123701399</v>
      </c>
      <c r="K860">
        <v>5.2712258616303603E-2</v>
      </c>
      <c r="L860">
        <v>929.07191238092798</v>
      </c>
      <c r="M860">
        <v>15.4755176114479</v>
      </c>
      <c r="N860">
        <v>60.0349492665773</v>
      </c>
      <c r="O860">
        <v>59.059288132174999</v>
      </c>
      <c r="P860">
        <v>-6.5514253554159602E-2</v>
      </c>
      <c r="Q860">
        <v>0</v>
      </c>
      <c r="R860">
        <v>0.99233772409696497</v>
      </c>
      <c r="S860" t="s">
        <v>5600</v>
      </c>
      <c r="T860" t="s">
        <v>9478</v>
      </c>
      <c r="U860" t="s">
        <v>9478</v>
      </c>
      <c r="V860" t="s">
        <v>9478</v>
      </c>
      <c r="W860">
        <v>25</v>
      </c>
      <c r="X860" t="s">
        <v>10338</v>
      </c>
      <c r="Y860">
        <v>0.67494192213216619</v>
      </c>
      <c r="Z860" t="str">
        <f>HYPERLINK("Melting_Curves/meltCurve_sp_P19971_TYPH_HUMAN_.pdf", "Melting_Curves/meltCurve_sp_P19971_TYPH_HUMAN_.pdf")</f>
        <v>Melting_Curves/meltCurve_sp_P19971_TYPH_HUMAN_.pdf</v>
      </c>
      <c r="AA860" t="s">
        <v>15062</v>
      </c>
      <c r="AB860" t="s">
        <v>19695</v>
      </c>
    </row>
    <row r="861" spans="1:28" x14ac:dyDescent="0.25">
      <c r="A861" t="s">
        <v>865</v>
      </c>
      <c r="B861">
        <v>0.99904790336628502</v>
      </c>
      <c r="C861">
        <v>1.0521921661946001</v>
      </c>
      <c r="D861">
        <v>1.0985895796747001</v>
      </c>
      <c r="E861">
        <v>1.0216199389892699</v>
      </c>
      <c r="F861">
        <v>0.92833946234525</v>
      </c>
      <c r="G861">
        <v>0.51756494139763298</v>
      </c>
      <c r="H861">
        <v>0.23108704741151201</v>
      </c>
      <c r="I861">
        <v>0.145380669755417</v>
      </c>
      <c r="J861">
        <v>0.113508882554954</v>
      </c>
      <c r="K861">
        <v>9.6607140477649595E-2</v>
      </c>
      <c r="L861">
        <v>1773.1368855749599</v>
      </c>
      <c r="M861">
        <v>31.2044276453789</v>
      </c>
      <c r="N861">
        <v>57.287265609242603</v>
      </c>
      <c r="O861">
        <v>56.5914048941085</v>
      </c>
      <c r="P861">
        <v>-0.122456739067537</v>
      </c>
      <c r="Q861">
        <v>0.11166963119133699</v>
      </c>
      <c r="R861">
        <v>0.99121559965095596</v>
      </c>
      <c r="S861" t="s">
        <v>5601</v>
      </c>
      <c r="T861" t="s">
        <v>9478</v>
      </c>
      <c r="U861" t="s">
        <v>9478</v>
      </c>
      <c r="V861" t="s">
        <v>9478</v>
      </c>
      <c r="W861">
        <v>18</v>
      </c>
      <c r="X861" t="s">
        <v>10339</v>
      </c>
      <c r="Y861">
        <v>0.61534089518348856</v>
      </c>
      <c r="Z861" t="str">
        <f>HYPERLINK("Melting_Curves/meltCurve_sp_P20042_IF2B_HUMAN_.pdf", "Melting_Curves/meltCurve_sp_P20042_IF2B_HUMAN_.pdf")</f>
        <v>Melting_Curves/meltCurve_sp_P20042_IF2B_HUMAN_.pdf</v>
      </c>
      <c r="AA861" t="s">
        <v>15063</v>
      </c>
      <c r="AB861" t="s">
        <v>19696</v>
      </c>
    </row>
    <row r="862" spans="1:28" x14ac:dyDescent="0.25">
      <c r="A862" t="s">
        <v>866</v>
      </c>
      <c r="B862">
        <v>0.99904790336628502</v>
      </c>
      <c r="C862">
        <v>0.69448780111681396</v>
      </c>
      <c r="D862">
        <v>0.54473991544080202</v>
      </c>
      <c r="E862">
        <v>0.35762795277210901</v>
      </c>
      <c r="F862">
        <v>0.18935531783717999</v>
      </c>
      <c r="G862">
        <v>0.114034875008773</v>
      </c>
      <c r="H862">
        <v>8.1814420120064305E-2</v>
      </c>
      <c r="I862">
        <v>6.4205649542310297E-2</v>
      </c>
      <c r="J862">
        <v>4.8424139450344302E-2</v>
      </c>
      <c r="K862">
        <v>3.4346848779093699E-2</v>
      </c>
      <c r="L862">
        <v>606.97535262834504</v>
      </c>
      <c r="M862">
        <v>13.0207371867729</v>
      </c>
      <c r="N862">
        <v>46.864894164848501</v>
      </c>
      <c r="O862">
        <v>45.557603306709602</v>
      </c>
      <c r="P862">
        <v>-6.9077581103906993E-2</v>
      </c>
      <c r="Q862">
        <v>3.34013954791069E-2</v>
      </c>
      <c r="R862">
        <v>0.98294958999302096</v>
      </c>
      <c r="S862" t="s">
        <v>5602</v>
      </c>
      <c r="T862" t="s">
        <v>9478</v>
      </c>
      <c r="U862" t="s">
        <v>9478</v>
      </c>
      <c r="V862" t="s">
        <v>9478</v>
      </c>
      <c r="W862">
        <v>3</v>
      </c>
      <c r="X862" t="s">
        <v>10340</v>
      </c>
      <c r="Y862">
        <v>0.282380378394884</v>
      </c>
      <c r="Z862" t="str">
        <f>HYPERLINK("Melting_Curves/meltCurve_sp_P20132_SDHL_HUMAN_.pdf", "Melting_Curves/meltCurve_sp_P20132_SDHL_HUMAN_.pdf")</f>
        <v>Melting_Curves/meltCurve_sp_P20132_SDHL_HUMAN_.pdf</v>
      </c>
      <c r="AA862" t="s">
        <v>15064</v>
      </c>
      <c r="AB862" t="s">
        <v>19697</v>
      </c>
    </row>
    <row r="863" spans="1:28" x14ac:dyDescent="0.25">
      <c r="A863" t="s">
        <v>867</v>
      </c>
      <c r="B863">
        <v>0.99904790336628502</v>
      </c>
      <c r="C863">
        <v>1.02588364795334</v>
      </c>
      <c r="D863">
        <v>0.98671523587847898</v>
      </c>
      <c r="E863">
        <v>0.965193269785524</v>
      </c>
      <c r="F863">
        <v>1.0738094658889901</v>
      </c>
      <c r="G863">
        <v>0.76813485192195496</v>
      </c>
      <c r="H863">
        <v>0.64618981196684</v>
      </c>
      <c r="I863">
        <v>0.70052799823600898</v>
      </c>
      <c r="J863">
        <v>0.720434848417003</v>
      </c>
      <c r="K863">
        <v>0.59905421962023797</v>
      </c>
      <c r="L863">
        <v>14202.9591324908</v>
      </c>
      <c r="M863">
        <v>250</v>
      </c>
      <c r="O863">
        <v>56.808196259545099</v>
      </c>
      <c r="P863">
        <v>-0.36685755537358899</v>
      </c>
      <c r="Q863">
        <v>0.66655171674855396</v>
      </c>
      <c r="R863">
        <v>0.94208858844449095</v>
      </c>
      <c r="S863" t="s">
        <v>5603</v>
      </c>
      <c r="T863" t="s">
        <v>9478</v>
      </c>
      <c r="U863" t="s">
        <v>9478</v>
      </c>
      <c r="V863" t="s">
        <v>9478</v>
      </c>
      <c r="W863">
        <v>5</v>
      </c>
      <c r="X863" t="s">
        <v>10341</v>
      </c>
      <c r="Y863">
        <v>0.85344756381315456</v>
      </c>
      <c r="Z863" t="str">
        <f>HYPERLINK("Melting_Curves/meltCurve_sp_P20290_BTF3_HUMAN_.pdf", "Melting_Curves/meltCurve_sp_P20290_BTF3_HUMAN_.pdf")</f>
        <v>Melting_Curves/meltCurve_sp_P20290_BTF3_HUMAN_.pdf</v>
      </c>
      <c r="AA863" t="s">
        <v>15065</v>
      </c>
      <c r="AB863" t="s">
        <v>19698</v>
      </c>
    </row>
    <row r="864" spans="1:28" x14ac:dyDescent="0.25">
      <c r="A864" t="s">
        <v>868</v>
      </c>
      <c r="B864">
        <v>0.99904790336628502</v>
      </c>
      <c r="C864">
        <v>0.96377896295413401</v>
      </c>
      <c r="D864">
        <v>0.98781290968633695</v>
      </c>
      <c r="E864">
        <v>0.86870666802336605</v>
      </c>
      <c r="F864">
        <v>0.71326523022869104</v>
      </c>
      <c r="G864">
        <v>0.27527780030894899</v>
      </c>
      <c r="H864">
        <v>0.15002907034051299</v>
      </c>
      <c r="I864">
        <v>9.5997786694519804E-2</v>
      </c>
      <c r="J864">
        <v>7.1467500726106303E-2</v>
      </c>
      <c r="K864">
        <v>5.1107307735359798E-2</v>
      </c>
      <c r="L864">
        <v>1290.14125807811</v>
      </c>
      <c r="M864">
        <v>23.6752594381887</v>
      </c>
      <c r="N864">
        <v>54.788293667363803</v>
      </c>
      <c r="O864">
        <v>54.108910699078798</v>
      </c>
      <c r="P864">
        <v>-0.10284134895607799</v>
      </c>
      <c r="Q864">
        <v>5.9855621775254199E-2</v>
      </c>
      <c r="R864">
        <v>0.997008816746495</v>
      </c>
      <c r="S864" t="s">
        <v>5604</v>
      </c>
      <c r="T864" t="s">
        <v>9478</v>
      </c>
      <c r="U864" t="s">
        <v>9478</v>
      </c>
      <c r="V864" t="s">
        <v>9478</v>
      </c>
      <c r="W864">
        <v>8</v>
      </c>
      <c r="X864" t="s">
        <v>10342</v>
      </c>
      <c r="Y864">
        <v>0.523630222071643</v>
      </c>
      <c r="Z864" t="str">
        <f>HYPERLINK("Melting_Curves/meltCurve_sp_P20338_RAB4A_HUMAN_.pdf", "Melting_Curves/meltCurve_sp_P20338_RAB4A_HUMAN_.pdf")</f>
        <v>Melting_Curves/meltCurve_sp_P20338_RAB4A_HUMAN_.pdf</v>
      </c>
      <c r="AA864" t="s">
        <v>15066</v>
      </c>
      <c r="AB864" t="s">
        <v>19699</v>
      </c>
    </row>
    <row r="865" spans="1:28" x14ac:dyDescent="0.25">
      <c r="A865" t="s">
        <v>869</v>
      </c>
      <c r="B865">
        <v>0.99904790336628502</v>
      </c>
      <c r="C865">
        <v>1.0213949866241101</v>
      </c>
      <c r="D865">
        <v>0.96235512050842098</v>
      </c>
      <c r="E865">
        <v>0.81487876140155202</v>
      </c>
      <c r="F865">
        <v>0.640738954048234</v>
      </c>
      <c r="G865">
        <v>0.26179613196880502</v>
      </c>
      <c r="H865">
        <v>0.117886138567783</v>
      </c>
      <c r="I865">
        <v>8.1197205156906302E-2</v>
      </c>
      <c r="J865">
        <v>6.3426238745348695E-2</v>
      </c>
      <c r="K865">
        <v>5.0317346123262101E-2</v>
      </c>
      <c r="L865">
        <v>1111.5523646118099</v>
      </c>
      <c r="M865">
        <v>20.5992649240528</v>
      </c>
      <c r="N865">
        <v>54.185043151155703</v>
      </c>
      <c r="O865">
        <v>53.459959617893396</v>
      </c>
      <c r="P865">
        <v>-9.2396774482138996E-2</v>
      </c>
      <c r="Q865">
        <v>4.0861937321718098E-2</v>
      </c>
      <c r="R865">
        <v>0.99812993087929003</v>
      </c>
      <c r="S865" t="s">
        <v>5605</v>
      </c>
      <c r="T865" t="s">
        <v>9478</v>
      </c>
      <c r="U865" t="s">
        <v>9478</v>
      </c>
      <c r="V865" t="s">
        <v>9478</v>
      </c>
      <c r="W865">
        <v>9</v>
      </c>
      <c r="X865" t="s">
        <v>10343</v>
      </c>
      <c r="Y865">
        <v>0.49963659756842788</v>
      </c>
      <c r="Z865" t="str">
        <f>HYPERLINK("Melting_Curves/meltCurve_sp_P20340_2_RAB6A_HUMAN_.pdf", "Melting_Curves/meltCurve_sp_P20340_2_RAB6A_HUMAN_.pdf")</f>
        <v>Melting_Curves/meltCurve_sp_P20340_2_RAB6A_HUMAN_.pdf</v>
      </c>
      <c r="AA865" t="s">
        <v>15067</v>
      </c>
      <c r="AB865" t="s">
        <v>19700</v>
      </c>
    </row>
    <row r="866" spans="1:28" x14ac:dyDescent="0.25">
      <c r="A866" t="s">
        <v>870</v>
      </c>
      <c r="B866">
        <v>0.99904790336628502</v>
      </c>
      <c r="C866">
        <v>0.65276706525536499</v>
      </c>
      <c r="D866">
        <v>0.62175716355527499</v>
      </c>
      <c r="E866">
        <v>0.36272112724224498</v>
      </c>
      <c r="F866">
        <v>0.182197025290111</v>
      </c>
      <c r="G866">
        <v>9.5571844042221105E-2</v>
      </c>
      <c r="H866">
        <v>6.8774014731577002E-2</v>
      </c>
      <c r="I866">
        <v>2.9493068698920301E-2</v>
      </c>
      <c r="J866">
        <v>3.6947586297814597E-2</v>
      </c>
      <c r="K866">
        <v>2.7866245131666301E-2</v>
      </c>
      <c r="L866">
        <v>579.256217204221</v>
      </c>
      <c r="M866">
        <v>12.285367133765901</v>
      </c>
      <c r="N866">
        <v>47.173503856377998</v>
      </c>
      <c r="O866">
        <v>45.953045858260197</v>
      </c>
      <c r="P866">
        <v>-6.6648113339136894E-2</v>
      </c>
      <c r="Q866">
        <v>3.0385159872901302E-3</v>
      </c>
      <c r="R866">
        <v>0.97323401153800904</v>
      </c>
      <c r="S866" t="s">
        <v>5606</v>
      </c>
      <c r="T866" t="s">
        <v>9478</v>
      </c>
      <c r="U866" t="s">
        <v>9478</v>
      </c>
      <c r="V866" t="s">
        <v>9478</v>
      </c>
      <c r="W866">
        <v>2</v>
      </c>
      <c r="X866" t="s">
        <v>10344</v>
      </c>
      <c r="Y866">
        <v>0.28029361417184001</v>
      </c>
      <c r="Z866" t="str">
        <f>HYPERLINK("Melting_Curves/meltCurve_sp_P20585_MSH3_HUMAN_.pdf", "Melting_Curves/meltCurve_sp_P20585_MSH3_HUMAN_.pdf")</f>
        <v>Melting_Curves/meltCurve_sp_P20585_MSH3_HUMAN_.pdf</v>
      </c>
      <c r="AA866" t="s">
        <v>15068</v>
      </c>
      <c r="AB866" t="s">
        <v>19701</v>
      </c>
    </row>
    <row r="867" spans="1:28" x14ac:dyDescent="0.25">
      <c r="A867" t="s">
        <v>871</v>
      </c>
      <c r="B867">
        <v>0.99904790336628502</v>
      </c>
      <c r="C867">
        <v>0.88059877195446501</v>
      </c>
      <c r="D867">
        <v>0.75550275474970197</v>
      </c>
      <c r="E867">
        <v>0.46051064488898402</v>
      </c>
      <c r="F867">
        <v>0.29725426223036</v>
      </c>
      <c r="G867">
        <v>0.172858888678806</v>
      </c>
      <c r="H867">
        <v>0.11700286731225699</v>
      </c>
      <c r="I867">
        <v>9.5944429610225895E-2</v>
      </c>
      <c r="J867">
        <v>6.7798866399722699E-2</v>
      </c>
      <c r="K867">
        <v>8.0857697741483103E-2</v>
      </c>
      <c r="L867">
        <v>732.38698601681097</v>
      </c>
      <c r="M867">
        <v>14.933016269921501</v>
      </c>
      <c r="N867">
        <v>49.508864641050302</v>
      </c>
      <c r="O867">
        <v>48.1905120698232</v>
      </c>
      <c r="P867">
        <v>-7.2416858989655303E-2</v>
      </c>
      <c r="Q867">
        <v>6.5307296884787897E-2</v>
      </c>
      <c r="R867">
        <v>0.99852322503336599</v>
      </c>
      <c r="S867" t="s">
        <v>5607</v>
      </c>
      <c r="T867" t="s">
        <v>9478</v>
      </c>
      <c r="U867" t="s">
        <v>9478</v>
      </c>
      <c r="V867" t="s">
        <v>9478</v>
      </c>
      <c r="W867">
        <v>10</v>
      </c>
      <c r="X867" t="s">
        <v>10345</v>
      </c>
      <c r="Y867">
        <v>0.37033567078667878</v>
      </c>
      <c r="Z867" t="str">
        <f>HYPERLINK("Melting_Curves/meltCurve_sp_P20591_MX1_HUMAN_.pdf", "Melting_Curves/meltCurve_sp_P20591_MX1_HUMAN_.pdf")</f>
        <v>Melting_Curves/meltCurve_sp_P20591_MX1_HUMAN_.pdf</v>
      </c>
      <c r="AA867" t="s">
        <v>15069</v>
      </c>
      <c r="AB867" t="s">
        <v>19702</v>
      </c>
    </row>
    <row r="868" spans="1:28" x14ac:dyDescent="0.25">
      <c r="A868" t="s">
        <v>872</v>
      </c>
      <c r="B868">
        <v>0.99904790336628502</v>
      </c>
      <c r="C868">
        <v>0.98886657908834497</v>
      </c>
      <c r="D868">
        <v>1.00929819741969</v>
      </c>
      <c r="E868">
        <v>0.97846890760135397</v>
      </c>
      <c r="F868">
        <v>0.76028027228293305</v>
      </c>
      <c r="G868">
        <v>0.77431654507537095</v>
      </c>
      <c r="H868">
        <v>0.56559568348363798</v>
      </c>
      <c r="I868">
        <v>0.54822788186095295</v>
      </c>
      <c r="J868">
        <v>0.43893030274436801</v>
      </c>
      <c r="K868">
        <v>0.324623718864199</v>
      </c>
      <c r="L868">
        <v>558.80428723484204</v>
      </c>
      <c r="M868">
        <v>8.8657330680832906</v>
      </c>
      <c r="N868">
        <v>64.269474609206995</v>
      </c>
      <c r="O868">
        <v>60.070085520236802</v>
      </c>
      <c r="P868">
        <v>-3.4023443960328997E-2</v>
      </c>
      <c r="Q868">
        <v>7.8600116322097596E-2</v>
      </c>
      <c r="R868">
        <v>0.96629165795071503</v>
      </c>
      <c r="S868" t="s">
        <v>5608</v>
      </c>
      <c r="T868" t="s">
        <v>9478</v>
      </c>
      <c r="U868" t="s">
        <v>9478</v>
      </c>
      <c r="V868" t="s">
        <v>9478</v>
      </c>
      <c r="W868">
        <v>14</v>
      </c>
      <c r="X868" t="s">
        <v>10346</v>
      </c>
      <c r="Y868">
        <v>0.74850511467883862</v>
      </c>
      <c r="Z868" t="str">
        <f>HYPERLINK("Melting_Curves/meltCurve_sp_P20618_PSB1_HUMAN_.pdf", "Melting_Curves/meltCurve_sp_P20618_PSB1_HUMAN_.pdf")</f>
        <v>Melting_Curves/meltCurve_sp_P20618_PSB1_HUMAN_.pdf</v>
      </c>
      <c r="AA868" t="s">
        <v>15070</v>
      </c>
      <c r="AB868" t="s">
        <v>19703</v>
      </c>
    </row>
    <row r="869" spans="1:28" x14ac:dyDescent="0.25">
      <c r="A869" t="s">
        <v>873</v>
      </c>
      <c r="B869">
        <v>0.99904790336628502</v>
      </c>
      <c r="C869">
        <v>1.01780123323769</v>
      </c>
      <c r="D869">
        <v>1.0050152731269799</v>
      </c>
      <c r="E869">
        <v>0.89694045730393601</v>
      </c>
      <c r="F869">
        <v>0.81796587740231197</v>
      </c>
      <c r="G869">
        <v>0.55295424434943696</v>
      </c>
      <c r="H869">
        <v>0.41563583581642299</v>
      </c>
      <c r="I869">
        <v>0.34098898856226201</v>
      </c>
      <c r="J869">
        <v>0.32586398112620402</v>
      </c>
      <c r="K869">
        <v>0.33474641561086199</v>
      </c>
      <c r="L869">
        <v>1096.5352544562099</v>
      </c>
      <c r="M869">
        <v>19.801697351344099</v>
      </c>
      <c r="N869">
        <v>58.228899486557303</v>
      </c>
      <c r="O869">
        <v>54.820338968639</v>
      </c>
      <c r="P869">
        <v>-6.2265527777650299E-2</v>
      </c>
      <c r="Q869">
        <v>0.31050322173093498</v>
      </c>
      <c r="R869">
        <v>0.99699422002180604</v>
      </c>
      <c r="S869" t="s">
        <v>5609</v>
      </c>
      <c r="T869" t="s">
        <v>9478</v>
      </c>
      <c r="U869" t="s">
        <v>9478</v>
      </c>
      <c r="V869" t="s">
        <v>9478</v>
      </c>
      <c r="W869">
        <v>5</v>
      </c>
      <c r="X869" t="s">
        <v>10347</v>
      </c>
      <c r="Y869">
        <v>0.67310312433726627</v>
      </c>
      <c r="Z869" t="str">
        <f>HYPERLINK("Melting_Curves/meltCurve_sp_P20674_COX5A_HUMAN_.pdf", "Melting_Curves/meltCurve_sp_P20674_COX5A_HUMAN_.pdf")</f>
        <v>Melting_Curves/meltCurve_sp_P20674_COX5A_HUMAN_.pdf</v>
      </c>
      <c r="AA869" t="s">
        <v>15071</v>
      </c>
      <c r="AB869" t="s">
        <v>19704</v>
      </c>
    </row>
    <row r="870" spans="1:28" x14ac:dyDescent="0.25">
      <c r="A870" t="s">
        <v>874</v>
      </c>
      <c r="B870">
        <v>0.99904790336628502</v>
      </c>
      <c r="C870">
        <v>1.0289373624035301</v>
      </c>
      <c r="D870">
        <v>1.0285242908374701</v>
      </c>
      <c r="E870">
        <v>0.96701901943870106</v>
      </c>
      <c r="F870">
        <v>0.89862888418089404</v>
      </c>
      <c r="G870">
        <v>0.65980911873956305</v>
      </c>
      <c r="H870">
        <v>0.49931742463079198</v>
      </c>
      <c r="I870">
        <v>0.42070130388222499</v>
      </c>
      <c r="J870">
        <v>0.40463859892961601</v>
      </c>
      <c r="K870">
        <v>0.34611762952802999</v>
      </c>
      <c r="L870">
        <v>1186.18690220138</v>
      </c>
      <c r="M870">
        <v>20.824308017053699</v>
      </c>
      <c r="N870">
        <v>60.6316657634653</v>
      </c>
      <c r="O870">
        <v>56.444171175403</v>
      </c>
      <c r="P870">
        <v>-5.9193592815637602E-2</v>
      </c>
      <c r="Q870">
        <v>0.35824218764300197</v>
      </c>
      <c r="R870">
        <v>0.99525461876295196</v>
      </c>
      <c r="S870" t="s">
        <v>5610</v>
      </c>
      <c r="T870" t="s">
        <v>9478</v>
      </c>
      <c r="U870" t="s">
        <v>9478</v>
      </c>
      <c r="V870" t="s">
        <v>9478</v>
      </c>
      <c r="W870">
        <v>42</v>
      </c>
      <c r="X870" t="s">
        <v>10348</v>
      </c>
      <c r="Y870">
        <v>0.72857759819245416</v>
      </c>
      <c r="Z870" t="str">
        <f>HYPERLINK("Melting_Curves/meltCurve_sp_P20700_LMNB1_HUMAN_.pdf", "Melting_Curves/meltCurve_sp_P20700_LMNB1_HUMAN_.pdf")</f>
        <v>Melting_Curves/meltCurve_sp_P20700_LMNB1_HUMAN_.pdf</v>
      </c>
      <c r="AA870" t="s">
        <v>15072</v>
      </c>
      <c r="AB870" t="s">
        <v>19705</v>
      </c>
    </row>
    <row r="871" spans="1:28" x14ac:dyDescent="0.25">
      <c r="A871" t="s">
        <v>875</v>
      </c>
      <c r="B871">
        <v>0.99904790336628502</v>
      </c>
      <c r="C871">
        <v>0.98583137380052599</v>
      </c>
      <c r="D871">
        <v>1.02903466030084</v>
      </c>
      <c r="E871">
        <v>0.98735321522156905</v>
      </c>
      <c r="F871">
        <v>0.96138304327434898</v>
      </c>
      <c r="G871">
        <v>0.78348396218548899</v>
      </c>
      <c r="H871">
        <v>0.35994627115856298</v>
      </c>
      <c r="I871">
        <v>9.5774540603994096E-2</v>
      </c>
      <c r="J871">
        <v>7.3689214960489802E-2</v>
      </c>
      <c r="K871">
        <v>6.2263978625932997E-2</v>
      </c>
      <c r="L871">
        <v>1793.1685222229601</v>
      </c>
      <c r="M871">
        <v>30.183138617898901</v>
      </c>
      <c r="N871">
        <v>59.558813810683802</v>
      </c>
      <c r="O871">
        <v>59.150657331564297</v>
      </c>
      <c r="P871">
        <v>-0.122924607031352</v>
      </c>
      <c r="Q871">
        <v>3.6412355943470497E-2</v>
      </c>
      <c r="R871">
        <v>0.99775496946887299</v>
      </c>
      <c r="S871" t="s">
        <v>5611</v>
      </c>
      <c r="T871" t="s">
        <v>9478</v>
      </c>
      <c r="U871" t="s">
        <v>9478</v>
      </c>
      <c r="V871" t="s">
        <v>9478</v>
      </c>
      <c r="W871">
        <v>18</v>
      </c>
      <c r="X871" t="s">
        <v>10349</v>
      </c>
      <c r="Y871">
        <v>0.66585166682449992</v>
      </c>
      <c r="Z871" t="str">
        <f>HYPERLINK("Melting_Curves/meltCurve_sp_P20711_DDC_HUMAN_.pdf", "Melting_Curves/meltCurve_sp_P20711_DDC_HUMAN_.pdf")</f>
        <v>Melting_Curves/meltCurve_sp_P20711_DDC_HUMAN_.pdf</v>
      </c>
      <c r="AA871" t="s">
        <v>15073</v>
      </c>
      <c r="AB871" t="s">
        <v>19706</v>
      </c>
    </row>
    <row r="872" spans="1:28" x14ac:dyDescent="0.25">
      <c r="A872" t="s">
        <v>876</v>
      </c>
      <c r="B872">
        <v>0.99904790336628502</v>
      </c>
      <c r="C872">
        <v>0.96682675315557498</v>
      </c>
      <c r="D872">
        <v>0.92538860152216695</v>
      </c>
      <c r="E872">
        <v>0.89629315742389204</v>
      </c>
      <c r="F872">
        <v>0.724666262769322</v>
      </c>
      <c r="G872">
        <v>0.53364717129691297</v>
      </c>
      <c r="H872">
        <v>0.40083819954191602</v>
      </c>
      <c r="I872">
        <v>0.27300980550541498</v>
      </c>
      <c r="J872">
        <v>0.10766606522446399</v>
      </c>
      <c r="K872">
        <v>4.3203169953287802E-2</v>
      </c>
      <c r="L872">
        <v>712.10585882598696</v>
      </c>
      <c r="M872">
        <v>12.3134326260188</v>
      </c>
      <c r="N872">
        <v>57.831644787413602</v>
      </c>
      <c r="O872">
        <v>56.369795683103902</v>
      </c>
      <c r="P872">
        <v>-5.4621976763703499E-2</v>
      </c>
      <c r="Q872">
        <v>0</v>
      </c>
      <c r="R872">
        <v>0.98841941584840098</v>
      </c>
      <c r="S872" t="s">
        <v>5612</v>
      </c>
      <c r="T872" t="s">
        <v>9478</v>
      </c>
      <c r="U872" t="s">
        <v>9478</v>
      </c>
      <c r="V872" t="s">
        <v>9478</v>
      </c>
      <c r="W872">
        <v>5</v>
      </c>
      <c r="X872" t="s">
        <v>10350</v>
      </c>
      <c r="Y872">
        <v>0.60801681706030375</v>
      </c>
      <c r="Z872" t="str">
        <f>HYPERLINK("Melting_Curves/meltCurve_sp_P20742_PZP_HUMAN_.pdf", "Melting_Curves/meltCurve_sp_P20742_PZP_HUMAN_.pdf")</f>
        <v>Melting_Curves/meltCurve_sp_P20742_PZP_HUMAN_.pdf</v>
      </c>
      <c r="AA872" t="s">
        <v>15074</v>
      </c>
      <c r="AB872" t="s">
        <v>19707</v>
      </c>
    </row>
    <row r="873" spans="1:28" x14ac:dyDescent="0.25">
      <c r="A873" t="s">
        <v>877</v>
      </c>
      <c r="B873">
        <v>0.99904790336628502</v>
      </c>
      <c r="C873">
        <v>1.0134525281884801</v>
      </c>
      <c r="D873">
        <v>1.0108781120389201</v>
      </c>
      <c r="E873">
        <v>1.01112972813251</v>
      </c>
      <c r="F873">
        <v>1.0609902329235299</v>
      </c>
      <c r="G873">
        <v>0.85691982424283497</v>
      </c>
      <c r="H873">
        <v>0.80037189097997796</v>
      </c>
      <c r="I873">
        <v>0.83251491261685195</v>
      </c>
      <c r="J873">
        <v>0.90147235651100099</v>
      </c>
      <c r="K873">
        <v>0.95596987568976299</v>
      </c>
      <c r="L873">
        <v>5723.4772012815001</v>
      </c>
      <c r="M873">
        <v>103.519006397178</v>
      </c>
      <c r="O873">
        <v>55.268518729578297</v>
      </c>
      <c r="P873">
        <v>-6.1572720508906699E-2</v>
      </c>
      <c r="Q873">
        <v>0.86850596748203601</v>
      </c>
      <c r="R873">
        <v>0.73602999117901102</v>
      </c>
      <c r="S873" t="s">
        <v>5613</v>
      </c>
      <c r="T873" t="s">
        <v>9478</v>
      </c>
      <c r="U873" t="s">
        <v>9478</v>
      </c>
      <c r="V873" t="s">
        <v>9478</v>
      </c>
      <c r="W873">
        <v>30</v>
      </c>
      <c r="X873" t="s">
        <v>10351</v>
      </c>
      <c r="Y873">
        <v>0.93559483313413749</v>
      </c>
      <c r="Z873" t="str">
        <f>HYPERLINK("Melting_Curves/meltCurve_sp_P20810_5_ICAL_HUMAN_.pdf", "Melting_Curves/meltCurve_sp_P20810_5_ICAL_HUMAN_.pdf")</f>
        <v>Melting_Curves/meltCurve_sp_P20810_5_ICAL_HUMAN_.pdf</v>
      </c>
      <c r="AA873" t="s">
        <v>15075</v>
      </c>
      <c r="AB873" t="s">
        <v>19708</v>
      </c>
    </row>
    <row r="874" spans="1:28" x14ac:dyDescent="0.25">
      <c r="A874" t="s">
        <v>878</v>
      </c>
      <c r="B874">
        <v>0.99904790336628502</v>
      </c>
      <c r="C874">
        <v>0.87855848618284604</v>
      </c>
      <c r="D874">
        <v>0.90778673055574299</v>
      </c>
      <c r="E874">
        <v>0.87910333181218403</v>
      </c>
      <c r="F874">
        <v>0.93614397888895096</v>
      </c>
      <c r="G874">
        <v>0.82277993079848499</v>
      </c>
      <c r="H874">
        <v>0.72276192400648198</v>
      </c>
      <c r="I874">
        <v>0.540858589080213</v>
      </c>
      <c r="J874">
        <v>0.60622711834392595</v>
      </c>
      <c r="K874">
        <v>0.630389018723856</v>
      </c>
      <c r="L874">
        <v>369.02613708884201</v>
      </c>
      <c r="M874">
        <v>5.6300001934494102</v>
      </c>
      <c r="O874">
        <v>58.6790739002153</v>
      </c>
      <c r="P874">
        <v>-1.7491788693345001E-2</v>
      </c>
      <c r="Q874">
        <v>0.27370962027016899</v>
      </c>
      <c r="R874">
        <v>0.83572490472329897</v>
      </c>
      <c r="S874" t="s">
        <v>5614</v>
      </c>
      <c r="T874" t="s">
        <v>9478</v>
      </c>
      <c r="U874" t="s">
        <v>9478</v>
      </c>
      <c r="V874" t="s">
        <v>9478</v>
      </c>
      <c r="W874">
        <v>30</v>
      </c>
      <c r="X874" t="s">
        <v>10352</v>
      </c>
      <c r="Y874">
        <v>0.80195440446262933</v>
      </c>
      <c r="Z874" t="str">
        <f>HYPERLINK("Melting_Curves/meltCurve_sp_P20810_6_ICAL_HUMAN_.pdf", "Melting_Curves/meltCurve_sp_P20810_6_ICAL_HUMAN_.pdf")</f>
        <v>Melting_Curves/meltCurve_sp_P20810_6_ICAL_HUMAN_.pdf</v>
      </c>
      <c r="AA874" t="s">
        <v>15075</v>
      </c>
      <c r="AB874" t="s">
        <v>19709</v>
      </c>
    </row>
    <row r="875" spans="1:28" x14ac:dyDescent="0.25">
      <c r="A875" t="s">
        <v>879</v>
      </c>
      <c r="B875">
        <v>0.99904790336628502</v>
      </c>
      <c r="C875">
        <v>1.0275377086269499</v>
      </c>
      <c r="D875">
        <v>1.0021276909974399</v>
      </c>
      <c r="E875">
        <v>0.59775168152265001</v>
      </c>
      <c r="F875">
        <v>0.39085572776869099</v>
      </c>
      <c r="G875">
        <v>0.20211127081684699</v>
      </c>
      <c r="H875">
        <v>0.135443320399905</v>
      </c>
      <c r="I875">
        <v>7.7047482194609898E-2</v>
      </c>
      <c r="J875">
        <v>0.113774973549715</v>
      </c>
      <c r="K875">
        <v>3.82038711407914E-2</v>
      </c>
      <c r="L875">
        <v>1121.64549886754</v>
      </c>
      <c r="M875">
        <v>21.944797722684601</v>
      </c>
      <c r="N875">
        <v>51.557684925893298</v>
      </c>
      <c r="O875">
        <v>50.693368230549403</v>
      </c>
      <c r="P875">
        <v>-9.8877944783057406E-2</v>
      </c>
      <c r="Q875">
        <v>8.6372229440808801E-2</v>
      </c>
      <c r="R875">
        <v>0.98990058692684102</v>
      </c>
      <c r="S875" t="s">
        <v>5615</v>
      </c>
      <c r="T875" t="s">
        <v>9478</v>
      </c>
      <c r="U875" t="s">
        <v>9478</v>
      </c>
      <c r="V875" t="s">
        <v>9478</v>
      </c>
      <c r="W875">
        <v>3</v>
      </c>
      <c r="X875" t="s">
        <v>10353</v>
      </c>
      <c r="Y875">
        <v>0.43542475110271911</v>
      </c>
      <c r="Z875" t="str">
        <f>HYPERLINK("Melting_Curves/meltCurve_sp_P20813_CP2B6_HUMAN_.pdf", "Melting_Curves/meltCurve_sp_P20813_CP2B6_HUMAN_.pdf")</f>
        <v>Melting_Curves/meltCurve_sp_P20813_CP2B6_HUMAN_.pdf</v>
      </c>
      <c r="AA875" t="s">
        <v>15076</v>
      </c>
      <c r="AB875" t="s">
        <v>19710</v>
      </c>
    </row>
    <row r="876" spans="1:28" x14ac:dyDescent="0.25">
      <c r="A876" t="s">
        <v>880</v>
      </c>
      <c r="B876">
        <v>0.99904790336628502</v>
      </c>
      <c r="C876">
        <v>1.0584740607915499</v>
      </c>
      <c r="D876">
        <v>1.0266081180811699</v>
      </c>
      <c r="E876">
        <v>0.88386817810928697</v>
      </c>
      <c r="F876">
        <v>0.62477128201204402</v>
      </c>
      <c r="G876">
        <v>0.41544715173681102</v>
      </c>
      <c r="H876">
        <v>0.31074922093274898</v>
      </c>
      <c r="I876">
        <v>0.25516197857489997</v>
      </c>
      <c r="J876">
        <v>0.20045668930096899</v>
      </c>
      <c r="K876">
        <v>0.21673735493236901</v>
      </c>
      <c r="L876">
        <v>1133.0911993238501</v>
      </c>
      <c r="M876">
        <v>21.103879118415001</v>
      </c>
      <c r="N876">
        <v>55.215097608104102</v>
      </c>
      <c r="O876">
        <v>53.216017665873402</v>
      </c>
      <c r="P876">
        <v>-7.7259480850574894E-2</v>
      </c>
      <c r="Q876">
        <v>0.220743508545691</v>
      </c>
      <c r="R876">
        <v>0.99088333048652699</v>
      </c>
      <c r="S876" t="s">
        <v>5616</v>
      </c>
      <c r="T876" t="s">
        <v>9478</v>
      </c>
      <c r="U876" t="s">
        <v>9478</v>
      </c>
      <c r="V876" t="s">
        <v>9478</v>
      </c>
      <c r="W876">
        <v>5</v>
      </c>
      <c r="X876" t="s">
        <v>10354</v>
      </c>
      <c r="Y876">
        <v>0.58609942864851894</v>
      </c>
      <c r="Z876" t="str">
        <f>HYPERLINK("Melting_Curves/meltCurve_sp_P20823_3_HNF1A_HUMAN_.pdf", "Melting_Curves/meltCurve_sp_P20823_3_HNF1A_HUMAN_.pdf")</f>
        <v>Melting_Curves/meltCurve_sp_P20823_3_HNF1A_HUMAN_.pdf</v>
      </c>
      <c r="AA876" t="s">
        <v>15077</v>
      </c>
      <c r="AB876" t="s">
        <v>19711</v>
      </c>
    </row>
    <row r="877" spans="1:28" x14ac:dyDescent="0.25">
      <c r="A877" t="s">
        <v>881</v>
      </c>
      <c r="B877">
        <v>0.99904790336628502</v>
      </c>
      <c r="C877">
        <v>0.79975057244207604</v>
      </c>
      <c r="D877">
        <v>0.76594070962608396</v>
      </c>
      <c r="E877">
        <v>0.81468935603937898</v>
      </c>
      <c r="F877">
        <v>0.71124589780820702</v>
      </c>
      <c r="G877">
        <v>0.75225546719147096</v>
      </c>
      <c r="H877">
        <v>0.48883125658762899</v>
      </c>
      <c r="I877">
        <v>0.30008052840680299</v>
      </c>
      <c r="J877">
        <v>0.16576268844226999</v>
      </c>
      <c r="K877">
        <v>8.4891752272624799E-2</v>
      </c>
      <c r="L877">
        <v>532.17248062210501</v>
      </c>
      <c r="M877">
        <v>9.0424625938431493</v>
      </c>
      <c r="N877">
        <v>58.852604828624798</v>
      </c>
      <c r="O877">
        <v>56.188233541279203</v>
      </c>
      <c r="P877">
        <v>-4.0261604232990099E-2</v>
      </c>
      <c r="Q877">
        <v>0</v>
      </c>
      <c r="R877">
        <v>0.87242480837081704</v>
      </c>
      <c r="S877" t="s">
        <v>5617</v>
      </c>
      <c r="T877" t="s">
        <v>9478</v>
      </c>
      <c r="U877" t="s">
        <v>9478</v>
      </c>
      <c r="V877" t="s">
        <v>9478</v>
      </c>
      <c r="W877">
        <v>2</v>
      </c>
      <c r="X877" t="s">
        <v>10355</v>
      </c>
      <c r="Y877">
        <v>0.62939561032820845</v>
      </c>
      <c r="Z877" t="str">
        <f>HYPERLINK("Melting_Curves/meltCurve_sp_P20933_ASPG_HUMAN_.pdf", "Melting_Curves/meltCurve_sp_P20933_ASPG_HUMAN_.pdf")</f>
        <v>Melting_Curves/meltCurve_sp_P20933_ASPG_HUMAN_.pdf</v>
      </c>
      <c r="AA877" t="s">
        <v>15078</v>
      </c>
      <c r="AB877" t="s">
        <v>19712</v>
      </c>
    </row>
    <row r="878" spans="1:28" x14ac:dyDescent="0.25">
      <c r="A878" t="s">
        <v>882</v>
      </c>
      <c r="B878">
        <v>0.99904790336628502</v>
      </c>
      <c r="C878">
        <v>1.0489547385432301</v>
      </c>
      <c r="D878">
        <v>0.99050754410165798</v>
      </c>
      <c r="E878">
        <v>0.88379009249538898</v>
      </c>
      <c r="F878">
        <v>0.33800038970944901</v>
      </c>
      <c r="G878">
        <v>0.22317281725976301</v>
      </c>
      <c r="H878">
        <v>0.123929182583289</v>
      </c>
      <c r="I878">
        <v>0.104079853304236</v>
      </c>
      <c r="J878">
        <v>2.6304039064090901E-2</v>
      </c>
      <c r="K878">
        <v>3.9961402838896001E-2</v>
      </c>
      <c r="L878">
        <v>2319.6671341676602</v>
      </c>
      <c r="M878">
        <v>44.658216083069597</v>
      </c>
      <c r="N878">
        <v>52.194506505830603</v>
      </c>
      <c r="O878">
        <v>51.838858191578403</v>
      </c>
      <c r="P878">
        <v>-0.19449729888581199</v>
      </c>
      <c r="Q878">
        <v>9.6918597680884705E-2</v>
      </c>
      <c r="R878">
        <v>0.98632733916035298</v>
      </c>
      <c r="S878" t="s">
        <v>5618</v>
      </c>
      <c r="T878" t="s">
        <v>9478</v>
      </c>
      <c r="U878" t="s">
        <v>9478</v>
      </c>
      <c r="V878" t="s">
        <v>9478</v>
      </c>
      <c r="W878">
        <v>2</v>
      </c>
      <c r="X878" t="s">
        <v>10356</v>
      </c>
      <c r="Y878">
        <v>0.45902231367946578</v>
      </c>
      <c r="Z878" t="str">
        <f>HYPERLINK("Melting_Curves/meltCurve_sp_P20936_2_RASA1_HUMAN_.pdf", "Melting_Curves/meltCurve_sp_P20936_2_RASA1_HUMAN_.pdf")</f>
        <v>Melting_Curves/meltCurve_sp_P20936_2_RASA1_HUMAN_.pdf</v>
      </c>
      <c r="AA878" t="s">
        <v>15079</v>
      </c>
      <c r="AB878" t="s">
        <v>19713</v>
      </c>
    </row>
    <row r="879" spans="1:28" x14ac:dyDescent="0.25">
      <c r="A879" t="s">
        <v>883</v>
      </c>
      <c r="B879">
        <v>0.99904790336628502</v>
      </c>
      <c r="C879">
        <v>1.1194042293256199</v>
      </c>
      <c r="D879">
        <v>1.0644587027549299</v>
      </c>
      <c r="E879">
        <v>1.0296820586559601</v>
      </c>
      <c r="F879">
        <v>1.42284022334575</v>
      </c>
      <c r="G879">
        <v>1.0800103486164201</v>
      </c>
      <c r="H879">
        <v>1.23018594887995</v>
      </c>
      <c r="I879">
        <v>1.16985429840026</v>
      </c>
      <c r="J879">
        <v>1.5292458626374801</v>
      </c>
      <c r="K879">
        <v>1.53505020994008</v>
      </c>
      <c r="L879">
        <v>433.27022439439298</v>
      </c>
      <c r="M879">
        <v>7.5463922905380798</v>
      </c>
      <c r="O879">
        <v>53.797874495763402</v>
      </c>
      <c r="P879">
        <v>1.7558767745358299E-2</v>
      </c>
      <c r="Q879">
        <v>1.5</v>
      </c>
      <c r="R879">
        <v>0.51488240411259201</v>
      </c>
      <c r="S879" t="s">
        <v>5619</v>
      </c>
      <c r="T879" t="s">
        <v>9478</v>
      </c>
      <c r="U879" t="s">
        <v>9478</v>
      </c>
      <c r="V879" t="s">
        <v>9478</v>
      </c>
      <c r="W879">
        <v>6</v>
      </c>
      <c r="X879" t="s">
        <v>10357</v>
      </c>
      <c r="Y879">
        <v>1.2063439453335769</v>
      </c>
      <c r="Z879" t="str">
        <f>HYPERLINK("Melting_Curves/meltCurve_sp_P20962_PTMS_HUMAN_.pdf", "Melting_Curves/meltCurve_sp_P20962_PTMS_HUMAN_.pdf")</f>
        <v>Melting_Curves/meltCurve_sp_P20962_PTMS_HUMAN_.pdf</v>
      </c>
      <c r="AA879" t="s">
        <v>15080</v>
      </c>
      <c r="AB879" t="s">
        <v>19714</v>
      </c>
    </row>
    <row r="880" spans="1:28" x14ac:dyDescent="0.25">
      <c r="A880" t="s">
        <v>884</v>
      </c>
      <c r="B880">
        <v>0.99904790336628502</v>
      </c>
      <c r="C880">
        <v>0.95249362380282898</v>
      </c>
      <c r="D880">
        <v>0.88069744770824598</v>
      </c>
      <c r="E880">
        <v>0.65193747721547002</v>
      </c>
      <c r="F880">
        <v>0.52177335164177796</v>
      </c>
      <c r="G880">
        <v>0.34165245443276498</v>
      </c>
      <c r="H880">
        <v>0.29141063953774499</v>
      </c>
      <c r="I880">
        <v>0.30148022215533599</v>
      </c>
      <c r="J880">
        <v>0.301486194985917</v>
      </c>
      <c r="K880">
        <v>0.28985487928334702</v>
      </c>
      <c r="L880">
        <v>855.85013421551002</v>
      </c>
      <c r="M880">
        <v>16.991141958828202</v>
      </c>
      <c r="N880">
        <v>52.882283776000399</v>
      </c>
      <c r="O880">
        <v>49.688191313759503</v>
      </c>
      <c r="P880">
        <v>-6.1819064941516101E-2</v>
      </c>
      <c r="Q880">
        <v>0.27692055955030598</v>
      </c>
      <c r="R880">
        <v>0.99707880918121605</v>
      </c>
      <c r="S880" t="s">
        <v>5620</v>
      </c>
      <c r="T880" t="s">
        <v>9478</v>
      </c>
      <c r="U880" t="s">
        <v>9478</v>
      </c>
      <c r="V880" t="s">
        <v>9478</v>
      </c>
      <c r="W880">
        <v>11</v>
      </c>
      <c r="X880" t="s">
        <v>10358</v>
      </c>
      <c r="Y880">
        <v>0.54052614620004735</v>
      </c>
      <c r="Z880" t="str">
        <f>HYPERLINK("Melting_Curves/meltCurve_sp_P21127_8_CD11B_HUMAN_.pdf", "Melting_Curves/meltCurve_sp_P21127_8_CD11B_HUMAN_.pdf")</f>
        <v>Melting_Curves/meltCurve_sp_P21127_8_CD11B_HUMAN_.pdf</v>
      </c>
      <c r="AA880" t="s">
        <v>15081</v>
      </c>
      <c r="AB880" t="s">
        <v>19715</v>
      </c>
    </row>
    <row r="881" spans="1:28" x14ac:dyDescent="0.25">
      <c r="A881" t="s">
        <v>885</v>
      </c>
      <c r="B881">
        <v>0.99904790336628502</v>
      </c>
      <c r="C881">
        <v>0.87227776589025596</v>
      </c>
      <c r="D881">
        <v>0.841101369397528</v>
      </c>
      <c r="E881">
        <v>0.40213814681328303</v>
      </c>
      <c r="F881">
        <v>0.15261793731458101</v>
      </c>
      <c r="G881">
        <v>8.9175516175300895E-2</v>
      </c>
      <c r="H881">
        <v>4.98963209833981E-2</v>
      </c>
      <c r="I881">
        <v>3.4606586282087598E-2</v>
      </c>
      <c r="J881">
        <v>2.3100029996688601E-2</v>
      </c>
      <c r="K881">
        <v>1.9763164885060198E-2</v>
      </c>
      <c r="L881">
        <v>1066.2977247113199</v>
      </c>
      <c r="M881">
        <v>21.7969738426698</v>
      </c>
      <c r="N881">
        <v>49.041829798569502</v>
      </c>
      <c r="O881">
        <v>48.513370935302</v>
      </c>
      <c r="P881">
        <v>-0.10935581879430201</v>
      </c>
      <c r="Q881">
        <v>2.64529172536676E-2</v>
      </c>
      <c r="R881">
        <v>0.993250327022278</v>
      </c>
      <c r="S881" t="s">
        <v>5621</v>
      </c>
      <c r="T881" t="s">
        <v>9478</v>
      </c>
      <c r="U881" t="s">
        <v>9478</v>
      </c>
      <c r="V881" t="s">
        <v>9478</v>
      </c>
      <c r="W881">
        <v>9</v>
      </c>
      <c r="X881" t="s">
        <v>10359</v>
      </c>
      <c r="Y881">
        <v>0.32734714671473369</v>
      </c>
      <c r="Z881" t="str">
        <f>HYPERLINK("Melting_Curves/meltCurve_sp_P21266_GSTM3_HUMAN_.pdf", "Melting_Curves/meltCurve_sp_P21266_GSTM3_HUMAN_.pdf")</f>
        <v>Melting_Curves/meltCurve_sp_P21266_GSTM3_HUMAN_.pdf</v>
      </c>
      <c r="AA881" t="s">
        <v>15082</v>
      </c>
      <c r="AB881" t="s">
        <v>19716</v>
      </c>
    </row>
    <row r="882" spans="1:28" x14ac:dyDescent="0.25">
      <c r="A882" t="s">
        <v>886</v>
      </c>
      <c r="B882">
        <v>0.99904790336628502</v>
      </c>
      <c r="C882">
        <v>0.98828371695539396</v>
      </c>
      <c r="D882">
        <v>1.00036019265843</v>
      </c>
      <c r="E882">
        <v>0.95298601529636995</v>
      </c>
      <c r="F882">
        <v>0.73727072894031298</v>
      </c>
      <c r="G882">
        <v>0.50586347069785897</v>
      </c>
      <c r="H882">
        <v>0.270150387340719</v>
      </c>
      <c r="I882">
        <v>0.105634175658055</v>
      </c>
      <c r="J882">
        <v>5.4135717105200397E-2</v>
      </c>
      <c r="K882">
        <v>7.8506816553700801E-2</v>
      </c>
      <c r="L882">
        <v>984.48766863744402</v>
      </c>
      <c r="M882">
        <v>17.325402710179802</v>
      </c>
      <c r="N882">
        <v>56.905824188802498</v>
      </c>
      <c r="O882">
        <v>56.082546090320498</v>
      </c>
      <c r="P882">
        <v>-7.6278677791525501E-2</v>
      </c>
      <c r="Q882">
        <v>1.23964928662917E-2</v>
      </c>
      <c r="R882">
        <v>0.99550318872296595</v>
      </c>
      <c r="S882" t="s">
        <v>5622</v>
      </c>
      <c r="T882" t="s">
        <v>9478</v>
      </c>
      <c r="U882" t="s">
        <v>9478</v>
      </c>
      <c r="V882" t="s">
        <v>9478</v>
      </c>
      <c r="W882">
        <v>21</v>
      </c>
      <c r="X882" t="s">
        <v>10360</v>
      </c>
      <c r="Y882">
        <v>0.58049912652231606</v>
      </c>
      <c r="Z882" t="str">
        <f>HYPERLINK("Melting_Curves/meltCurve_sp_P21281_VATB2_HUMAN_.pdf", "Melting_Curves/meltCurve_sp_P21281_VATB2_HUMAN_.pdf")</f>
        <v>Melting_Curves/meltCurve_sp_P21281_VATB2_HUMAN_.pdf</v>
      </c>
      <c r="AA882" t="s">
        <v>15083</v>
      </c>
      <c r="AB882" t="s">
        <v>19717</v>
      </c>
    </row>
    <row r="883" spans="1:28" x14ac:dyDescent="0.25">
      <c r="A883" t="s">
        <v>887</v>
      </c>
      <c r="B883">
        <v>0.99904790336628502</v>
      </c>
      <c r="C883">
        <v>1.0441369806035801</v>
      </c>
      <c r="D883">
        <v>1.02036030084246</v>
      </c>
      <c r="E883">
        <v>0.93666554101695898</v>
      </c>
      <c r="F883">
        <v>0.74594751631148104</v>
      </c>
      <c r="G883">
        <v>0.23081384334948599</v>
      </c>
      <c r="H883">
        <v>9.1549498220667297E-2</v>
      </c>
      <c r="I883">
        <v>7.1022831034834102E-2</v>
      </c>
      <c r="J883">
        <v>5.8138547183946003E-2</v>
      </c>
      <c r="K883">
        <v>5.0268666502176998E-2</v>
      </c>
      <c r="L883">
        <v>1810.1740708147099</v>
      </c>
      <c r="M883">
        <v>33.200352830215202</v>
      </c>
      <c r="N883">
        <v>54.724335478066799</v>
      </c>
      <c r="O883">
        <v>54.326067075355098</v>
      </c>
      <c r="P883">
        <v>-0.14398897746459199</v>
      </c>
      <c r="Q883">
        <v>5.75617273541578E-2</v>
      </c>
      <c r="R883">
        <v>0.99836275916234196</v>
      </c>
      <c r="S883" t="s">
        <v>5623</v>
      </c>
      <c r="T883" t="s">
        <v>9478</v>
      </c>
      <c r="U883" t="s">
        <v>9478</v>
      </c>
      <c r="V883" t="s">
        <v>9478</v>
      </c>
      <c r="W883">
        <v>18</v>
      </c>
      <c r="X883" t="s">
        <v>10361</v>
      </c>
      <c r="Y883">
        <v>0.51890609995868109</v>
      </c>
      <c r="Z883" t="str">
        <f>HYPERLINK("Melting_Curves/meltCurve_sp_P21283_VATC1_HUMAN_.pdf", "Melting_Curves/meltCurve_sp_P21283_VATC1_HUMAN_.pdf")</f>
        <v>Melting_Curves/meltCurve_sp_P21283_VATC1_HUMAN_.pdf</v>
      </c>
      <c r="AA883" t="s">
        <v>15084</v>
      </c>
      <c r="AB883" t="s">
        <v>19718</v>
      </c>
    </row>
    <row r="884" spans="1:28" x14ac:dyDescent="0.25">
      <c r="A884" t="s">
        <v>888</v>
      </c>
      <c r="B884">
        <v>0.99904790336628502</v>
      </c>
      <c r="C884">
        <v>0.90997673505838805</v>
      </c>
      <c r="D884">
        <v>0.90610335665228303</v>
      </c>
      <c r="E884">
        <v>0.93321962810855896</v>
      </c>
      <c r="F884">
        <v>0.94862432835147104</v>
      </c>
      <c r="G884">
        <v>0.84145925429713997</v>
      </c>
      <c r="H884">
        <v>0.77149641983856099</v>
      </c>
      <c r="I884">
        <v>0.79931209334196995</v>
      </c>
      <c r="J884">
        <v>0.84731588284422699</v>
      </c>
      <c r="K884">
        <v>1.0128200046864699</v>
      </c>
      <c r="L884">
        <v>494.600325727182</v>
      </c>
      <c r="M884">
        <v>11.077147221372501</v>
      </c>
      <c r="O884">
        <v>43.269413816918899</v>
      </c>
      <c r="P884">
        <v>-8.7218999697240302E-3</v>
      </c>
      <c r="Q884">
        <v>0.86376729157191501</v>
      </c>
      <c r="R884">
        <v>0.226394006579862</v>
      </c>
      <c r="S884" t="s">
        <v>5624</v>
      </c>
      <c r="T884" t="s">
        <v>9478</v>
      </c>
      <c r="U884" t="s">
        <v>9478</v>
      </c>
      <c r="V884" t="s">
        <v>9478</v>
      </c>
      <c r="W884">
        <v>12</v>
      </c>
      <c r="X884" t="s">
        <v>10362</v>
      </c>
      <c r="Y884">
        <v>0.89302265875673725</v>
      </c>
      <c r="Z884" t="str">
        <f>HYPERLINK("Melting_Curves/meltCurve_sp_P21291_CSRP1_HUMAN_.pdf", "Melting_Curves/meltCurve_sp_P21291_CSRP1_HUMAN_.pdf")</f>
        <v>Melting_Curves/meltCurve_sp_P21291_CSRP1_HUMAN_.pdf</v>
      </c>
      <c r="AA884" t="s">
        <v>15085</v>
      </c>
      <c r="AB884" t="s">
        <v>19719</v>
      </c>
    </row>
    <row r="885" spans="1:28" x14ac:dyDescent="0.25">
      <c r="A885" t="s">
        <v>889</v>
      </c>
      <c r="B885">
        <v>0.99904790336628502</v>
      </c>
      <c r="C885">
        <v>1.20545006962232</v>
      </c>
      <c r="D885">
        <v>0.94610428645983102</v>
      </c>
      <c r="E885">
        <v>0.52043828357570399</v>
      </c>
      <c r="F885">
        <v>0.31039992377773501</v>
      </c>
      <c r="G885">
        <v>0.17997436917870399</v>
      </c>
      <c r="H885">
        <v>0.1134244908408</v>
      </c>
      <c r="I885">
        <v>0.10798301804129699</v>
      </c>
      <c r="J885">
        <v>4.56244075547984E-2</v>
      </c>
      <c r="K885">
        <v>4.5757938386901398E-2</v>
      </c>
      <c r="L885">
        <v>1293.81162744675</v>
      </c>
      <c r="M885">
        <v>25.762364504316</v>
      </c>
      <c r="N885">
        <v>50.6042002895053</v>
      </c>
      <c r="O885">
        <v>49.921342500998698</v>
      </c>
      <c r="P885">
        <v>-0.117583238723484</v>
      </c>
      <c r="Q885">
        <v>8.8617581001395496E-2</v>
      </c>
      <c r="R885">
        <v>0.96724807226701004</v>
      </c>
      <c r="S885" t="s">
        <v>5625</v>
      </c>
      <c r="T885" t="s">
        <v>9478</v>
      </c>
      <c r="U885" t="s">
        <v>9478</v>
      </c>
      <c r="V885" t="s">
        <v>9478</v>
      </c>
      <c r="W885">
        <v>4</v>
      </c>
      <c r="X885" t="s">
        <v>10363</v>
      </c>
      <c r="Y885">
        <v>0.40681295931182609</v>
      </c>
      <c r="Z885" t="str">
        <f>HYPERLINK("Melting_Curves/meltCurve_sp_P21397_2_AOFA_HUMAN_.pdf", "Melting_Curves/meltCurve_sp_P21397_2_AOFA_HUMAN_.pdf")</f>
        <v>Melting_Curves/meltCurve_sp_P21397_2_AOFA_HUMAN_.pdf</v>
      </c>
      <c r="AA885" t="s">
        <v>15086</v>
      </c>
      <c r="AB885" t="s">
        <v>19720</v>
      </c>
    </row>
    <row r="886" spans="1:28" x14ac:dyDescent="0.25">
      <c r="A886" t="s">
        <v>890</v>
      </c>
      <c r="B886">
        <v>0.99904790336628502</v>
      </c>
      <c r="C886">
        <v>0.91978931874768199</v>
      </c>
      <c r="D886">
        <v>0.91523800030195201</v>
      </c>
      <c r="E886">
        <v>0.804946856451491</v>
      </c>
      <c r="F886">
        <v>0.626774263075908</v>
      </c>
      <c r="G886">
        <v>0.17014090044651201</v>
      </c>
      <c r="H886">
        <v>6.11955894051565E-2</v>
      </c>
      <c r="I886">
        <v>3.3515990622309103E-2</v>
      </c>
      <c r="J886">
        <v>2.47307801237154E-2</v>
      </c>
      <c r="K886">
        <v>1.84312928917903E-2</v>
      </c>
      <c r="L886">
        <v>1188.7424258302301</v>
      </c>
      <c r="M886">
        <v>22.150874424005199</v>
      </c>
      <c r="N886">
        <v>53.676891702668797</v>
      </c>
      <c r="O886">
        <v>53.234066808047601</v>
      </c>
      <c r="P886">
        <v>-0.103788684341939</v>
      </c>
      <c r="Q886">
        <v>2.3014705871331198E-3</v>
      </c>
      <c r="R886">
        <v>0.99033772076349003</v>
      </c>
      <c r="S886" t="s">
        <v>5626</v>
      </c>
      <c r="T886" t="s">
        <v>9478</v>
      </c>
      <c r="U886" t="s">
        <v>9478</v>
      </c>
      <c r="V886" t="s">
        <v>9478</v>
      </c>
      <c r="W886">
        <v>57</v>
      </c>
      <c r="X886" t="s">
        <v>10364</v>
      </c>
      <c r="Y886">
        <v>0.46823508381580919</v>
      </c>
      <c r="Z886" t="str">
        <f>HYPERLINK("Melting_Curves/meltCurve_sp_P21399_ACOC_HUMAN_.pdf", "Melting_Curves/meltCurve_sp_P21399_ACOC_HUMAN_.pdf")</f>
        <v>Melting_Curves/meltCurve_sp_P21399_ACOC_HUMAN_.pdf</v>
      </c>
      <c r="AA886" t="s">
        <v>15087</v>
      </c>
      <c r="AB886" t="s">
        <v>19721</v>
      </c>
    </row>
    <row r="887" spans="1:28" x14ac:dyDescent="0.25">
      <c r="A887" t="s">
        <v>891</v>
      </c>
      <c r="B887">
        <v>0.99904790336628502</v>
      </c>
      <c r="C887">
        <v>1.09693538199011</v>
      </c>
      <c r="D887">
        <v>1.16400043789131</v>
      </c>
      <c r="E887">
        <v>1.0678592930106099</v>
      </c>
      <c r="F887">
        <v>0.96680258093591298</v>
      </c>
      <c r="G887">
        <v>0.79419757540569302</v>
      </c>
      <c r="H887">
        <v>0.56718556770734696</v>
      </c>
      <c r="I887">
        <v>0.38927991899833297</v>
      </c>
      <c r="J887">
        <v>0.23188806923285801</v>
      </c>
      <c r="K887">
        <v>0.116265673029461</v>
      </c>
      <c r="L887">
        <v>1100.30705299647</v>
      </c>
      <c r="M887">
        <v>17.770703643239901</v>
      </c>
      <c r="N887">
        <v>62.053822653191098</v>
      </c>
      <c r="O887">
        <v>61.148813527021503</v>
      </c>
      <c r="P887">
        <v>-7.1260457595579502E-2</v>
      </c>
      <c r="Q887">
        <v>1.9224812757498599E-2</v>
      </c>
      <c r="R887">
        <v>0.96584553169599696</v>
      </c>
      <c r="S887" t="s">
        <v>5627</v>
      </c>
      <c r="T887" t="s">
        <v>9478</v>
      </c>
      <c r="U887" t="s">
        <v>9478</v>
      </c>
      <c r="V887" t="s">
        <v>9478</v>
      </c>
      <c r="W887">
        <v>29</v>
      </c>
      <c r="X887" t="s">
        <v>10365</v>
      </c>
      <c r="Y887">
        <v>0.73734071194675577</v>
      </c>
      <c r="Z887" t="str">
        <f>HYPERLINK("Melting_Curves/meltCurve_sp_P21549_SPYA_HUMAN_.pdf", "Melting_Curves/meltCurve_sp_P21549_SPYA_HUMAN_.pdf")</f>
        <v>Melting_Curves/meltCurve_sp_P21549_SPYA_HUMAN_.pdf</v>
      </c>
      <c r="AA887" t="s">
        <v>15088</v>
      </c>
      <c r="AB887" t="s">
        <v>19722</v>
      </c>
    </row>
    <row r="888" spans="1:28" x14ac:dyDescent="0.25">
      <c r="A888" t="s">
        <v>892</v>
      </c>
      <c r="B888">
        <v>0.99904790336628502</v>
      </c>
      <c r="C888">
        <v>0.97889023011523102</v>
      </c>
      <c r="D888">
        <v>0.86820036023140901</v>
      </c>
      <c r="E888">
        <v>0.84811921790531297</v>
      </c>
      <c r="F888">
        <v>0.74649128661866104</v>
      </c>
      <c r="G888">
        <v>0.29596955168655098</v>
      </c>
      <c r="H888">
        <v>0.208646031735364</v>
      </c>
      <c r="I888">
        <v>0.204607038755898</v>
      </c>
      <c r="J888">
        <v>0.20815167348230801</v>
      </c>
      <c r="K888">
        <v>0.13361488109627401</v>
      </c>
      <c r="L888">
        <v>1283.66716888836</v>
      </c>
      <c r="M888">
        <v>23.7458688670329</v>
      </c>
      <c r="N888">
        <v>54.959216537246</v>
      </c>
      <c r="O888">
        <v>53.679540276792103</v>
      </c>
      <c r="P888">
        <v>-9.2767129842364196E-2</v>
      </c>
      <c r="Q888">
        <v>0.16118221363398999</v>
      </c>
      <c r="R888">
        <v>0.97730865550825996</v>
      </c>
      <c r="S888" t="s">
        <v>5628</v>
      </c>
      <c r="T888" t="s">
        <v>9478</v>
      </c>
      <c r="U888" t="s">
        <v>9478</v>
      </c>
      <c r="V888" t="s">
        <v>9478</v>
      </c>
      <c r="W888">
        <v>2</v>
      </c>
      <c r="X888" t="s">
        <v>10366</v>
      </c>
      <c r="Y888">
        <v>0.56278317290534796</v>
      </c>
      <c r="Z888" t="str">
        <f>HYPERLINK("Melting_Curves/meltCurve_sp_P21580_TNAP3_HUMAN_.pdf", "Melting_Curves/meltCurve_sp_P21580_TNAP3_HUMAN_.pdf")</f>
        <v>Melting_Curves/meltCurve_sp_P21580_TNAP3_HUMAN_.pdf</v>
      </c>
      <c r="AA888" t="s">
        <v>15089</v>
      </c>
      <c r="AB888" t="s">
        <v>19723</v>
      </c>
    </row>
    <row r="889" spans="1:28" x14ac:dyDescent="0.25">
      <c r="A889" t="s">
        <v>893</v>
      </c>
      <c r="B889">
        <v>0.99904790336628502</v>
      </c>
      <c r="C889">
        <v>0.90920946612806997</v>
      </c>
      <c r="D889">
        <v>0.97974132698877903</v>
      </c>
      <c r="E889">
        <v>0.83359075868642896</v>
      </c>
      <c r="F889">
        <v>0.630458241131299</v>
      </c>
      <c r="G889">
        <v>0.43042497368744698</v>
      </c>
      <c r="H889">
        <v>0.306670794789414</v>
      </c>
      <c r="I889">
        <v>0.210455238066486</v>
      </c>
      <c r="J889">
        <v>0.151870918407468</v>
      </c>
      <c r="K889">
        <v>0.10300047922979499</v>
      </c>
      <c r="L889">
        <v>702.53394922511802</v>
      </c>
      <c r="M889">
        <v>12.682668797874401</v>
      </c>
      <c r="N889">
        <v>55.924724563156403</v>
      </c>
      <c r="O889">
        <v>54.070216473806802</v>
      </c>
      <c r="P889">
        <v>-5.5321214123269402E-2</v>
      </c>
      <c r="Q889">
        <v>5.6776365081169601E-2</v>
      </c>
      <c r="R889">
        <v>0.99179560401211198</v>
      </c>
      <c r="S889" t="s">
        <v>5629</v>
      </c>
      <c r="T889" t="s">
        <v>9478</v>
      </c>
      <c r="U889" t="s">
        <v>9478</v>
      </c>
      <c r="V889" t="s">
        <v>9478</v>
      </c>
      <c r="W889">
        <v>5</v>
      </c>
      <c r="X889" t="s">
        <v>10367</v>
      </c>
      <c r="Y889">
        <v>0.56106023176951847</v>
      </c>
      <c r="Z889" t="str">
        <f>HYPERLINK("Melting_Curves/meltCurve_sp_P21589_2_5NTD_HUMAN_.pdf", "Melting_Curves/meltCurve_sp_P21589_2_5NTD_HUMAN_.pdf")</f>
        <v>Melting_Curves/meltCurve_sp_P21589_2_5NTD_HUMAN_.pdf</v>
      </c>
      <c r="AA889" t="s">
        <v>15090</v>
      </c>
      <c r="AB889" t="s">
        <v>19724</v>
      </c>
    </row>
    <row r="890" spans="1:28" x14ac:dyDescent="0.25">
      <c r="A890" t="s">
        <v>894</v>
      </c>
      <c r="B890">
        <v>0.99904790336628502</v>
      </c>
      <c r="C890">
        <v>0.99749114176357601</v>
      </c>
      <c r="D890">
        <v>1.00374497466996</v>
      </c>
      <c r="E890">
        <v>0.89488777572661904</v>
      </c>
      <c r="F890">
        <v>0.482083141500315</v>
      </c>
      <c r="G890">
        <v>0.13291527284618199</v>
      </c>
      <c r="H890">
        <v>6.8351537556720104E-2</v>
      </c>
      <c r="I890">
        <v>4.3248978596417298E-2</v>
      </c>
      <c r="J890">
        <v>3.5504054564128397E-2</v>
      </c>
      <c r="K890">
        <v>2.1682064263983801E-2</v>
      </c>
      <c r="L890">
        <v>1809.2259261407301</v>
      </c>
      <c r="M890">
        <v>34.245425598620699</v>
      </c>
      <c r="N890">
        <v>52.966886973971199</v>
      </c>
      <c r="O890">
        <v>52.651979978932303</v>
      </c>
      <c r="P890">
        <v>-0.155773327483194</v>
      </c>
      <c r="Q890">
        <v>4.2004078520243501E-2</v>
      </c>
      <c r="R890">
        <v>0.99914700090096298</v>
      </c>
      <c r="S890" t="s">
        <v>5630</v>
      </c>
      <c r="T890" t="s">
        <v>9478</v>
      </c>
      <c r="U890" t="s">
        <v>9478</v>
      </c>
      <c r="V890" t="s">
        <v>9478</v>
      </c>
      <c r="W890">
        <v>24</v>
      </c>
      <c r="X890" t="s">
        <v>10368</v>
      </c>
      <c r="Y890">
        <v>0.45651366206083838</v>
      </c>
      <c r="Z890" t="str">
        <f>HYPERLINK("Melting_Curves/meltCurve_sp_P21695_2_GPDA_HUMAN_.pdf", "Melting_Curves/meltCurve_sp_P21695_2_GPDA_HUMAN_.pdf")</f>
        <v>Melting_Curves/meltCurve_sp_P21695_2_GPDA_HUMAN_.pdf</v>
      </c>
      <c r="AA890" t="s">
        <v>15091</v>
      </c>
      <c r="AB890" t="s">
        <v>19725</v>
      </c>
    </row>
    <row r="891" spans="1:28" x14ac:dyDescent="0.25">
      <c r="A891" t="s">
        <v>895</v>
      </c>
      <c r="B891">
        <v>0.99904790336628502</v>
      </c>
      <c r="C891">
        <v>0.90505263184951701</v>
      </c>
      <c r="D891">
        <v>0.86955140724336999</v>
      </c>
      <c r="E891">
        <v>0.60702810625280601</v>
      </c>
      <c r="F891">
        <v>0.32162042887215903</v>
      </c>
      <c r="G891">
        <v>0.154161738624397</v>
      </c>
      <c r="H891">
        <v>7.8043229892685403E-2</v>
      </c>
      <c r="I891">
        <v>4.6652030314309E-2</v>
      </c>
      <c r="J891">
        <v>3.7799007742864502E-2</v>
      </c>
      <c r="K891">
        <v>3.2880649522726402E-2</v>
      </c>
      <c r="L891">
        <v>874.32085612136405</v>
      </c>
      <c r="M891">
        <v>17.196278804249101</v>
      </c>
      <c r="N891">
        <v>50.972144795080197</v>
      </c>
      <c r="O891">
        <v>50.170999866073302</v>
      </c>
      <c r="P891">
        <v>-8.3875145908476695E-2</v>
      </c>
      <c r="Q891">
        <v>2.12186200354701E-2</v>
      </c>
      <c r="R891">
        <v>0.99683049837802196</v>
      </c>
      <c r="S891" t="s">
        <v>5631</v>
      </c>
      <c r="T891" t="s">
        <v>9478</v>
      </c>
      <c r="U891" t="s">
        <v>9478</v>
      </c>
      <c r="V891" t="s">
        <v>9478</v>
      </c>
      <c r="W891">
        <v>7</v>
      </c>
      <c r="X891" t="s">
        <v>10369</v>
      </c>
      <c r="Y891">
        <v>0.3929423696568673</v>
      </c>
      <c r="Z891" t="str">
        <f>HYPERLINK("Melting_Curves/meltCurve_sp_P21912_DHSB_HUMAN_.pdf", "Melting_Curves/meltCurve_sp_P21912_DHSB_HUMAN_.pdf")</f>
        <v>Melting_Curves/meltCurve_sp_P21912_DHSB_HUMAN_.pdf</v>
      </c>
      <c r="AA891" t="s">
        <v>15092</v>
      </c>
      <c r="AB891" t="s">
        <v>19726</v>
      </c>
    </row>
    <row r="892" spans="1:28" x14ac:dyDescent="0.25">
      <c r="A892" t="s">
        <v>896</v>
      </c>
      <c r="B892">
        <v>0.99904790336628502</v>
      </c>
      <c r="C892">
        <v>0.80156874845889303</v>
      </c>
      <c r="D892">
        <v>0.52792206711607703</v>
      </c>
      <c r="E892">
        <v>0.38794480223969002</v>
      </c>
      <c r="F892">
        <v>0.115698921057569</v>
      </c>
      <c r="G892">
        <v>6.1924286719147903E-2</v>
      </c>
      <c r="H892">
        <v>2.3697427649390701E-2</v>
      </c>
      <c r="I892">
        <v>1.4255420012147401E-2</v>
      </c>
      <c r="J892">
        <v>5.9136033813205697E-3</v>
      </c>
      <c r="K892">
        <v>6.2411065648025699E-3</v>
      </c>
      <c r="L892">
        <v>700.96298768212</v>
      </c>
      <c r="M892">
        <v>14.8816710563777</v>
      </c>
      <c r="N892">
        <v>47.102445170531396</v>
      </c>
      <c r="O892">
        <v>46.276450376960398</v>
      </c>
      <c r="P892">
        <v>-8.0403874169686099E-2</v>
      </c>
      <c r="Q892">
        <v>0</v>
      </c>
      <c r="R892">
        <v>0.98483114677314398</v>
      </c>
      <c r="S892" t="s">
        <v>5632</v>
      </c>
      <c r="T892" t="s">
        <v>9478</v>
      </c>
      <c r="U892" t="s">
        <v>9478</v>
      </c>
      <c r="V892" t="s">
        <v>9478</v>
      </c>
      <c r="W892">
        <v>3</v>
      </c>
      <c r="X892" t="s">
        <v>10370</v>
      </c>
      <c r="Y892">
        <v>0.26418834294744609</v>
      </c>
      <c r="Z892" t="str">
        <f>HYPERLINK("Melting_Curves/meltCurve_sp_P21953_ODBB_HUMAN_.pdf", "Melting_Curves/meltCurve_sp_P21953_ODBB_HUMAN_.pdf")</f>
        <v>Melting_Curves/meltCurve_sp_P21953_ODBB_HUMAN_.pdf</v>
      </c>
      <c r="AA892" t="s">
        <v>15093</v>
      </c>
      <c r="AB892" t="s">
        <v>19727</v>
      </c>
    </row>
    <row r="893" spans="1:28" x14ac:dyDescent="0.25">
      <c r="A893" t="s">
        <v>897</v>
      </c>
      <c r="B893">
        <v>0.99904790336628502</v>
      </c>
      <c r="C893">
        <v>0.71124006258239503</v>
      </c>
      <c r="D893">
        <v>0.94670661948205104</v>
      </c>
      <c r="E893">
        <v>0.70779830951072398</v>
      </c>
      <c r="F893">
        <v>0.28167296775610401</v>
      </c>
      <c r="G893">
        <v>9.1144347752619301E-2</v>
      </c>
      <c r="H893">
        <v>4.59515938066156E-2</v>
      </c>
      <c r="I893">
        <v>2.96667727716955E-2</v>
      </c>
      <c r="J893">
        <v>2.43804658102411E-2</v>
      </c>
      <c r="K893">
        <v>2.1699343519467201E-2</v>
      </c>
      <c r="L893">
        <v>1383.2174780683599</v>
      </c>
      <c r="M893">
        <v>26.974125196589501</v>
      </c>
      <c r="N893">
        <v>51.372973023380901</v>
      </c>
      <c r="O893">
        <v>51.000067028578499</v>
      </c>
      <c r="P893">
        <v>-0.12905817470772099</v>
      </c>
      <c r="Q893">
        <v>2.39668515923811E-2</v>
      </c>
      <c r="R893">
        <v>0.94494692773208799</v>
      </c>
      <c r="S893" t="s">
        <v>5633</v>
      </c>
      <c r="T893" t="s">
        <v>9478</v>
      </c>
      <c r="U893" t="s">
        <v>9478</v>
      </c>
      <c r="V893" t="s">
        <v>9478</v>
      </c>
      <c r="W893">
        <v>18</v>
      </c>
      <c r="X893" t="s">
        <v>10371</v>
      </c>
      <c r="Y893">
        <v>0.3985524582100145</v>
      </c>
      <c r="Z893" t="str">
        <f>HYPERLINK("Melting_Curves/meltCurve_sp_P21964_2_COMT_HUMAN_.pdf", "Melting_Curves/meltCurve_sp_P21964_2_COMT_HUMAN_.pdf")</f>
        <v>Melting_Curves/meltCurve_sp_P21964_2_COMT_HUMAN_.pdf</v>
      </c>
      <c r="AA893" t="s">
        <v>15094</v>
      </c>
      <c r="AB893" t="s">
        <v>19728</v>
      </c>
    </row>
    <row r="894" spans="1:28" x14ac:dyDescent="0.25">
      <c r="A894" t="s">
        <v>898</v>
      </c>
      <c r="B894">
        <v>0.99904790336628502</v>
      </c>
      <c r="C894">
        <v>0.93299392522235003</v>
      </c>
      <c r="D894">
        <v>0.87888633198956101</v>
      </c>
      <c r="E894">
        <v>0.52316283821946796</v>
      </c>
      <c r="F894">
        <v>0.247291202167021</v>
      </c>
      <c r="G894">
        <v>0.10781202816221699</v>
      </c>
      <c r="H894">
        <v>5.1823030397097597E-2</v>
      </c>
      <c r="I894">
        <v>3.32345281159067E-2</v>
      </c>
      <c r="J894">
        <v>2.3874562339863001E-2</v>
      </c>
      <c r="K894">
        <v>1.9461866263530799E-2</v>
      </c>
      <c r="L894">
        <v>1029.9940229067099</v>
      </c>
      <c r="M894">
        <v>20.564833908183999</v>
      </c>
      <c r="N894">
        <v>50.194989525069403</v>
      </c>
      <c r="O894">
        <v>49.6188272729744</v>
      </c>
      <c r="P894">
        <v>-0.101338540794757</v>
      </c>
      <c r="Q894">
        <v>2.1990068564346502E-2</v>
      </c>
      <c r="R894">
        <v>0.99871474232081103</v>
      </c>
      <c r="S894" t="s">
        <v>5634</v>
      </c>
      <c r="T894" t="s">
        <v>9478</v>
      </c>
      <c r="U894" t="s">
        <v>9478</v>
      </c>
      <c r="V894" t="s">
        <v>9478</v>
      </c>
      <c r="W894">
        <v>28</v>
      </c>
      <c r="X894" t="s">
        <v>10372</v>
      </c>
      <c r="Y894">
        <v>0.36366278063719881</v>
      </c>
      <c r="Z894" t="str">
        <f>HYPERLINK("Melting_Curves/meltCurve_sp_P21980_TGM2_HUMAN_.pdf", "Melting_Curves/meltCurve_sp_P21980_TGM2_HUMAN_.pdf")</f>
        <v>Melting_Curves/meltCurve_sp_P21980_TGM2_HUMAN_.pdf</v>
      </c>
      <c r="AA894" t="s">
        <v>15095</v>
      </c>
      <c r="AB894" t="s">
        <v>19729</v>
      </c>
    </row>
    <row r="895" spans="1:28" x14ac:dyDescent="0.25">
      <c r="A895" t="s">
        <v>899</v>
      </c>
      <c r="B895">
        <v>0.99904790336628502</v>
      </c>
      <c r="C895">
        <v>0.96950850207545203</v>
      </c>
      <c r="D895">
        <v>1.0721098911358999</v>
      </c>
      <c r="E895">
        <v>0.99531998620838602</v>
      </c>
      <c r="F895">
        <v>0.70235888037183203</v>
      </c>
      <c r="G895">
        <v>0.29194854732736403</v>
      </c>
      <c r="H895">
        <v>0.14397059840517901</v>
      </c>
      <c r="I895">
        <v>8.0576661267119806E-2</v>
      </c>
      <c r="J895">
        <v>4.8933360323157503E-2</v>
      </c>
      <c r="K895">
        <v>3.7878926712167499E-2</v>
      </c>
      <c r="L895">
        <v>1545.4523377775799</v>
      </c>
      <c r="M895">
        <v>28.2395744196177</v>
      </c>
      <c r="N895">
        <v>54.970330643354501</v>
      </c>
      <c r="O895">
        <v>54.454247988991298</v>
      </c>
      <c r="P895">
        <v>-0.122016466888393</v>
      </c>
      <c r="Q895">
        <v>5.8872523181605803E-2</v>
      </c>
      <c r="R895">
        <v>0.99295813113428399</v>
      </c>
      <c r="S895" t="s">
        <v>5635</v>
      </c>
      <c r="T895" t="s">
        <v>9478</v>
      </c>
      <c r="U895" t="s">
        <v>9478</v>
      </c>
      <c r="V895" t="s">
        <v>9478</v>
      </c>
      <c r="W895">
        <v>49</v>
      </c>
      <c r="X895" t="s">
        <v>10373</v>
      </c>
      <c r="Y895">
        <v>0.52783515090160082</v>
      </c>
      <c r="Z895" t="str">
        <f>HYPERLINK("Melting_Curves/meltCurve_sp_P22033_MUTA_HUMAN_.pdf", "Melting_Curves/meltCurve_sp_P22033_MUTA_HUMAN_.pdf")</f>
        <v>Melting_Curves/meltCurve_sp_P22033_MUTA_HUMAN_.pdf</v>
      </c>
      <c r="AA895" t="s">
        <v>15096</v>
      </c>
      <c r="AB895" t="s">
        <v>19730</v>
      </c>
    </row>
    <row r="896" spans="1:28" x14ac:dyDescent="0.25">
      <c r="A896" t="s">
        <v>900</v>
      </c>
      <c r="B896">
        <v>0.99904790336628502</v>
      </c>
      <c r="C896">
        <v>1.0099150650091999</v>
      </c>
      <c r="D896">
        <v>1.08806939405519</v>
      </c>
      <c r="E896">
        <v>1.0177811213261601</v>
      </c>
      <c r="F896">
        <v>0.83066052612889696</v>
      </c>
      <c r="G896">
        <v>0.59846861873147505</v>
      </c>
      <c r="H896">
        <v>0.29531465126857398</v>
      </c>
      <c r="I896">
        <v>9.4853181712551804E-2</v>
      </c>
      <c r="J896">
        <v>6.1168489056859503E-2</v>
      </c>
      <c r="K896">
        <v>5.3291424878639901E-2</v>
      </c>
      <c r="L896">
        <v>1208.7906759857799</v>
      </c>
      <c r="M896">
        <v>20.8484390213738</v>
      </c>
      <c r="N896">
        <v>58.029003515159502</v>
      </c>
      <c r="O896">
        <v>57.454387616089697</v>
      </c>
      <c r="P896">
        <v>-8.9926936673367902E-2</v>
      </c>
      <c r="Q896">
        <v>8.7403262517833594E-3</v>
      </c>
      <c r="R896">
        <v>0.99079798592208002</v>
      </c>
      <c r="S896" t="s">
        <v>5636</v>
      </c>
      <c r="T896" t="s">
        <v>9478</v>
      </c>
      <c r="U896" t="s">
        <v>9478</v>
      </c>
      <c r="V896" t="s">
        <v>9478</v>
      </c>
      <c r="W896">
        <v>28</v>
      </c>
      <c r="X896" t="s">
        <v>10374</v>
      </c>
      <c r="Y896">
        <v>0.6136233526946665</v>
      </c>
      <c r="Z896" t="str">
        <f>HYPERLINK("Melting_Curves/meltCurve_sp_P22059_OSBP1_HUMAN_.pdf", "Melting_Curves/meltCurve_sp_P22059_OSBP1_HUMAN_.pdf")</f>
        <v>Melting_Curves/meltCurve_sp_P22059_OSBP1_HUMAN_.pdf</v>
      </c>
      <c r="AA896" t="s">
        <v>15097</v>
      </c>
      <c r="AB896" t="s">
        <v>19731</v>
      </c>
    </row>
    <row r="897" spans="1:28" x14ac:dyDescent="0.25">
      <c r="A897" t="s">
        <v>901</v>
      </c>
      <c r="B897">
        <v>0.99904790336628502</v>
      </c>
      <c r="C897">
        <v>1.0083939692864501</v>
      </c>
      <c r="D897">
        <v>0.99801966022128097</v>
      </c>
      <c r="E897">
        <v>0.97772151452997902</v>
      </c>
      <c r="F897">
        <v>0.837524792600292</v>
      </c>
      <c r="G897">
        <v>0.27634801582242302</v>
      </c>
      <c r="H897">
        <v>8.5629147533815606E-2</v>
      </c>
      <c r="I897">
        <v>5.8017674979378098E-2</v>
      </c>
      <c r="J897">
        <v>4.98293440105292E-2</v>
      </c>
      <c r="K897">
        <v>4.3995756888397901E-2</v>
      </c>
      <c r="L897">
        <v>2046.1101200616699</v>
      </c>
      <c r="M897">
        <v>37.043664277166698</v>
      </c>
      <c r="N897">
        <v>55.392647712076901</v>
      </c>
      <c r="O897">
        <v>55.0748657566226</v>
      </c>
      <c r="P897">
        <v>-0.15974385638699301</v>
      </c>
      <c r="Q897">
        <v>5.0002649134306597E-2</v>
      </c>
      <c r="R897">
        <v>0.99989373488340605</v>
      </c>
      <c r="S897" t="s">
        <v>5637</v>
      </c>
      <c r="T897" t="s">
        <v>9478</v>
      </c>
      <c r="U897" t="s">
        <v>9478</v>
      </c>
      <c r="V897" t="s">
        <v>9478</v>
      </c>
      <c r="W897">
        <v>9</v>
      </c>
      <c r="X897" t="s">
        <v>10375</v>
      </c>
      <c r="Y897">
        <v>0.5366494653833338</v>
      </c>
      <c r="Z897" t="str">
        <f>HYPERLINK("Melting_Curves/meltCurve_sp_P22061_PIMT_HUMAN_.pdf", "Melting_Curves/meltCurve_sp_P22061_PIMT_HUMAN_.pdf")</f>
        <v>Melting_Curves/meltCurve_sp_P22061_PIMT_HUMAN_.pdf</v>
      </c>
      <c r="AA897" t="s">
        <v>15098</v>
      </c>
      <c r="AB897" t="s">
        <v>19732</v>
      </c>
    </row>
    <row r="898" spans="1:28" x14ac:dyDescent="0.25">
      <c r="A898" t="s">
        <v>902</v>
      </c>
      <c r="B898">
        <v>0.99904790336628502</v>
      </c>
      <c r="C898">
        <v>0.78546890701218797</v>
      </c>
      <c r="D898">
        <v>0.87897303329912202</v>
      </c>
      <c r="E898">
        <v>0.46907820438543602</v>
      </c>
      <c r="F898">
        <v>0.18644603021898201</v>
      </c>
      <c r="G898">
        <v>7.9739616065108307E-2</v>
      </c>
      <c r="H898">
        <v>4.0808434145763503E-2</v>
      </c>
      <c r="I898">
        <v>3.05533840242826E-2</v>
      </c>
      <c r="J898">
        <v>2.3990758377293E-2</v>
      </c>
      <c r="K898">
        <v>2.03355582868756E-2</v>
      </c>
      <c r="L898">
        <v>948.82249527288104</v>
      </c>
      <c r="M898">
        <v>19.189116557161299</v>
      </c>
      <c r="N898">
        <v>49.507005444817899</v>
      </c>
      <c r="O898">
        <v>48.918262913670397</v>
      </c>
      <c r="P898">
        <v>-9.6922634940003596E-2</v>
      </c>
      <c r="Q898">
        <v>1.17095599658568E-2</v>
      </c>
      <c r="R898">
        <v>0.97620952126185001</v>
      </c>
      <c r="S898" t="s">
        <v>5638</v>
      </c>
      <c r="T898" t="s">
        <v>9478</v>
      </c>
      <c r="U898" t="s">
        <v>9478</v>
      </c>
      <c r="V898" t="s">
        <v>9478</v>
      </c>
      <c r="W898">
        <v>29</v>
      </c>
      <c r="X898" t="s">
        <v>10376</v>
      </c>
      <c r="Y898">
        <v>0.33786427490253929</v>
      </c>
      <c r="Z898" t="str">
        <f>HYPERLINK("Melting_Curves/meltCurve_sp_P22102_PUR2_HUMAN_.pdf", "Melting_Curves/meltCurve_sp_P22102_PUR2_HUMAN_.pdf")</f>
        <v>Melting_Curves/meltCurve_sp_P22102_PUR2_HUMAN_.pdf</v>
      </c>
      <c r="AA898" t="s">
        <v>15099</v>
      </c>
      <c r="AB898" t="s">
        <v>19733</v>
      </c>
    </row>
    <row r="899" spans="1:28" x14ac:dyDescent="0.25">
      <c r="A899" t="s">
        <v>903</v>
      </c>
      <c r="B899">
        <v>0.99904790336628502</v>
      </c>
      <c r="C899">
        <v>1.06536856784523</v>
      </c>
      <c r="D899">
        <v>1.1097673807278201</v>
      </c>
      <c r="E899">
        <v>1.0229242141195101</v>
      </c>
      <c r="F899">
        <v>0.840925562093643</v>
      </c>
      <c r="G899">
        <v>0.67979148147940105</v>
      </c>
      <c r="H899">
        <v>0.53733217026943703</v>
      </c>
      <c r="I899">
        <v>0.50542399395321802</v>
      </c>
      <c r="J899">
        <v>0.33985689733160201</v>
      </c>
      <c r="K899">
        <v>0.110746710250265</v>
      </c>
      <c r="L899">
        <v>747.51557632900199</v>
      </c>
      <c r="M899">
        <v>12.0305392680417</v>
      </c>
      <c r="N899">
        <v>62.134835359536801</v>
      </c>
      <c r="O899">
        <v>60.492743904366002</v>
      </c>
      <c r="P899">
        <v>-4.9730802932336997E-2</v>
      </c>
      <c r="Q899">
        <v>0</v>
      </c>
      <c r="R899">
        <v>0.95010862923355099</v>
      </c>
      <c r="S899" t="s">
        <v>5639</v>
      </c>
      <c r="T899" t="s">
        <v>9478</v>
      </c>
      <c r="U899" t="s">
        <v>9478</v>
      </c>
      <c r="V899" t="s">
        <v>9478</v>
      </c>
      <c r="W899">
        <v>29</v>
      </c>
      <c r="X899" t="s">
        <v>10377</v>
      </c>
      <c r="Y899">
        <v>0.72553862605587183</v>
      </c>
      <c r="Z899" t="str">
        <f>HYPERLINK("Melting_Curves/meltCurve_sp_P22234_PUR6_HUMAN_.pdf", "Melting_Curves/meltCurve_sp_P22234_PUR6_HUMAN_.pdf")</f>
        <v>Melting_Curves/meltCurve_sp_P22234_PUR6_HUMAN_.pdf</v>
      </c>
      <c r="AA899" t="s">
        <v>15100</v>
      </c>
      <c r="AB899" t="s">
        <v>19734</v>
      </c>
    </row>
    <row r="900" spans="1:28" x14ac:dyDescent="0.25">
      <c r="A900" t="s">
        <v>904</v>
      </c>
      <c r="B900">
        <v>0.99904790336628502</v>
      </c>
      <c r="C900">
        <v>1.2577149625908799</v>
      </c>
      <c r="D900">
        <v>1.32278234753754</v>
      </c>
      <c r="E900">
        <v>0.915615837614984</v>
      </c>
      <c r="F900">
        <v>0.38824413157515197</v>
      </c>
      <c r="G900">
        <v>0.17392943724196799</v>
      </c>
      <c r="H900">
        <v>7.2937606238905106E-2</v>
      </c>
      <c r="I900">
        <v>2.2015702625854901E-2</v>
      </c>
      <c r="J900">
        <v>1.07653345803785E-2</v>
      </c>
      <c r="K900">
        <v>0</v>
      </c>
      <c r="L900">
        <v>2331.40165216594</v>
      </c>
      <c r="M900">
        <v>44.482591887518304</v>
      </c>
      <c r="N900">
        <v>52.529967622758498</v>
      </c>
      <c r="O900">
        <v>52.3059558704756</v>
      </c>
      <c r="P900">
        <v>-0.20246496384444901</v>
      </c>
      <c r="Q900">
        <v>4.7707554750788903E-2</v>
      </c>
      <c r="R900">
        <v>0.93028308539666404</v>
      </c>
      <c r="S900" t="s">
        <v>5640</v>
      </c>
      <c r="T900" t="s">
        <v>9478</v>
      </c>
      <c r="U900" t="s">
        <v>9478</v>
      </c>
      <c r="V900" t="s">
        <v>9478</v>
      </c>
      <c r="W900">
        <v>21</v>
      </c>
      <c r="X900" t="s">
        <v>10378</v>
      </c>
      <c r="Y900">
        <v>0.44447324092940671</v>
      </c>
      <c r="Z900" t="str">
        <f>HYPERLINK("Melting_Curves/meltCurve_sp_P22307_2_NLTP_HUMAN_.pdf", "Melting_Curves/meltCurve_sp_P22307_2_NLTP_HUMAN_.pdf")</f>
        <v>Melting_Curves/meltCurve_sp_P22307_2_NLTP_HUMAN_.pdf</v>
      </c>
      <c r="AA900" t="s">
        <v>15101</v>
      </c>
      <c r="AB900" t="s">
        <v>19735</v>
      </c>
    </row>
    <row r="901" spans="1:28" x14ac:dyDescent="0.25">
      <c r="A901" t="s">
        <v>905</v>
      </c>
      <c r="B901">
        <v>0.99904790336628502</v>
      </c>
      <c r="C901">
        <v>0.981173827650476</v>
      </c>
      <c r="D901">
        <v>0.99701308254102206</v>
      </c>
      <c r="E901">
        <v>0.87022543732510504</v>
      </c>
      <c r="F901">
        <v>0.62387774429637899</v>
      </c>
      <c r="G901">
        <v>0.40033079837782598</v>
      </c>
      <c r="H901">
        <v>0.31331847461547202</v>
      </c>
      <c r="I901">
        <v>0.25152140727869499</v>
      </c>
      <c r="J901">
        <v>0.221524664366156</v>
      </c>
      <c r="K901">
        <v>0.18839557220720601</v>
      </c>
      <c r="L901">
        <v>1048.94764911942</v>
      </c>
      <c r="M901">
        <v>19.548296730524001</v>
      </c>
      <c r="N901">
        <v>55.195917857382398</v>
      </c>
      <c r="O901">
        <v>53.107224723943801</v>
      </c>
      <c r="P901">
        <v>-7.2714226671780902E-2</v>
      </c>
      <c r="Q901">
        <v>0.20985187872932701</v>
      </c>
      <c r="R901">
        <v>0.99595347817203195</v>
      </c>
      <c r="S901" t="s">
        <v>5641</v>
      </c>
      <c r="T901" t="s">
        <v>9478</v>
      </c>
      <c r="U901" t="s">
        <v>9478</v>
      </c>
      <c r="V901" t="s">
        <v>9478</v>
      </c>
      <c r="W901">
        <v>46</v>
      </c>
      <c r="X901" t="s">
        <v>10379</v>
      </c>
      <c r="Y901">
        <v>0.58081546458748479</v>
      </c>
      <c r="Z901" t="str">
        <f>HYPERLINK("Melting_Curves/meltCurve_sp_P22307_NLTP_HUMAN_.pdf", "Melting_Curves/meltCurve_sp_P22307_NLTP_HUMAN_.pdf")</f>
        <v>Melting_Curves/meltCurve_sp_P22307_NLTP_HUMAN_.pdf</v>
      </c>
      <c r="AA901" t="s">
        <v>15101</v>
      </c>
      <c r="AB901" t="s">
        <v>19736</v>
      </c>
    </row>
    <row r="902" spans="1:28" x14ac:dyDescent="0.25">
      <c r="A902" t="s">
        <v>906</v>
      </c>
      <c r="B902">
        <v>0.99904790336628502</v>
      </c>
      <c r="C902">
        <v>0.78180765822599896</v>
      </c>
      <c r="D902">
        <v>0.54936315311710804</v>
      </c>
      <c r="E902">
        <v>0.30918390771971899</v>
      </c>
      <c r="F902">
        <v>0.15666476530582099</v>
      </c>
      <c r="G902">
        <v>6.0474559834956601E-2</v>
      </c>
      <c r="H902">
        <v>2.6466935764142802E-2</v>
      </c>
      <c r="I902">
        <v>2.4574440552786899E-2</v>
      </c>
      <c r="J902">
        <v>2.34669890207043E-2</v>
      </c>
      <c r="K902">
        <v>2.0055993489996999E-2</v>
      </c>
      <c r="L902">
        <v>719.80264890458295</v>
      </c>
      <c r="M902">
        <v>15.3719946802177</v>
      </c>
      <c r="N902">
        <v>46.889371390379502</v>
      </c>
      <c r="O902">
        <v>46.0545936910394</v>
      </c>
      <c r="P902">
        <v>-8.2588302636647695E-2</v>
      </c>
      <c r="Q902">
        <v>1.03505142796718E-2</v>
      </c>
      <c r="R902">
        <v>0.99441438391595705</v>
      </c>
      <c r="S902" t="s">
        <v>5642</v>
      </c>
      <c r="T902" t="s">
        <v>9478</v>
      </c>
      <c r="U902" t="s">
        <v>9478</v>
      </c>
      <c r="V902" t="s">
        <v>9478</v>
      </c>
      <c r="W902">
        <v>5</v>
      </c>
      <c r="X902" t="s">
        <v>10380</v>
      </c>
      <c r="Y902">
        <v>0.26135515891626809</v>
      </c>
      <c r="Z902" t="str">
        <f>HYPERLINK("Melting_Curves/meltCurve_sp_P22310_UD14_HUMAN_.pdf", "Melting_Curves/meltCurve_sp_P22310_UD14_HUMAN_.pdf")</f>
        <v>Melting_Curves/meltCurve_sp_P22310_UD14_HUMAN_.pdf</v>
      </c>
      <c r="AA902" t="s">
        <v>15102</v>
      </c>
      <c r="AB902" t="s">
        <v>19737</v>
      </c>
    </row>
    <row r="903" spans="1:28" x14ac:dyDescent="0.25">
      <c r="A903" t="s">
        <v>907</v>
      </c>
      <c r="B903">
        <v>0.99904790336628502</v>
      </c>
      <c r="C903">
        <v>1.0626497193415501</v>
      </c>
      <c r="D903">
        <v>0.72731666506302195</v>
      </c>
      <c r="E903">
        <v>0.25860818618779202</v>
      </c>
      <c r="F903">
        <v>0.109929781804103</v>
      </c>
      <c r="G903">
        <v>5.8880600726498103E-2</v>
      </c>
      <c r="H903">
        <v>3.9387205484131098E-2</v>
      </c>
      <c r="I903">
        <v>2.7944605191858801E-2</v>
      </c>
      <c r="J903">
        <v>2.2983950976627698E-2</v>
      </c>
      <c r="K903">
        <v>1.93208144185225E-2</v>
      </c>
      <c r="L903">
        <v>1350.5703416830399</v>
      </c>
      <c r="M903">
        <v>28.253612937761702</v>
      </c>
      <c r="N903">
        <v>47.923934047761001</v>
      </c>
      <c r="O903">
        <v>47.5641377917648</v>
      </c>
      <c r="P903">
        <v>-0.143341066968834</v>
      </c>
      <c r="Q903">
        <v>3.4765820927441897E-2</v>
      </c>
      <c r="R903">
        <v>0.99265254508658696</v>
      </c>
      <c r="S903" t="s">
        <v>5643</v>
      </c>
      <c r="T903" t="s">
        <v>9478</v>
      </c>
      <c r="U903" t="s">
        <v>9478</v>
      </c>
      <c r="V903" t="s">
        <v>9478</v>
      </c>
      <c r="W903">
        <v>43</v>
      </c>
      <c r="X903" t="s">
        <v>10381</v>
      </c>
      <c r="Y903">
        <v>0.29236235235545388</v>
      </c>
      <c r="Z903" t="str">
        <f>HYPERLINK("Melting_Curves/meltCurve_sp_P22314_UBA1_HUMAN_.pdf", "Melting_Curves/meltCurve_sp_P22314_UBA1_HUMAN_.pdf")</f>
        <v>Melting_Curves/meltCurve_sp_P22314_UBA1_HUMAN_.pdf</v>
      </c>
      <c r="AA903" t="s">
        <v>15103</v>
      </c>
      <c r="AB903" t="s">
        <v>19738</v>
      </c>
    </row>
    <row r="904" spans="1:28" x14ac:dyDescent="0.25">
      <c r="A904" t="s">
        <v>908</v>
      </c>
      <c r="B904">
        <v>0.99904790336628502</v>
      </c>
      <c r="C904">
        <v>1.2323898202555701</v>
      </c>
      <c r="D904">
        <v>1.20768294505248</v>
      </c>
      <c r="E904">
        <v>0.96838162948564699</v>
      </c>
      <c r="F904">
        <v>1.0117245623523199</v>
      </c>
      <c r="G904">
        <v>0.58082922326751796</v>
      </c>
      <c r="H904">
        <v>0.33581554777908701</v>
      </c>
      <c r="I904">
        <v>0.37373213283130102</v>
      </c>
      <c r="J904">
        <v>0.38148836462417701</v>
      </c>
      <c r="K904">
        <v>0.25930763661283202</v>
      </c>
      <c r="L904">
        <v>14218.9796767757</v>
      </c>
      <c r="M904">
        <v>250</v>
      </c>
      <c r="N904">
        <v>57.1329081898797</v>
      </c>
      <c r="O904">
        <v>56.872278970215902</v>
      </c>
      <c r="P904">
        <v>-0.72796239579911903</v>
      </c>
      <c r="Q904">
        <v>0.337585912872442</v>
      </c>
      <c r="R904">
        <v>0.91945986376889999</v>
      </c>
      <c r="S904" t="s">
        <v>5644</v>
      </c>
      <c r="T904" t="s">
        <v>9478</v>
      </c>
      <c r="U904" t="s">
        <v>9478</v>
      </c>
      <c r="V904" t="s">
        <v>9478</v>
      </c>
      <c r="W904">
        <v>2</v>
      </c>
      <c r="X904" t="s">
        <v>10382</v>
      </c>
      <c r="Y904">
        <v>0.71028024212370866</v>
      </c>
      <c r="Z904" t="str">
        <f>HYPERLINK("Melting_Curves/meltCurve_sp_P22352_GPX3_HUMAN_.pdf", "Melting_Curves/meltCurve_sp_P22352_GPX3_HUMAN_.pdf")</f>
        <v>Melting_Curves/meltCurve_sp_P22352_GPX3_HUMAN_.pdf</v>
      </c>
      <c r="AA904" t="s">
        <v>15104</v>
      </c>
      <c r="AB904" t="s">
        <v>19739</v>
      </c>
    </row>
    <row r="905" spans="1:28" x14ac:dyDescent="0.25">
      <c r="A905" t="s">
        <v>909</v>
      </c>
      <c r="B905">
        <v>0.99904790336628502</v>
      </c>
      <c r="C905">
        <v>1.0303796107543901</v>
      </c>
      <c r="D905">
        <v>1.0832480290919499</v>
      </c>
      <c r="E905">
        <v>1.0556758848666301</v>
      </c>
      <c r="F905">
        <v>0.99825110797162397</v>
      </c>
      <c r="G905">
        <v>0.87613576328589704</v>
      </c>
      <c r="H905">
        <v>0.57692760072779703</v>
      </c>
      <c r="I905">
        <v>0.26246271814296201</v>
      </c>
      <c r="J905">
        <v>6.0100982685416998E-2</v>
      </c>
      <c r="K905">
        <v>4.74273646273548E-2</v>
      </c>
      <c r="L905">
        <v>1723.3888949955599</v>
      </c>
      <c r="M905">
        <v>27.996329404758299</v>
      </c>
      <c r="N905">
        <v>61.557669522236601</v>
      </c>
      <c r="O905">
        <v>61.246184624314601</v>
      </c>
      <c r="P905">
        <v>-0.114278863474012</v>
      </c>
      <c r="Q905">
        <v>0</v>
      </c>
      <c r="R905">
        <v>0.991730512561944</v>
      </c>
      <c r="S905" t="s">
        <v>5645</v>
      </c>
      <c r="T905" t="s">
        <v>9478</v>
      </c>
      <c r="U905" t="s">
        <v>9478</v>
      </c>
      <c r="V905" t="s">
        <v>9478</v>
      </c>
      <c r="W905">
        <v>15</v>
      </c>
      <c r="X905" t="s">
        <v>10383</v>
      </c>
      <c r="Y905">
        <v>0.7238766750812512</v>
      </c>
      <c r="Z905" t="str">
        <f>HYPERLINK("Melting_Curves/meltCurve_sp_P22392_2_NDKB_HUMAN_.pdf", "Melting_Curves/meltCurve_sp_P22392_2_NDKB_HUMAN_.pdf")</f>
        <v>Melting_Curves/meltCurve_sp_P22392_2_NDKB_HUMAN_.pdf</v>
      </c>
      <c r="AA905" t="s">
        <v>15105</v>
      </c>
      <c r="AB905" t="s">
        <v>19740</v>
      </c>
    </row>
    <row r="906" spans="1:28" x14ac:dyDescent="0.25">
      <c r="A906" t="s">
        <v>910</v>
      </c>
      <c r="B906">
        <v>0.99904790336628502</v>
      </c>
      <c r="C906">
        <v>0.76837324648516203</v>
      </c>
      <c r="D906">
        <v>0.350613848929272</v>
      </c>
      <c r="E906">
        <v>0.17399361380230399</v>
      </c>
      <c r="F906">
        <v>9.9258473085033203E-2</v>
      </c>
      <c r="G906">
        <v>6.29705707280937E-2</v>
      </c>
      <c r="H906">
        <v>4.05626646889529E-2</v>
      </c>
      <c r="I906">
        <v>3.0254845097552701E-2</v>
      </c>
      <c r="J906">
        <v>2.4767055438674399E-2</v>
      </c>
      <c r="K906">
        <v>1.95969080163239E-2</v>
      </c>
      <c r="L906">
        <v>1085.9140406849899</v>
      </c>
      <c r="M906">
        <v>24.2050101892908</v>
      </c>
      <c r="N906">
        <v>45.043979490573399</v>
      </c>
      <c r="O906">
        <v>44.560341698052603</v>
      </c>
      <c r="P906">
        <v>-0.129514629393673</v>
      </c>
      <c r="Q906">
        <v>4.6292080225997699E-2</v>
      </c>
      <c r="R906">
        <v>0.99188554449169797</v>
      </c>
      <c r="S906" t="s">
        <v>5646</v>
      </c>
      <c r="T906" t="s">
        <v>9478</v>
      </c>
      <c r="U906" t="s">
        <v>9478</v>
      </c>
      <c r="V906" t="s">
        <v>9478</v>
      </c>
      <c r="W906">
        <v>27</v>
      </c>
      <c r="X906" t="s">
        <v>10384</v>
      </c>
      <c r="Y906">
        <v>0.21131909509224209</v>
      </c>
      <c r="Z906" t="str">
        <f>HYPERLINK("Melting_Curves/meltCurve_sp_P22570_ADRO_HUMAN_.pdf", "Melting_Curves/meltCurve_sp_P22570_ADRO_HUMAN_.pdf")</f>
        <v>Melting_Curves/meltCurve_sp_P22570_ADRO_HUMAN_.pdf</v>
      </c>
      <c r="AA906" t="s">
        <v>15106</v>
      </c>
      <c r="AB906" t="s">
        <v>19741</v>
      </c>
    </row>
    <row r="907" spans="1:28" x14ac:dyDescent="0.25">
      <c r="A907" t="s">
        <v>911</v>
      </c>
      <c r="B907">
        <v>0.99904790336628502</v>
      </c>
      <c r="C907">
        <v>0.94870113595117</v>
      </c>
      <c r="D907">
        <v>0.81795608748313597</v>
      </c>
      <c r="E907">
        <v>0.80037274487489396</v>
      </c>
      <c r="F907">
        <v>0.72479616245314904</v>
      </c>
      <c r="G907">
        <v>0.53352269272090402</v>
      </c>
      <c r="H907">
        <v>0.36017941873032899</v>
      </c>
      <c r="I907">
        <v>0.31559045935179297</v>
      </c>
      <c r="J907">
        <v>0.31792691294334302</v>
      </c>
      <c r="K907">
        <v>0.33681445227557899</v>
      </c>
      <c r="L907">
        <v>560.70005911587396</v>
      </c>
      <c r="M907">
        <v>10.267281683557</v>
      </c>
      <c r="N907">
        <v>57.732612486759002</v>
      </c>
      <c r="O907">
        <v>52.6603928908333</v>
      </c>
      <c r="P907">
        <v>-3.8375580429826299E-2</v>
      </c>
      <c r="Q907">
        <v>0.213040000124052</v>
      </c>
      <c r="R907">
        <v>0.97375769584804395</v>
      </c>
      <c r="S907" t="s">
        <v>5647</v>
      </c>
      <c r="T907" t="s">
        <v>9478</v>
      </c>
      <c r="U907" t="s">
        <v>9478</v>
      </c>
      <c r="V907" t="s">
        <v>9478</v>
      </c>
      <c r="W907">
        <v>19</v>
      </c>
      <c r="X907" t="s">
        <v>10385</v>
      </c>
      <c r="Y907">
        <v>0.61772394915090245</v>
      </c>
      <c r="Z907" t="str">
        <f>HYPERLINK("Melting_Curves/meltCurve_sp_P22626_ROA2_HUMAN_.pdf", "Melting_Curves/meltCurve_sp_P22626_ROA2_HUMAN_.pdf")</f>
        <v>Melting_Curves/meltCurve_sp_P22626_ROA2_HUMAN_.pdf</v>
      </c>
      <c r="AA907" t="s">
        <v>15107</v>
      </c>
      <c r="AB907" t="s">
        <v>19742</v>
      </c>
    </row>
    <row r="908" spans="1:28" x14ac:dyDescent="0.25">
      <c r="A908" t="s">
        <v>912</v>
      </c>
      <c r="B908">
        <v>0.99904790336628502</v>
      </c>
      <c r="C908">
        <v>0.87990911769457703</v>
      </c>
      <c r="D908">
        <v>0.79322070152136703</v>
      </c>
      <c r="E908">
        <v>0.56022551918741503</v>
      </c>
      <c r="F908">
        <v>0.30757492703910799</v>
      </c>
      <c r="G908">
        <v>0.149025975183949</v>
      </c>
      <c r="H908">
        <v>0.102301670082031</v>
      </c>
      <c r="I908">
        <v>6.4082704530778703E-2</v>
      </c>
      <c r="J908">
        <v>7.3960039167973501E-2</v>
      </c>
      <c r="K908">
        <v>6.87809052510788E-2</v>
      </c>
      <c r="L908">
        <v>756.55139072466204</v>
      </c>
      <c r="M908">
        <v>15.133408336320199</v>
      </c>
      <c r="N908">
        <v>50.282786343521799</v>
      </c>
      <c r="O908">
        <v>49.143581050105297</v>
      </c>
      <c r="P908">
        <v>-7.3768746782384195E-2</v>
      </c>
      <c r="Q908">
        <v>4.1879655470325503E-2</v>
      </c>
      <c r="R908">
        <v>0.99553561109674105</v>
      </c>
      <c r="S908" t="s">
        <v>5648</v>
      </c>
      <c r="T908" t="s">
        <v>9478</v>
      </c>
      <c r="U908" t="s">
        <v>9478</v>
      </c>
      <c r="V908" t="s">
        <v>9478</v>
      </c>
      <c r="W908">
        <v>14</v>
      </c>
      <c r="X908" t="s">
        <v>10386</v>
      </c>
      <c r="Y908">
        <v>0.38349879393685338</v>
      </c>
      <c r="Z908" t="str">
        <f>HYPERLINK("Melting_Curves/meltCurve_sp_P22694_4_KAPCB_HUMAN_.pdf", "Melting_Curves/meltCurve_sp_P22694_4_KAPCB_HUMAN_.pdf")</f>
        <v>Melting_Curves/meltCurve_sp_P22694_4_KAPCB_HUMAN_.pdf</v>
      </c>
      <c r="AA908" t="s">
        <v>15108</v>
      </c>
      <c r="AB908" t="s">
        <v>19743</v>
      </c>
    </row>
    <row r="909" spans="1:28" x14ac:dyDescent="0.25">
      <c r="A909" t="s">
        <v>913</v>
      </c>
      <c r="B909">
        <v>0.99904790336628502</v>
      </c>
      <c r="C909">
        <v>0.97389633493341399</v>
      </c>
      <c r="D909">
        <v>0.92770203384720096</v>
      </c>
      <c r="E909">
        <v>0.57476091111727901</v>
      </c>
      <c r="F909">
        <v>0.288825989712516</v>
      </c>
      <c r="G909">
        <v>0.15861877748853601</v>
      </c>
      <c r="H909">
        <v>9.6648360282126006E-2</v>
      </c>
      <c r="I909">
        <v>6.3193457194519603E-2</v>
      </c>
      <c r="J909">
        <v>4.8678388030524503E-2</v>
      </c>
      <c r="K909">
        <v>3.64671608571853E-2</v>
      </c>
      <c r="L909">
        <v>1123.7606911652499</v>
      </c>
      <c r="M909">
        <v>22.2474539580368</v>
      </c>
      <c r="N909">
        <v>50.788998567430198</v>
      </c>
      <c r="O909">
        <v>50.109074979094601</v>
      </c>
      <c r="P909">
        <v>-0.104653417432748</v>
      </c>
      <c r="Q909">
        <v>5.7155233550060303E-2</v>
      </c>
      <c r="R909">
        <v>0.998080853760689</v>
      </c>
      <c r="S909" t="s">
        <v>5649</v>
      </c>
      <c r="T909" t="s">
        <v>9478</v>
      </c>
      <c r="U909" t="s">
        <v>9478</v>
      </c>
      <c r="V909" t="s">
        <v>9478</v>
      </c>
      <c r="W909">
        <v>20</v>
      </c>
      <c r="X909" t="s">
        <v>10387</v>
      </c>
      <c r="Y909">
        <v>0.3981893082592779</v>
      </c>
      <c r="Z909" t="str">
        <f>HYPERLINK("Melting_Curves/meltCurve_sp_P22830_HEMH_HUMAN_.pdf", "Melting_Curves/meltCurve_sp_P22830_HEMH_HUMAN_.pdf")</f>
        <v>Melting_Curves/meltCurve_sp_P22830_HEMH_HUMAN_.pdf</v>
      </c>
      <c r="AA909" t="s">
        <v>15109</v>
      </c>
      <c r="AB909" t="s">
        <v>19744</v>
      </c>
    </row>
    <row r="910" spans="1:28" x14ac:dyDescent="0.25">
      <c r="A910" t="s">
        <v>914</v>
      </c>
      <c r="B910">
        <v>0.99904790336628502</v>
      </c>
      <c r="C910">
        <v>0.87240478540697797</v>
      </c>
      <c r="D910">
        <v>1.15214363641277</v>
      </c>
      <c r="E910">
        <v>1.02262865022349</v>
      </c>
      <c r="F910">
        <v>0.77193127643847403</v>
      </c>
      <c r="G910">
        <v>0.24917998712955899</v>
      </c>
      <c r="H910">
        <v>8.90862382281465E-2</v>
      </c>
      <c r="I910">
        <v>5.4368730132260103E-2</v>
      </c>
      <c r="J910">
        <v>3.5808783310935302E-2</v>
      </c>
      <c r="K910">
        <v>2.5618445195120298E-2</v>
      </c>
      <c r="L910">
        <v>1943.95760365655</v>
      </c>
      <c r="M910">
        <v>35.418013595082897</v>
      </c>
      <c r="N910">
        <v>55.024471832278401</v>
      </c>
      <c r="O910">
        <v>54.712038082475999</v>
      </c>
      <c r="P910">
        <v>-0.15494469353771001</v>
      </c>
      <c r="Q910">
        <v>4.2598896401700698E-2</v>
      </c>
      <c r="R910">
        <v>0.97850649683428403</v>
      </c>
      <c r="S910" t="s">
        <v>5650</v>
      </c>
      <c r="T910" t="s">
        <v>9478</v>
      </c>
      <c r="U910" t="s">
        <v>9478</v>
      </c>
      <c r="V910" t="s">
        <v>9478</v>
      </c>
      <c r="W910">
        <v>34</v>
      </c>
      <c r="X910" t="s">
        <v>10388</v>
      </c>
      <c r="Y910">
        <v>0.52226957419168651</v>
      </c>
      <c r="Z910" t="str">
        <f>HYPERLINK("Melting_Curves/meltCurve_sp_P23141_EST1_HUMAN_.pdf", "Melting_Curves/meltCurve_sp_P23141_EST1_HUMAN_.pdf")</f>
        <v>Melting_Curves/meltCurve_sp_P23141_EST1_HUMAN_.pdf</v>
      </c>
      <c r="AA910" t="s">
        <v>15110</v>
      </c>
      <c r="AB910" t="s">
        <v>19745</v>
      </c>
    </row>
    <row r="911" spans="1:28" x14ac:dyDescent="0.25">
      <c r="A911" t="s">
        <v>915</v>
      </c>
      <c r="B911">
        <v>0.99904790336628502</v>
      </c>
      <c r="C911">
        <v>0.99091083118815704</v>
      </c>
      <c r="D911">
        <v>1.0200636290012599</v>
      </c>
      <c r="E911">
        <v>0.96597335455174704</v>
      </c>
      <c r="F911">
        <v>0.84755889989108701</v>
      </c>
      <c r="G911">
        <v>0.62859241409826405</v>
      </c>
      <c r="H911">
        <v>0.35762110754517601</v>
      </c>
      <c r="I911">
        <v>0.22735994595648401</v>
      </c>
      <c r="J911">
        <v>0.121715233568349</v>
      </c>
      <c r="K911">
        <v>5.4885863491330802E-2</v>
      </c>
      <c r="L911">
        <v>964.20556787636099</v>
      </c>
      <c r="M911">
        <v>16.377714909777101</v>
      </c>
      <c r="N911">
        <v>58.873022403664798</v>
      </c>
      <c r="O911">
        <v>58.0162866882321</v>
      </c>
      <c r="P911">
        <v>-7.0578831755501295E-2</v>
      </c>
      <c r="Q911">
        <v>0</v>
      </c>
      <c r="R911">
        <v>0.99866228810246405</v>
      </c>
      <c r="S911" t="s">
        <v>5651</v>
      </c>
      <c r="T911" t="s">
        <v>9478</v>
      </c>
      <c r="U911" t="s">
        <v>9478</v>
      </c>
      <c r="V911" t="s">
        <v>9478</v>
      </c>
      <c r="W911">
        <v>6</v>
      </c>
      <c r="X911" t="s">
        <v>10389</v>
      </c>
      <c r="Y911">
        <v>0.64014900204577052</v>
      </c>
      <c r="Z911" t="str">
        <f>HYPERLINK("Melting_Curves/meltCurve_sp_P23142_3_FBLN1_HUMAN_.pdf", "Melting_Curves/meltCurve_sp_P23142_3_FBLN1_HUMAN_.pdf")</f>
        <v>Melting_Curves/meltCurve_sp_P23142_3_FBLN1_HUMAN_.pdf</v>
      </c>
      <c r="AA911" t="s">
        <v>15111</v>
      </c>
      <c r="AB911" t="s">
        <v>19746</v>
      </c>
    </row>
    <row r="912" spans="1:28" x14ac:dyDescent="0.25">
      <c r="A912" t="s">
        <v>916</v>
      </c>
      <c r="B912">
        <v>0.99904790336628502</v>
      </c>
      <c r="C912">
        <v>1.0497391695967699</v>
      </c>
      <c r="D912">
        <v>1.0026256708457799</v>
      </c>
      <c r="E912">
        <v>1.01946076951188</v>
      </c>
      <c r="F912">
        <v>0.99744134525705597</v>
      </c>
      <c r="G912">
        <v>0.75776380293921097</v>
      </c>
      <c r="H912">
        <v>0.60169037394741798</v>
      </c>
      <c r="I912">
        <v>0.58398681974304001</v>
      </c>
      <c r="J912">
        <v>0.61650592799683102</v>
      </c>
      <c r="K912">
        <v>0.55487061243574398</v>
      </c>
      <c r="L912">
        <v>3268.32638440242</v>
      </c>
      <c r="M912">
        <v>57.681388195106898</v>
      </c>
      <c r="O912">
        <v>56.59373103443</v>
      </c>
      <c r="P912">
        <v>-0.10515968048527</v>
      </c>
      <c r="Q912">
        <v>0.58729316574661905</v>
      </c>
      <c r="R912">
        <v>0.988076522281368</v>
      </c>
      <c r="S912" t="s">
        <v>5652</v>
      </c>
      <c r="T912" t="s">
        <v>9478</v>
      </c>
      <c r="U912" t="s">
        <v>9478</v>
      </c>
      <c r="V912" t="s">
        <v>9478</v>
      </c>
      <c r="W912">
        <v>19</v>
      </c>
      <c r="X912" t="s">
        <v>10390</v>
      </c>
      <c r="Y912">
        <v>0.81728024660567533</v>
      </c>
      <c r="Z912" t="str">
        <f>HYPERLINK("Melting_Curves/meltCurve_sp_P23193_TCEA1_HUMAN_.pdf", "Melting_Curves/meltCurve_sp_P23193_TCEA1_HUMAN_.pdf")</f>
        <v>Melting_Curves/meltCurve_sp_P23193_TCEA1_HUMAN_.pdf</v>
      </c>
      <c r="AA912" t="s">
        <v>15112</v>
      </c>
      <c r="AB912" t="s">
        <v>19747</v>
      </c>
    </row>
    <row r="913" spans="1:28" x14ac:dyDescent="0.25">
      <c r="A913" t="s">
        <v>917</v>
      </c>
      <c r="B913">
        <v>0.99904790336628502</v>
      </c>
      <c r="C913">
        <v>0.96025908289264295</v>
      </c>
      <c r="D913">
        <v>0.969751156730282</v>
      </c>
      <c r="E913">
        <v>0.80397793064912204</v>
      </c>
      <c r="F913">
        <v>0.61304171174765798</v>
      </c>
      <c r="G913">
        <v>0.307621053885477</v>
      </c>
      <c r="H913">
        <v>0.165246371470259</v>
      </c>
      <c r="I913">
        <v>0.12836160428484999</v>
      </c>
      <c r="J913">
        <v>0.114036301679868</v>
      </c>
      <c r="K913">
        <v>0.108911528393801</v>
      </c>
      <c r="L913">
        <v>1021.53378134987</v>
      </c>
      <c r="M913">
        <v>19.047541727823599</v>
      </c>
      <c r="N913">
        <v>54.203049404905698</v>
      </c>
      <c r="O913">
        <v>53.050095829084803</v>
      </c>
      <c r="P913">
        <v>-8.1588759318487206E-2</v>
      </c>
      <c r="Q913">
        <v>9.1090942249225801E-2</v>
      </c>
      <c r="R913">
        <v>0.99875719005563302</v>
      </c>
      <c r="S913" t="s">
        <v>5653</v>
      </c>
      <c r="T913" t="s">
        <v>9478</v>
      </c>
      <c r="U913" t="s">
        <v>9478</v>
      </c>
      <c r="V913" t="s">
        <v>9478</v>
      </c>
      <c r="W913">
        <v>22</v>
      </c>
      <c r="X913" t="s">
        <v>10391</v>
      </c>
      <c r="Y913">
        <v>0.51750145229021194</v>
      </c>
      <c r="Z913" t="str">
        <f>HYPERLINK("Melting_Curves/meltCurve_sp_P23246_SFPQ_HUMAN_.pdf", "Melting_Curves/meltCurve_sp_P23246_SFPQ_HUMAN_.pdf")</f>
        <v>Melting_Curves/meltCurve_sp_P23246_SFPQ_HUMAN_.pdf</v>
      </c>
      <c r="AA913" t="s">
        <v>15113</v>
      </c>
      <c r="AB913" t="s">
        <v>19748</v>
      </c>
    </row>
    <row r="914" spans="1:28" x14ac:dyDescent="0.25">
      <c r="A914" t="s">
        <v>918</v>
      </c>
      <c r="B914">
        <v>0.99904790336628502</v>
      </c>
      <c r="C914">
        <v>0.99041671160184597</v>
      </c>
      <c r="D914">
        <v>0.99835414807811296</v>
      </c>
      <c r="E914">
        <v>0.91890450622768105</v>
      </c>
      <c r="F914">
        <v>0.31393282925203297</v>
      </c>
      <c r="G914">
        <v>0.11274773964470899</v>
      </c>
      <c r="H914">
        <v>6.0852631246518199E-2</v>
      </c>
      <c r="I914">
        <v>4.3885319883214202E-2</v>
      </c>
      <c r="J914">
        <v>3.6358223538934503E-2</v>
      </c>
      <c r="K914">
        <v>2.9540876101700801E-2</v>
      </c>
      <c r="L914">
        <v>2855.9784086509299</v>
      </c>
      <c r="M914">
        <v>54.8331232455253</v>
      </c>
      <c r="N914">
        <v>52.194341518259698</v>
      </c>
      <c r="O914">
        <v>52.015774459228403</v>
      </c>
      <c r="P914">
        <v>-0.249232597199402</v>
      </c>
      <c r="Q914">
        <v>5.4292894404083102E-2</v>
      </c>
      <c r="R914">
        <v>0.99803571483432996</v>
      </c>
      <c r="S914" t="s">
        <v>5654</v>
      </c>
      <c r="T914" t="s">
        <v>9478</v>
      </c>
      <c r="U914" t="s">
        <v>9478</v>
      </c>
      <c r="V914" t="s">
        <v>9478</v>
      </c>
      <c r="W914">
        <v>18</v>
      </c>
      <c r="X914" t="s">
        <v>10392</v>
      </c>
      <c r="Y914">
        <v>0.43705732281149912</v>
      </c>
      <c r="Z914" t="str">
        <f>HYPERLINK("Melting_Curves/meltCurve_sp_P23284_PPIB_HUMAN_.pdf", "Melting_Curves/meltCurve_sp_P23284_PPIB_HUMAN_.pdf")</f>
        <v>Melting_Curves/meltCurve_sp_P23284_PPIB_HUMAN_.pdf</v>
      </c>
      <c r="AA914" t="s">
        <v>15114</v>
      </c>
      <c r="AB914" t="s">
        <v>19749</v>
      </c>
    </row>
    <row r="915" spans="1:28" x14ac:dyDescent="0.25">
      <c r="A915" t="s">
        <v>919</v>
      </c>
      <c r="B915">
        <v>0.99904790336628502</v>
      </c>
      <c r="C915">
        <v>0.94701178829741495</v>
      </c>
      <c r="D915">
        <v>0.99042488309005705</v>
      </c>
      <c r="E915">
        <v>0.89130007775581799</v>
      </c>
      <c r="F915">
        <v>0.57521904232591603</v>
      </c>
      <c r="G915">
        <v>0.17969550668866699</v>
      </c>
      <c r="H915">
        <v>9.99352435587334E-2</v>
      </c>
      <c r="I915">
        <v>6.46311233825487E-2</v>
      </c>
      <c r="J915">
        <v>5.2070513900888703E-2</v>
      </c>
      <c r="K915">
        <v>3.27421200296443E-2</v>
      </c>
      <c r="L915">
        <v>1539.97006486911</v>
      </c>
      <c r="M915">
        <v>28.8328882557241</v>
      </c>
      <c r="N915">
        <v>53.613215542050597</v>
      </c>
      <c r="O915">
        <v>53.1552379173011</v>
      </c>
      <c r="P915">
        <v>-0.12859461301019201</v>
      </c>
      <c r="Q915">
        <v>5.1718119395559203E-2</v>
      </c>
      <c r="R915">
        <v>0.99780888991116701</v>
      </c>
      <c r="S915" t="s">
        <v>5655</v>
      </c>
      <c r="T915" t="s">
        <v>9478</v>
      </c>
      <c r="U915" t="s">
        <v>9478</v>
      </c>
      <c r="V915" t="s">
        <v>9478</v>
      </c>
      <c r="W915">
        <v>14</v>
      </c>
      <c r="X915" t="s">
        <v>10393</v>
      </c>
      <c r="Y915">
        <v>0.48228488027359973</v>
      </c>
      <c r="Z915" t="str">
        <f>HYPERLINK("Melting_Curves/meltCurve_sp_P23368_MAOM_HUMAN_.pdf", "Melting_Curves/meltCurve_sp_P23368_MAOM_HUMAN_.pdf")</f>
        <v>Melting_Curves/meltCurve_sp_P23368_MAOM_HUMAN_.pdf</v>
      </c>
      <c r="AA915" t="s">
        <v>15115</v>
      </c>
      <c r="AB915" t="s">
        <v>19750</v>
      </c>
    </row>
    <row r="916" spans="1:28" x14ac:dyDescent="0.25">
      <c r="A916" t="s">
        <v>920</v>
      </c>
      <c r="B916">
        <v>0.99904790336628502</v>
      </c>
      <c r="C916">
        <v>0.97667592610739395</v>
      </c>
      <c r="D916">
        <v>1.0336873465719101</v>
      </c>
      <c r="E916">
        <v>0.948835192099728</v>
      </c>
      <c r="F916">
        <v>0.78017434340070102</v>
      </c>
      <c r="G916">
        <v>0.60594973558229903</v>
      </c>
      <c r="H916">
        <v>0.35915632283403598</v>
      </c>
      <c r="I916">
        <v>0.22012630649742301</v>
      </c>
      <c r="J916">
        <v>0.10612185486285799</v>
      </c>
      <c r="K916">
        <v>5.69795890053083E-2</v>
      </c>
      <c r="L916">
        <v>888.53117651850403</v>
      </c>
      <c r="M916">
        <v>15.207911522936101</v>
      </c>
      <c r="N916">
        <v>58.425588554990398</v>
      </c>
      <c r="O916">
        <v>57.443310581339098</v>
      </c>
      <c r="P916">
        <v>-6.6192944477746804E-2</v>
      </c>
      <c r="Q916">
        <v>0</v>
      </c>
      <c r="R916">
        <v>0.99531035592476602</v>
      </c>
      <c r="S916" t="s">
        <v>5656</v>
      </c>
      <c r="T916" t="s">
        <v>9478</v>
      </c>
      <c r="U916" t="s">
        <v>9478</v>
      </c>
      <c r="V916" t="s">
        <v>9478</v>
      </c>
      <c r="W916">
        <v>58</v>
      </c>
      <c r="X916" t="s">
        <v>10394</v>
      </c>
      <c r="Y916">
        <v>0.62644177526840872</v>
      </c>
      <c r="Z916" t="str">
        <f>HYPERLINK("Melting_Curves/meltCurve_sp_P23378_GCSP_HUMAN_.pdf", "Melting_Curves/meltCurve_sp_P23378_GCSP_HUMAN_.pdf")</f>
        <v>Melting_Curves/meltCurve_sp_P23378_GCSP_HUMAN_.pdf</v>
      </c>
      <c r="AA916" t="s">
        <v>15116</v>
      </c>
      <c r="AB916" t="s">
        <v>19751</v>
      </c>
    </row>
    <row r="917" spans="1:28" x14ac:dyDescent="0.25">
      <c r="A917" t="s">
        <v>921</v>
      </c>
      <c r="B917">
        <v>0.99904790336628502</v>
      </c>
      <c r="C917">
        <v>1.0010855425482099</v>
      </c>
      <c r="D917">
        <v>1.0674517183694701</v>
      </c>
      <c r="E917">
        <v>1.04373790140376</v>
      </c>
      <c r="F917">
        <v>1.0211855441058699</v>
      </c>
      <c r="G917">
        <v>0.87321404729880103</v>
      </c>
      <c r="H917">
        <v>0.72857423030842605</v>
      </c>
      <c r="I917">
        <v>0.670770023109727</v>
      </c>
      <c r="J917">
        <v>0.60293502289872802</v>
      </c>
      <c r="K917">
        <v>0.36455703265622302</v>
      </c>
      <c r="L917">
        <v>801.435475756355</v>
      </c>
      <c r="M917">
        <v>11.834498645956099</v>
      </c>
      <c r="N917">
        <v>67.720274185167199</v>
      </c>
      <c r="O917">
        <v>65.873466815050904</v>
      </c>
      <c r="P917">
        <v>-4.4925179208898998E-2</v>
      </c>
      <c r="Q917">
        <v>0</v>
      </c>
      <c r="R917">
        <v>0.95474012460069302</v>
      </c>
      <c r="S917" t="s">
        <v>5657</v>
      </c>
      <c r="T917" t="s">
        <v>9478</v>
      </c>
      <c r="U917" t="s">
        <v>9478</v>
      </c>
      <c r="V917" t="s">
        <v>9478</v>
      </c>
      <c r="W917">
        <v>20</v>
      </c>
      <c r="X917" t="s">
        <v>10395</v>
      </c>
      <c r="Y917">
        <v>0.84712867554392846</v>
      </c>
      <c r="Z917" t="str">
        <f>HYPERLINK("Melting_Curves/meltCurve_sp_P23381_SYWC_HUMAN_.pdf", "Melting_Curves/meltCurve_sp_P23381_SYWC_HUMAN_.pdf")</f>
        <v>Melting_Curves/meltCurve_sp_P23381_SYWC_HUMAN_.pdf</v>
      </c>
      <c r="AA917" t="s">
        <v>15117</v>
      </c>
      <c r="AB917" t="s">
        <v>19752</v>
      </c>
    </row>
    <row r="918" spans="1:28" x14ac:dyDescent="0.25">
      <c r="A918" t="s">
        <v>922</v>
      </c>
      <c r="B918">
        <v>0.99904790336628502</v>
      </c>
      <c r="C918">
        <v>0.78940771630159101</v>
      </c>
      <c r="D918">
        <v>0.644668958582444</v>
      </c>
      <c r="E918">
        <v>0.41447278564691098</v>
      </c>
      <c r="F918">
        <v>0.30902209485364002</v>
      </c>
      <c r="G918">
        <v>0.24222564620106901</v>
      </c>
      <c r="H918">
        <v>0.144744998932538</v>
      </c>
      <c r="I918">
        <v>0.145914471826978</v>
      </c>
      <c r="J918">
        <v>8.8565101515416703E-2</v>
      </c>
      <c r="K918">
        <v>5.7996113585121897E-2</v>
      </c>
      <c r="L918">
        <v>561.73180245540004</v>
      </c>
      <c r="M918">
        <v>11.6798691156236</v>
      </c>
      <c r="N918">
        <v>48.732001997148103</v>
      </c>
      <c r="O918">
        <v>46.749097578346799</v>
      </c>
      <c r="P918">
        <v>-5.8047586545525602E-2</v>
      </c>
      <c r="Q918">
        <v>7.0898649516803997E-2</v>
      </c>
      <c r="R918">
        <v>0.98767637227407201</v>
      </c>
      <c r="S918" t="s">
        <v>5658</v>
      </c>
      <c r="T918" t="s">
        <v>9478</v>
      </c>
      <c r="U918" t="s">
        <v>9478</v>
      </c>
      <c r="V918" t="s">
        <v>9478</v>
      </c>
      <c r="W918">
        <v>2</v>
      </c>
      <c r="X918" t="s">
        <v>10396</v>
      </c>
      <c r="Y918">
        <v>0.35944822408960819</v>
      </c>
      <c r="Z918" t="str">
        <f>HYPERLINK("Melting_Curves/meltCurve_sp_P23396_RS3_HUMAN_.pdf", "Melting_Curves/meltCurve_sp_P23396_RS3_HUMAN_.pdf")</f>
        <v>Melting_Curves/meltCurve_sp_P23396_RS3_HUMAN_.pdf</v>
      </c>
      <c r="AA918" t="s">
        <v>15118</v>
      </c>
      <c r="AB918" t="s">
        <v>19753</v>
      </c>
    </row>
    <row r="919" spans="1:28" x14ac:dyDescent="0.25">
      <c r="A919" t="s">
        <v>923</v>
      </c>
      <c r="B919">
        <v>0.99904790336628502</v>
      </c>
      <c r="C919">
        <v>0.98374563037221296</v>
      </c>
      <c r="D919">
        <v>0.98966065321067698</v>
      </c>
      <c r="E919">
        <v>0.99146272290310899</v>
      </c>
      <c r="F919">
        <v>0.81799288003886195</v>
      </c>
      <c r="G919">
        <v>0.40291925159590403</v>
      </c>
      <c r="H919">
        <v>0.13929203962605999</v>
      </c>
      <c r="I919">
        <v>2.0393612891024902E-2</v>
      </c>
      <c r="J919">
        <v>2.2592490284819602E-2</v>
      </c>
      <c r="K919">
        <v>3.3824909628446302E-2</v>
      </c>
      <c r="L919">
        <v>1490.90366318677</v>
      </c>
      <c r="M919">
        <v>26.574126605129798</v>
      </c>
      <c r="N919">
        <v>56.162002447408497</v>
      </c>
      <c r="O919">
        <v>55.788764102200901</v>
      </c>
      <c r="P919">
        <v>-0.11746152990061801</v>
      </c>
      <c r="Q919">
        <v>1.36323854377113E-2</v>
      </c>
      <c r="R919">
        <v>0.99851333263769904</v>
      </c>
      <c r="S919" t="s">
        <v>5659</v>
      </c>
      <c r="T919" t="s">
        <v>9478</v>
      </c>
      <c r="U919" t="s">
        <v>9478</v>
      </c>
      <c r="V919" t="s">
        <v>9478</v>
      </c>
      <c r="W919">
        <v>1</v>
      </c>
      <c r="X919" t="s">
        <v>10397</v>
      </c>
      <c r="Y919">
        <v>0.55125889826210905</v>
      </c>
      <c r="Z919" t="str">
        <f>HYPERLINK("Melting_Curves/meltCurve_sp_P23409_MYF6_HUMAN_.pdf", "Melting_Curves/meltCurve_sp_P23409_MYF6_HUMAN_.pdf")</f>
        <v>Melting_Curves/meltCurve_sp_P23409_MYF6_HUMAN_.pdf</v>
      </c>
      <c r="AA919" t="s">
        <v>15119</v>
      </c>
      <c r="AB919" t="s">
        <v>19754</v>
      </c>
    </row>
    <row r="920" spans="1:28" x14ac:dyDescent="0.25">
      <c r="A920" t="s">
        <v>924</v>
      </c>
      <c r="B920">
        <v>0.99904790336628502</v>
      </c>
      <c r="C920">
        <v>0.98207315516989202</v>
      </c>
      <c r="D920">
        <v>0.97269041100660802</v>
      </c>
      <c r="E920">
        <v>0.98176406486990098</v>
      </c>
      <c r="F920">
        <v>1.1098450808578999</v>
      </c>
      <c r="G920">
        <v>0.94403241162169405</v>
      </c>
      <c r="H920">
        <v>1.08356630530355</v>
      </c>
      <c r="I920">
        <v>0.85948702571370905</v>
      </c>
      <c r="J920">
        <v>1.10743846060483</v>
      </c>
      <c r="K920">
        <v>0.99059473936632003</v>
      </c>
      <c r="L920">
        <v>269.44422454739799</v>
      </c>
      <c r="M920">
        <v>1.0000000000000001E-5</v>
      </c>
      <c r="Q920">
        <v>1.5</v>
      </c>
      <c r="R920">
        <v>4.0305286578710096E-3</v>
      </c>
      <c r="S920" t="s">
        <v>5660</v>
      </c>
      <c r="T920" t="s">
        <v>9478</v>
      </c>
      <c r="U920" t="s">
        <v>9478</v>
      </c>
      <c r="V920" t="s">
        <v>9478</v>
      </c>
      <c r="W920">
        <v>4</v>
      </c>
      <c r="X920" t="s">
        <v>10398</v>
      </c>
      <c r="Y920">
        <v>1.004313591117914</v>
      </c>
      <c r="Z920" t="str">
        <f>HYPERLINK("Melting_Curves/meltCurve_sp_P23434_GCSH_HUMAN_.pdf", "Melting_Curves/meltCurve_sp_P23434_GCSH_HUMAN_.pdf")</f>
        <v>Melting_Curves/meltCurve_sp_P23434_GCSH_HUMAN_.pdf</v>
      </c>
      <c r="AA920" t="s">
        <v>15120</v>
      </c>
      <c r="AB920" t="s">
        <v>19755</v>
      </c>
    </row>
    <row r="921" spans="1:28" x14ac:dyDescent="0.25">
      <c r="A921" t="s">
        <v>925</v>
      </c>
      <c r="B921">
        <v>0.99904790336628502</v>
      </c>
      <c r="C921">
        <v>0.90406620797940296</v>
      </c>
      <c r="D921">
        <v>0.94689610047931905</v>
      </c>
      <c r="E921">
        <v>0.91060215133976996</v>
      </c>
      <c r="F921">
        <v>0.88610284895739999</v>
      </c>
      <c r="G921">
        <v>0.65005231814646003</v>
      </c>
      <c r="H921">
        <v>0.55938291893535697</v>
      </c>
      <c r="I921">
        <v>0.46834009242840002</v>
      </c>
      <c r="J921">
        <v>0.44187446204539599</v>
      </c>
      <c r="K921">
        <v>0.38139760068112299</v>
      </c>
      <c r="L921">
        <v>697.30199366525903</v>
      </c>
      <c r="M921">
        <v>12.0402876130574</v>
      </c>
      <c r="N921">
        <v>63.012769475310201</v>
      </c>
      <c r="O921">
        <v>56.3858900114016</v>
      </c>
      <c r="P921">
        <v>-3.6775975119998E-2</v>
      </c>
      <c r="Q921">
        <v>0.31126138677605297</v>
      </c>
      <c r="R921">
        <v>0.97451104005501599</v>
      </c>
      <c r="S921" t="s">
        <v>5661</v>
      </c>
      <c r="T921" t="s">
        <v>9478</v>
      </c>
      <c r="U921" t="s">
        <v>9478</v>
      </c>
      <c r="V921" t="s">
        <v>9478</v>
      </c>
      <c r="W921">
        <v>12</v>
      </c>
      <c r="X921" t="s">
        <v>10399</v>
      </c>
      <c r="Y921">
        <v>0.73156224303120265</v>
      </c>
      <c r="Z921" t="str">
        <f>HYPERLINK("Melting_Curves/meltCurve_sp_P23497_SP100_HUMAN_.pdf", "Melting_Curves/meltCurve_sp_P23497_SP100_HUMAN_.pdf")</f>
        <v>Melting_Curves/meltCurve_sp_P23497_SP100_HUMAN_.pdf</v>
      </c>
      <c r="AA921" t="s">
        <v>15121</v>
      </c>
      <c r="AB921" t="s">
        <v>19756</v>
      </c>
    </row>
    <row r="922" spans="1:28" x14ac:dyDescent="0.25">
      <c r="A922" t="s">
        <v>926</v>
      </c>
      <c r="B922">
        <v>0.99904790336628502</v>
      </c>
      <c r="C922">
        <v>1.07618443416414</v>
      </c>
      <c r="D922">
        <v>0.99915300075203395</v>
      </c>
      <c r="E922">
        <v>0.81489717901048198</v>
      </c>
      <c r="F922">
        <v>0.666713575158425</v>
      </c>
      <c r="G922">
        <v>0.48288605037878501</v>
      </c>
      <c r="H922">
        <v>0.34350632430946998</v>
      </c>
      <c r="I922">
        <v>0.31486243125366598</v>
      </c>
      <c r="J922">
        <v>0.29757260183718798</v>
      </c>
      <c r="K922">
        <v>0.26865862775433902</v>
      </c>
      <c r="L922">
        <v>943.43286505555</v>
      </c>
      <c r="M922">
        <v>17.585534054413401</v>
      </c>
      <c r="N922">
        <v>56.136403374272398</v>
      </c>
      <c r="O922">
        <v>52.9689203090131</v>
      </c>
      <c r="P922">
        <v>-6.05369978064478E-2</v>
      </c>
      <c r="Q922">
        <v>0.27067190917522299</v>
      </c>
      <c r="R922">
        <v>0.98945747862014</v>
      </c>
      <c r="S922" t="s">
        <v>5662</v>
      </c>
      <c r="T922" t="s">
        <v>9478</v>
      </c>
      <c r="U922" t="s">
        <v>9478</v>
      </c>
      <c r="V922" t="s">
        <v>9478</v>
      </c>
      <c r="W922">
        <v>7</v>
      </c>
      <c r="X922" t="s">
        <v>10400</v>
      </c>
      <c r="Y922">
        <v>0.61467200211938178</v>
      </c>
      <c r="Z922" t="str">
        <f>HYPERLINK("Melting_Curves/meltCurve_sp_P23508_2_CRCM_HUMAN_.pdf", "Melting_Curves/meltCurve_sp_P23508_2_CRCM_HUMAN_.pdf")</f>
        <v>Melting_Curves/meltCurve_sp_P23508_2_CRCM_HUMAN_.pdf</v>
      </c>
      <c r="AA922" t="s">
        <v>15122</v>
      </c>
      <c r="AB922" t="s">
        <v>19757</v>
      </c>
    </row>
    <row r="923" spans="1:28" x14ac:dyDescent="0.25">
      <c r="A923" t="s">
        <v>927</v>
      </c>
      <c r="B923">
        <v>0.99904790336628502</v>
      </c>
      <c r="C923">
        <v>1.03258694723613</v>
      </c>
      <c r="D923">
        <v>1.10814798204358</v>
      </c>
      <c r="E923">
        <v>1.0397949641032</v>
      </c>
      <c r="F923">
        <v>0.74049101348625102</v>
      </c>
      <c r="G923">
        <v>0.26802794654110701</v>
      </c>
      <c r="H923">
        <v>0.119230108603766</v>
      </c>
      <c r="I923">
        <v>5.05640630747064E-2</v>
      </c>
      <c r="J923">
        <v>3.1587048332149099E-2</v>
      </c>
      <c r="K923">
        <v>2.4951331146828699E-2</v>
      </c>
      <c r="L923">
        <v>1777.7850387805099</v>
      </c>
      <c r="M923">
        <v>32.396018019061103</v>
      </c>
      <c r="N923">
        <v>55.032975082306798</v>
      </c>
      <c r="O923">
        <v>54.668794724758499</v>
      </c>
      <c r="P923">
        <v>-0.14163528160942901</v>
      </c>
      <c r="Q923">
        <v>4.3957020896323598E-2</v>
      </c>
      <c r="R923">
        <v>0.98921981037057305</v>
      </c>
      <c r="S923" t="s">
        <v>5663</v>
      </c>
      <c r="T923" t="s">
        <v>9478</v>
      </c>
      <c r="U923" t="s">
        <v>9478</v>
      </c>
      <c r="V923" t="s">
        <v>9478</v>
      </c>
      <c r="W923">
        <v>30</v>
      </c>
      <c r="X923" t="s">
        <v>10401</v>
      </c>
      <c r="Y923">
        <v>0.52351694616690203</v>
      </c>
      <c r="Z923" t="str">
        <f>HYPERLINK("Melting_Curves/meltCurve_sp_P23526_SAHH_HUMAN_.pdf", "Melting_Curves/meltCurve_sp_P23526_SAHH_HUMAN_.pdf")</f>
        <v>Melting_Curves/meltCurve_sp_P23526_SAHH_HUMAN_.pdf</v>
      </c>
      <c r="AA923" t="s">
        <v>15123</v>
      </c>
      <c r="AB923" t="s">
        <v>19758</v>
      </c>
    </row>
    <row r="924" spans="1:28" x14ac:dyDescent="0.25">
      <c r="A924" t="s">
        <v>928</v>
      </c>
      <c r="B924">
        <v>0.99904790336628502</v>
      </c>
      <c r="C924">
        <v>0.95557177880053401</v>
      </c>
      <c r="D924">
        <v>0.89731394572088197</v>
      </c>
      <c r="E924">
        <v>0.89723347622259597</v>
      </c>
      <c r="F924">
        <v>0.98186209657592405</v>
      </c>
      <c r="G924">
        <v>0.78347623694669399</v>
      </c>
      <c r="H924">
        <v>0.61384735969041404</v>
      </c>
      <c r="I924">
        <v>0.56197556071009003</v>
      </c>
      <c r="J924">
        <v>0.59823174985933103</v>
      </c>
      <c r="K924">
        <v>0.61125919864376999</v>
      </c>
      <c r="L924">
        <v>2142.10822907178</v>
      </c>
      <c r="M924">
        <v>37.709962584621699</v>
      </c>
      <c r="O924">
        <v>56.645799972896199</v>
      </c>
      <c r="P924">
        <v>-6.8605920766255296E-2</v>
      </c>
      <c r="Q924">
        <v>0.58777717055174405</v>
      </c>
      <c r="R924">
        <v>0.91415391762779197</v>
      </c>
      <c r="S924" t="s">
        <v>5664</v>
      </c>
      <c r="T924" t="s">
        <v>9478</v>
      </c>
      <c r="U924" t="s">
        <v>9478</v>
      </c>
      <c r="V924" t="s">
        <v>9478</v>
      </c>
      <c r="W924">
        <v>18</v>
      </c>
      <c r="X924" t="s">
        <v>10402</v>
      </c>
      <c r="Y924">
        <v>0.82048454244772884</v>
      </c>
      <c r="Z924" t="str">
        <f>HYPERLINK("Melting_Curves/meltCurve_sp_P23528_COF1_HUMAN_.pdf", "Melting_Curves/meltCurve_sp_P23528_COF1_HUMAN_.pdf")</f>
        <v>Melting_Curves/meltCurve_sp_P23528_COF1_HUMAN_.pdf</v>
      </c>
      <c r="AA924" t="s">
        <v>15124</v>
      </c>
      <c r="AB924" t="s">
        <v>19759</v>
      </c>
    </row>
    <row r="925" spans="1:28" x14ac:dyDescent="0.25">
      <c r="A925" t="s">
        <v>929</v>
      </c>
      <c r="B925">
        <v>0.99904790336628502</v>
      </c>
      <c r="C925">
        <v>1.00749812000133</v>
      </c>
      <c r="D925">
        <v>0.96086232828202001</v>
      </c>
      <c r="E925">
        <v>0.962512947376711</v>
      </c>
      <c r="F925">
        <v>1.06918240771678</v>
      </c>
      <c r="G925">
        <v>0.83190041192606701</v>
      </c>
      <c r="H925">
        <v>0.81761697101569097</v>
      </c>
      <c r="I925">
        <v>0.87346289130221</v>
      </c>
      <c r="J925">
        <v>0.92830231135012098</v>
      </c>
      <c r="K925">
        <v>0.95460782470695504</v>
      </c>
      <c r="L925">
        <v>4913.8958806893697</v>
      </c>
      <c r="M925">
        <v>89.304860481247303</v>
      </c>
      <c r="O925">
        <v>54.9962616100593</v>
      </c>
      <c r="P925">
        <v>-4.8256075643995498E-2</v>
      </c>
      <c r="Q925">
        <v>0.88113061324042496</v>
      </c>
      <c r="R925">
        <v>0.59735572951692595</v>
      </c>
      <c r="S925" t="s">
        <v>5665</v>
      </c>
      <c r="T925" t="s">
        <v>9478</v>
      </c>
      <c r="U925" t="s">
        <v>9478</v>
      </c>
      <c r="V925" t="s">
        <v>9478</v>
      </c>
      <c r="W925">
        <v>31</v>
      </c>
      <c r="X925" t="s">
        <v>10403</v>
      </c>
      <c r="Y925">
        <v>0.94074983838206405</v>
      </c>
      <c r="Z925" t="str">
        <f>HYPERLINK("Melting_Curves/meltCurve_sp_P23588_IF4B_HUMAN_.pdf", "Melting_Curves/meltCurve_sp_P23588_IF4B_HUMAN_.pdf")</f>
        <v>Melting_Curves/meltCurve_sp_P23588_IF4B_HUMAN_.pdf</v>
      </c>
      <c r="AA925" t="s">
        <v>15125</v>
      </c>
      <c r="AB925" t="s">
        <v>19760</v>
      </c>
    </row>
    <row r="926" spans="1:28" x14ac:dyDescent="0.25">
      <c r="A926" t="s">
        <v>930</v>
      </c>
      <c r="B926">
        <v>0.99904790336628502</v>
      </c>
      <c r="C926">
        <v>1.23513501979966</v>
      </c>
      <c r="D926">
        <v>1.0772936748331701</v>
      </c>
      <c r="E926">
        <v>0.61851052557564501</v>
      </c>
      <c r="F926">
        <v>0.25393501123359702</v>
      </c>
      <c r="G926">
        <v>0.16173017016773</v>
      </c>
      <c r="H926">
        <v>7.6992427609217998E-2</v>
      </c>
      <c r="I926">
        <v>6.4125247620969605E-2</v>
      </c>
      <c r="J926">
        <v>4.4704557361504402E-2</v>
      </c>
      <c r="K926">
        <v>4.91762220432043E-2</v>
      </c>
      <c r="L926">
        <v>1799.0195615232401</v>
      </c>
      <c r="M926">
        <v>35.500807421551698</v>
      </c>
      <c r="N926">
        <v>50.912591475721399</v>
      </c>
      <c r="O926">
        <v>50.515448167247399</v>
      </c>
      <c r="P926">
        <v>-0.16230564034817499</v>
      </c>
      <c r="Q926">
        <v>7.6199309467582702E-2</v>
      </c>
      <c r="R926">
        <v>0.96435429153011798</v>
      </c>
      <c r="S926" t="s">
        <v>5666</v>
      </c>
      <c r="T926" t="s">
        <v>9478</v>
      </c>
      <c r="U926" t="s">
        <v>9478</v>
      </c>
      <c r="V926" t="s">
        <v>9478</v>
      </c>
      <c r="W926">
        <v>2</v>
      </c>
      <c r="X926" t="s">
        <v>10404</v>
      </c>
      <c r="Y926">
        <v>0.40904856285902119</v>
      </c>
      <c r="Z926" t="str">
        <f>HYPERLINK("Melting_Curves/meltCurve_sp_P23610_F8I2_HUMAN_.pdf", "Melting_Curves/meltCurve_sp_P23610_F8I2_HUMAN_.pdf")</f>
        <v>Melting_Curves/meltCurve_sp_P23610_F8I2_HUMAN_.pdf</v>
      </c>
      <c r="AA926" t="s">
        <v>15126</v>
      </c>
      <c r="AB926" t="s">
        <v>19761</v>
      </c>
    </row>
    <row r="927" spans="1:28" x14ac:dyDescent="0.25">
      <c r="A927" t="s">
        <v>931</v>
      </c>
      <c r="B927">
        <v>0.99904790336628502</v>
      </c>
      <c r="C927">
        <v>0.50336923310405102</v>
      </c>
      <c r="D927">
        <v>0.28634584170185001</v>
      </c>
      <c r="E927">
        <v>0.163674557862063</v>
      </c>
      <c r="F927">
        <v>8.7429555796783201E-2</v>
      </c>
      <c r="G927">
        <v>4.8632588672269099E-2</v>
      </c>
      <c r="H927">
        <v>3.1052938359988801E-2</v>
      </c>
      <c r="I927">
        <v>2.0386637695430199E-2</v>
      </c>
      <c r="J927">
        <v>1.7795842530695102E-2</v>
      </c>
      <c r="K927">
        <v>1.57210272985937E-2</v>
      </c>
      <c r="L927">
        <v>993.313593387629</v>
      </c>
      <c r="M927">
        <v>22.862740225230102</v>
      </c>
      <c r="N927">
        <v>43.6267093971002</v>
      </c>
      <c r="O927">
        <v>43.118532764756402</v>
      </c>
      <c r="P927">
        <v>-0.126597519066727</v>
      </c>
      <c r="Q927">
        <v>4.4979814671256002E-2</v>
      </c>
      <c r="R927">
        <v>0.96574259177908806</v>
      </c>
      <c r="S927" t="s">
        <v>5667</v>
      </c>
      <c r="T927" t="s">
        <v>9478</v>
      </c>
      <c r="U927" t="s">
        <v>9478</v>
      </c>
      <c r="V927" t="s">
        <v>9478</v>
      </c>
      <c r="W927">
        <v>26</v>
      </c>
      <c r="X927" t="s">
        <v>10405</v>
      </c>
      <c r="Y927">
        <v>0.16982100783278251</v>
      </c>
      <c r="Z927" t="str">
        <f>HYPERLINK("Melting_Curves/meltCurve_sp_P23786_CPT2_HUMAN_.pdf", "Melting_Curves/meltCurve_sp_P23786_CPT2_HUMAN_.pdf")</f>
        <v>Melting_Curves/meltCurve_sp_P23786_CPT2_HUMAN_.pdf</v>
      </c>
      <c r="AA927" t="s">
        <v>15127</v>
      </c>
      <c r="AB927" t="s">
        <v>19762</v>
      </c>
    </row>
    <row r="928" spans="1:28" x14ac:dyDescent="0.25">
      <c r="A928" t="s">
        <v>932</v>
      </c>
      <c r="B928">
        <v>0.99904790336628502</v>
      </c>
      <c r="C928">
        <v>0.98117800796957799</v>
      </c>
      <c r="D928">
        <v>0.86497022109022204</v>
      </c>
      <c r="E928">
        <v>0.70433638177771696</v>
      </c>
      <c r="F928">
        <v>0.55099510617494496</v>
      </c>
      <c r="G928">
        <v>0.27670396487760801</v>
      </c>
      <c r="H928">
        <v>0.17058240300795299</v>
      </c>
      <c r="I928">
        <v>0.136872506888606</v>
      </c>
      <c r="J928">
        <v>0.14256106717727701</v>
      </c>
      <c r="K928">
        <v>0.145871812163437</v>
      </c>
      <c r="L928">
        <v>805.49347231593094</v>
      </c>
      <c r="M928">
        <v>15.3821806648299</v>
      </c>
      <c r="N928">
        <v>53.1478931797378</v>
      </c>
      <c r="O928">
        <v>51.504267989974402</v>
      </c>
      <c r="P928">
        <v>-6.7104760674697103E-2</v>
      </c>
      <c r="Q928">
        <v>0.101332818492708</v>
      </c>
      <c r="R928">
        <v>0.995319487761956</v>
      </c>
      <c r="S928" t="s">
        <v>5668</v>
      </c>
      <c r="T928" t="s">
        <v>9478</v>
      </c>
      <c r="U928" t="s">
        <v>9478</v>
      </c>
      <c r="V928" t="s">
        <v>9478</v>
      </c>
      <c r="W928">
        <v>8</v>
      </c>
      <c r="X928" t="s">
        <v>10406</v>
      </c>
      <c r="Y928">
        <v>0.49084199765143971</v>
      </c>
      <c r="Z928" t="str">
        <f>HYPERLINK("Melting_Curves/meltCurve_sp_P23919_KTHY_HUMAN_.pdf", "Melting_Curves/meltCurve_sp_P23919_KTHY_HUMAN_.pdf")</f>
        <v>Melting_Curves/meltCurve_sp_P23919_KTHY_HUMAN_.pdf</v>
      </c>
      <c r="AA928" t="s">
        <v>15128</v>
      </c>
      <c r="AB928" t="s">
        <v>19763</v>
      </c>
    </row>
    <row r="929" spans="1:28" x14ac:dyDescent="0.25">
      <c r="A929" t="s">
        <v>933</v>
      </c>
      <c r="B929">
        <v>0.99904790336628502</v>
      </c>
      <c r="C929">
        <v>0.89326507557147605</v>
      </c>
      <c r="D929">
        <v>0.90220237158059802</v>
      </c>
      <c r="E929">
        <v>0.56618809304659601</v>
      </c>
      <c r="F929">
        <v>0.36220357195637098</v>
      </c>
      <c r="G929">
        <v>0.18632978263449401</v>
      </c>
      <c r="H929">
        <v>9.1773311434955498E-2</v>
      </c>
      <c r="I929">
        <v>3.77184859158975E-2</v>
      </c>
      <c r="J929">
        <v>4.4670724926621899E-2</v>
      </c>
      <c r="K929">
        <v>2.05747989483278E-2</v>
      </c>
      <c r="L929">
        <v>804.00289350539299</v>
      </c>
      <c r="M929">
        <v>15.754438027335</v>
      </c>
      <c r="N929">
        <v>51.123604852999001</v>
      </c>
      <c r="O929">
        <v>50.232403086288997</v>
      </c>
      <c r="P929">
        <v>-7.7339683224106698E-2</v>
      </c>
      <c r="Q929">
        <v>1.37041086690117E-2</v>
      </c>
      <c r="R929">
        <v>0.99485091882957999</v>
      </c>
      <c r="S929" t="s">
        <v>5669</v>
      </c>
      <c r="T929" t="s">
        <v>9478</v>
      </c>
      <c r="U929" t="s">
        <v>9478</v>
      </c>
      <c r="V929" t="s">
        <v>9478</v>
      </c>
      <c r="W929">
        <v>7</v>
      </c>
      <c r="X929" t="s">
        <v>10407</v>
      </c>
      <c r="Y929">
        <v>0.39741586865810069</v>
      </c>
      <c r="Z929" t="str">
        <f>HYPERLINK("Melting_Curves/meltCurve_sp_P23921_RIR1_HUMAN_.pdf", "Melting_Curves/meltCurve_sp_P23921_RIR1_HUMAN_.pdf")</f>
        <v>Melting_Curves/meltCurve_sp_P23921_RIR1_HUMAN_.pdf</v>
      </c>
      <c r="AA929" t="s">
        <v>15129</v>
      </c>
      <c r="AB929" t="s">
        <v>19764</v>
      </c>
    </row>
    <row r="930" spans="1:28" x14ac:dyDescent="0.25">
      <c r="A930" t="s">
        <v>934</v>
      </c>
      <c r="B930">
        <v>0.99904790336628502</v>
      </c>
      <c r="C930">
        <v>0.90851474966046097</v>
      </c>
      <c r="D930">
        <v>0.78326161497221802</v>
      </c>
      <c r="E930">
        <v>0.66396449267340796</v>
      </c>
      <c r="F930">
        <v>0.37047017601813098</v>
      </c>
      <c r="G930">
        <v>0.23948856386453801</v>
      </c>
      <c r="H930">
        <v>0.19867852933145999</v>
      </c>
      <c r="I930">
        <v>0.41393282549753602</v>
      </c>
      <c r="J930">
        <v>0.90848926241608696</v>
      </c>
      <c r="K930">
        <v>0.64010316237629294</v>
      </c>
      <c r="L930">
        <v>1177.73628093211</v>
      </c>
      <c r="M930">
        <v>25.174344691240901</v>
      </c>
      <c r="N930">
        <v>52.763985677415498</v>
      </c>
      <c r="O930">
        <v>46.4909988124965</v>
      </c>
      <c r="P930">
        <v>-7.1588540724410704E-2</v>
      </c>
      <c r="Q930">
        <v>0.47117937006434302</v>
      </c>
      <c r="R930">
        <v>0.49920732031172499</v>
      </c>
      <c r="S930" t="s">
        <v>5670</v>
      </c>
      <c r="T930" t="s">
        <v>9478</v>
      </c>
      <c r="U930" t="s">
        <v>9478</v>
      </c>
      <c r="V930" t="s">
        <v>9478</v>
      </c>
      <c r="W930">
        <v>1</v>
      </c>
      <c r="X930" t="s">
        <v>10408</v>
      </c>
      <c r="Y930">
        <v>0.59542079121686087</v>
      </c>
      <c r="Z930" t="str">
        <f>HYPERLINK("Melting_Curves/meltCurve_sp_P24158_PRTN3_HUMAN_.pdf", "Melting_Curves/meltCurve_sp_P24158_PRTN3_HUMAN_.pdf")</f>
        <v>Melting_Curves/meltCurve_sp_P24158_PRTN3_HUMAN_.pdf</v>
      </c>
      <c r="AA930" t="s">
        <v>15130</v>
      </c>
      <c r="AB930" t="s">
        <v>19765</v>
      </c>
    </row>
    <row r="931" spans="1:28" x14ac:dyDescent="0.25">
      <c r="A931" t="s">
        <v>935</v>
      </c>
      <c r="B931">
        <v>0.99904790336628502</v>
      </c>
      <c r="C931">
        <v>1.00965686437819</v>
      </c>
      <c r="D931">
        <v>1.06618136844176</v>
      </c>
      <c r="E931">
        <v>1.02627685433029</v>
      </c>
      <c r="F931">
        <v>1.0078663481904799</v>
      </c>
      <c r="G931">
        <v>0.83772768646460305</v>
      </c>
      <c r="H931">
        <v>0.55800200507445097</v>
      </c>
      <c r="I931">
        <v>0.30050813968388801</v>
      </c>
      <c r="J931">
        <v>0.12576324081940299</v>
      </c>
      <c r="K931">
        <v>6.8707749412074803E-2</v>
      </c>
      <c r="L931">
        <v>1405.7845259522201</v>
      </c>
      <c r="M931">
        <v>22.848031879198398</v>
      </c>
      <c r="N931">
        <v>61.548731300929397</v>
      </c>
      <c r="O931">
        <v>61.062086581665604</v>
      </c>
      <c r="P931">
        <v>-9.3180926199734795E-2</v>
      </c>
      <c r="Q931">
        <v>3.9032944923543199E-3</v>
      </c>
      <c r="R931">
        <v>0.99493311392649997</v>
      </c>
      <c r="S931" t="s">
        <v>5671</v>
      </c>
      <c r="T931" t="s">
        <v>9478</v>
      </c>
      <c r="U931" t="s">
        <v>9478</v>
      </c>
      <c r="V931" t="s">
        <v>9478</v>
      </c>
      <c r="W931">
        <v>27</v>
      </c>
      <c r="X931" t="s">
        <v>10409</v>
      </c>
      <c r="Y931">
        <v>0.72401065378130636</v>
      </c>
      <c r="Z931" t="str">
        <f>HYPERLINK("Melting_Curves/meltCurve_sp_P24298_ALAT1_HUMAN_.pdf", "Melting_Curves/meltCurve_sp_P24298_ALAT1_HUMAN_.pdf")</f>
        <v>Melting_Curves/meltCurve_sp_P24298_ALAT1_HUMAN_.pdf</v>
      </c>
      <c r="AA931" t="s">
        <v>15131</v>
      </c>
      <c r="AB931" t="s">
        <v>19766</v>
      </c>
    </row>
    <row r="932" spans="1:28" x14ac:dyDescent="0.25">
      <c r="A932" t="s">
        <v>936</v>
      </c>
      <c r="B932">
        <v>0.99904790336628502</v>
      </c>
      <c r="C932">
        <v>1.31263860988029</v>
      </c>
      <c r="D932">
        <v>1.10000188394118</v>
      </c>
      <c r="E932">
        <v>1.10615226216463</v>
      </c>
      <c r="F932">
        <v>0.88192931451100898</v>
      </c>
      <c r="G932">
        <v>0.18571773609637501</v>
      </c>
      <c r="H932">
        <v>0.15500188297137399</v>
      </c>
      <c r="I932">
        <v>0</v>
      </c>
      <c r="J932">
        <v>0</v>
      </c>
      <c r="K932">
        <v>0</v>
      </c>
      <c r="L932">
        <v>2752.3281338319998</v>
      </c>
      <c r="M932">
        <v>49.913271120107098</v>
      </c>
      <c r="N932">
        <v>55.221812857741902</v>
      </c>
      <c r="O932">
        <v>55.053913255854297</v>
      </c>
      <c r="P932">
        <v>-0.218789111356405</v>
      </c>
      <c r="Q932">
        <v>3.47107213630823E-2</v>
      </c>
      <c r="R932">
        <v>0.94930651163370705</v>
      </c>
      <c r="S932" t="s">
        <v>5672</v>
      </c>
      <c r="T932" t="s">
        <v>9478</v>
      </c>
      <c r="U932" t="s">
        <v>9478</v>
      </c>
      <c r="V932" t="s">
        <v>9478</v>
      </c>
      <c r="W932">
        <v>2</v>
      </c>
      <c r="X932" t="s">
        <v>10410</v>
      </c>
      <c r="Y932">
        <v>0.5242858069551023</v>
      </c>
      <c r="Z932" t="str">
        <f>HYPERLINK("Melting_Curves/meltCurve_sp_P24385_CCND1_HUMAN_.pdf", "Melting_Curves/meltCurve_sp_P24385_CCND1_HUMAN_.pdf")</f>
        <v>Melting_Curves/meltCurve_sp_P24385_CCND1_HUMAN_.pdf</v>
      </c>
      <c r="AA932" t="s">
        <v>15132</v>
      </c>
      <c r="AB932" t="s">
        <v>19767</v>
      </c>
    </row>
    <row r="933" spans="1:28" x14ac:dyDescent="0.25">
      <c r="A933" t="s">
        <v>937</v>
      </c>
      <c r="B933">
        <v>0.99904790336628502</v>
      </c>
      <c r="C933">
        <v>1.0074246085596601</v>
      </c>
      <c r="D933">
        <v>1.0316164820299301</v>
      </c>
      <c r="E933">
        <v>0.93426433770001205</v>
      </c>
      <c r="F933">
        <v>0.68716607591696399</v>
      </c>
      <c r="G933">
        <v>0.61555759874877902</v>
      </c>
      <c r="H933">
        <v>0.56620184896354597</v>
      </c>
      <c r="I933">
        <v>0.58698509414975097</v>
      </c>
      <c r="J933">
        <v>0.60210324559358597</v>
      </c>
      <c r="K933">
        <v>0.52634730030838395</v>
      </c>
      <c r="L933">
        <v>2334.5901084419702</v>
      </c>
      <c r="M933">
        <v>45.038966904676798</v>
      </c>
      <c r="O933">
        <v>51.733018781968902</v>
      </c>
      <c r="P933">
        <v>-9.2014519517753995E-2</v>
      </c>
      <c r="Q933">
        <v>0.57723874687284704</v>
      </c>
      <c r="R933">
        <v>0.98587708914667005</v>
      </c>
      <c r="S933" t="s">
        <v>5673</v>
      </c>
      <c r="T933" t="s">
        <v>9478</v>
      </c>
      <c r="U933" t="s">
        <v>9478</v>
      </c>
      <c r="V933" t="s">
        <v>9478</v>
      </c>
      <c r="W933">
        <v>13</v>
      </c>
      <c r="X933" t="s">
        <v>10411</v>
      </c>
      <c r="Y933">
        <v>0.74520919675945041</v>
      </c>
      <c r="Z933" t="str">
        <f>HYPERLINK("Melting_Curves/meltCurve_sp_P24534_EF1B_HUMAN_.pdf", "Melting_Curves/meltCurve_sp_P24534_EF1B_HUMAN_.pdf")</f>
        <v>Melting_Curves/meltCurve_sp_P24534_EF1B_HUMAN_.pdf</v>
      </c>
      <c r="AA933" t="s">
        <v>15133</v>
      </c>
      <c r="AB933" t="s">
        <v>19768</v>
      </c>
    </row>
    <row r="934" spans="1:28" x14ac:dyDescent="0.25">
      <c r="A934" t="s">
        <v>938</v>
      </c>
      <c r="B934">
        <v>0.99904790336628502</v>
      </c>
      <c r="C934">
        <v>0.92635136971735998</v>
      </c>
      <c r="D934">
        <v>0.900079710656981</v>
      </c>
      <c r="E934">
        <v>0.76816245679059203</v>
      </c>
      <c r="F934">
        <v>0.40775205095751299</v>
      </c>
      <c r="G934">
        <v>0.245667640297553</v>
      </c>
      <c r="H934">
        <v>0.111598710268829</v>
      </c>
      <c r="I934">
        <v>7.8472752853662897E-2</v>
      </c>
      <c r="J934">
        <v>6.5523790890999203E-2</v>
      </c>
      <c r="K934">
        <v>5.5146202520153502E-2</v>
      </c>
      <c r="L934">
        <v>951.24934637749504</v>
      </c>
      <c r="M934">
        <v>18.207657780238002</v>
      </c>
      <c r="N934">
        <v>52.537578678394802</v>
      </c>
      <c r="O934">
        <v>51.626490034801897</v>
      </c>
      <c r="P934">
        <v>-8.3915759860265907E-2</v>
      </c>
      <c r="Q934">
        <v>4.8296733332613299E-2</v>
      </c>
      <c r="R934">
        <v>0.99224355682043297</v>
      </c>
      <c r="S934" t="s">
        <v>5674</v>
      </c>
      <c r="T934" t="s">
        <v>9478</v>
      </c>
      <c r="U934" t="s">
        <v>9478</v>
      </c>
      <c r="V934" t="s">
        <v>9478</v>
      </c>
      <c r="W934">
        <v>10</v>
      </c>
      <c r="X934" t="s">
        <v>10412</v>
      </c>
      <c r="Y934">
        <v>0.45221301784438361</v>
      </c>
      <c r="Z934" t="str">
        <f>HYPERLINK("Melting_Curves/meltCurve_sp_P24666_PPAC_HUMAN_.pdf", "Melting_Curves/meltCurve_sp_P24666_PPAC_HUMAN_.pdf")</f>
        <v>Melting_Curves/meltCurve_sp_P24666_PPAC_HUMAN_.pdf</v>
      </c>
      <c r="AA934" t="s">
        <v>15134</v>
      </c>
      <c r="AB934" t="s">
        <v>19769</v>
      </c>
    </row>
    <row r="935" spans="1:28" x14ac:dyDescent="0.25">
      <c r="A935" t="s">
        <v>939</v>
      </c>
      <c r="B935">
        <v>0.99904790336628502</v>
      </c>
      <c r="C935">
        <v>1.0455057787764299</v>
      </c>
      <c r="D935">
        <v>1.12187798691378</v>
      </c>
      <c r="E935">
        <v>0.85268488480446603</v>
      </c>
      <c r="F935">
        <v>0.30322164823109399</v>
      </c>
      <c r="G935">
        <v>0.12324452557545</v>
      </c>
      <c r="H935">
        <v>6.8959362105534799E-2</v>
      </c>
      <c r="I935">
        <v>3.84296912218903E-2</v>
      </c>
      <c r="J935">
        <v>3.25049394478477E-2</v>
      </c>
      <c r="K935">
        <v>2.54296049631671E-2</v>
      </c>
      <c r="L935">
        <v>2364.7223418091198</v>
      </c>
      <c r="M935">
        <v>45.6071876674891</v>
      </c>
      <c r="N935">
        <v>51.978480867854401</v>
      </c>
      <c r="O935">
        <v>51.750382276354301</v>
      </c>
      <c r="P935">
        <v>-0.208560079954868</v>
      </c>
      <c r="Q935">
        <v>5.3390398990487101E-2</v>
      </c>
      <c r="R935">
        <v>0.98918721397751397</v>
      </c>
      <c r="S935" t="s">
        <v>5675</v>
      </c>
      <c r="T935" t="s">
        <v>9478</v>
      </c>
      <c r="U935" t="s">
        <v>9478</v>
      </c>
      <c r="V935" t="s">
        <v>9478</v>
      </c>
      <c r="W935">
        <v>35</v>
      </c>
      <c r="X935" t="s">
        <v>10413</v>
      </c>
      <c r="Y935">
        <v>0.4298986792325033</v>
      </c>
      <c r="Z935" t="str">
        <f>HYPERLINK("Melting_Curves/meltCurve_sp_P24752_THIL_HUMAN_.pdf", "Melting_Curves/meltCurve_sp_P24752_THIL_HUMAN_.pdf")</f>
        <v>Melting_Curves/meltCurve_sp_P24752_THIL_HUMAN_.pdf</v>
      </c>
      <c r="AA935" t="s">
        <v>15135</v>
      </c>
      <c r="AB935" t="s">
        <v>19770</v>
      </c>
    </row>
    <row r="936" spans="1:28" x14ac:dyDescent="0.25">
      <c r="A936" t="s">
        <v>940</v>
      </c>
      <c r="B936">
        <v>0.99904790336628502</v>
      </c>
      <c r="C936">
        <v>0.82015853564883601</v>
      </c>
      <c r="D936">
        <v>0.71028210039376305</v>
      </c>
      <c r="E936">
        <v>0.54039324109338305</v>
      </c>
      <c r="F936">
        <v>0.45851772564867099</v>
      </c>
      <c r="G936">
        <v>0.38268855575033001</v>
      </c>
      <c r="H936">
        <v>0.30897071031399798</v>
      </c>
      <c r="I936">
        <v>0.27504249925274099</v>
      </c>
      <c r="J936">
        <v>0.199782299075321</v>
      </c>
      <c r="K936">
        <v>0.23031100300232599</v>
      </c>
      <c r="L936">
        <v>492.06268662059398</v>
      </c>
      <c r="M936">
        <v>10.0206286055866</v>
      </c>
      <c r="N936">
        <v>51.584234228530001</v>
      </c>
      <c r="O936">
        <v>47.269546598347702</v>
      </c>
      <c r="P936">
        <v>-4.2889785598485698E-2</v>
      </c>
      <c r="Q936">
        <v>0.19110762314164001</v>
      </c>
      <c r="R936">
        <v>0.98476981265345898</v>
      </c>
      <c r="S936" t="s">
        <v>5676</v>
      </c>
      <c r="T936" t="s">
        <v>9478</v>
      </c>
      <c r="U936" t="s">
        <v>9478</v>
      </c>
      <c r="V936" t="s">
        <v>9478</v>
      </c>
      <c r="W936">
        <v>5</v>
      </c>
      <c r="X936" t="s">
        <v>10414</v>
      </c>
      <c r="Y936">
        <v>0.4757541708640709</v>
      </c>
      <c r="Z936" t="str">
        <f>HYPERLINK("Melting_Curves/meltCurve_sp_P24928_RPB1_HUMAN_.pdf", "Melting_Curves/meltCurve_sp_P24928_RPB1_HUMAN_.pdf")</f>
        <v>Melting_Curves/meltCurve_sp_P24928_RPB1_HUMAN_.pdf</v>
      </c>
      <c r="AA936" t="s">
        <v>15136</v>
      </c>
      <c r="AB936" t="s">
        <v>19771</v>
      </c>
    </row>
    <row r="937" spans="1:28" x14ac:dyDescent="0.25">
      <c r="A937" t="s">
        <v>941</v>
      </c>
      <c r="B937">
        <v>0.99904790336628502</v>
      </c>
      <c r="C937">
        <v>0.87002229006507903</v>
      </c>
      <c r="D937">
        <v>0.78831626622061701</v>
      </c>
      <c r="E937">
        <v>0.61181938331136398</v>
      </c>
      <c r="F937">
        <v>0.37435926939896802</v>
      </c>
      <c r="G937">
        <v>0.17582281549717901</v>
      </c>
      <c r="H937">
        <v>8.8973457593061106E-2</v>
      </c>
      <c r="I937">
        <v>9.9952299439582795E-2</v>
      </c>
      <c r="J937">
        <v>3.8107740996047301E-2</v>
      </c>
      <c r="K937">
        <v>4.6356302495335899E-2</v>
      </c>
      <c r="L937">
        <v>660.06132561622906</v>
      </c>
      <c r="M937">
        <v>12.951162234508301</v>
      </c>
      <c r="N937">
        <v>50.9986837327872</v>
      </c>
      <c r="O937">
        <v>49.796204641559697</v>
      </c>
      <c r="P937">
        <v>-6.4758795307976194E-2</v>
      </c>
      <c r="Q937">
        <v>4.2083451194136201E-3</v>
      </c>
      <c r="R937">
        <v>0.99354289588830003</v>
      </c>
      <c r="S937" t="s">
        <v>5677</v>
      </c>
      <c r="T937" t="s">
        <v>9478</v>
      </c>
      <c r="U937" t="s">
        <v>9478</v>
      </c>
      <c r="V937" t="s">
        <v>9478</v>
      </c>
      <c r="W937">
        <v>5</v>
      </c>
      <c r="X937" t="s">
        <v>10415</v>
      </c>
      <c r="Y937">
        <v>0.39726519118613929</v>
      </c>
      <c r="Z937" t="str">
        <f>HYPERLINK("Melting_Curves/meltCurve_sp_P24941_CDK2_HUMAN_.pdf", "Melting_Curves/meltCurve_sp_P24941_CDK2_HUMAN_.pdf")</f>
        <v>Melting_Curves/meltCurve_sp_P24941_CDK2_HUMAN_.pdf</v>
      </c>
      <c r="AA937" t="s">
        <v>15137</v>
      </c>
      <c r="AB937" t="s">
        <v>19772</v>
      </c>
    </row>
    <row r="938" spans="1:28" x14ac:dyDescent="0.25">
      <c r="A938" t="s">
        <v>942</v>
      </c>
      <c r="B938">
        <v>0.99904790336628502</v>
      </c>
      <c r="C938">
        <v>0.98897826605591699</v>
      </c>
      <c r="D938">
        <v>0.92691490044430103</v>
      </c>
      <c r="E938">
        <v>0.42157523557093901</v>
      </c>
      <c r="F938">
        <v>0.11453923684136801</v>
      </c>
      <c r="G938">
        <v>8.0571807712561894E-2</v>
      </c>
      <c r="H938">
        <v>3.9410767006988701E-2</v>
      </c>
      <c r="I938">
        <v>2.3440379759951099E-2</v>
      </c>
      <c r="J938">
        <v>3.8541212048896802E-2</v>
      </c>
      <c r="K938">
        <v>3.0614653007598702E-2</v>
      </c>
      <c r="L938">
        <v>1679.4364753392899</v>
      </c>
      <c r="M938">
        <v>34.010043646659497</v>
      </c>
      <c r="N938">
        <v>49.497184235299301</v>
      </c>
      <c r="O938">
        <v>49.210814765939602</v>
      </c>
      <c r="P938">
        <v>-0.166127893000555</v>
      </c>
      <c r="Q938">
        <v>3.8489129915716298E-2</v>
      </c>
      <c r="R938">
        <v>0.99914144339203503</v>
      </c>
      <c r="S938" t="s">
        <v>5678</v>
      </c>
      <c r="T938" t="s">
        <v>9478</v>
      </c>
      <c r="U938" t="s">
        <v>9478</v>
      </c>
      <c r="V938" t="s">
        <v>9478</v>
      </c>
      <c r="W938">
        <v>5</v>
      </c>
      <c r="X938" t="s">
        <v>10416</v>
      </c>
      <c r="Y938">
        <v>0.34370308379467479</v>
      </c>
      <c r="Z938" t="str">
        <f>HYPERLINK("Melting_Curves/meltCurve_sp_P25098_ARBK1_HUMAN_.pdf", "Melting_Curves/meltCurve_sp_P25098_ARBK1_HUMAN_.pdf")</f>
        <v>Melting_Curves/meltCurve_sp_P25098_ARBK1_HUMAN_.pdf</v>
      </c>
      <c r="AA938" t="s">
        <v>15138</v>
      </c>
      <c r="AB938" t="s">
        <v>19773</v>
      </c>
    </row>
    <row r="939" spans="1:28" x14ac:dyDescent="0.25">
      <c r="A939" t="s">
        <v>943</v>
      </c>
      <c r="B939">
        <v>0.99904790336628502</v>
      </c>
      <c r="C939">
        <v>0.92087915152155098</v>
      </c>
      <c r="D939">
        <v>0.89665816226175798</v>
      </c>
      <c r="E939">
        <v>0.69316619752190201</v>
      </c>
      <c r="F939">
        <v>0.469682397320487</v>
      </c>
      <c r="G939">
        <v>0.22754991907559799</v>
      </c>
      <c r="H939">
        <v>0.110025098130437</v>
      </c>
      <c r="I939">
        <v>6.8463170820887903E-2</v>
      </c>
      <c r="J939">
        <v>4.5024955318901702E-2</v>
      </c>
      <c r="K939">
        <v>2.8247874814408099E-2</v>
      </c>
      <c r="L939">
        <v>786.05134518461898</v>
      </c>
      <c r="M939">
        <v>14.966244067030599</v>
      </c>
      <c r="N939">
        <v>52.5428727346169</v>
      </c>
      <c r="O939">
        <v>51.6106758493491</v>
      </c>
      <c r="P939">
        <v>-7.2284622275489402E-2</v>
      </c>
      <c r="Q939">
        <v>3.01558964730051E-3</v>
      </c>
      <c r="R939">
        <v>0.99829303884232501</v>
      </c>
      <c r="S939" t="s">
        <v>5679</v>
      </c>
      <c r="T939" t="s">
        <v>9478</v>
      </c>
      <c r="U939" t="s">
        <v>9478</v>
      </c>
      <c r="V939" t="s">
        <v>9478</v>
      </c>
      <c r="W939">
        <v>17</v>
      </c>
      <c r="X939" t="s">
        <v>10417</v>
      </c>
      <c r="Y939">
        <v>0.44108546573918972</v>
      </c>
      <c r="Z939" t="str">
        <f>HYPERLINK("Melting_Curves/meltCurve_sp_P25205_MCM3_HUMAN_.pdf", "Melting_Curves/meltCurve_sp_P25205_MCM3_HUMAN_.pdf")</f>
        <v>Melting_Curves/meltCurve_sp_P25205_MCM3_HUMAN_.pdf</v>
      </c>
      <c r="AA939" t="s">
        <v>15139</v>
      </c>
      <c r="AB939" t="s">
        <v>19774</v>
      </c>
    </row>
    <row r="940" spans="1:28" x14ac:dyDescent="0.25">
      <c r="A940" t="s">
        <v>944</v>
      </c>
      <c r="B940">
        <v>0.99904790336628502</v>
      </c>
      <c r="C940">
        <v>0.97795338911706797</v>
      </c>
      <c r="D940">
        <v>0.94874634184172901</v>
      </c>
      <c r="E940">
        <v>0.99849537303815294</v>
      </c>
      <c r="F940">
        <v>0.84556881391957694</v>
      </c>
      <c r="G940">
        <v>0.87843414044489299</v>
      </c>
      <c r="H940">
        <v>0.61923176064162</v>
      </c>
      <c r="I940">
        <v>0.55648219565182599</v>
      </c>
      <c r="J940">
        <v>0.57580949296503203</v>
      </c>
      <c r="K940">
        <v>0.58184878151983299</v>
      </c>
      <c r="L940">
        <v>1073.3619736416499</v>
      </c>
      <c r="M940">
        <v>18.598698396484501</v>
      </c>
      <c r="O940">
        <v>57.056897137154202</v>
      </c>
      <c r="P940">
        <v>-3.8029462787259299E-2</v>
      </c>
      <c r="Q940">
        <v>0.533354647246159</v>
      </c>
      <c r="R940">
        <v>0.93625937184085395</v>
      </c>
      <c r="S940" t="s">
        <v>5680</v>
      </c>
      <c r="T940" t="s">
        <v>9478</v>
      </c>
      <c r="U940" t="s">
        <v>9478</v>
      </c>
      <c r="V940" t="s">
        <v>9478</v>
      </c>
      <c r="W940">
        <v>15</v>
      </c>
      <c r="X940" t="s">
        <v>10418</v>
      </c>
      <c r="Y940">
        <v>0.81466952466594245</v>
      </c>
      <c r="Z940" t="str">
        <f>HYPERLINK("Melting_Curves/meltCurve_sp_P25311_ZA2G_HUMAN_.pdf", "Melting_Curves/meltCurve_sp_P25311_ZA2G_HUMAN_.pdf")</f>
        <v>Melting_Curves/meltCurve_sp_P25311_ZA2G_HUMAN_.pdf</v>
      </c>
      <c r="AA940" t="s">
        <v>15140</v>
      </c>
      <c r="AB940" t="s">
        <v>19775</v>
      </c>
    </row>
    <row r="941" spans="1:28" x14ac:dyDescent="0.25">
      <c r="A941" t="s">
        <v>945</v>
      </c>
      <c r="B941">
        <v>0.99904790336628502</v>
      </c>
      <c r="C941">
        <v>0.98809146906257395</v>
      </c>
      <c r="D941">
        <v>0.89708720360642302</v>
      </c>
      <c r="E941">
        <v>0.85662708278536404</v>
      </c>
      <c r="F941">
        <v>0.79483374282934705</v>
      </c>
      <c r="G941">
        <v>0.52278856405364904</v>
      </c>
      <c r="H941">
        <v>0.41330889233483498</v>
      </c>
      <c r="I941">
        <v>0.36291937567633598</v>
      </c>
      <c r="J941">
        <v>0.40210472417444199</v>
      </c>
      <c r="K941">
        <v>0.37330769728598301</v>
      </c>
      <c r="L941">
        <v>915.70035943841594</v>
      </c>
      <c r="M941">
        <v>16.875325114704001</v>
      </c>
      <c r="N941">
        <v>58.3095055931243</v>
      </c>
      <c r="O941">
        <v>53.517897852083102</v>
      </c>
      <c r="P941">
        <v>-5.1637067230155702E-2</v>
      </c>
      <c r="Q941">
        <v>0.34500097997711598</v>
      </c>
      <c r="R941">
        <v>0.98176169312967598</v>
      </c>
      <c r="S941" t="s">
        <v>5681</v>
      </c>
      <c r="T941" t="s">
        <v>9478</v>
      </c>
      <c r="U941" t="s">
        <v>9478</v>
      </c>
      <c r="V941" t="s">
        <v>9478</v>
      </c>
      <c r="W941">
        <v>5</v>
      </c>
      <c r="X941" t="s">
        <v>10419</v>
      </c>
      <c r="Y941">
        <v>0.66779106576583369</v>
      </c>
      <c r="Z941" t="str">
        <f>HYPERLINK("Melting_Curves/meltCurve_sp_P25398_RS12_HUMAN_.pdf", "Melting_Curves/meltCurve_sp_P25398_RS12_HUMAN_.pdf")</f>
        <v>Melting_Curves/meltCurve_sp_P25398_RS12_HUMAN_.pdf</v>
      </c>
      <c r="AA941" t="s">
        <v>15141</v>
      </c>
      <c r="AB941" t="s">
        <v>19776</v>
      </c>
    </row>
    <row r="942" spans="1:28" x14ac:dyDescent="0.25">
      <c r="A942" t="s">
        <v>946</v>
      </c>
      <c r="B942">
        <v>0.99904790336628502</v>
      </c>
      <c r="C942">
        <v>1.0142507157473999</v>
      </c>
      <c r="D942">
        <v>0.97331318197804195</v>
      </c>
      <c r="E942">
        <v>0.98935582152558099</v>
      </c>
      <c r="F942">
        <v>0.96109032745963996</v>
      </c>
      <c r="G942">
        <v>0.68704126520074005</v>
      </c>
      <c r="H942">
        <v>0.63548339805717702</v>
      </c>
      <c r="I942">
        <v>0.67244729635203604</v>
      </c>
      <c r="J942">
        <v>0.68143112895784097</v>
      </c>
      <c r="K942">
        <v>0.64537652498647902</v>
      </c>
      <c r="L942">
        <v>3378.70027130381</v>
      </c>
      <c r="M942">
        <v>61.703375875709298</v>
      </c>
      <c r="O942">
        <v>54.6997101245991</v>
      </c>
      <c r="P942">
        <v>-9.6254450563008506E-2</v>
      </c>
      <c r="Q942">
        <v>0.65868391896471601</v>
      </c>
      <c r="R942">
        <v>0.990707239994843</v>
      </c>
      <c r="S942" t="s">
        <v>5682</v>
      </c>
      <c r="T942" t="s">
        <v>9478</v>
      </c>
      <c r="U942" t="s">
        <v>9478</v>
      </c>
      <c r="V942" t="s">
        <v>9478</v>
      </c>
      <c r="W942">
        <v>11</v>
      </c>
      <c r="X942" t="s">
        <v>10420</v>
      </c>
      <c r="Y942">
        <v>0.8271191301365306</v>
      </c>
      <c r="Z942" t="str">
        <f>HYPERLINK("Melting_Curves/meltCurve_sp_P25440_BRD2_HUMAN_.pdf", "Melting_Curves/meltCurve_sp_P25440_BRD2_HUMAN_.pdf")</f>
        <v>Melting_Curves/meltCurve_sp_P25440_BRD2_HUMAN_.pdf</v>
      </c>
      <c r="AA942" t="s">
        <v>15142</v>
      </c>
      <c r="AB942" t="s">
        <v>19777</v>
      </c>
    </row>
    <row r="943" spans="1:28" x14ac:dyDescent="0.25">
      <c r="A943" t="s">
        <v>947</v>
      </c>
      <c r="B943">
        <v>0.99904790336628502</v>
      </c>
      <c r="C943">
        <v>0.89260916458803796</v>
      </c>
      <c r="D943">
        <v>0.72242337566632298</v>
      </c>
      <c r="E943">
        <v>0.44655206885653598</v>
      </c>
      <c r="F943">
        <v>0.24840577254684201</v>
      </c>
      <c r="G943">
        <v>0.15712910720898701</v>
      </c>
      <c r="H943">
        <v>0.107978061442739</v>
      </c>
      <c r="I943">
        <v>0.105922410325092</v>
      </c>
      <c r="J943">
        <v>8.0257730937869406E-2</v>
      </c>
      <c r="K943">
        <v>8.0358774018062601E-2</v>
      </c>
      <c r="L943">
        <v>785.70526243417601</v>
      </c>
      <c r="M943">
        <v>16.1916197052503</v>
      </c>
      <c r="N943">
        <v>49.028345316649997</v>
      </c>
      <c r="O943">
        <v>47.803371825606199</v>
      </c>
      <c r="P943">
        <v>-7.82050088153326E-2</v>
      </c>
      <c r="Q943">
        <v>7.6514488739810996E-2</v>
      </c>
      <c r="R943">
        <v>0.998607549373696</v>
      </c>
      <c r="S943" t="s">
        <v>5683</v>
      </c>
      <c r="T943" t="s">
        <v>9478</v>
      </c>
      <c r="U943" t="s">
        <v>9478</v>
      </c>
      <c r="V943" t="s">
        <v>9478</v>
      </c>
      <c r="W943">
        <v>11</v>
      </c>
      <c r="X943" t="s">
        <v>10421</v>
      </c>
      <c r="Y943">
        <v>0.35894505759785389</v>
      </c>
      <c r="Z943" t="str">
        <f>HYPERLINK("Melting_Curves/meltCurve_sp_P25685_DNJB1_HUMAN_.pdf", "Melting_Curves/meltCurve_sp_P25685_DNJB1_HUMAN_.pdf")</f>
        <v>Melting_Curves/meltCurve_sp_P25685_DNJB1_HUMAN_.pdf</v>
      </c>
      <c r="AA943" t="s">
        <v>15143</v>
      </c>
      <c r="AB943" t="s">
        <v>19778</v>
      </c>
    </row>
    <row r="944" spans="1:28" x14ac:dyDescent="0.25">
      <c r="A944" t="s">
        <v>948</v>
      </c>
      <c r="B944">
        <v>0.99904790336628502</v>
      </c>
      <c r="C944">
        <v>0.740712893878131</v>
      </c>
      <c r="D944">
        <v>0.69586555321020005</v>
      </c>
      <c r="E944">
        <v>0.67857885163201703</v>
      </c>
      <c r="F944">
        <v>0.63799368486700203</v>
      </c>
      <c r="G944">
        <v>0.48140627080426901</v>
      </c>
      <c r="H944">
        <v>0.45487868054502301</v>
      </c>
      <c r="I944">
        <v>0.35156293585972798</v>
      </c>
      <c r="J944">
        <v>0.397540480868876</v>
      </c>
      <c r="K944">
        <v>0.36326498104284499</v>
      </c>
      <c r="L944">
        <v>324.37992682834198</v>
      </c>
      <c r="M944">
        <v>6.3210018768003398</v>
      </c>
      <c r="N944">
        <v>57.092412281949002</v>
      </c>
      <c r="O944">
        <v>46.900628155622897</v>
      </c>
      <c r="P944">
        <v>-2.5805010504582299E-2</v>
      </c>
      <c r="Q944">
        <v>0.23617899348923899</v>
      </c>
      <c r="R944">
        <v>0.92011635123356805</v>
      </c>
      <c r="S944" t="s">
        <v>5684</v>
      </c>
      <c r="T944" t="s">
        <v>9478</v>
      </c>
      <c r="U944" t="s">
        <v>9478</v>
      </c>
      <c r="V944" t="s">
        <v>9478</v>
      </c>
      <c r="W944">
        <v>4</v>
      </c>
      <c r="X944" t="s">
        <v>10422</v>
      </c>
      <c r="Y944">
        <v>0.57231980648931347</v>
      </c>
      <c r="Z944" t="str">
        <f>HYPERLINK("Melting_Curves/meltCurve_sp_P25686_DNJB2_HUMAN_.pdf", "Melting_Curves/meltCurve_sp_P25686_DNJB2_HUMAN_.pdf")</f>
        <v>Melting_Curves/meltCurve_sp_P25686_DNJB2_HUMAN_.pdf</v>
      </c>
      <c r="AA944" t="s">
        <v>15144</v>
      </c>
      <c r="AB944" t="s">
        <v>19779</v>
      </c>
    </row>
    <row r="945" spans="1:28" x14ac:dyDescent="0.25">
      <c r="A945" t="s">
        <v>949</v>
      </c>
      <c r="B945">
        <v>0.99904790336628502</v>
      </c>
      <c r="C945">
        <v>0.72875211943419704</v>
      </c>
      <c r="D945">
        <v>0.50336497048953699</v>
      </c>
      <c r="E945">
        <v>0.33572701035625901</v>
      </c>
      <c r="F945">
        <v>0.233053821959294</v>
      </c>
      <c r="G945">
        <v>0.15441508625263201</v>
      </c>
      <c r="H945">
        <v>0.103818753200403</v>
      </c>
      <c r="I945">
        <v>7.6280274477308799E-2</v>
      </c>
      <c r="J945">
        <v>7.8294262827102695E-2</v>
      </c>
      <c r="K945">
        <v>7.4137335257002904E-2</v>
      </c>
      <c r="L945">
        <v>648.08057393271395</v>
      </c>
      <c r="M945">
        <v>14.0473159365529</v>
      </c>
      <c r="N945">
        <v>46.688817411309103</v>
      </c>
      <c r="O945">
        <v>45.230754452919598</v>
      </c>
      <c r="P945">
        <v>-7.1698768268551899E-2</v>
      </c>
      <c r="Q945">
        <v>7.6673255360300896E-2</v>
      </c>
      <c r="R945">
        <v>0.98432340406257401</v>
      </c>
      <c r="S945" t="s">
        <v>5685</v>
      </c>
      <c r="T945" t="s">
        <v>9478</v>
      </c>
      <c r="U945" t="s">
        <v>9478</v>
      </c>
      <c r="V945" t="s">
        <v>9478</v>
      </c>
      <c r="W945">
        <v>23</v>
      </c>
      <c r="X945" t="s">
        <v>10423</v>
      </c>
      <c r="Y945">
        <v>0.29605726443840019</v>
      </c>
      <c r="Z945" t="str">
        <f>HYPERLINK("Melting_Curves/meltCurve_sp_P25705_ATPA_HUMAN_.pdf", "Melting_Curves/meltCurve_sp_P25705_ATPA_HUMAN_.pdf")</f>
        <v>Melting_Curves/meltCurve_sp_P25705_ATPA_HUMAN_.pdf</v>
      </c>
      <c r="AA945" t="s">
        <v>15145</v>
      </c>
      <c r="AB945" t="s">
        <v>19780</v>
      </c>
    </row>
    <row r="946" spans="1:28" x14ac:dyDescent="0.25">
      <c r="A946" t="s">
        <v>950</v>
      </c>
      <c r="B946">
        <v>0.99904790336628502</v>
      </c>
      <c r="C946">
        <v>0.84754954929049997</v>
      </c>
      <c r="D946">
        <v>0.85468029163104697</v>
      </c>
      <c r="E946">
        <v>0.83130538174266599</v>
      </c>
      <c r="F946">
        <v>0.82608783888149895</v>
      </c>
      <c r="G946">
        <v>0.65274204381853795</v>
      </c>
      <c r="H946">
        <v>0.51125794063996699</v>
      </c>
      <c r="I946">
        <v>0.42572061856614302</v>
      </c>
      <c r="J946">
        <v>0.33308751939418002</v>
      </c>
      <c r="K946">
        <v>0.27845469807885598</v>
      </c>
      <c r="L946">
        <v>434.13909838469198</v>
      </c>
      <c r="M946">
        <v>7.07359545158634</v>
      </c>
      <c r="N946">
        <v>61.3746009661605</v>
      </c>
      <c r="O946">
        <v>57.035582417849199</v>
      </c>
      <c r="P946">
        <v>-3.10604947743763E-2</v>
      </c>
      <c r="Q946">
        <v>0</v>
      </c>
      <c r="R946">
        <v>0.96185118092612598</v>
      </c>
      <c r="S946" t="s">
        <v>5686</v>
      </c>
      <c r="T946" t="s">
        <v>9478</v>
      </c>
      <c r="U946" t="s">
        <v>9478</v>
      </c>
      <c r="V946" t="s">
        <v>9478</v>
      </c>
      <c r="W946">
        <v>9</v>
      </c>
      <c r="X946" t="s">
        <v>10424</v>
      </c>
      <c r="Y946">
        <v>0.67354219399031379</v>
      </c>
      <c r="Z946" t="str">
        <f>HYPERLINK("Melting_Curves/meltCurve_sp_P25774_CATS_HUMAN_.pdf", "Melting_Curves/meltCurve_sp_P25774_CATS_HUMAN_.pdf")</f>
        <v>Melting_Curves/meltCurve_sp_P25774_CATS_HUMAN_.pdf</v>
      </c>
      <c r="AA946" t="s">
        <v>15146</v>
      </c>
      <c r="AB946" t="s">
        <v>19781</v>
      </c>
    </row>
    <row r="947" spans="1:28" x14ac:dyDescent="0.25">
      <c r="A947" t="s">
        <v>951</v>
      </c>
      <c r="B947">
        <v>0.99904790336628502</v>
      </c>
      <c r="C947">
        <v>1.06909060629984</v>
      </c>
      <c r="D947">
        <v>1.0693405598278001</v>
      </c>
      <c r="E947">
        <v>1.02584239291718</v>
      </c>
      <c r="F947">
        <v>0.85240339003421695</v>
      </c>
      <c r="G947">
        <v>0.79581679353550905</v>
      </c>
      <c r="H947">
        <v>0.61251774356073896</v>
      </c>
      <c r="I947">
        <v>0.61348653529180797</v>
      </c>
      <c r="J947">
        <v>0.58414142508288502</v>
      </c>
      <c r="K947">
        <v>0.40448896507346699</v>
      </c>
      <c r="L947">
        <v>808.40084361869697</v>
      </c>
      <c r="M947">
        <v>13.536774898836301</v>
      </c>
      <c r="N947">
        <v>67.792026254680593</v>
      </c>
      <c r="O947">
        <v>58.460800503888002</v>
      </c>
      <c r="P947">
        <v>-3.4723041559465102E-2</v>
      </c>
      <c r="Q947">
        <v>0.40026173162865297</v>
      </c>
      <c r="R947">
        <v>0.93629459808936499</v>
      </c>
      <c r="S947" t="s">
        <v>5687</v>
      </c>
      <c r="T947" t="s">
        <v>9478</v>
      </c>
      <c r="U947" t="s">
        <v>9478</v>
      </c>
      <c r="V947" t="s">
        <v>9478</v>
      </c>
      <c r="W947">
        <v>22</v>
      </c>
      <c r="X947" t="s">
        <v>10425</v>
      </c>
      <c r="Y947">
        <v>0.79839948950582829</v>
      </c>
      <c r="Z947" t="str">
        <f>HYPERLINK("Melting_Curves/meltCurve_sp_P25786_PSA1_HUMAN_.pdf", "Melting_Curves/meltCurve_sp_P25786_PSA1_HUMAN_.pdf")</f>
        <v>Melting_Curves/meltCurve_sp_P25786_PSA1_HUMAN_.pdf</v>
      </c>
      <c r="AA947" t="s">
        <v>15147</v>
      </c>
      <c r="AB947" t="s">
        <v>19782</v>
      </c>
    </row>
    <row r="948" spans="1:28" x14ac:dyDescent="0.25">
      <c r="A948" t="s">
        <v>952</v>
      </c>
      <c r="B948">
        <v>0.99904790336628502</v>
      </c>
      <c r="C948">
        <v>0.85552675677355405</v>
      </c>
      <c r="D948">
        <v>0.89033611625336095</v>
      </c>
      <c r="E948">
        <v>0.92123002037926405</v>
      </c>
      <c r="F948">
        <v>0.670506749752244</v>
      </c>
      <c r="G948">
        <v>0.72640615505042405</v>
      </c>
      <c r="H948">
        <v>0.53540347949633704</v>
      </c>
      <c r="I948">
        <v>0.51192847265288799</v>
      </c>
      <c r="J948">
        <v>0.394842961020616</v>
      </c>
      <c r="K948">
        <v>0.28580345071827501</v>
      </c>
      <c r="L948">
        <v>404.15192126836098</v>
      </c>
      <c r="M948">
        <v>6.44238233221252</v>
      </c>
      <c r="N948">
        <v>62.733302743071299</v>
      </c>
      <c r="O948">
        <v>57.508285834360798</v>
      </c>
      <c r="P948">
        <v>-2.8076565303892399E-2</v>
      </c>
      <c r="Q948">
        <v>0</v>
      </c>
      <c r="R948">
        <v>0.93112319729287296</v>
      </c>
      <c r="S948" t="s">
        <v>5688</v>
      </c>
      <c r="T948" t="s">
        <v>9478</v>
      </c>
      <c r="U948" t="s">
        <v>9478</v>
      </c>
      <c r="V948" t="s">
        <v>9478</v>
      </c>
      <c r="W948">
        <v>14</v>
      </c>
      <c r="X948" t="s">
        <v>10426</v>
      </c>
      <c r="Y948">
        <v>0.6925852941209214</v>
      </c>
      <c r="Z948" t="str">
        <f>HYPERLINK("Melting_Curves/meltCurve_sp_P25787_PSA2_HUMAN_.pdf", "Melting_Curves/meltCurve_sp_P25787_PSA2_HUMAN_.pdf")</f>
        <v>Melting_Curves/meltCurve_sp_P25787_PSA2_HUMAN_.pdf</v>
      </c>
      <c r="AA948" t="s">
        <v>15148</v>
      </c>
      <c r="AB948" t="s">
        <v>19783</v>
      </c>
    </row>
    <row r="949" spans="1:28" x14ac:dyDescent="0.25">
      <c r="A949" t="s">
        <v>953</v>
      </c>
      <c r="B949">
        <v>0.99904790336628502</v>
      </c>
      <c r="C949">
        <v>1.02737538935882</v>
      </c>
      <c r="D949">
        <v>1.06251075400872</v>
      </c>
      <c r="E949">
        <v>1.0278051617280799</v>
      </c>
      <c r="F949">
        <v>0.78233830758163303</v>
      </c>
      <c r="G949">
        <v>0.78983967151312495</v>
      </c>
      <c r="H949">
        <v>0.62205047654393297</v>
      </c>
      <c r="I949">
        <v>0.64617875072007902</v>
      </c>
      <c r="J949">
        <v>0.53724894353146802</v>
      </c>
      <c r="K949">
        <v>0.42331733215450601</v>
      </c>
      <c r="L949">
        <v>667.46662471771594</v>
      </c>
      <c r="M949">
        <v>11.0118122237448</v>
      </c>
      <c r="N949">
        <v>67.792001888690393</v>
      </c>
      <c r="O949">
        <v>58.717637988716803</v>
      </c>
      <c r="P949">
        <v>-3.0757433866152199E-2</v>
      </c>
      <c r="Q949">
        <v>0.34419613019808798</v>
      </c>
      <c r="R949">
        <v>0.92725180697611398</v>
      </c>
      <c r="S949" t="s">
        <v>5689</v>
      </c>
      <c r="T949" t="s">
        <v>9478</v>
      </c>
      <c r="U949" t="s">
        <v>9478</v>
      </c>
      <c r="V949" t="s">
        <v>9478</v>
      </c>
      <c r="W949">
        <v>20</v>
      </c>
      <c r="X949" t="s">
        <v>10427</v>
      </c>
      <c r="Y949">
        <v>0.79177384693093977</v>
      </c>
      <c r="Z949" t="str">
        <f>HYPERLINK("Melting_Curves/meltCurve_sp_P25788_2_PSA3_HUMAN_.pdf", "Melting_Curves/meltCurve_sp_P25788_2_PSA3_HUMAN_.pdf")</f>
        <v>Melting_Curves/meltCurve_sp_P25788_2_PSA3_HUMAN_.pdf</v>
      </c>
      <c r="AA949" t="s">
        <v>15149</v>
      </c>
      <c r="AB949" t="s">
        <v>19784</v>
      </c>
    </row>
    <row r="950" spans="1:28" x14ac:dyDescent="0.25">
      <c r="A950" t="s">
        <v>954</v>
      </c>
      <c r="B950">
        <v>0.99904790336628502</v>
      </c>
      <c r="C950">
        <v>1.05362448805456</v>
      </c>
      <c r="D950">
        <v>1.0229298422042401</v>
      </c>
      <c r="E950">
        <v>1.0306620472766601</v>
      </c>
      <c r="F950">
        <v>0.76105161155366696</v>
      </c>
      <c r="G950">
        <v>0.76867294521581397</v>
      </c>
      <c r="H950">
        <v>0.56897675121605396</v>
      </c>
      <c r="I950">
        <v>0.58059714999069501</v>
      </c>
      <c r="J950">
        <v>0.45066068636844198</v>
      </c>
      <c r="K950">
        <v>0.31891556035843599</v>
      </c>
      <c r="L950">
        <v>623.61867992242196</v>
      </c>
      <c r="M950">
        <v>10.0179869048826</v>
      </c>
      <c r="N950">
        <v>64.456973225496895</v>
      </c>
      <c r="O950">
        <v>59.921986878807303</v>
      </c>
      <c r="P950">
        <v>-3.5744840267412897E-2</v>
      </c>
      <c r="Q950">
        <v>0.14519045878554801</v>
      </c>
      <c r="R950">
        <v>0.94226086892969996</v>
      </c>
      <c r="S950" t="s">
        <v>5690</v>
      </c>
      <c r="T950" t="s">
        <v>9478</v>
      </c>
      <c r="U950" t="s">
        <v>9478</v>
      </c>
      <c r="V950" t="s">
        <v>9478</v>
      </c>
      <c r="W950">
        <v>16</v>
      </c>
      <c r="X950" t="s">
        <v>10428</v>
      </c>
      <c r="Y950">
        <v>0.75907729924207501</v>
      </c>
      <c r="Z950" t="str">
        <f>HYPERLINK("Melting_Curves/meltCurve_sp_P25789_PSA4_HUMAN_.pdf", "Melting_Curves/meltCurve_sp_P25789_PSA4_HUMAN_.pdf")</f>
        <v>Melting_Curves/meltCurve_sp_P25789_PSA4_HUMAN_.pdf</v>
      </c>
      <c r="AA950" t="s">
        <v>15150</v>
      </c>
      <c r="AB950" t="s">
        <v>19785</v>
      </c>
    </row>
    <row r="951" spans="1:28" x14ac:dyDescent="0.25">
      <c r="A951" t="s">
        <v>955</v>
      </c>
      <c r="B951">
        <v>0.99904790336628502</v>
      </c>
      <c r="C951">
        <v>0.76007608646512803</v>
      </c>
      <c r="D951">
        <v>0.80320834864320501</v>
      </c>
      <c r="E951">
        <v>0.77590780466729004</v>
      </c>
      <c r="F951">
        <v>0.68482602046049201</v>
      </c>
      <c r="G951">
        <v>0.61572996053029505</v>
      </c>
      <c r="H951">
        <v>0.399932998841936</v>
      </c>
      <c r="I951">
        <v>0.33220834222867601</v>
      </c>
      <c r="J951">
        <v>0.26150109542157302</v>
      </c>
      <c r="K951">
        <v>0.22854100608803099</v>
      </c>
      <c r="L951">
        <v>375.09633796883497</v>
      </c>
      <c r="M951">
        <v>6.4627285615181096</v>
      </c>
      <c r="N951">
        <v>58.039916832174498</v>
      </c>
      <c r="O951">
        <v>53.232204191328101</v>
      </c>
      <c r="P951">
        <v>-3.0426860911302901E-2</v>
      </c>
      <c r="Q951">
        <v>0</v>
      </c>
      <c r="R951">
        <v>0.938371645523426</v>
      </c>
      <c r="S951" t="s">
        <v>5691</v>
      </c>
      <c r="T951" t="s">
        <v>9478</v>
      </c>
      <c r="U951" t="s">
        <v>9478</v>
      </c>
      <c r="V951" t="s">
        <v>9478</v>
      </c>
      <c r="W951">
        <v>1</v>
      </c>
      <c r="X951" t="s">
        <v>10429</v>
      </c>
      <c r="Y951">
        <v>0.595800835110738</v>
      </c>
      <c r="Z951" t="str">
        <f>HYPERLINK("Melting_Curves/meltCurve_sp_P25815_S100P_HUMAN_.pdf", "Melting_Curves/meltCurve_sp_P25815_S100P_HUMAN_.pdf")</f>
        <v>Melting_Curves/meltCurve_sp_P25815_S100P_HUMAN_.pdf</v>
      </c>
      <c r="AA951" t="s">
        <v>15151</v>
      </c>
      <c r="AB951" t="s">
        <v>19786</v>
      </c>
    </row>
    <row r="952" spans="1:28" x14ac:dyDescent="0.25">
      <c r="A952" t="s">
        <v>956</v>
      </c>
      <c r="B952">
        <v>0.99904790336628502</v>
      </c>
      <c r="C952">
        <v>0.98997753227618701</v>
      </c>
      <c r="D952">
        <v>1.0287489414542199</v>
      </c>
      <c r="E952">
        <v>0.94805375165572903</v>
      </c>
      <c r="F952">
        <v>0.97241995394040504</v>
      </c>
      <c r="G952">
        <v>0.28845127869220399</v>
      </c>
      <c r="H952">
        <v>0.136435162047261</v>
      </c>
      <c r="I952">
        <v>6.3635896454100602E-2</v>
      </c>
      <c r="J952">
        <v>5.1739918283933602E-2</v>
      </c>
      <c r="K952">
        <v>4.6436974960763301E-2</v>
      </c>
      <c r="L952">
        <v>3235.2086769204702</v>
      </c>
      <c r="M952">
        <v>57.919636578689897</v>
      </c>
      <c r="N952">
        <v>56.006693857273198</v>
      </c>
      <c r="O952">
        <v>55.790384388099703</v>
      </c>
      <c r="P952">
        <v>-0.240911256794231</v>
      </c>
      <c r="Q952">
        <v>7.17811061677225E-2</v>
      </c>
      <c r="R952">
        <v>0.99581028863849896</v>
      </c>
      <c r="S952" t="s">
        <v>5692</v>
      </c>
      <c r="T952" t="s">
        <v>9478</v>
      </c>
      <c r="U952" t="s">
        <v>9478</v>
      </c>
      <c r="V952" t="s">
        <v>9478</v>
      </c>
      <c r="W952">
        <v>58</v>
      </c>
      <c r="X952" t="s">
        <v>10430</v>
      </c>
      <c r="Y952">
        <v>0.5641036475065806</v>
      </c>
      <c r="Z952" t="str">
        <f>HYPERLINK("Melting_Curves/meltCurve_sp_P26038_MOES_HUMAN_.pdf", "Melting_Curves/meltCurve_sp_P26038_MOES_HUMAN_.pdf")</f>
        <v>Melting_Curves/meltCurve_sp_P26038_MOES_HUMAN_.pdf</v>
      </c>
      <c r="AA952" t="s">
        <v>15152</v>
      </c>
      <c r="AB952" t="s">
        <v>19787</v>
      </c>
    </row>
    <row r="953" spans="1:28" x14ac:dyDescent="0.25">
      <c r="A953" t="s">
        <v>957</v>
      </c>
      <c r="B953">
        <v>0.99904790336628502</v>
      </c>
      <c r="C953">
        <v>0.98772628809409002</v>
      </c>
      <c r="D953">
        <v>1.00823245993094</v>
      </c>
      <c r="E953">
        <v>0.82686022777869295</v>
      </c>
      <c r="F953">
        <v>0.35722550305400202</v>
      </c>
      <c r="G953">
        <v>0.13993152682520599</v>
      </c>
      <c r="H953">
        <v>8.0326473913850005E-2</v>
      </c>
      <c r="I953">
        <v>6.31922064097592E-2</v>
      </c>
      <c r="J953">
        <v>4.90801054425773E-2</v>
      </c>
      <c r="K953">
        <v>4.6937272634555799E-2</v>
      </c>
      <c r="L953">
        <v>1895.38476300205</v>
      </c>
      <c r="M953">
        <v>36.487724639357097</v>
      </c>
      <c r="N953">
        <v>52.148154571048899</v>
      </c>
      <c r="O953">
        <v>51.790527549244203</v>
      </c>
      <c r="P953">
        <v>-0.16450723303561501</v>
      </c>
      <c r="Q953">
        <v>6.5999207980886307E-2</v>
      </c>
      <c r="R953">
        <v>0.99833019394856504</v>
      </c>
      <c r="S953" t="s">
        <v>5693</v>
      </c>
      <c r="T953" t="s">
        <v>9478</v>
      </c>
      <c r="U953" t="s">
        <v>9478</v>
      </c>
      <c r="V953" t="s">
        <v>9478</v>
      </c>
      <c r="W953">
        <v>16</v>
      </c>
      <c r="X953" t="s">
        <v>10431</v>
      </c>
      <c r="Y953">
        <v>0.44194486317487369</v>
      </c>
      <c r="Z953" t="str">
        <f>HYPERLINK("Melting_Curves/meltCurve_sp_P26196_DDX6_HUMAN_.pdf", "Melting_Curves/meltCurve_sp_P26196_DDX6_HUMAN_.pdf")</f>
        <v>Melting_Curves/meltCurve_sp_P26196_DDX6_HUMAN_.pdf</v>
      </c>
      <c r="AA953" t="s">
        <v>15153</v>
      </c>
      <c r="AB953" t="s">
        <v>19788</v>
      </c>
    </row>
    <row r="954" spans="1:28" x14ac:dyDescent="0.25">
      <c r="A954" t="s">
        <v>958</v>
      </c>
      <c r="B954">
        <v>0.99904790336628502</v>
      </c>
      <c r="C954">
        <v>0.97605549742839603</v>
      </c>
      <c r="D954">
        <v>0.92979120487718703</v>
      </c>
      <c r="E954">
        <v>0.95173221104713501</v>
      </c>
      <c r="F954">
        <v>0.804287334829346</v>
      </c>
      <c r="G954">
        <v>0.51398219388841304</v>
      </c>
      <c r="H954">
        <v>0.186097065531416</v>
      </c>
      <c r="I954">
        <v>0.17205544410852799</v>
      </c>
      <c r="J954">
        <v>0.15486571263500401</v>
      </c>
      <c r="K954">
        <v>0.12500808830933699</v>
      </c>
      <c r="L954">
        <v>1291.2595196573</v>
      </c>
      <c r="M954">
        <v>23.000759885238001</v>
      </c>
      <c r="N954">
        <v>56.782101695138898</v>
      </c>
      <c r="O954">
        <v>55.720656008633703</v>
      </c>
      <c r="P954">
        <v>-9.1379354445679295E-2</v>
      </c>
      <c r="Q954">
        <v>0.11452956848249</v>
      </c>
      <c r="R954">
        <v>0.99334073648486299</v>
      </c>
      <c r="S954" t="s">
        <v>5694</v>
      </c>
      <c r="T954" t="s">
        <v>9478</v>
      </c>
      <c r="U954" t="s">
        <v>9478</v>
      </c>
      <c r="V954" t="s">
        <v>9478</v>
      </c>
      <c r="W954">
        <v>11</v>
      </c>
      <c r="X954" t="s">
        <v>10432</v>
      </c>
      <c r="Y954">
        <v>0.6001761749834652</v>
      </c>
      <c r="Z954" t="str">
        <f>HYPERLINK("Melting_Curves/meltCurve_sp_P26358_DNMT1_HUMAN_.pdf", "Melting_Curves/meltCurve_sp_P26358_DNMT1_HUMAN_.pdf")</f>
        <v>Melting_Curves/meltCurve_sp_P26358_DNMT1_HUMAN_.pdf</v>
      </c>
      <c r="AA954" t="s">
        <v>15154</v>
      </c>
      <c r="AB954" t="s">
        <v>19789</v>
      </c>
    </row>
    <row r="955" spans="1:28" x14ac:dyDescent="0.25">
      <c r="A955" t="s">
        <v>959</v>
      </c>
      <c r="B955">
        <v>0.99904790336628502</v>
      </c>
      <c r="C955">
        <v>1.0202639983172701</v>
      </c>
      <c r="D955">
        <v>0.95555110271621702</v>
      </c>
      <c r="E955">
        <v>0.97044019210948096</v>
      </c>
      <c r="F955">
        <v>1.1152071529082499</v>
      </c>
      <c r="G955">
        <v>0.63258967267861299</v>
      </c>
      <c r="H955">
        <v>0.390410152268656</v>
      </c>
      <c r="I955">
        <v>0.31640574954905298</v>
      </c>
      <c r="J955">
        <v>0.32779439799436699</v>
      </c>
      <c r="K955">
        <v>0.26634370650671502</v>
      </c>
      <c r="L955">
        <v>6167.43990133634</v>
      </c>
      <c r="M955">
        <v>108.376625415389</v>
      </c>
      <c r="N955">
        <v>57.464348345735203</v>
      </c>
      <c r="O955">
        <v>56.888100036186302</v>
      </c>
      <c r="P955">
        <v>-0.32144835548900103</v>
      </c>
      <c r="Q955">
        <v>0.32507266442840899</v>
      </c>
      <c r="R955">
        <v>0.97741233947460704</v>
      </c>
      <c r="S955" t="s">
        <v>5695</v>
      </c>
      <c r="T955" t="s">
        <v>9478</v>
      </c>
      <c r="U955" t="s">
        <v>9478</v>
      </c>
      <c r="V955" t="s">
        <v>9478</v>
      </c>
      <c r="W955">
        <v>4</v>
      </c>
      <c r="X955" t="s">
        <v>10433</v>
      </c>
      <c r="Y955">
        <v>0.7058088826242207</v>
      </c>
      <c r="Z955" t="str">
        <f>HYPERLINK("Melting_Curves/meltCurve_sp_P26368_2_U2AF2_HUMAN_.pdf", "Melting_Curves/meltCurve_sp_P26368_2_U2AF2_HUMAN_.pdf")</f>
        <v>Melting_Curves/meltCurve_sp_P26368_2_U2AF2_HUMAN_.pdf</v>
      </c>
      <c r="AA955" t="s">
        <v>15155</v>
      </c>
      <c r="AB955" t="s">
        <v>19790</v>
      </c>
    </row>
    <row r="956" spans="1:28" x14ac:dyDescent="0.25">
      <c r="A956" t="s">
        <v>960</v>
      </c>
      <c r="B956">
        <v>0.99904790336628502</v>
      </c>
      <c r="C956">
        <v>1.2781082796853001</v>
      </c>
      <c r="D956">
        <v>1.2920470403893101</v>
      </c>
      <c r="E956">
        <v>0.98757417532017999</v>
      </c>
      <c r="F956">
        <v>0.85409978672772502</v>
      </c>
      <c r="G956">
        <v>0.51022900187826403</v>
      </c>
      <c r="H956">
        <v>0.399859746060029</v>
      </c>
      <c r="I956">
        <v>0.33978995333249501</v>
      </c>
      <c r="J956">
        <v>0.40737496525373601</v>
      </c>
      <c r="K956">
        <v>0.36339585373219502</v>
      </c>
      <c r="L956">
        <v>1948.96627048661</v>
      </c>
      <c r="M956">
        <v>35.505457157737197</v>
      </c>
      <c r="N956">
        <v>57.0893578769155</v>
      </c>
      <c r="O956">
        <v>54.718764203367598</v>
      </c>
      <c r="P956">
        <v>-0.101790288620264</v>
      </c>
      <c r="Q956">
        <v>0.37251108802863497</v>
      </c>
      <c r="R956">
        <v>0.874051287945385</v>
      </c>
      <c r="S956" t="s">
        <v>5696</v>
      </c>
      <c r="T956" t="s">
        <v>9478</v>
      </c>
      <c r="U956" t="s">
        <v>9478</v>
      </c>
      <c r="V956" t="s">
        <v>9478</v>
      </c>
      <c r="W956">
        <v>4</v>
      </c>
      <c r="X956" t="s">
        <v>10434</v>
      </c>
      <c r="Y956">
        <v>0.68700030691357772</v>
      </c>
      <c r="Z956" t="str">
        <f>HYPERLINK("Melting_Curves/meltCurve_sp_P26373_RL13_HUMAN_.pdf", "Melting_Curves/meltCurve_sp_P26373_RL13_HUMAN_.pdf")</f>
        <v>Melting_Curves/meltCurve_sp_P26373_RL13_HUMAN_.pdf</v>
      </c>
      <c r="AA956" t="s">
        <v>15156</v>
      </c>
      <c r="AB956" t="s">
        <v>19791</v>
      </c>
    </row>
    <row r="957" spans="1:28" x14ac:dyDescent="0.25">
      <c r="A957" t="s">
        <v>961</v>
      </c>
      <c r="B957">
        <v>0.99904790336628502</v>
      </c>
      <c r="C957">
        <v>1.39336164485766</v>
      </c>
      <c r="D957">
        <v>0.61217024364640904</v>
      </c>
      <c r="E957">
        <v>1.12767144425994</v>
      </c>
      <c r="F957">
        <v>0.44321623302438801</v>
      </c>
      <c r="G957">
        <v>0.71771567732901798</v>
      </c>
      <c r="H957">
        <v>0.23439533031509099</v>
      </c>
      <c r="I957">
        <v>0.24776859114324501</v>
      </c>
      <c r="J957">
        <v>0.13946478815515601</v>
      </c>
      <c r="K957">
        <v>7.8126538677988994E-2</v>
      </c>
      <c r="L957">
        <v>703.06864503404802</v>
      </c>
      <c r="M957">
        <v>12.260843693005</v>
      </c>
      <c r="N957">
        <v>57.342589064861102</v>
      </c>
      <c r="O957">
        <v>55.881189417628804</v>
      </c>
      <c r="P957">
        <v>-5.4864450491869401E-2</v>
      </c>
      <c r="Q957">
        <v>0</v>
      </c>
      <c r="R957">
        <v>0.73530380526150496</v>
      </c>
      <c r="S957" t="s">
        <v>5697</v>
      </c>
      <c r="T957" t="s">
        <v>9478</v>
      </c>
      <c r="U957" t="s">
        <v>9478</v>
      </c>
      <c r="V957" t="s">
        <v>9478</v>
      </c>
      <c r="W957">
        <v>28</v>
      </c>
      <c r="X957" t="s">
        <v>10435</v>
      </c>
      <c r="Y957">
        <v>0.5936383266763926</v>
      </c>
      <c r="Z957" t="str">
        <f>HYPERLINK("Melting_Curves/meltCurve_sp_P26440_IVD_HUMAN_.pdf", "Melting_Curves/meltCurve_sp_P26440_IVD_HUMAN_.pdf")</f>
        <v>Melting_Curves/meltCurve_sp_P26440_IVD_HUMAN_.pdf</v>
      </c>
      <c r="AA957" t="s">
        <v>15157</v>
      </c>
      <c r="AB957" t="s">
        <v>19792</v>
      </c>
    </row>
    <row r="958" spans="1:28" x14ac:dyDescent="0.25">
      <c r="A958" t="s">
        <v>962</v>
      </c>
      <c r="B958">
        <v>0.99904790336628502</v>
      </c>
      <c r="C958">
        <v>0.933258604584702</v>
      </c>
      <c r="D958">
        <v>0.87479463059513296</v>
      </c>
      <c r="E958">
        <v>0.86420427345434203</v>
      </c>
      <c r="F958">
        <v>0.75197724961004797</v>
      </c>
      <c r="G958">
        <v>0.59844723551942902</v>
      </c>
      <c r="H958">
        <v>0.46698731534518001</v>
      </c>
      <c r="I958">
        <v>0.38924176241869102</v>
      </c>
      <c r="J958">
        <v>0.36843277868409702</v>
      </c>
      <c r="K958">
        <v>0.28893189002224501</v>
      </c>
      <c r="L958">
        <v>486.98670190945103</v>
      </c>
      <c r="M958">
        <v>8.3241625358566704</v>
      </c>
      <c r="N958">
        <v>60.374324323982599</v>
      </c>
      <c r="O958">
        <v>55.418308731857998</v>
      </c>
      <c r="P958">
        <v>-3.3313695830450497E-2</v>
      </c>
      <c r="Q958">
        <v>0.11371697677537899</v>
      </c>
      <c r="R958">
        <v>0.99111459021077297</v>
      </c>
      <c r="S958" t="s">
        <v>5698</v>
      </c>
      <c r="T958" t="s">
        <v>9478</v>
      </c>
      <c r="U958" t="s">
        <v>9478</v>
      </c>
      <c r="V958" t="s">
        <v>9478</v>
      </c>
      <c r="W958">
        <v>2</v>
      </c>
      <c r="X958" t="s">
        <v>10436</v>
      </c>
      <c r="Y958">
        <v>0.66097831075440372</v>
      </c>
      <c r="Z958" t="str">
        <f>HYPERLINK("Melting_Curves/meltCurve_sp_P26447_S10A4_HUMAN_.pdf", "Melting_Curves/meltCurve_sp_P26447_S10A4_HUMAN_.pdf")</f>
        <v>Melting_Curves/meltCurve_sp_P26447_S10A4_HUMAN_.pdf</v>
      </c>
      <c r="AA958" t="s">
        <v>15158</v>
      </c>
      <c r="AB958" t="s">
        <v>19793</v>
      </c>
    </row>
    <row r="959" spans="1:28" x14ac:dyDescent="0.25">
      <c r="A959" t="s">
        <v>963</v>
      </c>
      <c r="B959">
        <v>0.99904790336628502</v>
      </c>
      <c r="C959">
        <v>1.0089862807621</v>
      </c>
      <c r="D959">
        <v>0.95832561942991801</v>
      </c>
      <c r="E959">
        <v>0.97480556685686703</v>
      </c>
      <c r="F959">
        <v>0.97209621005515501</v>
      </c>
      <c r="G959">
        <v>0.80191942253172299</v>
      </c>
      <c r="H959">
        <v>0.68974858940448003</v>
      </c>
      <c r="I959">
        <v>0.68421479050888601</v>
      </c>
      <c r="J959">
        <v>0.69389146282719005</v>
      </c>
      <c r="K959">
        <v>0.71133077922722099</v>
      </c>
      <c r="L959">
        <v>2299.06106056105</v>
      </c>
      <c r="M959">
        <v>40.978036905448597</v>
      </c>
      <c r="O959">
        <v>55.971596731874598</v>
      </c>
      <c r="P959">
        <v>-5.6357877213294202E-2</v>
      </c>
      <c r="Q959">
        <v>0.692085355087391</v>
      </c>
      <c r="R959">
        <v>0.98402616958595701</v>
      </c>
      <c r="S959" t="s">
        <v>5699</v>
      </c>
      <c r="T959" t="s">
        <v>9478</v>
      </c>
      <c r="U959" t="s">
        <v>9478</v>
      </c>
      <c r="V959" t="s">
        <v>9478</v>
      </c>
      <c r="W959">
        <v>7</v>
      </c>
      <c r="X959" t="s">
        <v>10437</v>
      </c>
      <c r="Y959">
        <v>0.85851208202923501</v>
      </c>
      <c r="Z959" t="str">
        <f>HYPERLINK("Melting_Curves/meltCurve_sp_P26583_HMGB2_HUMAN_.pdf", "Melting_Curves/meltCurve_sp_P26583_HMGB2_HUMAN_.pdf")</f>
        <v>Melting_Curves/meltCurve_sp_P26583_HMGB2_HUMAN_.pdf</v>
      </c>
      <c r="AA959" t="s">
        <v>15159</v>
      </c>
      <c r="AB959" t="s">
        <v>19794</v>
      </c>
    </row>
    <row r="960" spans="1:28" x14ac:dyDescent="0.25">
      <c r="A960" t="s">
        <v>964</v>
      </c>
      <c r="B960">
        <v>0.99904790336628502</v>
      </c>
      <c r="C960">
        <v>0.87799586365871096</v>
      </c>
      <c r="D960">
        <v>0.89765404184472397</v>
      </c>
      <c r="E960">
        <v>0.76890035728552097</v>
      </c>
      <c r="F960">
        <v>0.45820374382574902</v>
      </c>
      <c r="G960">
        <v>0.37539741354690598</v>
      </c>
      <c r="H960">
        <v>0.19634386091765901</v>
      </c>
      <c r="I960">
        <v>0.134769109021497</v>
      </c>
      <c r="J960">
        <v>7.7834712818435806E-2</v>
      </c>
      <c r="K960">
        <v>4.9254223154676202E-2</v>
      </c>
      <c r="L960">
        <v>633.594168650283</v>
      </c>
      <c r="M960">
        <v>11.798002863542299</v>
      </c>
      <c r="N960">
        <v>53.703509746128603</v>
      </c>
      <c r="O960">
        <v>52.230291174149897</v>
      </c>
      <c r="P960">
        <v>-5.64856138280573E-2</v>
      </c>
      <c r="Q960">
        <v>0</v>
      </c>
      <c r="R960">
        <v>0.98522892473402102</v>
      </c>
      <c r="S960" t="s">
        <v>5700</v>
      </c>
      <c r="T960" t="s">
        <v>9478</v>
      </c>
      <c r="U960" t="s">
        <v>9478</v>
      </c>
      <c r="V960" t="s">
        <v>9478</v>
      </c>
      <c r="W960">
        <v>10</v>
      </c>
      <c r="X960" t="s">
        <v>10438</v>
      </c>
      <c r="Y960">
        <v>0.48407453890830698</v>
      </c>
      <c r="Z960" t="str">
        <f>HYPERLINK("Melting_Curves/meltCurve_sp_P26599_PTBP1_HUMAN_.pdf", "Melting_Curves/meltCurve_sp_P26599_PTBP1_HUMAN_.pdf")</f>
        <v>Melting_Curves/meltCurve_sp_P26599_PTBP1_HUMAN_.pdf</v>
      </c>
      <c r="AA960" t="s">
        <v>15160</v>
      </c>
      <c r="AB960" t="s">
        <v>19795</v>
      </c>
    </row>
    <row r="961" spans="1:28" x14ac:dyDescent="0.25">
      <c r="A961" t="s">
        <v>965</v>
      </c>
      <c r="B961">
        <v>0.99904790336628502</v>
      </c>
      <c r="C961">
        <v>0.99868410254850004</v>
      </c>
      <c r="D961">
        <v>1.11549404817253</v>
      </c>
      <c r="E961">
        <v>0.91824519627886503</v>
      </c>
      <c r="F961">
        <v>0.47265174792986098</v>
      </c>
      <c r="G961">
        <v>0.16134003475008199</v>
      </c>
      <c r="H961">
        <v>7.3304741977788399E-2</v>
      </c>
      <c r="I961">
        <v>4.67529433088072E-2</v>
      </c>
      <c r="J961">
        <v>4.0895012653537101E-2</v>
      </c>
      <c r="K961">
        <v>3.4112594259592698E-2</v>
      </c>
      <c r="L961">
        <v>1977.9041099056201</v>
      </c>
      <c r="M961">
        <v>37.462626586075103</v>
      </c>
      <c r="N961">
        <v>52.965181079851398</v>
      </c>
      <c r="O961">
        <v>52.646960077743401</v>
      </c>
      <c r="P961">
        <v>-0.16790483334474199</v>
      </c>
      <c r="Q961">
        <v>5.6162753067495498E-2</v>
      </c>
      <c r="R961">
        <v>0.99064246449976101</v>
      </c>
      <c r="S961" t="s">
        <v>5701</v>
      </c>
      <c r="T961" t="s">
        <v>9478</v>
      </c>
      <c r="U961" t="s">
        <v>9478</v>
      </c>
      <c r="V961" t="s">
        <v>9478</v>
      </c>
      <c r="W961">
        <v>45</v>
      </c>
      <c r="X961" t="s">
        <v>10439</v>
      </c>
      <c r="Y961">
        <v>0.46268836272897412</v>
      </c>
      <c r="Z961" t="str">
        <f>HYPERLINK("Melting_Curves/meltCurve_sp_P26639_SYTC_HUMAN_.pdf", "Melting_Curves/meltCurve_sp_P26639_SYTC_HUMAN_.pdf")</f>
        <v>Melting_Curves/meltCurve_sp_P26639_SYTC_HUMAN_.pdf</v>
      </c>
      <c r="AA961" t="s">
        <v>15161</v>
      </c>
      <c r="AB961" t="s">
        <v>19796</v>
      </c>
    </row>
    <row r="962" spans="1:28" x14ac:dyDescent="0.25">
      <c r="A962" t="s">
        <v>966</v>
      </c>
      <c r="B962">
        <v>0.99904790336628502</v>
      </c>
      <c r="C962">
        <v>0.89246627313939497</v>
      </c>
      <c r="D962">
        <v>0.55267904016427205</v>
      </c>
      <c r="E962">
        <v>0.228436909561856</v>
      </c>
      <c r="F962">
        <v>0.123723122049173</v>
      </c>
      <c r="G962">
        <v>7.7521064041737697E-2</v>
      </c>
      <c r="H962">
        <v>5.3283319168757497E-2</v>
      </c>
      <c r="I962">
        <v>4.2309070380600597E-2</v>
      </c>
      <c r="J962">
        <v>3.7765038816848999E-2</v>
      </c>
      <c r="K962">
        <v>3.3958073197068103E-2</v>
      </c>
      <c r="L962">
        <v>1018.8012978560801</v>
      </c>
      <c r="M962">
        <v>21.914316439800999</v>
      </c>
      <c r="N962">
        <v>46.702088889378302</v>
      </c>
      <c r="O962">
        <v>46.108289040666897</v>
      </c>
      <c r="P962">
        <v>-0.113200096280397</v>
      </c>
      <c r="Q962">
        <v>4.7318062774068699E-2</v>
      </c>
      <c r="R962">
        <v>0.997709928636488</v>
      </c>
      <c r="S962" t="s">
        <v>5702</v>
      </c>
      <c r="T962" t="s">
        <v>9478</v>
      </c>
      <c r="U962" t="s">
        <v>9478</v>
      </c>
      <c r="V962" t="s">
        <v>9478</v>
      </c>
      <c r="W962">
        <v>43</v>
      </c>
      <c r="X962" t="s">
        <v>10440</v>
      </c>
      <c r="Y962">
        <v>0.26503852156018393</v>
      </c>
      <c r="Z962" t="str">
        <f>HYPERLINK("Melting_Curves/meltCurve_sp_P26640_SYVC_HUMAN_.pdf", "Melting_Curves/meltCurve_sp_P26640_SYVC_HUMAN_.pdf")</f>
        <v>Melting_Curves/meltCurve_sp_P26640_SYVC_HUMAN_.pdf</v>
      </c>
      <c r="AA962" t="s">
        <v>15162</v>
      </c>
      <c r="AB962" t="s">
        <v>19797</v>
      </c>
    </row>
    <row r="963" spans="1:28" x14ac:dyDescent="0.25">
      <c r="A963" t="s">
        <v>967</v>
      </c>
      <c r="B963">
        <v>0.99904790336628502</v>
      </c>
      <c r="C963">
        <v>1.1292798875730701</v>
      </c>
      <c r="D963">
        <v>1.05750574244392</v>
      </c>
      <c r="E963">
        <v>0.70865079187417002</v>
      </c>
      <c r="F963">
        <v>0.30872289892879001</v>
      </c>
      <c r="G963">
        <v>0.133163421300802</v>
      </c>
      <c r="H963">
        <v>9.1297561165717106E-2</v>
      </c>
      <c r="I963">
        <v>7.1198647658952993E-2</v>
      </c>
      <c r="J963">
        <v>6.7867109215925397E-2</v>
      </c>
      <c r="K963">
        <v>6.2517675025156996E-2</v>
      </c>
      <c r="L963">
        <v>1753.46995139624</v>
      </c>
      <c r="M963">
        <v>34.214685467848902</v>
      </c>
      <c r="N963">
        <v>51.5061027608713</v>
      </c>
      <c r="O963">
        <v>51.074907859418502</v>
      </c>
      <c r="P963">
        <v>-0.15432900961673099</v>
      </c>
      <c r="Q963">
        <v>7.8487900518013895E-2</v>
      </c>
      <c r="R963">
        <v>0.98713048701964101</v>
      </c>
      <c r="S963" t="s">
        <v>5703</v>
      </c>
      <c r="T963" t="s">
        <v>9478</v>
      </c>
      <c r="U963" t="s">
        <v>9478</v>
      </c>
      <c r="V963" t="s">
        <v>9478</v>
      </c>
      <c r="W963">
        <v>20</v>
      </c>
      <c r="X963" t="s">
        <v>10441</v>
      </c>
      <c r="Y963">
        <v>0.42849529942014702</v>
      </c>
      <c r="Z963" t="str">
        <f>HYPERLINK("Melting_Curves/meltCurve_sp_P26641_EF1G_HUMAN_.pdf", "Melting_Curves/meltCurve_sp_P26641_EF1G_HUMAN_.pdf")</f>
        <v>Melting_Curves/meltCurve_sp_P26641_EF1G_HUMAN_.pdf</v>
      </c>
      <c r="AA963" t="s">
        <v>15163</v>
      </c>
      <c r="AB963" t="s">
        <v>19798</v>
      </c>
    </row>
    <row r="964" spans="1:28" x14ac:dyDescent="0.25">
      <c r="A964" t="s">
        <v>968</v>
      </c>
      <c r="B964">
        <v>0.99904790336628502</v>
      </c>
      <c r="C964">
        <v>0.62136526017956295</v>
      </c>
      <c r="D964">
        <v>0.67161273159027601</v>
      </c>
      <c r="E964">
        <v>0.79563645044193199</v>
      </c>
      <c r="F964">
        <v>0.58858339873236398</v>
      </c>
      <c r="G964">
        <v>0.41134036461944401</v>
      </c>
      <c r="H964">
        <v>0.51069190664212805</v>
      </c>
      <c r="I964">
        <v>0.44392344506453102</v>
      </c>
      <c r="J964">
        <v>0.378704147799101</v>
      </c>
      <c r="K964">
        <v>0.64272129021976898</v>
      </c>
      <c r="L964">
        <v>413.64916817593598</v>
      </c>
      <c r="M964">
        <v>9.1813849479090806</v>
      </c>
      <c r="N964">
        <v>62.266714017515604</v>
      </c>
      <c r="O964">
        <v>43.070261412686001</v>
      </c>
      <c r="P964">
        <v>-2.87711978705045E-2</v>
      </c>
      <c r="Q964">
        <v>0.46049583658047599</v>
      </c>
      <c r="R964">
        <v>0.58491883287694102</v>
      </c>
      <c r="S964" t="s">
        <v>5704</v>
      </c>
      <c r="T964" t="s">
        <v>9478</v>
      </c>
      <c r="U964" t="s">
        <v>9478</v>
      </c>
      <c r="V964" t="s">
        <v>9478</v>
      </c>
      <c r="W964">
        <v>1</v>
      </c>
      <c r="X964" t="s">
        <v>10442</v>
      </c>
      <c r="Y964">
        <v>0.59345471616272882</v>
      </c>
      <c r="Z964" t="str">
        <f>HYPERLINK("Melting_Curves/meltCurve_sp_P26651_TTP_HUMAN_.pdf", "Melting_Curves/meltCurve_sp_P26651_TTP_HUMAN_.pdf")</f>
        <v>Melting_Curves/meltCurve_sp_P26651_TTP_HUMAN_.pdf</v>
      </c>
      <c r="AA964" t="s">
        <v>15164</v>
      </c>
      <c r="AB964" t="s">
        <v>19799</v>
      </c>
    </row>
    <row r="965" spans="1:28" x14ac:dyDescent="0.25">
      <c r="A965" t="s">
        <v>969</v>
      </c>
      <c r="B965">
        <v>0.99904790336628502</v>
      </c>
      <c r="C965">
        <v>0.97207950187627601</v>
      </c>
      <c r="D965">
        <v>0.94886340816518</v>
      </c>
      <c r="E965">
        <v>0.93149624583267598</v>
      </c>
      <c r="F965">
        <v>0.92904167599283904</v>
      </c>
      <c r="G965">
        <v>0.75141248682838602</v>
      </c>
      <c r="H965">
        <v>0.56808985968700898</v>
      </c>
      <c r="I965">
        <v>0.45445951695067799</v>
      </c>
      <c r="J965">
        <v>0.35240347171013903</v>
      </c>
      <c r="K965">
        <v>0.25745408955110399</v>
      </c>
      <c r="L965">
        <v>732.05829590244105</v>
      </c>
      <c r="M965">
        <v>11.8026767191724</v>
      </c>
      <c r="N965">
        <v>62.8285712066657</v>
      </c>
      <c r="O965">
        <v>60.324563747666701</v>
      </c>
      <c r="P965">
        <v>-4.5497302283140098E-2</v>
      </c>
      <c r="Q965">
        <v>7.0075491686704697E-2</v>
      </c>
      <c r="R965">
        <v>0.99453578826926203</v>
      </c>
      <c r="S965" t="s">
        <v>5705</v>
      </c>
      <c r="T965" t="s">
        <v>9478</v>
      </c>
      <c r="U965" t="s">
        <v>9478</v>
      </c>
      <c r="V965" t="s">
        <v>9478</v>
      </c>
      <c r="W965">
        <v>12</v>
      </c>
      <c r="X965" t="s">
        <v>10443</v>
      </c>
      <c r="Y965">
        <v>0.74132008474858557</v>
      </c>
      <c r="Z965" t="str">
        <f>HYPERLINK("Melting_Curves/meltCurve_sp_P26885_FKBP2_HUMAN_.pdf", "Melting_Curves/meltCurve_sp_P26885_FKBP2_HUMAN_.pdf")</f>
        <v>Melting_Curves/meltCurve_sp_P26885_FKBP2_HUMAN_.pdf</v>
      </c>
      <c r="AA965" t="s">
        <v>15165</v>
      </c>
      <c r="AB965" t="s">
        <v>19800</v>
      </c>
    </row>
    <row r="966" spans="1:28" x14ac:dyDescent="0.25">
      <c r="A966" t="s">
        <v>970</v>
      </c>
      <c r="B966">
        <v>0.99904790336628502</v>
      </c>
      <c r="C966">
        <v>0.98375741595603095</v>
      </c>
      <c r="D966">
        <v>0.99039486010410305</v>
      </c>
      <c r="E966">
        <v>0.71963095268975796</v>
      </c>
      <c r="F966">
        <v>0.44257881117212899</v>
      </c>
      <c r="G966">
        <v>0.23020574137456201</v>
      </c>
      <c r="H966">
        <v>0.17942330819744501</v>
      </c>
      <c r="I966">
        <v>0.132162700110355</v>
      </c>
      <c r="J966">
        <v>0.171178060720305</v>
      </c>
      <c r="K966">
        <v>0.122860380067986</v>
      </c>
      <c r="L966">
        <v>1249.88938555348</v>
      </c>
      <c r="M966">
        <v>24.215417647273199</v>
      </c>
      <c r="N966">
        <v>52.352354715838402</v>
      </c>
      <c r="O966">
        <v>51.267298028718699</v>
      </c>
      <c r="P966">
        <v>-0.101031928846412</v>
      </c>
      <c r="Q966">
        <v>0.14442030476135501</v>
      </c>
      <c r="R966">
        <v>0.99770442298037598</v>
      </c>
      <c r="S966" t="s">
        <v>5706</v>
      </c>
      <c r="T966" t="s">
        <v>9478</v>
      </c>
      <c r="U966" t="s">
        <v>9478</v>
      </c>
      <c r="V966" t="s">
        <v>9478</v>
      </c>
      <c r="W966">
        <v>6</v>
      </c>
      <c r="X966" t="s">
        <v>10444</v>
      </c>
      <c r="Y966">
        <v>0.48396030196328188</v>
      </c>
      <c r="Z966" t="str">
        <f>HYPERLINK("Melting_Curves/meltCurve_sp_P26927_HGFL_HUMAN_.pdf", "Melting_Curves/meltCurve_sp_P26927_HGFL_HUMAN_.pdf")</f>
        <v>Melting_Curves/meltCurve_sp_P26927_HGFL_HUMAN_.pdf</v>
      </c>
      <c r="AA966" t="s">
        <v>15166</v>
      </c>
      <c r="AB966" t="s">
        <v>19801</v>
      </c>
    </row>
    <row r="967" spans="1:28" x14ac:dyDescent="0.25">
      <c r="A967" t="s">
        <v>971</v>
      </c>
      <c r="B967">
        <v>0.99904790336628502</v>
      </c>
      <c r="C967">
        <v>0.89640235230488696</v>
      </c>
      <c r="D967">
        <v>0.73332272490983297</v>
      </c>
      <c r="E967">
        <v>0.38708733151390001</v>
      </c>
      <c r="F967">
        <v>0.165641884996057</v>
      </c>
      <c r="G967">
        <v>9.9278243427650001E-2</v>
      </c>
      <c r="H967">
        <v>6.2379027714587497E-2</v>
      </c>
      <c r="I967">
        <v>4.74719252891833E-2</v>
      </c>
      <c r="J967">
        <v>4.21858830930881E-2</v>
      </c>
      <c r="K967">
        <v>3.5118659851447499E-2</v>
      </c>
      <c r="L967">
        <v>902.95060894291305</v>
      </c>
      <c r="M967">
        <v>18.686975621507901</v>
      </c>
      <c r="N967">
        <v>48.517223270074901</v>
      </c>
      <c r="O967">
        <v>47.776636591624801</v>
      </c>
      <c r="P967">
        <v>-9.4206875739486606E-2</v>
      </c>
      <c r="Q967">
        <v>3.6613272359301202E-2</v>
      </c>
      <c r="R967">
        <v>0.99861469534338798</v>
      </c>
      <c r="S967" t="s">
        <v>5707</v>
      </c>
      <c r="T967" t="s">
        <v>9478</v>
      </c>
      <c r="U967" t="s">
        <v>9478</v>
      </c>
      <c r="V967" t="s">
        <v>9478</v>
      </c>
      <c r="W967">
        <v>14</v>
      </c>
      <c r="X967" t="s">
        <v>10445</v>
      </c>
      <c r="Y967">
        <v>0.31946429293746831</v>
      </c>
      <c r="Z967" t="str">
        <f>HYPERLINK("Melting_Curves/meltCurve_sp_P27144_KAD4_HUMAN_.pdf", "Melting_Curves/meltCurve_sp_P27144_KAD4_HUMAN_.pdf")</f>
        <v>Melting_Curves/meltCurve_sp_P27144_KAD4_HUMAN_.pdf</v>
      </c>
      <c r="AA967" t="s">
        <v>15167</v>
      </c>
      <c r="AB967" t="s">
        <v>19802</v>
      </c>
    </row>
    <row r="968" spans="1:28" x14ac:dyDescent="0.25">
      <c r="A968" t="s">
        <v>972</v>
      </c>
      <c r="B968">
        <v>0.99904790336628502</v>
      </c>
      <c r="C968">
        <v>1.0752426024167401</v>
      </c>
      <c r="D968">
        <v>0.89666184237184199</v>
      </c>
      <c r="E968">
        <v>0.57983413241985804</v>
      </c>
      <c r="F968">
        <v>0.36869919129881801</v>
      </c>
      <c r="G968">
        <v>0.18110278379648201</v>
      </c>
      <c r="H968">
        <v>0.13774904172358499</v>
      </c>
      <c r="I968">
        <v>9.6623473724741199E-2</v>
      </c>
      <c r="J968">
        <v>0.14926489656383399</v>
      </c>
      <c r="K968">
        <v>9.0288451304370604E-2</v>
      </c>
      <c r="L968">
        <v>1096.26430655171</v>
      </c>
      <c r="M968">
        <v>21.7127938685841</v>
      </c>
      <c r="N968">
        <v>51.083948209883097</v>
      </c>
      <c r="O968">
        <v>50.066907931516297</v>
      </c>
      <c r="P968">
        <v>-9.6314686345467304E-2</v>
      </c>
      <c r="Q968">
        <v>0.111663833094149</v>
      </c>
      <c r="R968">
        <v>0.991446662646294</v>
      </c>
      <c r="S968" t="s">
        <v>5708</v>
      </c>
      <c r="T968" t="s">
        <v>9478</v>
      </c>
      <c r="U968" t="s">
        <v>9478</v>
      </c>
      <c r="V968" t="s">
        <v>9478</v>
      </c>
      <c r="W968">
        <v>1</v>
      </c>
      <c r="X968" t="s">
        <v>10446</v>
      </c>
      <c r="Y968">
        <v>0.43280150056308558</v>
      </c>
      <c r="Z968" t="str">
        <f>HYPERLINK("Melting_Curves/meltCurve_sp_P27169_PON1_HUMAN_.pdf", "Melting_Curves/meltCurve_sp_P27169_PON1_HUMAN_.pdf")</f>
        <v>Melting_Curves/meltCurve_sp_P27169_PON1_HUMAN_.pdf</v>
      </c>
      <c r="AA968" t="s">
        <v>15168</v>
      </c>
      <c r="AB968" t="s">
        <v>19803</v>
      </c>
    </row>
    <row r="969" spans="1:28" x14ac:dyDescent="0.25">
      <c r="A969" t="s">
        <v>973</v>
      </c>
      <c r="B969">
        <v>0.99904790336628502</v>
      </c>
      <c r="C969">
        <v>0.92177545000380401</v>
      </c>
      <c r="D969">
        <v>0.94027471850066802</v>
      </c>
      <c r="E969">
        <v>0.95305723835610801</v>
      </c>
      <c r="F969">
        <v>0.89033988185373403</v>
      </c>
      <c r="G969">
        <v>0.44489889720223302</v>
      </c>
      <c r="H969">
        <v>0.14058244565257499</v>
      </c>
      <c r="I969">
        <v>7.0844637583592995E-2</v>
      </c>
      <c r="J969">
        <v>4.4633913969380198E-2</v>
      </c>
      <c r="K969">
        <v>3.3889526671683601E-2</v>
      </c>
      <c r="L969">
        <v>1637.8541268858401</v>
      </c>
      <c r="M969">
        <v>29.008139412650401</v>
      </c>
      <c r="N969">
        <v>56.606259009533801</v>
      </c>
      <c r="O969">
        <v>56.195592878902097</v>
      </c>
      <c r="P969">
        <v>-0.124449095754182</v>
      </c>
      <c r="Q969">
        <v>3.5658435772908802E-2</v>
      </c>
      <c r="R969">
        <v>0.993808573999723</v>
      </c>
      <c r="S969" t="s">
        <v>5709</v>
      </c>
      <c r="T969" t="s">
        <v>9478</v>
      </c>
      <c r="U969" t="s">
        <v>9478</v>
      </c>
      <c r="V969" t="s">
        <v>9478</v>
      </c>
      <c r="W969">
        <v>21</v>
      </c>
      <c r="X969" t="s">
        <v>10447</v>
      </c>
      <c r="Y969">
        <v>0.57165206099914889</v>
      </c>
      <c r="Z969" t="str">
        <f>HYPERLINK("Melting_Curves/meltCurve_sp_P27348_1433T_HUMAN_.pdf", "Melting_Curves/meltCurve_sp_P27348_1433T_HUMAN_.pdf")</f>
        <v>Melting_Curves/meltCurve_sp_P27348_1433T_HUMAN_.pdf</v>
      </c>
      <c r="AA969" t="s">
        <v>15169</v>
      </c>
      <c r="AB969" t="s">
        <v>19804</v>
      </c>
    </row>
    <row r="970" spans="1:28" x14ac:dyDescent="0.25">
      <c r="A970" t="s">
        <v>974</v>
      </c>
      <c r="B970">
        <v>0.99904790336628502</v>
      </c>
      <c r="C970">
        <v>1.1208697787708699</v>
      </c>
      <c r="D970">
        <v>1.0951703056867901</v>
      </c>
      <c r="E970">
        <v>0.92503584723667098</v>
      </c>
      <c r="F970">
        <v>0.81364506264443504</v>
      </c>
      <c r="G970">
        <v>0.48185775224347699</v>
      </c>
      <c r="H970">
        <v>0.349746047163078</v>
      </c>
      <c r="I970">
        <v>0.27868797483947899</v>
      </c>
      <c r="J970">
        <v>0.27832523651009899</v>
      </c>
      <c r="K970">
        <v>0.24913623111179201</v>
      </c>
      <c r="L970">
        <v>1368.8750875242299</v>
      </c>
      <c r="M970">
        <v>24.796801891348402</v>
      </c>
      <c r="N970">
        <v>56.903631892471999</v>
      </c>
      <c r="O970">
        <v>54.848422934120002</v>
      </c>
      <c r="P970">
        <v>-8.3454997132767605E-2</v>
      </c>
      <c r="Q970">
        <v>0.26162875027861399</v>
      </c>
      <c r="R970">
        <v>0.97789342393075496</v>
      </c>
      <c r="S970" t="s">
        <v>5710</v>
      </c>
      <c r="T970" t="s">
        <v>9478</v>
      </c>
      <c r="U970" t="s">
        <v>9478</v>
      </c>
      <c r="V970" t="s">
        <v>9478</v>
      </c>
      <c r="W970">
        <v>3</v>
      </c>
      <c r="X970" t="s">
        <v>10448</v>
      </c>
      <c r="Y970">
        <v>0.64275005477633762</v>
      </c>
      <c r="Z970" t="str">
        <f>HYPERLINK("Melting_Curves/meltCurve_sp_P27540_2_ARNT_HUMAN_.pdf", "Melting_Curves/meltCurve_sp_P27540_2_ARNT_HUMAN_.pdf")</f>
        <v>Melting_Curves/meltCurve_sp_P27540_2_ARNT_HUMAN_.pdf</v>
      </c>
      <c r="AA970" t="s">
        <v>15170</v>
      </c>
      <c r="AB970" t="s">
        <v>19805</v>
      </c>
    </row>
    <row r="971" spans="1:28" x14ac:dyDescent="0.25">
      <c r="A971" t="s">
        <v>975</v>
      </c>
      <c r="B971">
        <v>0.99904790336628502</v>
      </c>
      <c r="C971">
        <v>0.98924178708971999</v>
      </c>
      <c r="D971">
        <v>1.0234148841187301</v>
      </c>
      <c r="E971">
        <v>0.97441458905943201</v>
      </c>
      <c r="F971">
        <v>0.72803662773790401</v>
      </c>
      <c r="G971">
        <v>0.24476406567756401</v>
      </c>
      <c r="H971">
        <v>8.9523053722712506E-2</v>
      </c>
      <c r="I971">
        <v>5.9845354872586499E-2</v>
      </c>
      <c r="J971">
        <v>4.7010476715025298E-2</v>
      </c>
      <c r="K971">
        <v>3.4667546662590899E-2</v>
      </c>
      <c r="L971">
        <v>1749.96466060022</v>
      </c>
      <c r="M971">
        <v>32.052952741075899</v>
      </c>
      <c r="N971">
        <v>54.763958679183901</v>
      </c>
      <c r="O971">
        <v>54.384859012143302</v>
      </c>
      <c r="P971">
        <v>-0.14044724461532099</v>
      </c>
      <c r="Q971">
        <v>4.6806651155266901E-2</v>
      </c>
      <c r="R971">
        <v>0.99911920589144598</v>
      </c>
      <c r="S971" t="s">
        <v>5711</v>
      </c>
      <c r="T971" t="s">
        <v>9478</v>
      </c>
      <c r="U971" t="s">
        <v>9478</v>
      </c>
      <c r="V971" t="s">
        <v>9478</v>
      </c>
      <c r="W971">
        <v>16</v>
      </c>
      <c r="X971" t="s">
        <v>10449</v>
      </c>
      <c r="Y971">
        <v>0.51611679780319486</v>
      </c>
      <c r="Z971" t="str">
        <f>HYPERLINK("Melting_Curves/meltCurve_sp_P27694_RFA1_HUMAN_.pdf", "Melting_Curves/meltCurve_sp_P27694_RFA1_HUMAN_.pdf")</f>
        <v>Melting_Curves/meltCurve_sp_P27694_RFA1_HUMAN_.pdf</v>
      </c>
      <c r="AA971" t="s">
        <v>15171</v>
      </c>
      <c r="AB971" t="s">
        <v>19806</v>
      </c>
    </row>
    <row r="972" spans="1:28" x14ac:dyDescent="0.25">
      <c r="A972" t="s">
        <v>976</v>
      </c>
      <c r="B972">
        <v>0.99904790336628502</v>
      </c>
      <c r="C972">
        <v>0.96382284656702999</v>
      </c>
      <c r="D972">
        <v>0.891286970937895</v>
      </c>
      <c r="E972">
        <v>0.33038586561423999</v>
      </c>
      <c r="F972">
        <v>0.108709152413725</v>
      </c>
      <c r="G972">
        <v>6.7286592542823903E-2</v>
      </c>
      <c r="H972">
        <v>4.7095264366698399E-2</v>
      </c>
      <c r="I972">
        <v>3.52685071697907E-2</v>
      </c>
      <c r="J972">
        <v>3.5376655689620597E-2</v>
      </c>
      <c r="K972">
        <v>2.79925639414106E-2</v>
      </c>
      <c r="L972">
        <v>1602.9262496634999</v>
      </c>
      <c r="M972">
        <v>32.8733580659528</v>
      </c>
      <c r="N972">
        <v>48.886928158741902</v>
      </c>
      <c r="O972">
        <v>48.581246813368701</v>
      </c>
      <c r="P972">
        <v>-0.162281782667861</v>
      </c>
      <c r="Q972">
        <v>4.0704123599322503E-2</v>
      </c>
      <c r="R972">
        <v>0.999170306729111</v>
      </c>
      <c r="S972" t="s">
        <v>5712</v>
      </c>
      <c r="T972" t="s">
        <v>9478</v>
      </c>
      <c r="U972" t="s">
        <v>9478</v>
      </c>
      <c r="V972" t="s">
        <v>9478</v>
      </c>
      <c r="W972">
        <v>17</v>
      </c>
      <c r="X972" t="s">
        <v>10450</v>
      </c>
      <c r="Y972">
        <v>0.32566619048352441</v>
      </c>
      <c r="Z972" t="str">
        <f>HYPERLINK("Melting_Curves/meltCurve_sp_P27695_APEX1_HUMAN_.pdf", "Melting_Curves/meltCurve_sp_P27695_APEX1_HUMAN_.pdf")</f>
        <v>Melting_Curves/meltCurve_sp_P27695_APEX1_HUMAN_.pdf</v>
      </c>
      <c r="AA972" t="s">
        <v>15172</v>
      </c>
      <c r="AB972" t="s">
        <v>19807</v>
      </c>
    </row>
    <row r="973" spans="1:28" x14ac:dyDescent="0.25">
      <c r="A973" t="s">
        <v>977</v>
      </c>
      <c r="B973">
        <v>0.99904790336628502</v>
      </c>
      <c r="C973">
        <v>1.07164529811804</v>
      </c>
      <c r="D973">
        <v>0.98509113198912002</v>
      </c>
      <c r="E973">
        <v>0.82018235239120996</v>
      </c>
      <c r="F973">
        <v>0.61672010200386096</v>
      </c>
      <c r="G973">
        <v>0.41385330287233602</v>
      </c>
      <c r="H973">
        <v>0.29529985351435201</v>
      </c>
      <c r="I973">
        <v>0.28164516162392</v>
      </c>
      <c r="J973">
        <v>0.30614654578101302</v>
      </c>
      <c r="K973">
        <v>0.257847527884699</v>
      </c>
      <c r="L973">
        <v>1132.9192055230301</v>
      </c>
      <c r="M973">
        <v>21.459447863746099</v>
      </c>
      <c r="N973">
        <v>54.795401278163901</v>
      </c>
      <c r="O973">
        <v>52.341458554356997</v>
      </c>
      <c r="P973">
        <v>-7.46493450148904E-2</v>
      </c>
      <c r="Q973">
        <v>0.27171302684957899</v>
      </c>
      <c r="R973">
        <v>0.99221925646470999</v>
      </c>
      <c r="S973" t="s">
        <v>5713</v>
      </c>
      <c r="T973" t="s">
        <v>9478</v>
      </c>
      <c r="U973" t="s">
        <v>9478</v>
      </c>
      <c r="V973" t="s">
        <v>9478</v>
      </c>
      <c r="W973">
        <v>29</v>
      </c>
      <c r="X973" t="s">
        <v>10451</v>
      </c>
      <c r="Y973">
        <v>0.59115724601208341</v>
      </c>
      <c r="Z973" t="str">
        <f>HYPERLINK("Melting_Curves/meltCurve_sp_P27797_CALR_HUMAN_.pdf", "Melting_Curves/meltCurve_sp_P27797_CALR_HUMAN_.pdf")</f>
        <v>Melting_Curves/meltCurve_sp_P27797_CALR_HUMAN_.pdf</v>
      </c>
      <c r="AA973" t="s">
        <v>15173</v>
      </c>
      <c r="AB973" t="s">
        <v>19808</v>
      </c>
    </row>
    <row r="974" spans="1:28" x14ac:dyDescent="0.25">
      <c r="A974" t="s">
        <v>978</v>
      </c>
      <c r="B974">
        <v>0.99904790336628502</v>
      </c>
      <c r="C974">
        <v>1.0409842647760901</v>
      </c>
      <c r="D974">
        <v>1.0036104107557999</v>
      </c>
      <c r="E974">
        <v>0.96396667423300497</v>
      </c>
      <c r="F974">
        <v>0.95546126061750203</v>
      </c>
      <c r="G974">
        <v>0.76404046739709797</v>
      </c>
      <c r="H974">
        <v>0.69405651296218196</v>
      </c>
      <c r="I974">
        <v>0.671545779099466</v>
      </c>
      <c r="J974">
        <v>0.708101546349443</v>
      </c>
      <c r="K974">
        <v>0.68436330766009701</v>
      </c>
      <c r="L974">
        <v>2067.1492466022801</v>
      </c>
      <c r="M974">
        <v>37.361212879682299</v>
      </c>
      <c r="O974">
        <v>55.170962191893302</v>
      </c>
      <c r="P974">
        <v>-5.3078067363998699E-2</v>
      </c>
      <c r="Q974">
        <v>0.68648131226007103</v>
      </c>
      <c r="R974">
        <v>0.98438667609992603</v>
      </c>
      <c r="S974" t="s">
        <v>5714</v>
      </c>
      <c r="T974" t="s">
        <v>9478</v>
      </c>
      <c r="U974" t="s">
        <v>9478</v>
      </c>
      <c r="V974" t="s">
        <v>9478</v>
      </c>
      <c r="W974">
        <v>43</v>
      </c>
      <c r="X974" t="s">
        <v>10452</v>
      </c>
      <c r="Y974">
        <v>0.84804232249615319</v>
      </c>
      <c r="Z974" t="str">
        <f>HYPERLINK("Melting_Curves/meltCurve_sp_P27816_MAP4_HUMAN_.pdf", "Melting_Curves/meltCurve_sp_P27816_MAP4_HUMAN_.pdf")</f>
        <v>Melting_Curves/meltCurve_sp_P27816_MAP4_HUMAN_.pdf</v>
      </c>
      <c r="AA974" t="s">
        <v>15174</v>
      </c>
      <c r="AB974" t="s">
        <v>19809</v>
      </c>
    </row>
    <row r="975" spans="1:28" x14ac:dyDescent="0.25">
      <c r="A975" t="s">
        <v>979</v>
      </c>
      <c r="B975">
        <v>0.99904790336628502</v>
      </c>
      <c r="C975">
        <v>0.88629287159384096</v>
      </c>
      <c r="D975">
        <v>0.97472115216134902</v>
      </c>
      <c r="E975">
        <v>0.75238792759277595</v>
      </c>
      <c r="F975">
        <v>0.50237214349213799</v>
      </c>
      <c r="G975">
        <v>0.38114130842056798</v>
      </c>
      <c r="H975">
        <v>0.27993249195827502</v>
      </c>
      <c r="I975">
        <v>0.25531595746743602</v>
      </c>
      <c r="J975">
        <v>0.25532988413873398</v>
      </c>
      <c r="K975">
        <v>0.284844634793258</v>
      </c>
      <c r="L975">
        <v>1053.02851945257</v>
      </c>
      <c r="M975">
        <v>20.435621022542101</v>
      </c>
      <c r="N975">
        <v>53.443359275315402</v>
      </c>
      <c r="O975">
        <v>51.043248999573699</v>
      </c>
      <c r="P975">
        <v>-7.4116275198955195E-2</v>
      </c>
      <c r="Q975">
        <v>0.25952386202250299</v>
      </c>
      <c r="R975">
        <v>0.98401277665887599</v>
      </c>
      <c r="S975" t="s">
        <v>5715</v>
      </c>
      <c r="T975" t="s">
        <v>9478</v>
      </c>
      <c r="U975" t="s">
        <v>9478</v>
      </c>
      <c r="V975" t="s">
        <v>9478</v>
      </c>
      <c r="W975">
        <v>5</v>
      </c>
      <c r="X975" t="s">
        <v>10453</v>
      </c>
      <c r="Y975">
        <v>0.55395657447184499</v>
      </c>
      <c r="Z975" t="str">
        <f>HYPERLINK("Melting_Curves/meltCurve_sp_P27824_CALX_HUMAN_.pdf", "Melting_Curves/meltCurve_sp_P27824_CALX_HUMAN_.pdf")</f>
        <v>Melting_Curves/meltCurve_sp_P27824_CALX_HUMAN_.pdf</v>
      </c>
      <c r="AA975" t="s">
        <v>15175</v>
      </c>
      <c r="AB975" t="s">
        <v>19810</v>
      </c>
    </row>
    <row r="976" spans="1:28" x14ac:dyDescent="0.25">
      <c r="A976" t="s">
        <v>980</v>
      </c>
      <c r="B976">
        <v>0.99904790336628502</v>
      </c>
      <c r="C976">
        <v>0.98469147188088302</v>
      </c>
      <c r="D976">
        <v>0.95328898168326204</v>
      </c>
      <c r="E976">
        <v>0.75702219369518997</v>
      </c>
      <c r="F976">
        <v>0.44388669429537297</v>
      </c>
      <c r="G976">
        <v>0.232081147528992</v>
      </c>
      <c r="H976">
        <v>0.14519822497898699</v>
      </c>
      <c r="I976">
        <v>0.120324561888613</v>
      </c>
      <c r="J976">
        <v>0.10997497340668599</v>
      </c>
      <c r="K976">
        <v>8.9415067454334807E-2</v>
      </c>
      <c r="L976">
        <v>1156.3699982314199</v>
      </c>
      <c r="M976">
        <v>22.216274607662498</v>
      </c>
      <c r="N976">
        <v>52.598888981450798</v>
      </c>
      <c r="O976">
        <v>51.634356034480099</v>
      </c>
      <c r="P976">
        <v>-9.6449449607369703E-2</v>
      </c>
      <c r="Q976">
        <v>0.103360332031759</v>
      </c>
      <c r="R976">
        <v>0.99912326213071001</v>
      </c>
      <c r="S976" t="s">
        <v>5716</v>
      </c>
      <c r="T976" t="s">
        <v>9478</v>
      </c>
      <c r="U976" t="s">
        <v>9478</v>
      </c>
      <c r="V976" t="s">
        <v>9478</v>
      </c>
      <c r="W976">
        <v>16</v>
      </c>
      <c r="X976" t="s">
        <v>10454</v>
      </c>
      <c r="Y976">
        <v>0.4737681603742922</v>
      </c>
      <c r="Z976" t="str">
        <f>HYPERLINK("Melting_Curves/meltCurve_sp_P27986_P85A_HUMAN_.pdf", "Melting_Curves/meltCurve_sp_P27986_P85A_HUMAN_.pdf")</f>
        <v>Melting_Curves/meltCurve_sp_P27986_P85A_HUMAN_.pdf</v>
      </c>
      <c r="AA976" t="s">
        <v>15176</v>
      </c>
      <c r="AB976" t="s">
        <v>19811</v>
      </c>
    </row>
    <row r="977" spans="1:28" x14ac:dyDescent="0.25">
      <c r="A977" t="s">
        <v>981</v>
      </c>
      <c r="B977">
        <v>0.99904790336628502</v>
      </c>
      <c r="C977">
        <v>0.83491233867065395</v>
      </c>
      <c r="D977">
        <v>0.799840235703556</v>
      </c>
      <c r="E977">
        <v>0.86354001454887097</v>
      </c>
      <c r="F977">
        <v>0.66662126155021095</v>
      </c>
      <c r="G977">
        <v>0.67855110609413405</v>
      </c>
      <c r="H977">
        <v>0.46437827017845301</v>
      </c>
      <c r="I977">
        <v>0.44436925160170698</v>
      </c>
      <c r="J977">
        <v>0.30973863925301298</v>
      </c>
      <c r="K977">
        <v>0.225122805114741</v>
      </c>
      <c r="L977">
        <v>391.44463624436298</v>
      </c>
      <c r="M977">
        <v>6.5080565826539001</v>
      </c>
      <c r="N977">
        <v>60.147700909512501</v>
      </c>
      <c r="O977">
        <v>55.225479941861501</v>
      </c>
      <c r="P977">
        <v>-2.9532526294399699E-2</v>
      </c>
      <c r="Q977">
        <v>0</v>
      </c>
      <c r="R977">
        <v>0.93466562130253406</v>
      </c>
      <c r="S977" t="s">
        <v>5717</v>
      </c>
      <c r="T977" t="s">
        <v>9478</v>
      </c>
      <c r="U977" t="s">
        <v>9478</v>
      </c>
      <c r="V977" t="s">
        <v>9478</v>
      </c>
      <c r="W977">
        <v>9</v>
      </c>
      <c r="X977" t="s">
        <v>10455</v>
      </c>
      <c r="Y977">
        <v>0.64155319894161722</v>
      </c>
      <c r="Z977" t="str">
        <f>HYPERLINK("Melting_Curves/meltCurve_sp_P28062_2_PSB8_HUMAN_.pdf", "Melting_Curves/meltCurve_sp_P28062_2_PSB8_HUMAN_.pdf")</f>
        <v>Melting_Curves/meltCurve_sp_P28062_2_PSB8_HUMAN_.pdf</v>
      </c>
      <c r="AA977" t="s">
        <v>15177</v>
      </c>
      <c r="AB977" t="s">
        <v>19812</v>
      </c>
    </row>
    <row r="978" spans="1:28" x14ac:dyDescent="0.25">
      <c r="A978" t="s">
        <v>982</v>
      </c>
      <c r="B978">
        <v>0.99904790336628502</v>
      </c>
      <c r="C978">
        <v>1.07070543363635</v>
      </c>
      <c r="D978">
        <v>1.0572342465732401</v>
      </c>
      <c r="E978">
        <v>0.99132640549546702</v>
      </c>
      <c r="F978">
        <v>0.77908053784002096</v>
      </c>
      <c r="G978">
        <v>0.71647353719154505</v>
      </c>
      <c r="H978">
        <v>0.53879513524051004</v>
      </c>
      <c r="I978">
        <v>0.56175548051744395</v>
      </c>
      <c r="J978">
        <v>0.470854889930581</v>
      </c>
      <c r="K978">
        <v>0.36578337236928898</v>
      </c>
      <c r="L978">
        <v>817.90677713615901</v>
      </c>
      <c r="M978">
        <v>14.226363624909901</v>
      </c>
      <c r="N978">
        <v>63.7050315809404</v>
      </c>
      <c r="O978">
        <v>56.392121048639602</v>
      </c>
      <c r="P978">
        <v>-3.94142940342357E-2</v>
      </c>
      <c r="Q978">
        <v>0.37513774402320499</v>
      </c>
      <c r="R978">
        <v>0.952838401746682</v>
      </c>
      <c r="S978" t="s">
        <v>5718</v>
      </c>
      <c r="T978" t="s">
        <v>9478</v>
      </c>
      <c r="U978" t="s">
        <v>9478</v>
      </c>
      <c r="V978" t="s">
        <v>9478</v>
      </c>
      <c r="W978">
        <v>11</v>
      </c>
      <c r="X978" t="s">
        <v>10456</v>
      </c>
      <c r="Y978">
        <v>0.74882844483013244</v>
      </c>
      <c r="Z978" t="str">
        <f>HYPERLINK("Melting_Curves/meltCurve_sp_P28066_PSA5_HUMAN_.pdf", "Melting_Curves/meltCurve_sp_P28066_PSA5_HUMAN_.pdf")</f>
        <v>Melting_Curves/meltCurve_sp_P28066_PSA5_HUMAN_.pdf</v>
      </c>
      <c r="AA978" t="s">
        <v>15178</v>
      </c>
      <c r="AB978" t="s">
        <v>19813</v>
      </c>
    </row>
    <row r="979" spans="1:28" x14ac:dyDescent="0.25">
      <c r="A979" t="s">
        <v>983</v>
      </c>
      <c r="B979">
        <v>0.99904790336628502</v>
      </c>
      <c r="C979">
        <v>0.99322539464049497</v>
      </c>
      <c r="D979">
        <v>1.0131856295245101</v>
      </c>
      <c r="E979">
        <v>1.0130139731209</v>
      </c>
      <c r="F979">
        <v>0.79589639329582795</v>
      </c>
      <c r="G979">
        <v>0.75798591352755695</v>
      </c>
      <c r="H979">
        <v>0.59286030723215299</v>
      </c>
      <c r="I979">
        <v>0.55871322697373205</v>
      </c>
      <c r="J979">
        <v>0.46079926117074799</v>
      </c>
      <c r="K979">
        <v>0.33171554354318</v>
      </c>
      <c r="L979">
        <v>612.09016005389799</v>
      </c>
      <c r="M979">
        <v>9.7999769411778797</v>
      </c>
      <c r="N979">
        <v>64.655480661897499</v>
      </c>
      <c r="O979">
        <v>60.024237328107503</v>
      </c>
      <c r="P979">
        <v>-3.5054486001189399E-2</v>
      </c>
      <c r="Q979">
        <v>0.141624980083492</v>
      </c>
      <c r="R979">
        <v>0.96893986618815797</v>
      </c>
      <c r="S979" t="s">
        <v>5719</v>
      </c>
      <c r="T979" t="s">
        <v>9478</v>
      </c>
      <c r="U979" t="s">
        <v>9478</v>
      </c>
      <c r="V979" t="s">
        <v>9478</v>
      </c>
      <c r="W979">
        <v>8</v>
      </c>
      <c r="X979" t="s">
        <v>10457</v>
      </c>
      <c r="Y979">
        <v>0.76102081463309823</v>
      </c>
      <c r="Z979" t="str">
        <f>HYPERLINK("Melting_Curves/meltCurve_sp_P28070_PSB4_HUMAN_.pdf", "Melting_Curves/meltCurve_sp_P28070_PSB4_HUMAN_.pdf")</f>
        <v>Melting_Curves/meltCurve_sp_P28070_PSB4_HUMAN_.pdf</v>
      </c>
      <c r="AA979" t="s">
        <v>15179</v>
      </c>
      <c r="AB979" t="s">
        <v>19814</v>
      </c>
    </row>
    <row r="980" spans="1:28" x14ac:dyDescent="0.25">
      <c r="A980" t="s">
        <v>984</v>
      </c>
      <c r="B980">
        <v>0.99904790336628502</v>
      </c>
      <c r="C980">
        <v>1.1085805817849099</v>
      </c>
      <c r="D980">
        <v>1.04404974203982</v>
      </c>
      <c r="E980">
        <v>1.0749844675926099</v>
      </c>
      <c r="F980">
        <v>0.85168018202693296</v>
      </c>
      <c r="G980">
        <v>0.84938153964468499</v>
      </c>
      <c r="H980">
        <v>0.65785163346588804</v>
      </c>
      <c r="I980">
        <v>0.59739603089757698</v>
      </c>
      <c r="J980">
        <v>0.51521202227793605</v>
      </c>
      <c r="K980">
        <v>0.39951731954617498</v>
      </c>
      <c r="L980">
        <v>833.01002277126804</v>
      </c>
      <c r="M980">
        <v>13.453920904799601</v>
      </c>
      <c r="N980">
        <v>66.522688803567306</v>
      </c>
      <c r="O980">
        <v>60.595879204651503</v>
      </c>
      <c r="P980">
        <v>-3.8690652690802997E-2</v>
      </c>
      <c r="Q980">
        <v>0.30306353023953098</v>
      </c>
      <c r="R980">
        <v>0.93948511503582399</v>
      </c>
      <c r="S980" t="s">
        <v>5720</v>
      </c>
      <c r="T980" t="s">
        <v>9478</v>
      </c>
      <c r="U980" t="s">
        <v>9478</v>
      </c>
      <c r="V980" t="s">
        <v>9478</v>
      </c>
      <c r="W980">
        <v>9</v>
      </c>
      <c r="X980" t="s">
        <v>10458</v>
      </c>
      <c r="Y980">
        <v>0.80805843801224952</v>
      </c>
      <c r="Z980" t="str">
        <f>HYPERLINK("Melting_Curves/meltCurve_sp_P28072_PSB6_HUMAN_.pdf", "Melting_Curves/meltCurve_sp_P28072_PSB6_HUMAN_.pdf")</f>
        <v>Melting_Curves/meltCurve_sp_P28072_PSB6_HUMAN_.pdf</v>
      </c>
      <c r="AA980" t="s">
        <v>15180</v>
      </c>
      <c r="AB980" t="s">
        <v>19815</v>
      </c>
    </row>
    <row r="981" spans="1:28" x14ac:dyDescent="0.25">
      <c r="A981" t="s">
        <v>985</v>
      </c>
      <c r="B981">
        <v>0.99904790336628502</v>
      </c>
      <c r="C981">
        <v>1.0268338428309201</v>
      </c>
      <c r="D981">
        <v>1.04383941286238</v>
      </c>
      <c r="E981">
        <v>1.03824937710092</v>
      </c>
      <c r="F981">
        <v>0.83575500342126696</v>
      </c>
      <c r="G981">
        <v>0.80032293599899196</v>
      </c>
      <c r="H981">
        <v>0.57673957394810205</v>
      </c>
      <c r="I981">
        <v>0.56794077864644699</v>
      </c>
      <c r="J981">
        <v>0.43741129384883298</v>
      </c>
      <c r="K981">
        <v>0.34995604280012599</v>
      </c>
      <c r="L981">
        <v>795.67271557720903</v>
      </c>
      <c r="M981">
        <v>13.0819612044544</v>
      </c>
      <c r="N981">
        <v>64.432503815189193</v>
      </c>
      <c r="O981">
        <v>59.453539362480697</v>
      </c>
      <c r="P981">
        <v>-4.0726242470676903E-2</v>
      </c>
      <c r="Q981">
        <v>0.25977401520857002</v>
      </c>
      <c r="R981">
        <v>0.96680993231539403</v>
      </c>
      <c r="S981" t="s">
        <v>5721</v>
      </c>
      <c r="T981" t="s">
        <v>9478</v>
      </c>
      <c r="U981" t="s">
        <v>9478</v>
      </c>
      <c r="V981" t="s">
        <v>9478</v>
      </c>
      <c r="W981">
        <v>12</v>
      </c>
      <c r="X981" t="s">
        <v>10459</v>
      </c>
      <c r="Y981">
        <v>0.77353717183483206</v>
      </c>
      <c r="Z981" t="str">
        <f>HYPERLINK("Melting_Curves/meltCurve_sp_P28074_PSB5_HUMAN_.pdf", "Melting_Curves/meltCurve_sp_P28074_PSB5_HUMAN_.pdf")</f>
        <v>Melting_Curves/meltCurve_sp_P28074_PSB5_HUMAN_.pdf</v>
      </c>
      <c r="AA981" t="s">
        <v>15181</v>
      </c>
      <c r="AB981" t="s">
        <v>19816</v>
      </c>
    </row>
    <row r="982" spans="1:28" x14ac:dyDescent="0.25">
      <c r="A982" t="s">
        <v>986</v>
      </c>
      <c r="B982">
        <v>0.99904790336628502</v>
      </c>
      <c r="C982">
        <v>0.99645088354897604</v>
      </c>
      <c r="D982">
        <v>1.0378621570951401</v>
      </c>
      <c r="E982">
        <v>1.0108008880797501</v>
      </c>
      <c r="F982">
        <v>0.86132988736916505</v>
      </c>
      <c r="G982">
        <v>0.60340959266585503</v>
      </c>
      <c r="H982">
        <v>0.24151528977207401</v>
      </c>
      <c r="I982">
        <v>0.124515535564425</v>
      </c>
      <c r="J982">
        <v>7.9575850151887007E-2</v>
      </c>
      <c r="K982">
        <v>5.35299101366985E-2</v>
      </c>
      <c r="L982">
        <v>1352.57817674998</v>
      </c>
      <c r="M982">
        <v>23.438431334160899</v>
      </c>
      <c r="N982">
        <v>57.906463364967301</v>
      </c>
      <c r="O982">
        <v>57.292556330070703</v>
      </c>
      <c r="P982">
        <v>-9.8323641585270904E-2</v>
      </c>
      <c r="Q982">
        <v>3.8653247688126599E-2</v>
      </c>
      <c r="R982">
        <v>0.99743322870507001</v>
      </c>
      <c r="S982" t="s">
        <v>5722</v>
      </c>
      <c r="T982" t="s">
        <v>9478</v>
      </c>
      <c r="U982" t="s">
        <v>9478</v>
      </c>
      <c r="V982" t="s">
        <v>9478</v>
      </c>
      <c r="W982">
        <v>18</v>
      </c>
      <c r="X982" t="s">
        <v>10460</v>
      </c>
      <c r="Y982">
        <v>0.61535394230750173</v>
      </c>
      <c r="Z982" t="str">
        <f>HYPERLINK("Melting_Curves/meltCurve_sp_P28330_ACADL_HUMAN_.pdf", "Melting_Curves/meltCurve_sp_P28330_ACADL_HUMAN_.pdf")</f>
        <v>Melting_Curves/meltCurve_sp_P28330_ACADL_HUMAN_.pdf</v>
      </c>
      <c r="AA982" t="s">
        <v>15182</v>
      </c>
      <c r="AB982" t="s">
        <v>19817</v>
      </c>
    </row>
    <row r="983" spans="1:28" x14ac:dyDescent="0.25">
      <c r="A983" t="s">
        <v>987</v>
      </c>
      <c r="B983">
        <v>0.99904790336628502</v>
      </c>
      <c r="C983">
        <v>0.98566102295471603</v>
      </c>
      <c r="D983">
        <v>0.86157610039598798</v>
      </c>
      <c r="E983">
        <v>0.38672221792342798</v>
      </c>
      <c r="F983">
        <v>0.16581097507599399</v>
      </c>
      <c r="G983">
        <v>9.5977433799346298E-2</v>
      </c>
      <c r="H983">
        <v>6.2720986218768607E-2</v>
      </c>
      <c r="I983">
        <v>4.4482688981389198E-2</v>
      </c>
      <c r="J983">
        <v>3.4845283821231102E-2</v>
      </c>
      <c r="K983">
        <v>2.8506302099405498E-2</v>
      </c>
      <c r="L983">
        <v>1295.6774054587199</v>
      </c>
      <c r="M983">
        <v>26.456931206895199</v>
      </c>
      <c r="N983">
        <v>49.156852677783696</v>
      </c>
      <c r="O983">
        <v>48.6958709506685</v>
      </c>
      <c r="P983">
        <v>-0.12943306404292701</v>
      </c>
      <c r="Q983">
        <v>4.70873027091274E-2</v>
      </c>
      <c r="R983">
        <v>0.99896112085932298</v>
      </c>
      <c r="S983" t="s">
        <v>5723</v>
      </c>
      <c r="T983" t="s">
        <v>9478</v>
      </c>
      <c r="U983" t="s">
        <v>9478</v>
      </c>
      <c r="V983" t="s">
        <v>9478</v>
      </c>
      <c r="W983">
        <v>23</v>
      </c>
      <c r="X983" t="s">
        <v>10461</v>
      </c>
      <c r="Y983">
        <v>0.33961830978010482</v>
      </c>
      <c r="Z983" t="str">
        <f>HYPERLINK("Melting_Curves/meltCurve_sp_P28331_NDUS1_HUMAN_.pdf", "Melting_Curves/meltCurve_sp_P28331_NDUS1_HUMAN_.pdf")</f>
        <v>Melting_Curves/meltCurve_sp_P28331_NDUS1_HUMAN_.pdf</v>
      </c>
      <c r="AA983" t="s">
        <v>15183</v>
      </c>
      <c r="AB983" t="s">
        <v>19818</v>
      </c>
    </row>
    <row r="984" spans="1:28" x14ac:dyDescent="0.25">
      <c r="A984" t="s">
        <v>988</v>
      </c>
      <c r="B984">
        <v>0.99904790336628502</v>
      </c>
      <c r="C984">
        <v>1.00843700019555</v>
      </c>
      <c r="D984">
        <v>1.06764588431371</v>
      </c>
      <c r="E984">
        <v>1.0399661993555001</v>
      </c>
      <c r="F984">
        <v>0.97450159730365105</v>
      </c>
      <c r="G984">
        <v>0.82169782385777401</v>
      </c>
      <c r="H984">
        <v>0.64941064795814196</v>
      </c>
      <c r="I984">
        <v>0.54759378156664396</v>
      </c>
      <c r="J984">
        <v>0.41430760967276897</v>
      </c>
      <c r="K984">
        <v>0.20723838111111001</v>
      </c>
      <c r="L984">
        <v>884.92634729241604</v>
      </c>
      <c r="M984">
        <v>13.7411993787057</v>
      </c>
      <c r="N984">
        <v>64.399504336585395</v>
      </c>
      <c r="O984">
        <v>63.081537381592902</v>
      </c>
      <c r="P984">
        <v>-5.4465835300201999E-2</v>
      </c>
      <c r="Q984">
        <v>0</v>
      </c>
      <c r="R984">
        <v>0.98050151588067902</v>
      </c>
      <c r="S984" t="s">
        <v>5724</v>
      </c>
      <c r="T984" t="s">
        <v>9478</v>
      </c>
      <c r="U984" t="s">
        <v>9478</v>
      </c>
      <c r="V984" t="s">
        <v>9478</v>
      </c>
      <c r="W984">
        <v>16</v>
      </c>
      <c r="X984" t="s">
        <v>10462</v>
      </c>
      <c r="Y984">
        <v>0.78851080014701413</v>
      </c>
      <c r="Z984" t="str">
        <f>HYPERLINK("Melting_Curves/meltCurve_sp_P28332_ADH6_HUMAN_.pdf", "Melting_Curves/meltCurve_sp_P28332_ADH6_HUMAN_.pdf")</f>
        <v>Melting_Curves/meltCurve_sp_P28332_ADH6_HUMAN_.pdf</v>
      </c>
      <c r="AA984" t="s">
        <v>15184</v>
      </c>
      <c r="AB984" t="s">
        <v>19819</v>
      </c>
    </row>
    <row r="985" spans="1:28" x14ac:dyDescent="0.25">
      <c r="A985" t="s">
        <v>989</v>
      </c>
      <c r="B985">
        <v>0.99904790336628502</v>
      </c>
      <c r="C985">
        <v>1.0213506196762701</v>
      </c>
      <c r="D985">
        <v>1.02741548491518</v>
      </c>
      <c r="E985">
        <v>0.81744835886022005</v>
      </c>
      <c r="F985">
        <v>0.622335314658646</v>
      </c>
      <c r="G985">
        <v>0.46396760404395099</v>
      </c>
      <c r="H985">
        <v>0.29194048313246201</v>
      </c>
      <c r="I985">
        <v>0.18123463900079001</v>
      </c>
      <c r="J985">
        <v>0.10505636373883601</v>
      </c>
      <c r="K985">
        <v>9.6013678931829605E-2</v>
      </c>
      <c r="L985">
        <v>757.75119486083599</v>
      </c>
      <c r="M985">
        <v>13.627731460396101</v>
      </c>
      <c r="N985">
        <v>55.965108228620302</v>
      </c>
      <c r="O985">
        <v>54.447296678510803</v>
      </c>
      <c r="P985">
        <v>-5.9945615668861897E-2</v>
      </c>
      <c r="Q985">
        <v>4.21305389128597E-2</v>
      </c>
      <c r="R985">
        <v>0.99052647808565497</v>
      </c>
      <c r="S985" t="s">
        <v>5725</v>
      </c>
      <c r="T985" t="s">
        <v>9478</v>
      </c>
      <c r="U985" t="s">
        <v>9478</v>
      </c>
      <c r="V985" t="s">
        <v>9478</v>
      </c>
      <c r="W985">
        <v>7</v>
      </c>
      <c r="X985" t="s">
        <v>10463</v>
      </c>
      <c r="Y985">
        <v>0.55945590136817225</v>
      </c>
      <c r="Z985" t="str">
        <f>HYPERLINK("Melting_Curves/meltCurve_sp_P28340_DPOD1_HUMAN_.pdf", "Melting_Curves/meltCurve_sp_P28340_DPOD1_HUMAN_.pdf")</f>
        <v>Melting_Curves/meltCurve_sp_P28340_DPOD1_HUMAN_.pdf</v>
      </c>
      <c r="AA985" t="s">
        <v>15185</v>
      </c>
      <c r="AB985" t="s">
        <v>19820</v>
      </c>
    </row>
    <row r="986" spans="1:28" x14ac:dyDescent="0.25">
      <c r="A986" t="s">
        <v>990</v>
      </c>
      <c r="B986">
        <v>0.99904790336628502</v>
      </c>
      <c r="C986">
        <v>0.95409426834504596</v>
      </c>
      <c r="D986">
        <v>0.93008585475336503</v>
      </c>
      <c r="E986">
        <v>0.87353639737203503</v>
      </c>
      <c r="F986">
        <v>0.77317120985932397</v>
      </c>
      <c r="G986">
        <v>0.28580849432536698</v>
      </c>
      <c r="H986">
        <v>0.12122906466121799</v>
      </c>
      <c r="I986">
        <v>6.8203847361762396E-2</v>
      </c>
      <c r="J986">
        <v>6.9715132844008501E-2</v>
      </c>
      <c r="K986">
        <v>5.0253237817158E-2</v>
      </c>
      <c r="L986">
        <v>1424.55646769896</v>
      </c>
      <c r="M986">
        <v>25.959213315857799</v>
      </c>
      <c r="N986">
        <v>55.098103531284004</v>
      </c>
      <c r="O986">
        <v>54.5541707480062</v>
      </c>
      <c r="P986">
        <v>-0.113070580356809</v>
      </c>
      <c r="Q986">
        <v>4.9524315551391397E-2</v>
      </c>
      <c r="R986">
        <v>0.99252176880215204</v>
      </c>
      <c r="S986" t="s">
        <v>5726</v>
      </c>
      <c r="T986" t="s">
        <v>9478</v>
      </c>
      <c r="U986" t="s">
        <v>9478</v>
      </c>
      <c r="V986" t="s">
        <v>9478</v>
      </c>
      <c r="W986">
        <v>13</v>
      </c>
      <c r="X986" t="s">
        <v>10464</v>
      </c>
      <c r="Y986">
        <v>0.52908388897563807</v>
      </c>
      <c r="Z986" t="str">
        <f>HYPERLINK("Melting_Curves/meltCurve_sp_P28482_MK01_HUMAN_.pdf", "Melting_Curves/meltCurve_sp_P28482_MK01_HUMAN_.pdf")</f>
        <v>Melting_Curves/meltCurve_sp_P28482_MK01_HUMAN_.pdf</v>
      </c>
      <c r="AA986" t="s">
        <v>15186</v>
      </c>
      <c r="AB986" t="s">
        <v>19821</v>
      </c>
    </row>
    <row r="987" spans="1:28" x14ac:dyDescent="0.25">
      <c r="A987" t="s">
        <v>991</v>
      </c>
      <c r="B987">
        <v>0.99904790336628502</v>
      </c>
      <c r="C987">
        <v>1.0226702327089301</v>
      </c>
      <c r="D987">
        <v>1.0358207535685899</v>
      </c>
      <c r="E987">
        <v>0.97189017388339405</v>
      </c>
      <c r="F987">
        <v>0.79527314531448201</v>
      </c>
      <c r="G987">
        <v>0.388379185602301</v>
      </c>
      <c r="H987">
        <v>0.29819253128983098</v>
      </c>
      <c r="I987">
        <v>0.278258199319382</v>
      </c>
      <c r="J987">
        <v>0.298999439356394</v>
      </c>
      <c r="K987">
        <v>0.29447518980182602</v>
      </c>
      <c r="L987">
        <v>2072.5510179718599</v>
      </c>
      <c r="M987">
        <v>38.197728532076702</v>
      </c>
      <c r="N987">
        <v>55.5157159606009</v>
      </c>
      <c r="O987">
        <v>54.110417548979001</v>
      </c>
      <c r="P987">
        <v>-0.12539258421762201</v>
      </c>
      <c r="Q987">
        <v>0.28948361146135698</v>
      </c>
      <c r="R987">
        <v>0.99807423687531505</v>
      </c>
      <c r="S987" t="s">
        <v>5727</v>
      </c>
      <c r="T987" t="s">
        <v>9478</v>
      </c>
      <c r="U987" t="s">
        <v>9478</v>
      </c>
      <c r="V987" t="s">
        <v>9478</v>
      </c>
      <c r="W987">
        <v>9</v>
      </c>
      <c r="X987" t="s">
        <v>10465</v>
      </c>
      <c r="Y987">
        <v>0.63009431540547334</v>
      </c>
      <c r="Z987" t="str">
        <f>HYPERLINK("Melting_Curves/meltCurve_sp_P28715_ERCC5_HUMAN_.pdf", "Melting_Curves/meltCurve_sp_P28715_ERCC5_HUMAN_.pdf")</f>
        <v>Melting_Curves/meltCurve_sp_P28715_ERCC5_HUMAN_.pdf</v>
      </c>
      <c r="AA987" t="s">
        <v>15187</v>
      </c>
      <c r="AB987" t="s">
        <v>19822</v>
      </c>
    </row>
    <row r="988" spans="1:28" x14ac:dyDescent="0.25">
      <c r="A988" t="s">
        <v>992</v>
      </c>
      <c r="B988">
        <v>0.99904790336628502</v>
      </c>
      <c r="C988">
        <v>1.0334884108806299</v>
      </c>
      <c r="D988">
        <v>0.92527225537296298</v>
      </c>
      <c r="E988">
        <v>0.89710563293918799</v>
      </c>
      <c r="F988">
        <v>0.92669959354459397</v>
      </c>
      <c r="G988">
        <v>0.75651120735732202</v>
      </c>
      <c r="H988">
        <v>0.64828643404249597</v>
      </c>
      <c r="I988">
        <v>0.726957431535181</v>
      </c>
      <c r="J988">
        <v>0.73718331469475595</v>
      </c>
      <c r="K988">
        <v>0.87802601206997499</v>
      </c>
      <c r="L988">
        <v>1147.02218050752</v>
      </c>
      <c r="M988">
        <v>21.893856626556602</v>
      </c>
      <c r="O988">
        <v>51.958938250166703</v>
      </c>
      <c r="P988">
        <v>-2.68279935874551E-2</v>
      </c>
      <c r="Q988">
        <v>0.74533087191338399</v>
      </c>
      <c r="R988">
        <v>0.7167359862146</v>
      </c>
      <c r="S988" t="s">
        <v>5728</v>
      </c>
      <c r="T988" t="s">
        <v>9478</v>
      </c>
      <c r="U988" t="s">
        <v>9478</v>
      </c>
      <c r="V988" t="s">
        <v>9478</v>
      </c>
      <c r="W988">
        <v>5</v>
      </c>
      <c r="X988" t="s">
        <v>10466</v>
      </c>
      <c r="Y988">
        <v>0.85350074766605244</v>
      </c>
      <c r="Z988" t="str">
        <f>HYPERLINK("Melting_Curves/meltCurve_sp_P28799_GRN_HUMAN_.pdf", "Melting_Curves/meltCurve_sp_P28799_GRN_HUMAN_.pdf")</f>
        <v>Melting_Curves/meltCurve_sp_P28799_GRN_HUMAN_.pdf</v>
      </c>
      <c r="AA988" t="s">
        <v>15188</v>
      </c>
      <c r="AB988" t="s">
        <v>19823</v>
      </c>
    </row>
    <row r="989" spans="1:28" x14ac:dyDescent="0.25">
      <c r="A989" t="s">
        <v>993</v>
      </c>
      <c r="B989">
        <v>0.99904790336628502</v>
      </c>
      <c r="C989">
        <v>0.94601530047589699</v>
      </c>
      <c r="D989">
        <v>0.92516329588934598</v>
      </c>
      <c r="E989">
        <v>0.82167612248369004</v>
      </c>
      <c r="F989">
        <v>0.64447422697974099</v>
      </c>
      <c r="G989">
        <v>0.47240696370018698</v>
      </c>
      <c r="H989">
        <v>0.22914500032803201</v>
      </c>
      <c r="I989">
        <v>0.107953941593269</v>
      </c>
      <c r="J989">
        <v>4.5251132955461501E-2</v>
      </c>
      <c r="K989">
        <v>2.96831194747041E-2</v>
      </c>
      <c r="L989">
        <v>781.54914591312001</v>
      </c>
      <c r="M989">
        <v>14.0561995797386</v>
      </c>
      <c r="N989">
        <v>55.601739310995001</v>
      </c>
      <c r="O989">
        <v>54.512631412268497</v>
      </c>
      <c r="P989">
        <v>-6.4471438036498102E-2</v>
      </c>
      <c r="Q989">
        <v>0</v>
      </c>
      <c r="R989">
        <v>0.99373254924948995</v>
      </c>
      <c r="S989" t="s">
        <v>5729</v>
      </c>
      <c r="T989" t="s">
        <v>9478</v>
      </c>
      <c r="U989" t="s">
        <v>9478</v>
      </c>
      <c r="V989" t="s">
        <v>9478</v>
      </c>
      <c r="W989">
        <v>37</v>
      </c>
      <c r="X989" t="s">
        <v>10467</v>
      </c>
      <c r="Y989">
        <v>0.53953767100723027</v>
      </c>
      <c r="Z989" t="str">
        <f>HYPERLINK("Melting_Curves/meltCurve_sp_P28838_2_AMPL_HUMAN_.pdf", "Melting_Curves/meltCurve_sp_P28838_2_AMPL_HUMAN_.pdf")</f>
        <v>Melting_Curves/meltCurve_sp_P28838_2_AMPL_HUMAN_.pdf</v>
      </c>
      <c r="AA989" t="s">
        <v>15189</v>
      </c>
      <c r="AB989" t="s">
        <v>19824</v>
      </c>
    </row>
    <row r="990" spans="1:28" x14ac:dyDescent="0.25">
      <c r="A990" t="s">
        <v>994</v>
      </c>
      <c r="B990">
        <v>0.99904790336628502</v>
      </c>
      <c r="C990">
        <v>1.0858888827887501</v>
      </c>
      <c r="D990">
        <v>0.714744718240794</v>
      </c>
      <c r="E990">
        <v>0.414911695691561</v>
      </c>
      <c r="F990">
        <v>0.23348422808018199</v>
      </c>
      <c r="G990">
        <v>0.13642096257004599</v>
      </c>
      <c r="H990">
        <v>9.0334836036843197E-2</v>
      </c>
      <c r="I990">
        <v>5.1380128999350197E-2</v>
      </c>
      <c r="J990">
        <v>5.95816659473326E-2</v>
      </c>
      <c r="K990">
        <v>4.3301651117549203E-2</v>
      </c>
      <c r="L990">
        <v>989.18313120753498</v>
      </c>
      <c r="M990">
        <v>20.2999076780251</v>
      </c>
      <c r="N990">
        <v>49.0520603194567</v>
      </c>
      <c r="O990">
        <v>48.2629974263835</v>
      </c>
      <c r="P990">
        <v>-9.8565605293820593E-2</v>
      </c>
      <c r="Q990">
        <v>6.2670956856278104E-2</v>
      </c>
      <c r="R990">
        <v>0.98179099479429999</v>
      </c>
      <c r="S990" t="s">
        <v>5730</v>
      </c>
      <c r="T990" t="s">
        <v>9478</v>
      </c>
      <c r="U990" t="s">
        <v>9478</v>
      </c>
      <c r="V990" t="s">
        <v>9478</v>
      </c>
      <c r="W990">
        <v>1</v>
      </c>
      <c r="X990" t="s">
        <v>10468</v>
      </c>
      <c r="Y990">
        <v>0.34815557777174111</v>
      </c>
      <c r="Z990" t="str">
        <f>HYPERLINK("Melting_Curves/meltCurve_sp_P28845_DHI1_HUMAN_.pdf", "Melting_Curves/meltCurve_sp_P28845_DHI1_HUMAN_.pdf")</f>
        <v>Melting_Curves/meltCurve_sp_P28845_DHI1_HUMAN_.pdf</v>
      </c>
      <c r="AA990" t="s">
        <v>15190</v>
      </c>
      <c r="AB990" t="s">
        <v>19825</v>
      </c>
    </row>
    <row r="991" spans="1:28" x14ac:dyDescent="0.25">
      <c r="A991" t="s">
        <v>995</v>
      </c>
      <c r="B991">
        <v>0.99904790336628502</v>
      </c>
      <c r="C991">
        <v>0.71936330057414799</v>
      </c>
      <c r="D991">
        <v>0.78104367097819005</v>
      </c>
      <c r="E991">
        <v>0.78563286998821902</v>
      </c>
      <c r="F991">
        <v>0.79252014581167696</v>
      </c>
      <c r="G991">
        <v>0.437964171542498</v>
      </c>
      <c r="H991">
        <v>0.57744883742226105</v>
      </c>
      <c r="I991">
        <v>0.593721946739041</v>
      </c>
      <c r="J991">
        <v>0.74083461869532896</v>
      </c>
      <c r="K991">
        <v>0.712904938362799</v>
      </c>
      <c r="L991">
        <v>533.14835341429102</v>
      </c>
      <c r="M991">
        <v>12.1624276021229</v>
      </c>
      <c r="O991">
        <v>42.701126662366697</v>
      </c>
      <c r="P991">
        <v>-2.5973626165109901E-2</v>
      </c>
      <c r="Q991">
        <v>0.63531971828596001</v>
      </c>
      <c r="R991">
        <v>0.45140490518406201</v>
      </c>
      <c r="S991" t="s">
        <v>5731</v>
      </c>
      <c r="T991" t="s">
        <v>9478</v>
      </c>
      <c r="U991" t="s">
        <v>9478</v>
      </c>
      <c r="V991" t="s">
        <v>9478</v>
      </c>
      <c r="W991">
        <v>1</v>
      </c>
      <c r="X991" t="s">
        <v>10469</v>
      </c>
      <c r="Y991">
        <v>0.70212129442039894</v>
      </c>
      <c r="Z991" t="str">
        <f>HYPERLINK("Melting_Curves/meltCurve_sp_P29083_T2EA_HUMAN_.pdf", "Melting_Curves/meltCurve_sp_P29083_T2EA_HUMAN_.pdf")</f>
        <v>Melting_Curves/meltCurve_sp_P29083_T2EA_HUMAN_.pdf</v>
      </c>
      <c r="AA991" t="s">
        <v>15191</v>
      </c>
      <c r="AB991" t="s">
        <v>19826</v>
      </c>
    </row>
    <row r="992" spans="1:28" x14ac:dyDescent="0.25">
      <c r="A992" t="s">
        <v>996</v>
      </c>
      <c r="B992">
        <v>0.99904790336628502</v>
      </c>
      <c r="C992">
        <v>0.875751330930573</v>
      </c>
      <c r="D992">
        <v>0.68185299532881505</v>
      </c>
      <c r="E992">
        <v>0.61476455385279005</v>
      </c>
      <c r="F992">
        <v>0.43811380018616902</v>
      </c>
      <c r="G992">
        <v>0.23105399372927601</v>
      </c>
      <c r="H992">
        <v>0.181767981838767</v>
      </c>
      <c r="I992">
        <v>0.12566379048398099</v>
      </c>
      <c r="J992">
        <v>7.4360833737704496E-2</v>
      </c>
      <c r="K992">
        <v>7.0884583667618101E-2</v>
      </c>
      <c r="L992">
        <v>510.60442217502498</v>
      </c>
      <c r="M992">
        <v>9.9569654381728192</v>
      </c>
      <c r="N992">
        <v>51.2811113401509</v>
      </c>
      <c r="O992">
        <v>49.341290859835901</v>
      </c>
      <c r="P992">
        <v>-5.0474406944077697E-2</v>
      </c>
      <c r="Q992">
        <v>0</v>
      </c>
      <c r="R992">
        <v>0.98713034430272995</v>
      </c>
      <c r="S992" t="s">
        <v>5732</v>
      </c>
      <c r="T992" t="s">
        <v>9478</v>
      </c>
      <c r="U992" t="s">
        <v>9478</v>
      </c>
      <c r="V992" t="s">
        <v>9478</v>
      </c>
      <c r="W992">
        <v>1</v>
      </c>
      <c r="X992" t="s">
        <v>10470</v>
      </c>
      <c r="Y992">
        <v>0.41682589145015131</v>
      </c>
      <c r="Z992" t="str">
        <f>HYPERLINK("Melting_Curves/meltCurve_sp_P29084_T2EB_HUMAN_.pdf", "Melting_Curves/meltCurve_sp_P29084_T2EB_HUMAN_.pdf")</f>
        <v>Melting_Curves/meltCurve_sp_P29084_T2EB_HUMAN_.pdf</v>
      </c>
      <c r="AA992" t="s">
        <v>15192</v>
      </c>
      <c r="AB992" t="s">
        <v>19827</v>
      </c>
    </row>
    <row r="993" spans="1:28" x14ac:dyDescent="0.25">
      <c r="A993" t="s">
        <v>997</v>
      </c>
      <c r="B993">
        <v>0.99904790336628502</v>
      </c>
      <c r="C993">
        <v>1.02551305231556</v>
      </c>
      <c r="D993">
        <v>0.927229874404362</v>
      </c>
      <c r="E993">
        <v>0.46318197758895602</v>
      </c>
      <c r="F993">
        <v>0.20691709422093699</v>
      </c>
      <c r="G993">
        <v>0.106750320848273</v>
      </c>
      <c r="H993">
        <v>5.82795105328704E-2</v>
      </c>
      <c r="I993">
        <v>4.37322021099526E-2</v>
      </c>
      <c r="J993">
        <v>4.5848129382584701E-2</v>
      </c>
      <c r="K993">
        <v>3.9100231593019501E-2</v>
      </c>
      <c r="L993">
        <v>1403.3182140343999</v>
      </c>
      <c r="M993">
        <v>28.255816146695899</v>
      </c>
      <c r="N993">
        <v>49.864233567993303</v>
      </c>
      <c r="O993">
        <v>49.417989859813602</v>
      </c>
      <c r="P993">
        <v>-0.135305213679035</v>
      </c>
      <c r="Q993">
        <v>5.34399933238646E-2</v>
      </c>
      <c r="R993">
        <v>0.99787751437176198</v>
      </c>
      <c r="S993" t="s">
        <v>5733</v>
      </c>
      <c r="T993" t="s">
        <v>9478</v>
      </c>
      <c r="U993" t="s">
        <v>9478</v>
      </c>
      <c r="V993" t="s">
        <v>9478</v>
      </c>
      <c r="W993">
        <v>27</v>
      </c>
      <c r="X993" t="s">
        <v>10471</v>
      </c>
      <c r="Y993">
        <v>0.36495931337938708</v>
      </c>
      <c r="Z993" t="str">
        <f>HYPERLINK("Melting_Curves/meltCurve_sp_P29144_TPP2_HUMAN_.pdf", "Melting_Curves/meltCurve_sp_P29144_TPP2_HUMAN_.pdf")</f>
        <v>Melting_Curves/meltCurve_sp_P29144_TPP2_HUMAN_.pdf</v>
      </c>
      <c r="AA993" t="s">
        <v>15193</v>
      </c>
      <c r="AB993" t="s">
        <v>19828</v>
      </c>
    </row>
    <row r="994" spans="1:28" x14ac:dyDescent="0.25">
      <c r="A994" t="s">
        <v>998</v>
      </c>
      <c r="B994">
        <v>0.99904790336628502</v>
      </c>
      <c r="C994">
        <v>0.929134314558416</v>
      </c>
      <c r="D994">
        <v>0.91057839027952003</v>
      </c>
      <c r="E994">
        <v>0.88853502538516504</v>
      </c>
      <c r="F994">
        <v>0.87967941968960905</v>
      </c>
      <c r="G994">
        <v>0.73345982069097204</v>
      </c>
      <c r="H994">
        <v>0.61289245816085602</v>
      </c>
      <c r="I994">
        <v>0.49032689743825097</v>
      </c>
      <c r="J994">
        <v>0.35438436736352202</v>
      </c>
      <c r="K994">
        <v>0.14840563258350301</v>
      </c>
      <c r="L994">
        <v>675.14877143187005</v>
      </c>
      <c r="M994">
        <v>10.7669645025221</v>
      </c>
      <c r="N994">
        <v>62.705581633763103</v>
      </c>
      <c r="O994">
        <v>60.658692320626002</v>
      </c>
      <c r="P994">
        <v>-4.4391449386883899E-2</v>
      </c>
      <c r="Q994">
        <v>0</v>
      </c>
      <c r="R994">
        <v>0.96576392413827505</v>
      </c>
      <c r="S994" t="s">
        <v>5734</v>
      </c>
      <c r="T994" t="s">
        <v>9478</v>
      </c>
      <c r="U994" t="s">
        <v>9478</v>
      </c>
      <c r="V994" t="s">
        <v>9478</v>
      </c>
      <c r="W994">
        <v>11</v>
      </c>
      <c r="X994" t="s">
        <v>10472</v>
      </c>
      <c r="Y994">
        <v>0.73347003906276709</v>
      </c>
      <c r="Z994" t="str">
        <f>HYPERLINK("Melting_Curves/meltCurve_sp_P29218_IMPA1_HUMAN_.pdf", "Melting_Curves/meltCurve_sp_P29218_IMPA1_HUMAN_.pdf")</f>
        <v>Melting_Curves/meltCurve_sp_P29218_IMPA1_HUMAN_.pdf</v>
      </c>
      <c r="AA994" t="s">
        <v>15194</v>
      </c>
      <c r="AB994" t="s">
        <v>19829</v>
      </c>
    </row>
    <row r="995" spans="1:28" x14ac:dyDescent="0.25">
      <c r="A995" t="s">
        <v>999</v>
      </c>
      <c r="B995">
        <v>0.99904790336628502</v>
      </c>
      <c r="C995">
        <v>0.94486417544732304</v>
      </c>
      <c r="D995">
        <v>0.93977258945946596</v>
      </c>
      <c r="E995">
        <v>0.33850061019182098</v>
      </c>
      <c r="F995">
        <v>0.13353047945802601</v>
      </c>
      <c r="G995">
        <v>7.6692356354084598E-2</v>
      </c>
      <c r="H995">
        <v>5.1385356811461697E-2</v>
      </c>
      <c r="I995">
        <v>3.4025616675749798E-2</v>
      </c>
      <c r="J995">
        <v>2.5231140133867801E-2</v>
      </c>
      <c r="K995">
        <v>2.02329229893289E-2</v>
      </c>
      <c r="L995">
        <v>1761.1244344679801</v>
      </c>
      <c r="M995">
        <v>35.952187487395904</v>
      </c>
      <c r="N995">
        <v>49.1109021149529</v>
      </c>
      <c r="O995">
        <v>48.834369312169002</v>
      </c>
      <c r="P995">
        <v>-0.17596126017659</v>
      </c>
      <c r="Q995">
        <v>4.3960298865600503E-2</v>
      </c>
      <c r="R995">
        <v>0.99635121497573398</v>
      </c>
      <c r="S995" t="s">
        <v>5735</v>
      </c>
      <c r="T995" t="s">
        <v>9478</v>
      </c>
      <c r="U995" t="s">
        <v>9478</v>
      </c>
      <c r="V995" t="s">
        <v>9478</v>
      </c>
      <c r="W995">
        <v>18</v>
      </c>
      <c r="X995" t="s">
        <v>10473</v>
      </c>
      <c r="Y995">
        <v>0.3343234199336334</v>
      </c>
      <c r="Z995" t="str">
        <f>HYPERLINK("Melting_Curves/meltCurve_sp_P29350_PTN6_HUMAN_.pdf", "Melting_Curves/meltCurve_sp_P29350_PTN6_HUMAN_.pdf")</f>
        <v>Melting_Curves/meltCurve_sp_P29350_PTN6_HUMAN_.pdf</v>
      </c>
      <c r="AA995" t="s">
        <v>15195</v>
      </c>
      <c r="AB995" t="s">
        <v>19830</v>
      </c>
    </row>
    <row r="996" spans="1:28" x14ac:dyDescent="0.25">
      <c r="A996" t="s">
        <v>1000</v>
      </c>
      <c r="B996">
        <v>0.99904790336628502</v>
      </c>
      <c r="C996">
        <v>0.94090812699866799</v>
      </c>
      <c r="D996">
        <v>0.87694644727133597</v>
      </c>
      <c r="E996">
        <v>0.78313023418480998</v>
      </c>
      <c r="F996">
        <v>0.69232844555640505</v>
      </c>
      <c r="G996">
        <v>0.486124631537871</v>
      </c>
      <c r="H996">
        <v>0.32654072268998602</v>
      </c>
      <c r="I996">
        <v>0.18522075540345501</v>
      </c>
      <c r="J996">
        <v>0.14360682668102101</v>
      </c>
      <c r="K996">
        <v>0.13341820476394101</v>
      </c>
      <c r="L996">
        <v>589.24636498008101</v>
      </c>
      <c r="M996">
        <v>10.443977704637399</v>
      </c>
      <c r="N996">
        <v>56.419731459565902</v>
      </c>
      <c r="O996">
        <v>54.468893612713501</v>
      </c>
      <c r="P996">
        <v>-4.7955244768530303E-2</v>
      </c>
      <c r="Q996">
        <v>0</v>
      </c>
      <c r="R996">
        <v>0.99474117187402</v>
      </c>
      <c r="S996" t="s">
        <v>5736</v>
      </c>
      <c r="T996" t="s">
        <v>9478</v>
      </c>
      <c r="U996" t="s">
        <v>9478</v>
      </c>
      <c r="V996" t="s">
        <v>9478</v>
      </c>
      <c r="W996">
        <v>12</v>
      </c>
      <c r="X996" t="s">
        <v>10474</v>
      </c>
      <c r="Y996">
        <v>0.56642538111600904</v>
      </c>
      <c r="Z996" t="str">
        <f>HYPERLINK("Melting_Curves/meltCurve_sp_P29353_7_SHC1_HUMAN_.pdf", "Melting_Curves/meltCurve_sp_P29353_7_SHC1_HUMAN_.pdf")</f>
        <v>Melting_Curves/meltCurve_sp_P29353_7_SHC1_HUMAN_.pdf</v>
      </c>
      <c r="AA996" t="s">
        <v>15196</v>
      </c>
      <c r="AB996" t="s">
        <v>19831</v>
      </c>
    </row>
    <row r="997" spans="1:28" x14ac:dyDescent="0.25">
      <c r="A997" t="s">
        <v>1001</v>
      </c>
      <c r="B997">
        <v>0.99904790336628502</v>
      </c>
      <c r="C997">
        <v>0.92412274121028104</v>
      </c>
      <c r="D997">
        <v>0.75301247071828303</v>
      </c>
      <c r="E997">
        <v>0.46148413990142001</v>
      </c>
      <c r="F997">
        <v>0.25148414456962698</v>
      </c>
      <c r="G997">
        <v>8.0830284245903494E-2</v>
      </c>
      <c r="H997">
        <v>9.0515208854773002E-2</v>
      </c>
      <c r="I997">
        <v>4.6516705637582499E-2</v>
      </c>
      <c r="J997">
        <v>2.09168109540336E-2</v>
      </c>
      <c r="K997">
        <v>9.0807555252689093E-3</v>
      </c>
      <c r="L997">
        <v>810.625509474301</v>
      </c>
      <c r="M997">
        <v>16.451328840444699</v>
      </c>
      <c r="N997">
        <v>49.367477722035602</v>
      </c>
      <c r="O997">
        <v>48.563370160521998</v>
      </c>
      <c r="P997">
        <v>-8.3399406911383103E-2</v>
      </c>
      <c r="Q997">
        <v>1.5308443496727E-2</v>
      </c>
      <c r="R997">
        <v>0.997672004082088</v>
      </c>
      <c r="S997" t="s">
        <v>5737</v>
      </c>
      <c r="T997" t="s">
        <v>9478</v>
      </c>
      <c r="U997" t="s">
        <v>9478</v>
      </c>
      <c r="V997" t="s">
        <v>9478</v>
      </c>
      <c r="W997">
        <v>3</v>
      </c>
      <c r="X997" t="s">
        <v>10475</v>
      </c>
      <c r="Y997">
        <v>0.33993087709140818</v>
      </c>
      <c r="Z997" t="str">
        <f>HYPERLINK("Melting_Curves/meltCurve_sp_P29372_5_3MG_HUMAN_.pdf", "Melting_Curves/meltCurve_sp_P29372_5_3MG_HUMAN_.pdf")</f>
        <v>Melting_Curves/meltCurve_sp_P29372_5_3MG_HUMAN_.pdf</v>
      </c>
      <c r="AA997" t="s">
        <v>15197</v>
      </c>
      <c r="AB997" t="s">
        <v>19832</v>
      </c>
    </row>
    <row r="998" spans="1:28" x14ac:dyDescent="0.25">
      <c r="A998" t="s">
        <v>1002</v>
      </c>
      <c r="B998">
        <v>0.99904790336628502</v>
      </c>
      <c r="C998">
        <v>1.0071666428513799</v>
      </c>
      <c r="D998">
        <v>1.16712985514861</v>
      </c>
      <c r="E998">
        <v>0.96047266531377296</v>
      </c>
      <c r="F998">
        <v>0.92102046506480595</v>
      </c>
      <c r="G998">
        <v>0.73400086571870704</v>
      </c>
      <c r="H998">
        <v>0.64615114223986103</v>
      </c>
      <c r="I998">
        <v>0.46548295683560797</v>
      </c>
      <c r="J998">
        <v>0.56598054140800402</v>
      </c>
      <c r="K998">
        <v>0.62216246337972303</v>
      </c>
      <c r="L998">
        <v>1530.0645230340299</v>
      </c>
      <c r="M998">
        <v>27.266208060315002</v>
      </c>
      <c r="O998">
        <v>55.816533231072398</v>
      </c>
      <c r="P998">
        <v>-5.4000715390807502E-2</v>
      </c>
      <c r="Q998">
        <v>0.55782568639112795</v>
      </c>
      <c r="R998">
        <v>0.90427921925779498</v>
      </c>
      <c r="S998" t="s">
        <v>5738</v>
      </c>
      <c r="T998" t="s">
        <v>9478</v>
      </c>
      <c r="U998" t="s">
        <v>9478</v>
      </c>
      <c r="V998" t="s">
        <v>9478</v>
      </c>
      <c r="W998">
        <v>4</v>
      </c>
      <c r="X998" t="s">
        <v>10476</v>
      </c>
      <c r="Y998">
        <v>0.79885628883128557</v>
      </c>
      <c r="Z998" t="str">
        <f>HYPERLINK("Melting_Curves/meltCurve_sp_P29374_3_ARI4A_HUMAN_.pdf", "Melting_Curves/meltCurve_sp_P29374_3_ARI4A_HUMAN_.pdf")</f>
        <v>Melting_Curves/meltCurve_sp_P29374_3_ARI4A_HUMAN_.pdf</v>
      </c>
      <c r="AA998" t="s">
        <v>15198</v>
      </c>
      <c r="AB998" t="s">
        <v>19833</v>
      </c>
    </row>
    <row r="999" spans="1:28" x14ac:dyDescent="0.25">
      <c r="A999" t="s">
        <v>1003</v>
      </c>
      <c r="B999">
        <v>0.99904790336628502</v>
      </c>
      <c r="C999">
        <v>1.00099642720316</v>
      </c>
      <c r="D999">
        <v>1.05168817245082</v>
      </c>
      <c r="E999">
        <v>1.0764103526728901</v>
      </c>
      <c r="F999">
        <v>0.99978254873797001</v>
      </c>
      <c r="G999">
        <v>0.94336703103405495</v>
      </c>
      <c r="H999">
        <v>0.75603801622356304</v>
      </c>
      <c r="I999">
        <v>0.73295869203036301</v>
      </c>
      <c r="J999">
        <v>0.57364445492250205</v>
      </c>
      <c r="K999">
        <v>0.21748521918434499</v>
      </c>
      <c r="L999">
        <v>1219.0046439677401</v>
      </c>
      <c r="M999">
        <v>18.244243259942699</v>
      </c>
      <c r="N999">
        <v>66.815851418044602</v>
      </c>
      <c r="O999">
        <v>66.028645411583099</v>
      </c>
      <c r="P999">
        <v>-6.9080256920326696E-2</v>
      </c>
      <c r="Q999">
        <v>0</v>
      </c>
      <c r="R999">
        <v>0.94770184653432898</v>
      </c>
      <c r="S999" t="s">
        <v>5739</v>
      </c>
      <c r="T999" t="s">
        <v>9478</v>
      </c>
      <c r="U999" t="s">
        <v>9478</v>
      </c>
      <c r="V999" t="s">
        <v>9478</v>
      </c>
      <c r="W999">
        <v>41</v>
      </c>
      <c r="X999" t="s">
        <v>10477</v>
      </c>
      <c r="Y999">
        <v>0.86082571616475312</v>
      </c>
      <c r="Z999" t="str">
        <f>HYPERLINK("Melting_Curves/meltCurve_sp_P29401_TKT_HUMAN_.pdf", "Melting_Curves/meltCurve_sp_P29401_TKT_HUMAN_.pdf")</f>
        <v>Melting_Curves/meltCurve_sp_P29401_TKT_HUMAN_.pdf</v>
      </c>
      <c r="AA999" t="s">
        <v>15199</v>
      </c>
      <c r="AB999" t="s">
        <v>19834</v>
      </c>
    </row>
    <row r="1000" spans="1:28" x14ac:dyDescent="0.25">
      <c r="A1000" t="s">
        <v>1004</v>
      </c>
      <c r="B1000">
        <v>0.99904790336628502</v>
      </c>
      <c r="C1000">
        <v>1.0074061065772499</v>
      </c>
      <c r="D1000">
        <v>1.0415189639493301</v>
      </c>
      <c r="E1000">
        <v>0.98813597711034495</v>
      </c>
      <c r="F1000">
        <v>0.928582722135883</v>
      </c>
      <c r="G1000">
        <v>0.67390237960191401</v>
      </c>
      <c r="H1000">
        <v>0.46007251275526501</v>
      </c>
      <c r="I1000">
        <v>0.372338958620129</v>
      </c>
      <c r="J1000">
        <v>0.35684734346589703</v>
      </c>
      <c r="K1000">
        <v>0.30898566548713902</v>
      </c>
      <c r="L1000">
        <v>1391.6722742429099</v>
      </c>
      <c r="M1000">
        <v>24.2615356692463</v>
      </c>
      <c r="N1000">
        <v>59.894290690649399</v>
      </c>
      <c r="O1000">
        <v>56.975819015399502</v>
      </c>
      <c r="P1000">
        <v>-7.2306457896594303E-2</v>
      </c>
      <c r="Q1000">
        <v>0.32079200827486898</v>
      </c>
      <c r="R1000">
        <v>0.99656787513243295</v>
      </c>
      <c r="S1000" t="s">
        <v>5740</v>
      </c>
      <c r="T1000" t="s">
        <v>9478</v>
      </c>
      <c r="U1000" t="s">
        <v>9478</v>
      </c>
      <c r="V1000" t="s">
        <v>9478</v>
      </c>
      <c r="W1000">
        <v>16</v>
      </c>
      <c r="X1000" t="s">
        <v>10478</v>
      </c>
      <c r="Y1000">
        <v>0.72018396799957685</v>
      </c>
      <c r="Z1000" t="str">
        <f>HYPERLINK("Melting_Curves/meltCurve_sp_P29590_PML_HUMAN_.pdf", "Melting_Curves/meltCurve_sp_P29590_PML_HUMAN_.pdf")</f>
        <v>Melting_Curves/meltCurve_sp_P29590_PML_HUMAN_.pdf</v>
      </c>
      <c r="AA1000" t="s">
        <v>15200</v>
      </c>
      <c r="AB1000" t="s">
        <v>19835</v>
      </c>
    </row>
    <row r="1001" spans="1:28" x14ac:dyDescent="0.25">
      <c r="A1001" t="s">
        <v>1005</v>
      </c>
      <c r="B1001">
        <v>0.99904790336628502</v>
      </c>
      <c r="C1001">
        <v>1.44209902929417</v>
      </c>
      <c r="D1001">
        <v>1.2059568576761599</v>
      </c>
      <c r="E1001">
        <v>0.85026957665694003</v>
      </c>
      <c r="F1001">
        <v>0.66731584009941403</v>
      </c>
      <c r="G1001">
        <v>0.46028275728336698</v>
      </c>
      <c r="H1001">
        <v>0.43206711607777498</v>
      </c>
      <c r="I1001">
        <v>0.52213147728439602</v>
      </c>
      <c r="J1001">
        <v>0.576589973877771</v>
      </c>
      <c r="K1001">
        <v>0.51978152219079699</v>
      </c>
      <c r="L1001">
        <v>2019.8328634657501</v>
      </c>
      <c r="M1001">
        <v>39.136832130071497</v>
      </c>
      <c r="O1001">
        <v>51.475309937164397</v>
      </c>
      <c r="P1001">
        <v>-9.4419710459522105E-2</v>
      </c>
      <c r="Q1001">
        <v>0.50325322716890697</v>
      </c>
      <c r="R1001">
        <v>0.76292125721312998</v>
      </c>
      <c r="S1001" t="s">
        <v>5741</v>
      </c>
      <c r="T1001" t="s">
        <v>9478</v>
      </c>
      <c r="U1001" t="s">
        <v>9478</v>
      </c>
      <c r="V1001" t="s">
        <v>9478</v>
      </c>
      <c r="W1001">
        <v>15</v>
      </c>
      <c r="X1001" t="s">
        <v>10479</v>
      </c>
      <c r="Y1001">
        <v>0.69733722967715872</v>
      </c>
      <c r="Z1001" t="str">
        <f>HYPERLINK("Melting_Curves/meltCurve_sp_P29692_3_EF1D_HUMAN_.pdf", "Melting_Curves/meltCurve_sp_P29692_3_EF1D_HUMAN_.pdf")</f>
        <v>Melting_Curves/meltCurve_sp_P29692_3_EF1D_HUMAN_.pdf</v>
      </c>
      <c r="AA1001" t="s">
        <v>15201</v>
      </c>
      <c r="AB1001" t="s">
        <v>19836</v>
      </c>
    </row>
    <row r="1002" spans="1:28" x14ac:dyDescent="0.25">
      <c r="A1002" t="s">
        <v>1006</v>
      </c>
      <c r="B1002">
        <v>0.99904790336628502</v>
      </c>
      <c r="C1002">
        <v>0.99819134177133595</v>
      </c>
      <c r="D1002">
        <v>0.85960204274169205</v>
      </c>
      <c r="E1002">
        <v>1.04067011852981</v>
      </c>
      <c r="F1002">
        <v>0.79718493724741801</v>
      </c>
      <c r="G1002">
        <v>0.82051104208352899</v>
      </c>
      <c r="H1002">
        <v>0.65153849948426501</v>
      </c>
      <c r="I1002">
        <v>0.803055403754246</v>
      </c>
      <c r="J1002">
        <v>0.81119432076478104</v>
      </c>
      <c r="K1002">
        <v>0.77877059583129504</v>
      </c>
      <c r="L1002">
        <v>13137.265163644</v>
      </c>
      <c r="M1002">
        <v>250</v>
      </c>
      <c r="O1002">
        <v>52.545675594058999</v>
      </c>
      <c r="P1002">
        <v>-0.26998670836440097</v>
      </c>
      <c r="Q1002">
        <v>0.77301375955145302</v>
      </c>
      <c r="R1002">
        <v>0.69131763244551503</v>
      </c>
      <c r="S1002" t="s">
        <v>5742</v>
      </c>
      <c r="T1002" t="s">
        <v>9478</v>
      </c>
      <c r="U1002" t="s">
        <v>9478</v>
      </c>
      <c r="V1002" t="s">
        <v>9478</v>
      </c>
      <c r="W1002">
        <v>2</v>
      </c>
      <c r="X1002" t="s">
        <v>10480</v>
      </c>
      <c r="Y1002">
        <v>0.8679834961591536</v>
      </c>
      <c r="Z1002" t="str">
        <f>HYPERLINK("Melting_Curves/meltCurve_sp_P29966_MARCS_HUMAN_.pdf", "Melting_Curves/meltCurve_sp_P29966_MARCS_HUMAN_.pdf")</f>
        <v>Melting_Curves/meltCurve_sp_P29966_MARCS_HUMAN_.pdf</v>
      </c>
      <c r="AA1002" t="s">
        <v>15202</v>
      </c>
      <c r="AB1002" t="s">
        <v>19837</v>
      </c>
    </row>
    <row r="1003" spans="1:28" x14ac:dyDescent="0.25">
      <c r="A1003" t="s">
        <v>1007</v>
      </c>
      <c r="B1003">
        <v>0.99904790336628502</v>
      </c>
      <c r="C1003">
        <v>0.67376495993733698</v>
      </c>
      <c r="D1003">
        <v>0.24070460500365401</v>
      </c>
      <c r="E1003">
        <v>0.120814877607844</v>
      </c>
      <c r="F1003">
        <v>5.7585757416182701E-2</v>
      </c>
      <c r="G1003">
        <v>3.6899243699175598E-2</v>
      </c>
      <c r="H1003">
        <v>2.44965608709307E-2</v>
      </c>
      <c r="I1003">
        <v>1.9552101887790999E-2</v>
      </c>
      <c r="J1003">
        <v>1.90228675817832E-2</v>
      </c>
      <c r="K1003">
        <v>1.6866913140297E-2</v>
      </c>
      <c r="L1003">
        <v>1278.7848711354</v>
      </c>
      <c r="M1003">
        <v>29.0710490605817</v>
      </c>
      <c r="N1003">
        <v>44.100533164663403</v>
      </c>
      <c r="O1003">
        <v>43.781690681914696</v>
      </c>
      <c r="P1003">
        <v>-0.16008033499848401</v>
      </c>
      <c r="Q1003">
        <v>3.56679735925573E-2</v>
      </c>
      <c r="R1003">
        <v>0.99313801325286899</v>
      </c>
      <c r="S1003" t="s">
        <v>5743</v>
      </c>
      <c r="T1003" t="s">
        <v>9478</v>
      </c>
      <c r="U1003" t="s">
        <v>9478</v>
      </c>
      <c r="V1003" t="s">
        <v>9478</v>
      </c>
      <c r="W1003">
        <v>30</v>
      </c>
      <c r="X1003" t="s">
        <v>10481</v>
      </c>
      <c r="Y1003">
        <v>0.1714951607444839</v>
      </c>
      <c r="Z1003" t="str">
        <f>HYPERLINK("Melting_Curves/meltCurve_sp_P30038_AL4A1_HUMAN_.pdf", "Melting_Curves/meltCurve_sp_P30038_AL4A1_HUMAN_.pdf")</f>
        <v>Melting_Curves/meltCurve_sp_P30038_AL4A1_HUMAN_.pdf</v>
      </c>
      <c r="AA1003" t="s">
        <v>15203</v>
      </c>
      <c r="AB1003" t="s">
        <v>19838</v>
      </c>
    </row>
    <row r="1004" spans="1:28" x14ac:dyDescent="0.25">
      <c r="A1004" t="s">
        <v>1008</v>
      </c>
      <c r="B1004">
        <v>0.99904790336628502</v>
      </c>
      <c r="C1004">
        <v>1.0399833665021501</v>
      </c>
      <c r="D1004">
        <v>1.05163689823267</v>
      </c>
      <c r="E1004">
        <v>1.0054052286849999</v>
      </c>
      <c r="F1004">
        <v>0.93430621343378295</v>
      </c>
      <c r="G1004">
        <v>0.54391710139275595</v>
      </c>
      <c r="H1004">
        <v>0.140025826174937</v>
      </c>
      <c r="I1004">
        <v>6.1120601795369503E-2</v>
      </c>
      <c r="J1004">
        <v>4.0513915960459598E-2</v>
      </c>
      <c r="K1004">
        <v>3.3777542899810699E-2</v>
      </c>
      <c r="L1004">
        <v>1920.2180700231199</v>
      </c>
      <c r="M1004">
        <v>33.574072557394601</v>
      </c>
      <c r="N1004">
        <v>57.311563072044898</v>
      </c>
      <c r="O1004">
        <v>56.991718399822197</v>
      </c>
      <c r="P1004">
        <v>-0.14235499980271499</v>
      </c>
      <c r="Q1004">
        <v>3.34181480617863E-2</v>
      </c>
      <c r="R1004">
        <v>0.99772708671824395</v>
      </c>
      <c r="S1004" t="s">
        <v>5744</v>
      </c>
      <c r="T1004" t="s">
        <v>9478</v>
      </c>
      <c r="U1004" t="s">
        <v>9478</v>
      </c>
      <c r="V1004" t="s">
        <v>9478</v>
      </c>
      <c r="W1004">
        <v>19</v>
      </c>
      <c r="X1004" t="s">
        <v>10482</v>
      </c>
      <c r="Y1004">
        <v>0.59263662520571436</v>
      </c>
      <c r="Z1004" t="str">
        <f>HYPERLINK("Melting_Curves/meltCurve_sp_P30039_PBLD_HUMAN_.pdf", "Melting_Curves/meltCurve_sp_P30039_PBLD_HUMAN_.pdf")</f>
        <v>Melting_Curves/meltCurve_sp_P30039_PBLD_HUMAN_.pdf</v>
      </c>
      <c r="AA1004" t="s">
        <v>15204</v>
      </c>
      <c r="AB1004" t="s">
        <v>19839</v>
      </c>
    </row>
    <row r="1005" spans="1:28" x14ac:dyDescent="0.25">
      <c r="A1005" t="s">
        <v>1009</v>
      </c>
      <c r="B1005">
        <v>0.99904790336628502</v>
      </c>
      <c r="C1005">
        <v>1.01549450289606</v>
      </c>
      <c r="D1005">
        <v>1.0339372510222999</v>
      </c>
      <c r="E1005">
        <v>0.99733484045925103</v>
      </c>
      <c r="F1005">
        <v>0.79650240072905898</v>
      </c>
      <c r="G1005">
        <v>0.39058027039969201</v>
      </c>
      <c r="H1005">
        <v>0.25090273700471599</v>
      </c>
      <c r="I1005">
        <v>0.22595694558080001</v>
      </c>
      <c r="J1005">
        <v>0.22594093118318501</v>
      </c>
      <c r="K1005">
        <v>0.20869590575989899</v>
      </c>
      <c r="L1005">
        <v>1828.2573476146599</v>
      </c>
      <c r="M1005">
        <v>33.379512727444599</v>
      </c>
      <c r="N1005">
        <v>55.739367589102102</v>
      </c>
      <c r="O1005">
        <v>54.576375466174298</v>
      </c>
      <c r="P1005">
        <v>-0.119282428681365</v>
      </c>
      <c r="Q1005">
        <v>0.219883770951778</v>
      </c>
      <c r="R1005">
        <v>0.99800437509575701</v>
      </c>
      <c r="S1005" t="s">
        <v>5745</v>
      </c>
      <c r="T1005" t="s">
        <v>9478</v>
      </c>
      <c r="U1005" t="s">
        <v>9478</v>
      </c>
      <c r="V1005" t="s">
        <v>9478</v>
      </c>
      <c r="W1005">
        <v>14</v>
      </c>
      <c r="X1005" t="s">
        <v>10483</v>
      </c>
      <c r="Y1005">
        <v>0.60821494289593703</v>
      </c>
      <c r="Z1005" t="str">
        <f>HYPERLINK("Melting_Curves/meltCurve_sp_P30040_ERP29_HUMAN_.pdf", "Melting_Curves/meltCurve_sp_P30040_ERP29_HUMAN_.pdf")</f>
        <v>Melting_Curves/meltCurve_sp_P30040_ERP29_HUMAN_.pdf</v>
      </c>
      <c r="AA1005" t="s">
        <v>15205</v>
      </c>
      <c r="AB1005" t="s">
        <v>19840</v>
      </c>
    </row>
    <row r="1006" spans="1:28" x14ac:dyDescent="0.25">
      <c r="A1006" t="s">
        <v>1010</v>
      </c>
      <c r="B1006">
        <v>0.99904790336628502</v>
      </c>
      <c r="C1006">
        <v>1.0753555106677599</v>
      </c>
      <c r="D1006">
        <v>1.0304418093344201</v>
      </c>
      <c r="E1006">
        <v>0.98594278356111098</v>
      </c>
      <c r="F1006">
        <v>0.88085597553921102</v>
      </c>
      <c r="G1006">
        <v>0.49184338487821699</v>
      </c>
      <c r="H1006">
        <v>0.16646187457132799</v>
      </c>
      <c r="I1006">
        <v>7.1469744036210398E-2</v>
      </c>
      <c r="J1006">
        <v>4.0209868376382699E-2</v>
      </c>
      <c r="K1006">
        <v>2.8009639358225601E-2</v>
      </c>
      <c r="L1006">
        <v>1536.7360718607499</v>
      </c>
      <c r="M1006">
        <v>27.027190206907399</v>
      </c>
      <c r="N1006">
        <v>56.968551334479898</v>
      </c>
      <c r="O1006">
        <v>56.550348066658799</v>
      </c>
      <c r="P1006">
        <v>-0.11645545227895999</v>
      </c>
      <c r="Q1006">
        <v>2.5347241730972501E-2</v>
      </c>
      <c r="R1006">
        <v>0.99639236536887099</v>
      </c>
      <c r="S1006" t="s">
        <v>5746</v>
      </c>
      <c r="T1006" t="s">
        <v>9478</v>
      </c>
      <c r="U1006" t="s">
        <v>9478</v>
      </c>
      <c r="V1006" t="s">
        <v>9478</v>
      </c>
      <c r="W1006">
        <v>20</v>
      </c>
      <c r="X1006" t="s">
        <v>10484</v>
      </c>
      <c r="Y1006">
        <v>0.58083547422086146</v>
      </c>
      <c r="Z1006" t="str">
        <f>HYPERLINK("Melting_Curves/meltCurve_sp_P30041_PRDX6_HUMAN_.pdf", "Melting_Curves/meltCurve_sp_P30041_PRDX6_HUMAN_.pdf")</f>
        <v>Melting_Curves/meltCurve_sp_P30041_PRDX6_HUMAN_.pdf</v>
      </c>
      <c r="AA1006" t="s">
        <v>15206</v>
      </c>
      <c r="AB1006" t="s">
        <v>19841</v>
      </c>
    </row>
    <row r="1007" spans="1:28" x14ac:dyDescent="0.25">
      <c r="A1007" t="s">
        <v>1011</v>
      </c>
      <c r="B1007">
        <v>0.99904790336628502</v>
      </c>
      <c r="C1007">
        <v>1.04814192284274</v>
      </c>
      <c r="D1007">
        <v>1.07453611763881</v>
      </c>
      <c r="E1007">
        <v>1.0376710592415099</v>
      </c>
      <c r="F1007">
        <v>1.07427487947178</v>
      </c>
      <c r="G1007">
        <v>0.88434398451803098</v>
      </c>
      <c r="H1007">
        <v>0.79451171382203101</v>
      </c>
      <c r="I1007">
        <v>0.763195259735301</v>
      </c>
      <c r="J1007">
        <v>0.73169433323491295</v>
      </c>
      <c r="K1007">
        <v>0.59418530005973202</v>
      </c>
      <c r="L1007">
        <v>1052.65032834368</v>
      </c>
      <c r="M1007">
        <v>16.881068261842099</v>
      </c>
      <c r="O1007">
        <v>61.5015135626616</v>
      </c>
      <c r="P1007">
        <v>-2.8918855256486398E-2</v>
      </c>
      <c r="Q1007">
        <v>0.57859525089108299</v>
      </c>
      <c r="R1007">
        <v>0.89753779941988798</v>
      </c>
      <c r="S1007" t="s">
        <v>5747</v>
      </c>
      <c r="T1007" t="s">
        <v>9478</v>
      </c>
      <c r="U1007" t="s">
        <v>9478</v>
      </c>
      <c r="V1007" t="s">
        <v>9478</v>
      </c>
      <c r="W1007">
        <v>21</v>
      </c>
      <c r="X1007" t="s">
        <v>10485</v>
      </c>
      <c r="Y1007">
        <v>0.89199079087388278</v>
      </c>
      <c r="Z1007" t="str">
        <f>HYPERLINK("Melting_Curves/meltCurve_sp_P30042_ES1_HUMAN_.pdf", "Melting_Curves/meltCurve_sp_P30042_ES1_HUMAN_.pdf")</f>
        <v>Melting_Curves/meltCurve_sp_P30042_ES1_HUMAN_.pdf</v>
      </c>
      <c r="AA1007" t="s">
        <v>15207</v>
      </c>
      <c r="AB1007" t="s">
        <v>19842</v>
      </c>
    </row>
    <row r="1008" spans="1:28" x14ac:dyDescent="0.25">
      <c r="A1008" t="s">
        <v>1012</v>
      </c>
      <c r="B1008">
        <v>0.99904790336628502</v>
      </c>
      <c r="C1008">
        <v>0.97636392617749601</v>
      </c>
      <c r="D1008">
        <v>0.87808861545444905</v>
      </c>
      <c r="E1008">
        <v>0.546291025476067</v>
      </c>
      <c r="F1008">
        <v>0.249764316785718</v>
      </c>
      <c r="G1008">
        <v>0.152163060866738</v>
      </c>
      <c r="H1008">
        <v>8.2993220093642101E-2</v>
      </c>
      <c r="I1008">
        <v>5.3954716210035801E-2</v>
      </c>
      <c r="J1008">
        <v>4.2627203443257697E-2</v>
      </c>
      <c r="K1008">
        <v>3.5752758729236903E-2</v>
      </c>
      <c r="L1008">
        <v>1064.7813241532599</v>
      </c>
      <c r="M1008">
        <v>21.2415489225803</v>
      </c>
      <c r="N1008">
        <v>50.369895581258803</v>
      </c>
      <c r="O1008">
        <v>49.689360460521897</v>
      </c>
      <c r="P1008">
        <v>-0.10167773323153299</v>
      </c>
      <c r="Q1008">
        <v>4.8624565325317802E-2</v>
      </c>
      <c r="R1008">
        <v>0.99824978131081099</v>
      </c>
      <c r="S1008" t="s">
        <v>5748</v>
      </c>
      <c r="T1008" t="s">
        <v>9478</v>
      </c>
      <c r="U1008" t="s">
        <v>9478</v>
      </c>
      <c r="V1008" t="s">
        <v>9478</v>
      </c>
      <c r="W1008">
        <v>11</v>
      </c>
      <c r="X1008" t="s">
        <v>10486</v>
      </c>
      <c r="Y1008">
        <v>0.38155581538128169</v>
      </c>
      <c r="Z1008" t="str">
        <f>HYPERLINK("Melting_Curves/meltCurve_sp_P30043_BLVRB_HUMAN_.pdf", "Melting_Curves/meltCurve_sp_P30043_BLVRB_HUMAN_.pdf")</f>
        <v>Melting_Curves/meltCurve_sp_P30043_BLVRB_HUMAN_.pdf</v>
      </c>
      <c r="AA1008" t="s">
        <v>15208</v>
      </c>
      <c r="AB1008" t="s">
        <v>19843</v>
      </c>
    </row>
    <row r="1009" spans="1:28" x14ac:dyDescent="0.25">
      <c r="A1009" t="s">
        <v>1013</v>
      </c>
      <c r="B1009">
        <v>0.99904790336628502</v>
      </c>
      <c r="C1009">
        <v>1.0098544410863499</v>
      </c>
      <c r="D1009">
        <v>0.97198625681066497</v>
      </c>
      <c r="E1009">
        <v>0.98395922550533299</v>
      </c>
      <c r="F1009">
        <v>0.96147742113345103</v>
      </c>
      <c r="G1009">
        <v>0.70643695033564702</v>
      </c>
      <c r="H1009">
        <v>0.38839124609967002</v>
      </c>
      <c r="I1009">
        <v>0.22613129066460599</v>
      </c>
      <c r="J1009">
        <v>0.16375649997703701</v>
      </c>
      <c r="K1009">
        <v>0.11870344300571301</v>
      </c>
      <c r="L1009">
        <v>1375.9159763602299</v>
      </c>
      <c r="M1009">
        <v>23.3567733865208</v>
      </c>
      <c r="N1009">
        <v>59.514056163047997</v>
      </c>
      <c r="O1009">
        <v>58.481924591206102</v>
      </c>
      <c r="P1009">
        <v>-8.9289995257252106E-2</v>
      </c>
      <c r="Q1009">
        <v>0.10573969646084599</v>
      </c>
      <c r="R1009">
        <v>0.99873639362896105</v>
      </c>
      <c r="S1009" t="s">
        <v>5749</v>
      </c>
      <c r="T1009" t="s">
        <v>9478</v>
      </c>
      <c r="U1009" t="s">
        <v>9478</v>
      </c>
      <c r="V1009" t="s">
        <v>9478</v>
      </c>
      <c r="W1009">
        <v>8</v>
      </c>
      <c r="X1009" t="s">
        <v>10487</v>
      </c>
      <c r="Y1009">
        <v>0.67734927796182753</v>
      </c>
      <c r="Z1009" t="str">
        <f>HYPERLINK("Melting_Curves/meltCurve_sp_P30044_2_PRDX5_HUMAN_.pdf", "Melting_Curves/meltCurve_sp_P30044_2_PRDX5_HUMAN_.pdf")</f>
        <v>Melting_Curves/meltCurve_sp_P30044_2_PRDX5_HUMAN_.pdf</v>
      </c>
      <c r="AA1009" t="s">
        <v>15209</v>
      </c>
      <c r="AB1009" t="s">
        <v>19844</v>
      </c>
    </row>
    <row r="1010" spans="1:28" x14ac:dyDescent="0.25">
      <c r="A1010" t="s">
        <v>1014</v>
      </c>
      <c r="B1010">
        <v>0.99904790336628502</v>
      </c>
      <c r="C1010">
        <v>1.02541445229075</v>
      </c>
      <c r="D1010">
        <v>0.97355806186220695</v>
      </c>
      <c r="E1010">
        <v>1.0016933916322499</v>
      </c>
      <c r="F1010">
        <v>0.87168098337727795</v>
      </c>
      <c r="G1010">
        <v>0.76190580350682502</v>
      </c>
      <c r="H1010">
        <v>0.54277858675091295</v>
      </c>
      <c r="I1010">
        <v>0.44659771893373901</v>
      </c>
      <c r="J1010">
        <v>0.36989864377456</v>
      </c>
      <c r="K1010">
        <v>0.221461241145649</v>
      </c>
      <c r="L1010">
        <v>767.92007544564694</v>
      </c>
      <c r="M1010">
        <v>12.4524677259336</v>
      </c>
      <c r="N1010">
        <v>62.544365095190699</v>
      </c>
      <c r="O1010">
        <v>60.142501476798998</v>
      </c>
      <c r="P1010">
        <v>-4.76289433682461E-2</v>
      </c>
      <c r="Q1010">
        <v>8.00455840916173E-2</v>
      </c>
      <c r="R1010">
        <v>0.99093591998401498</v>
      </c>
      <c r="S1010" t="s">
        <v>5750</v>
      </c>
      <c r="T1010" t="s">
        <v>9478</v>
      </c>
      <c r="U1010" t="s">
        <v>9478</v>
      </c>
      <c r="V1010" t="s">
        <v>9478</v>
      </c>
      <c r="W1010">
        <v>10</v>
      </c>
      <c r="X1010" t="s">
        <v>10488</v>
      </c>
      <c r="Y1010">
        <v>0.73784243578108255</v>
      </c>
      <c r="Z1010" t="str">
        <f>HYPERLINK("Melting_Curves/meltCurve_sp_P30046_DOPD_HUMAN_.pdf", "Melting_Curves/meltCurve_sp_P30046_DOPD_HUMAN_.pdf")</f>
        <v>Melting_Curves/meltCurve_sp_P30046_DOPD_HUMAN_.pdf</v>
      </c>
      <c r="AA1010" t="s">
        <v>15210</v>
      </c>
      <c r="AB1010" t="s">
        <v>19845</v>
      </c>
    </row>
    <row r="1011" spans="1:28" x14ac:dyDescent="0.25">
      <c r="A1011" t="s">
        <v>1015</v>
      </c>
      <c r="B1011">
        <v>0.99904790336628502</v>
      </c>
      <c r="C1011">
        <v>0.91787780029210397</v>
      </c>
      <c r="D1011">
        <v>0.898832274838268</v>
      </c>
      <c r="E1011">
        <v>0.94125771749243403</v>
      </c>
      <c r="F1011">
        <v>0.79470670271962496</v>
      </c>
      <c r="G1011">
        <v>0.82851065303935301</v>
      </c>
      <c r="H1011">
        <v>0.62925019358813195</v>
      </c>
      <c r="I1011">
        <v>0.55756760106297298</v>
      </c>
      <c r="J1011">
        <v>0.50875093209853495</v>
      </c>
      <c r="K1011">
        <v>0.44131875199690201</v>
      </c>
      <c r="L1011">
        <v>411.93993771510202</v>
      </c>
      <c r="M1011">
        <v>6.1227872588736103</v>
      </c>
      <c r="N1011">
        <v>67.279805795021602</v>
      </c>
      <c r="O1011">
        <v>61.162870218813602</v>
      </c>
      <c r="P1011">
        <v>-2.5101952632357701E-2</v>
      </c>
      <c r="Q1011">
        <v>0</v>
      </c>
      <c r="R1011">
        <v>0.95500908361121395</v>
      </c>
      <c r="S1011" t="s">
        <v>5751</v>
      </c>
      <c r="T1011" t="s">
        <v>9478</v>
      </c>
      <c r="U1011" t="s">
        <v>9478</v>
      </c>
      <c r="V1011" t="s">
        <v>9478</v>
      </c>
      <c r="W1011">
        <v>7</v>
      </c>
      <c r="X1011" t="s">
        <v>10489</v>
      </c>
      <c r="Y1011">
        <v>0.76572023184180682</v>
      </c>
      <c r="Z1011" t="str">
        <f>HYPERLINK("Melting_Curves/meltCurve_sp_P30047_GFRP_HUMAN_.pdf", "Melting_Curves/meltCurve_sp_P30047_GFRP_HUMAN_.pdf")</f>
        <v>Melting_Curves/meltCurve_sp_P30047_GFRP_HUMAN_.pdf</v>
      </c>
      <c r="AA1011" t="s">
        <v>15211</v>
      </c>
      <c r="AB1011" t="s">
        <v>19846</v>
      </c>
    </row>
    <row r="1012" spans="1:28" x14ac:dyDescent="0.25">
      <c r="A1012" t="s">
        <v>1016</v>
      </c>
      <c r="B1012">
        <v>0.99904790336628502</v>
      </c>
      <c r="C1012">
        <v>0.99808460666467702</v>
      </c>
      <c r="D1012">
        <v>0.89706226211838602</v>
      </c>
      <c r="E1012">
        <v>0.90797300199756403</v>
      </c>
      <c r="F1012">
        <v>0.85527870201034295</v>
      </c>
      <c r="G1012">
        <v>0.59687772734380895</v>
      </c>
      <c r="H1012">
        <v>0.733925761441654</v>
      </c>
      <c r="I1012">
        <v>0.565840131318749</v>
      </c>
      <c r="J1012">
        <v>0.64342638059729196</v>
      </c>
      <c r="K1012">
        <v>0.51894965967167095</v>
      </c>
      <c r="L1012">
        <v>618.074079612937</v>
      </c>
      <c r="M1012">
        <v>11.3072568289498</v>
      </c>
      <c r="O1012">
        <v>53.035725893593799</v>
      </c>
      <c r="P1012">
        <v>-2.5041952506792101E-2</v>
      </c>
      <c r="Q1012">
        <v>0.53031390620151297</v>
      </c>
      <c r="R1012">
        <v>0.880096657409148</v>
      </c>
      <c r="S1012" t="s">
        <v>5752</v>
      </c>
      <c r="T1012" t="s">
        <v>9478</v>
      </c>
      <c r="U1012" t="s">
        <v>9478</v>
      </c>
      <c r="V1012" t="s">
        <v>9478</v>
      </c>
      <c r="W1012">
        <v>2</v>
      </c>
      <c r="X1012" t="s">
        <v>10490</v>
      </c>
      <c r="Y1012">
        <v>0.77182514313627038</v>
      </c>
      <c r="Z1012" t="str">
        <f>HYPERLINK("Melting_Curves/meltCurve_sp_P30049_ATPD_HUMAN_.pdf", "Melting_Curves/meltCurve_sp_P30049_ATPD_HUMAN_.pdf")</f>
        <v>Melting_Curves/meltCurve_sp_P30049_ATPD_HUMAN_.pdf</v>
      </c>
      <c r="AA1012" t="s">
        <v>15212</v>
      </c>
      <c r="AB1012" t="s">
        <v>19847</v>
      </c>
    </row>
    <row r="1013" spans="1:28" x14ac:dyDescent="0.25">
      <c r="A1013" t="s">
        <v>1017</v>
      </c>
      <c r="B1013">
        <v>0.99904790336628502</v>
      </c>
      <c r="C1013">
        <v>0.90927877840951499</v>
      </c>
      <c r="D1013">
        <v>0.80054022648811196</v>
      </c>
      <c r="E1013">
        <v>0.39499189255215</v>
      </c>
      <c r="F1013">
        <v>0.28243529783060001</v>
      </c>
      <c r="G1013">
        <v>0.128813289728128</v>
      </c>
      <c r="H1013">
        <v>8.0736458403728797E-2</v>
      </c>
      <c r="I1013">
        <v>5.4282749594853401E-2</v>
      </c>
      <c r="J1013">
        <v>5.5054944426829198E-2</v>
      </c>
      <c r="K1013">
        <v>5.2728394807791602E-2</v>
      </c>
      <c r="L1013">
        <v>865.43091334524104</v>
      </c>
      <c r="M1013">
        <v>17.673317060394101</v>
      </c>
      <c r="N1013">
        <v>49.263563004279803</v>
      </c>
      <c r="O1013">
        <v>48.354200540611203</v>
      </c>
      <c r="P1013">
        <v>-8.6785797641162704E-2</v>
      </c>
      <c r="Q1013">
        <v>5.0266822870980103E-2</v>
      </c>
      <c r="R1013">
        <v>0.99621796330154</v>
      </c>
      <c r="S1013" t="s">
        <v>5753</v>
      </c>
      <c r="T1013" t="s">
        <v>9478</v>
      </c>
      <c r="U1013" t="s">
        <v>9478</v>
      </c>
      <c r="V1013" t="s">
        <v>9478</v>
      </c>
      <c r="W1013">
        <v>1</v>
      </c>
      <c r="X1013" t="s">
        <v>10491</v>
      </c>
      <c r="Y1013">
        <v>0.35125266822970902</v>
      </c>
      <c r="Z1013" t="str">
        <f>HYPERLINK("Melting_Curves/meltCurve_sp_P30050_RL12_HUMAN_.pdf", "Melting_Curves/meltCurve_sp_P30050_RL12_HUMAN_.pdf")</f>
        <v>Melting_Curves/meltCurve_sp_P30050_RL12_HUMAN_.pdf</v>
      </c>
      <c r="AA1013" t="s">
        <v>15213</v>
      </c>
      <c r="AB1013" t="s">
        <v>19848</v>
      </c>
    </row>
    <row r="1014" spans="1:28" x14ac:dyDescent="0.25">
      <c r="A1014" t="s">
        <v>1018</v>
      </c>
      <c r="B1014">
        <v>0.99904790336628502</v>
      </c>
      <c r="C1014">
        <v>0.98728145903053499</v>
      </c>
      <c r="D1014">
        <v>1.10841847937055</v>
      </c>
      <c r="E1014">
        <v>1.02424481856467</v>
      </c>
      <c r="F1014">
        <v>0.49700500487437399</v>
      </c>
      <c r="G1014">
        <v>0.12702332278022499</v>
      </c>
      <c r="H1014">
        <v>5.5915850041800302E-2</v>
      </c>
      <c r="I1014">
        <v>3.2682441121898102E-2</v>
      </c>
      <c r="J1014">
        <v>2.5408147455902402E-2</v>
      </c>
      <c r="K1014">
        <v>1.9218622464636799E-2</v>
      </c>
      <c r="L1014">
        <v>13243.501874851399</v>
      </c>
      <c r="M1014">
        <v>250</v>
      </c>
      <c r="N1014">
        <v>52.997305326932398</v>
      </c>
      <c r="O1014">
        <v>52.970606023802297</v>
      </c>
      <c r="P1014">
        <v>-1.1184860299922299</v>
      </c>
      <c r="Q1014">
        <v>5.2049669376022803E-2</v>
      </c>
      <c r="R1014">
        <v>0.99051699402805105</v>
      </c>
      <c r="S1014" t="s">
        <v>5754</v>
      </c>
      <c r="T1014" t="s">
        <v>9478</v>
      </c>
      <c r="U1014" t="s">
        <v>9478</v>
      </c>
      <c r="V1014" t="s">
        <v>9478</v>
      </c>
      <c r="W1014">
        <v>28</v>
      </c>
      <c r="X1014" t="s">
        <v>10492</v>
      </c>
      <c r="Y1014">
        <v>0.46209495557130081</v>
      </c>
      <c r="Z1014" t="str">
        <f>HYPERLINK("Melting_Curves/meltCurve_sp_P30084_ECHM_HUMAN_.pdf", "Melting_Curves/meltCurve_sp_P30084_ECHM_HUMAN_.pdf")</f>
        <v>Melting_Curves/meltCurve_sp_P30084_ECHM_HUMAN_.pdf</v>
      </c>
      <c r="AA1014" t="s">
        <v>15214</v>
      </c>
      <c r="AB1014" t="s">
        <v>19849</v>
      </c>
    </row>
    <row r="1015" spans="1:28" x14ac:dyDescent="0.25">
      <c r="A1015" t="s">
        <v>1019</v>
      </c>
      <c r="B1015">
        <v>0.99904790336628502</v>
      </c>
      <c r="C1015">
        <v>0.98556101121663398</v>
      </c>
      <c r="D1015">
        <v>0.95571232132191397</v>
      </c>
      <c r="E1015">
        <v>0.82720750601182302</v>
      </c>
      <c r="F1015">
        <v>0.61150489396503704</v>
      </c>
      <c r="G1015">
        <v>0.28764164984111001</v>
      </c>
      <c r="H1015">
        <v>0.184721269585052</v>
      </c>
      <c r="I1015">
        <v>0.144986544189983</v>
      </c>
      <c r="J1015">
        <v>0.15549067297135899</v>
      </c>
      <c r="K1015">
        <v>0.13314680264595199</v>
      </c>
      <c r="L1015">
        <v>1158.23395461365</v>
      </c>
      <c r="M1015">
        <v>21.715453949128101</v>
      </c>
      <c r="N1015">
        <v>54.087736209018502</v>
      </c>
      <c r="O1015">
        <v>52.890717905875498</v>
      </c>
      <c r="P1015">
        <v>-8.9287737104200002E-2</v>
      </c>
      <c r="Q1015">
        <v>0.13013441673272799</v>
      </c>
      <c r="R1015">
        <v>0.99904170116084501</v>
      </c>
      <c r="S1015" t="s">
        <v>5755</v>
      </c>
      <c r="T1015" t="s">
        <v>9478</v>
      </c>
      <c r="U1015" t="s">
        <v>9478</v>
      </c>
      <c r="V1015" t="s">
        <v>9478</v>
      </c>
      <c r="W1015">
        <v>13</v>
      </c>
      <c r="X1015" t="s">
        <v>10493</v>
      </c>
      <c r="Y1015">
        <v>0.52719905986060933</v>
      </c>
      <c r="Z1015" t="str">
        <f>HYPERLINK("Melting_Curves/meltCurve_sp_P30085_KCY_HUMAN_.pdf", "Melting_Curves/meltCurve_sp_P30085_KCY_HUMAN_.pdf")</f>
        <v>Melting_Curves/meltCurve_sp_P30085_KCY_HUMAN_.pdf</v>
      </c>
      <c r="AA1015" t="s">
        <v>15215</v>
      </c>
      <c r="AB1015" t="s">
        <v>19850</v>
      </c>
    </row>
    <row r="1016" spans="1:28" x14ac:dyDescent="0.25">
      <c r="A1016" t="s">
        <v>1020</v>
      </c>
      <c r="B1016">
        <v>0.99904790336628502</v>
      </c>
      <c r="C1016">
        <v>0.95424447378983801</v>
      </c>
      <c r="D1016">
        <v>0.91288194303749304</v>
      </c>
      <c r="E1016">
        <v>0.93586163762019003</v>
      </c>
      <c r="F1016">
        <v>0.96644635641405596</v>
      </c>
      <c r="G1016">
        <v>0.77671977466263997</v>
      </c>
      <c r="H1016">
        <v>0.56524873398994602</v>
      </c>
      <c r="I1016">
        <v>0.298729419548876</v>
      </c>
      <c r="J1016">
        <v>0.15859933579104901</v>
      </c>
      <c r="K1016">
        <v>0.135973778641445</v>
      </c>
      <c r="L1016">
        <v>1119.61815598002</v>
      </c>
      <c r="M1016">
        <v>18.296909031193898</v>
      </c>
      <c r="N1016">
        <v>61.329093015814799</v>
      </c>
      <c r="O1016">
        <v>60.474761772711901</v>
      </c>
      <c r="P1016">
        <v>-7.41227134616671E-2</v>
      </c>
      <c r="Q1016">
        <v>2.0086807327831999E-2</v>
      </c>
      <c r="R1016">
        <v>0.98541789102248101</v>
      </c>
      <c r="S1016" t="s">
        <v>5756</v>
      </c>
      <c r="T1016" t="s">
        <v>9478</v>
      </c>
      <c r="U1016" t="s">
        <v>9478</v>
      </c>
      <c r="V1016" t="s">
        <v>9478</v>
      </c>
      <c r="W1016">
        <v>18</v>
      </c>
      <c r="X1016" t="s">
        <v>10494</v>
      </c>
      <c r="Y1016">
        <v>0.71700250680887812</v>
      </c>
      <c r="Z1016" t="str">
        <f>HYPERLINK("Melting_Curves/meltCurve_sp_P30086_PEBP1_HUMAN_.pdf", "Melting_Curves/meltCurve_sp_P30086_PEBP1_HUMAN_.pdf")</f>
        <v>Melting_Curves/meltCurve_sp_P30086_PEBP1_HUMAN_.pdf</v>
      </c>
      <c r="AA1016" t="s">
        <v>15216</v>
      </c>
      <c r="AB1016" t="s">
        <v>19851</v>
      </c>
    </row>
    <row r="1017" spans="1:28" x14ac:dyDescent="0.25">
      <c r="A1017" t="s">
        <v>1021</v>
      </c>
      <c r="B1017">
        <v>0.99904790336628502</v>
      </c>
      <c r="C1017">
        <v>0.95022517735562095</v>
      </c>
      <c r="D1017">
        <v>0.99464333873240096</v>
      </c>
      <c r="E1017">
        <v>0.93965069136068702</v>
      </c>
      <c r="F1017">
        <v>0.70764418526370798</v>
      </c>
      <c r="G1017">
        <v>0.171461577627153</v>
      </c>
      <c r="H1017">
        <v>9.1247563710395899E-2</v>
      </c>
      <c r="I1017">
        <v>6.3226780102410896E-2</v>
      </c>
      <c r="J1017">
        <v>5.0665297461187399E-2</v>
      </c>
      <c r="K1017">
        <v>5.3694633933667801E-2</v>
      </c>
      <c r="L1017">
        <v>2003.31612908435</v>
      </c>
      <c r="M1017">
        <v>37.037804132640602</v>
      </c>
      <c r="N1017">
        <v>54.270176077306097</v>
      </c>
      <c r="O1017">
        <v>53.931466169565397</v>
      </c>
      <c r="P1017">
        <v>-0.16167482444398501</v>
      </c>
      <c r="Q1017">
        <v>5.8331308973676298E-2</v>
      </c>
      <c r="R1017">
        <v>0.99811464726289501</v>
      </c>
      <c r="S1017" t="s">
        <v>5757</v>
      </c>
      <c r="T1017" t="s">
        <v>9478</v>
      </c>
      <c r="U1017" t="s">
        <v>9478</v>
      </c>
      <c r="V1017" t="s">
        <v>9478</v>
      </c>
      <c r="W1017">
        <v>30</v>
      </c>
      <c r="X1017" t="s">
        <v>10495</v>
      </c>
      <c r="Y1017">
        <v>0.50464736976099267</v>
      </c>
      <c r="Z1017" t="str">
        <f>HYPERLINK("Melting_Curves/meltCurve_sp_P30153_2AAA_HUMAN_.pdf", "Melting_Curves/meltCurve_sp_P30153_2AAA_HUMAN_.pdf")</f>
        <v>Melting_Curves/meltCurve_sp_P30153_2AAA_HUMAN_.pdf</v>
      </c>
      <c r="AA1017" t="s">
        <v>15217</v>
      </c>
      <c r="AB1017" t="s">
        <v>19852</v>
      </c>
    </row>
    <row r="1018" spans="1:28" x14ac:dyDescent="0.25">
      <c r="A1018" t="s">
        <v>1022</v>
      </c>
      <c r="B1018">
        <v>0.99904790336628502</v>
      </c>
      <c r="C1018">
        <v>0.86053678621672502</v>
      </c>
      <c r="D1018">
        <v>0.617501026281847</v>
      </c>
      <c r="E1018">
        <v>0.36074478949184402</v>
      </c>
      <c r="F1018">
        <v>0.22096172951863</v>
      </c>
      <c r="G1018">
        <v>0.102011231232864</v>
      </c>
      <c r="H1018">
        <v>5.6788666614709202E-2</v>
      </c>
      <c r="I1018">
        <v>4.2679848912166099E-2</v>
      </c>
      <c r="J1018">
        <v>3.6341917534526001E-2</v>
      </c>
      <c r="K1018">
        <v>2.8121675415407499E-2</v>
      </c>
      <c r="L1018">
        <v>724.00101816181996</v>
      </c>
      <c r="M1018">
        <v>15.158231403361601</v>
      </c>
      <c r="N1018">
        <v>47.9250776892994</v>
      </c>
      <c r="O1018">
        <v>46.954773417908498</v>
      </c>
      <c r="P1018">
        <v>-7.8696475015343201E-2</v>
      </c>
      <c r="Q1018">
        <v>2.5000843766738199E-2</v>
      </c>
      <c r="R1018">
        <v>0.99681233841903205</v>
      </c>
      <c r="S1018" t="s">
        <v>5758</v>
      </c>
      <c r="T1018" t="s">
        <v>9478</v>
      </c>
      <c r="U1018" t="s">
        <v>9478</v>
      </c>
      <c r="V1018" t="s">
        <v>9478</v>
      </c>
      <c r="W1018">
        <v>13</v>
      </c>
      <c r="X1018" t="s">
        <v>10496</v>
      </c>
      <c r="Y1018">
        <v>0.30214787056496029</v>
      </c>
      <c r="Z1018" t="str">
        <f>HYPERLINK("Melting_Curves/meltCurve_sp_P30154_2AAB_HUMAN_.pdf", "Melting_Curves/meltCurve_sp_P30154_2AAB_HUMAN_.pdf")</f>
        <v>Melting_Curves/meltCurve_sp_P30154_2AAB_HUMAN_.pdf</v>
      </c>
      <c r="AA1018" t="s">
        <v>15218</v>
      </c>
      <c r="AB1018" t="s">
        <v>19853</v>
      </c>
    </row>
    <row r="1019" spans="1:28" x14ac:dyDescent="0.25">
      <c r="A1019" t="s">
        <v>1023</v>
      </c>
      <c r="B1019">
        <v>0.99904790336628502</v>
      </c>
      <c r="C1019">
        <v>0.91568262696318004</v>
      </c>
      <c r="D1019">
        <v>0.88815467719498198</v>
      </c>
      <c r="E1019">
        <v>0.91851830313196703</v>
      </c>
      <c r="F1019">
        <v>0.79296262601893297</v>
      </c>
      <c r="G1019">
        <v>0.34038880488376599</v>
      </c>
      <c r="H1019">
        <v>0.21120338285699999</v>
      </c>
      <c r="I1019">
        <v>0.162636303842386</v>
      </c>
      <c r="J1019">
        <v>0.14587392596828</v>
      </c>
      <c r="K1019">
        <v>0.145091302936146</v>
      </c>
      <c r="L1019">
        <v>1543.5186860241599</v>
      </c>
      <c r="M1019">
        <v>28.153906424098601</v>
      </c>
      <c r="N1019">
        <v>55.504525395370997</v>
      </c>
      <c r="O1019">
        <v>54.549955710833899</v>
      </c>
      <c r="P1019">
        <v>-0.110203910179471</v>
      </c>
      <c r="Q1019">
        <v>0.14589927579721901</v>
      </c>
      <c r="R1019">
        <v>0.98343043251521101</v>
      </c>
      <c r="S1019" t="s">
        <v>5759</v>
      </c>
      <c r="T1019" t="s">
        <v>9478</v>
      </c>
      <c r="U1019" t="s">
        <v>9478</v>
      </c>
      <c r="V1019" t="s">
        <v>9478</v>
      </c>
      <c r="W1019">
        <v>12</v>
      </c>
      <c r="X1019" t="s">
        <v>10497</v>
      </c>
      <c r="Y1019">
        <v>0.57432167211513452</v>
      </c>
      <c r="Z1019" t="str">
        <f>HYPERLINK("Melting_Curves/meltCurve_sp_P30405_PPIF_HUMAN_.pdf", "Melting_Curves/meltCurve_sp_P30405_PPIF_HUMAN_.pdf")</f>
        <v>Melting_Curves/meltCurve_sp_P30405_PPIF_HUMAN_.pdf</v>
      </c>
      <c r="AA1019" t="s">
        <v>15219</v>
      </c>
      <c r="AB1019" t="s">
        <v>19854</v>
      </c>
    </row>
    <row r="1020" spans="1:28" x14ac:dyDescent="0.25">
      <c r="A1020" t="s">
        <v>1024</v>
      </c>
      <c r="B1020">
        <v>0.99904790336628502</v>
      </c>
      <c r="C1020">
        <v>0.84954795530745897</v>
      </c>
      <c r="D1020">
        <v>0.83781048528457003</v>
      </c>
      <c r="E1020">
        <v>0.67668816882530902</v>
      </c>
      <c r="F1020">
        <v>0.37628975214471999</v>
      </c>
      <c r="G1020">
        <v>0.179143021804406</v>
      </c>
      <c r="H1020">
        <v>0.12998397948381701</v>
      </c>
      <c r="I1020">
        <v>0.12147677385406799</v>
      </c>
      <c r="J1020">
        <v>0.122843036817205</v>
      </c>
      <c r="K1020">
        <v>0.13799062721806801</v>
      </c>
      <c r="L1020">
        <v>818.99416599661197</v>
      </c>
      <c r="M1020">
        <v>16.130299077849202</v>
      </c>
      <c r="N1020">
        <v>51.420501519101897</v>
      </c>
      <c r="O1020">
        <v>50.012505468847202</v>
      </c>
      <c r="P1020">
        <v>-7.3232887665904994E-2</v>
      </c>
      <c r="Q1020">
        <v>9.1825406210290297E-2</v>
      </c>
      <c r="R1020">
        <v>0.98138131123952799</v>
      </c>
      <c r="S1020" t="s">
        <v>5760</v>
      </c>
      <c r="T1020" t="s">
        <v>9478</v>
      </c>
      <c r="U1020" t="s">
        <v>9478</v>
      </c>
      <c r="V1020" t="s">
        <v>9478</v>
      </c>
      <c r="W1020">
        <v>9</v>
      </c>
      <c r="X1020" t="s">
        <v>10498</v>
      </c>
      <c r="Y1020">
        <v>0.43663164934497162</v>
      </c>
      <c r="Z1020" t="str">
        <f>HYPERLINK("Melting_Curves/meltCurve_sp_P30419_NMT1_HUMAN_.pdf", "Melting_Curves/meltCurve_sp_P30419_NMT1_HUMAN_.pdf")</f>
        <v>Melting_Curves/meltCurve_sp_P30419_NMT1_HUMAN_.pdf</v>
      </c>
      <c r="AA1020" t="s">
        <v>15220</v>
      </c>
      <c r="AB1020" t="s">
        <v>19855</v>
      </c>
    </row>
    <row r="1021" spans="1:28" x14ac:dyDescent="0.25">
      <c r="A1021" t="s">
        <v>1025</v>
      </c>
      <c r="B1021">
        <v>0.99904790336628502</v>
      </c>
      <c r="C1021">
        <v>0.97607477784380603</v>
      </c>
      <c r="D1021">
        <v>0.953435113608611</v>
      </c>
      <c r="E1021">
        <v>0.80218985273871701</v>
      </c>
      <c r="F1021">
        <v>0.67193364411343104</v>
      </c>
      <c r="G1021">
        <v>0.34098446786085301</v>
      </c>
      <c r="H1021">
        <v>0.231004161709783</v>
      </c>
      <c r="I1021">
        <v>0.16217903216715601</v>
      </c>
      <c r="J1021">
        <v>0.17222847728191701</v>
      </c>
      <c r="K1021">
        <v>0.14775349888707801</v>
      </c>
      <c r="L1021">
        <v>972.79426752607901</v>
      </c>
      <c r="M1021">
        <v>18.049383439339</v>
      </c>
      <c r="N1021">
        <v>54.820130021003102</v>
      </c>
      <c r="O1021">
        <v>53.247740387960498</v>
      </c>
      <c r="P1021">
        <v>-7.3633239848511806E-2</v>
      </c>
      <c r="Q1021">
        <v>0.131136569501283</v>
      </c>
      <c r="R1021">
        <v>0.99674776871182902</v>
      </c>
      <c r="S1021" t="s">
        <v>5761</v>
      </c>
      <c r="T1021" t="s">
        <v>9478</v>
      </c>
      <c r="U1021" t="s">
        <v>9478</v>
      </c>
      <c r="V1021" t="s">
        <v>9478</v>
      </c>
      <c r="W1021">
        <v>4</v>
      </c>
      <c r="X1021" t="s">
        <v>10499</v>
      </c>
      <c r="Y1021">
        <v>0.54748550736231327</v>
      </c>
      <c r="Z1021" t="str">
        <f>HYPERLINK("Melting_Curves/meltCurve_sp_P30519_HMOX2_HUMAN_.pdf", "Melting_Curves/meltCurve_sp_P30519_HMOX2_HUMAN_.pdf")</f>
        <v>Melting_Curves/meltCurve_sp_P30519_HMOX2_HUMAN_.pdf</v>
      </c>
      <c r="AA1021" t="s">
        <v>15221</v>
      </c>
      <c r="AB1021" t="s">
        <v>19856</v>
      </c>
    </row>
    <row r="1022" spans="1:28" x14ac:dyDescent="0.25">
      <c r="A1022" t="s">
        <v>1026</v>
      </c>
      <c r="B1022">
        <v>0.99904790336628502</v>
      </c>
      <c r="C1022">
        <v>0.90030628107148303</v>
      </c>
      <c r="D1022">
        <v>0.91549629653789399</v>
      </c>
      <c r="E1022">
        <v>0.83769315167833402</v>
      </c>
      <c r="F1022">
        <v>0.61664153081614104</v>
      </c>
      <c r="G1022">
        <v>0.37436297073042801</v>
      </c>
      <c r="H1022">
        <v>0.18569833308664099</v>
      </c>
      <c r="I1022">
        <v>0.125063379558636</v>
      </c>
      <c r="J1022">
        <v>6.8894628688276602E-2</v>
      </c>
      <c r="K1022">
        <v>5.1651122173559501E-2</v>
      </c>
      <c r="L1022">
        <v>770.89830405789905</v>
      </c>
      <c r="M1022">
        <v>14.0370666857835</v>
      </c>
      <c r="N1022">
        <v>54.918779463317001</v>
      </c>
      <c r="O1022">
        <v>53.840190416347298</v>
      </c>
      <c r="P1022">
        <v>-6.5187850517911705E-2</v>
      </c>
      <c r="Q1022">
        <v>0</v>
      </c>
      <c r="R1022">
        <v>0.99349599974485303</v>
      </c>
      <c r="S1022" t="s">
        <v>5762</v>
      </c>
      <c r="T1022" t="s">
        <v>9478</v>
      </c>
      <c r="U1022" t="s">
        <v>9478</v>
      </c>
      <c r="V1022" t="s">
        <v>9478</v>
      </c>
      <c r="W1022">
        <v>17</v>
      </c>
      <c r="X1022" t="s">
        <v>10500</v>
      </c>
      <c r="Y1022">
        <v>0.5180494199011344</v>
      </c>
      <c r="Z1022" t="str">
        <f>HYPERLINK("Melting_Curves/meltCurve_sp_P30520_PURA2_HUMAN_.pdf", "Melting_Curves/meltCurve_sp_P30520_PURA2_HUMAN_.pdf")</f>
        <v>Melting_Curves/meltCurve_sp_P30520_PURA2_HUMAN_.pdf</v>
      </c>
      <c r="AA1022" t="s">
        <v>15222</v>
      </c>
      <c r="AB1022" t="s">
        <v>19857</v>
      </c>
    </row>
    <row r="1023" spans="1:28" x14ac:dyDescent="0.25">
      <c r="A1023" t="s">
        <v>1027</v>
      </c>
      <c r="B1023">
        <v>0.99904790336628502</v>
      </c>
      <c r="C1023">
        <v>1.0770064809734801</v>
      </c>
      <c r="D1023">
        <v>1.0553938752833401</v>
      </c>
      <c r="E1023">
        <v>1.01773291715564</v>
      </c>
      <c r="F1023">
        <v>1.02370794642791</v>
      </c>
      <c r="G1023">
        <v>0.75147439000232197</v>
      </c>
      <c r="H1023">
        <v>0.67429157963552699</v>
      </c>
      <c r="I1023">
        <v>0.71665013880366102</v>
      </c>
      <c r="J1023">
        <v>0.70869695401766997</v>
      </c>
      <c r="K1023">
        <v>0.64407529963487797</v>
      </c>
      <c r="L1023">
        <v>14174.0306735618</v>
      </c>
      <c r="M1023">
        <v>250</v>
      </c>
      <c r="O1023">
        <v>56.692473199357401</v>
      </c>
      <c r="P1023">
        <v>-0.34624458600723002</v>
      </c>
      <c r="Q1023">
        <v>0.685928490965237</v>
      </c>
      <c r="R1023">
        <v>0.95473166443243396</v>
      </c>
      <c r="S1023" t="s">
        <v>5763</v>
      </c>
      <c r="T1023" t="s">
        <v>9478</v>
      </c>
      <c r="U1023" t="s">
        <v>9478</v>
      </c>
      <c r="V1023" t="s">
        <v>9478</v>
      </c>
      <c r="W1023">
        <v>20</v>
      </c>
      <c r="X1023" t="s">
        <v>10501</v>
      </c>
      <c r="Y1023">
        <v>0.8607522896561004</v>
      </c>
      <c r="Z1023" t="str">
        <f>HYPERLINK("Melting_Curves/meltCurve_sp_P30533_AMRP_HUMAN_.pdf", "Melting_Curves/meltCurve_sp_P30533_AMRP_HUMAN_.pdf")</f>
        <v>Melting_Curves/meltCurve_sp_P30533_AMRP_HUMAN_.pdf</v>
      </c>
      <c r="AA1023" t="s">
        <v>15223</v>
      </c>
      <c r="AB1023" t="s">
        <v>19858</v>
      </c>
    </row>
    <row r="1024" spans="1:28" x14ac:dyDescent="0.25">
      <c r="A1024" t="s">
        <v>1028</v>
      </c>
      <c r="B1024">
        <v>0.99904790336628502</v>
      </c>
      <c r="C1024">
        <v>0.904590059265031</v>
      </c>
      <c r="D1024">
        <v>0.98623607499147503</v>
      </c>
      <c r="E1024">
        <v>0.96618982655201202</v>
      </c>
      <c r="F1024">
        <v>0.88995180128903995</v>
      </c>
      <c r="G1024">
        <v>0.812473728348302</v>
      </c>
      <c r="H1024">
        <v>0.40204769228584603</v>
      </c>
      <c r="I1024">
        <v>8.1616922381015103E-2</v>
      </c>
      <c r="J1024">
        <v>5.0786121856628598E-2</v>
      </c>
      <c r="K1024">
        <v>3.9281988658684E-2</v>
      </c>
      <c r="L1024">
        <v>1690.18595017194</v>
      </c>
      <c r="M1024">
        <v>28.236096513457301</v>
      </c>
      <c r="N1024">
        <v>59.859051306194601</v>
      </c>
      <c r="O1024">
        <v>59.561221584153003</v>
      </c>
      <c r="P1024">
        <v>-0.118518098078603</v>
      </c>
      <c r="Q1024">
        <v>0</v>
      </c>
      <c r="R1024">
        <v>0.98601561993421105</v>
      </c>
      <c r="S1024" t="s">
        <v>5764</v>
      </c>
      <c r="T1024" t="s">
        <v>9478</v>
      </c>
      <c r="U1024" t="s">
        <v>9478</v>
      </c>
      <c r="V1024" t="s">
        <v>9478</v>
      </c>
      <c r="W1024">
        <v>15</v>
      </c>
      <c r="X1024" t="s">
        <v>10502</v>
      </c>
      <c r="Y1024">
        <v>0.66859371503492715</v>
      </c>
      <c r="Z1024" t="str">
        <f>HYPERLINK("Melting_Curves/meltCurve_sp_P30566_PUR8_HUMAN_.pdf", "Melting_Curves/meltCurve_sp_P30566_PUR8_HUMAN_.pdf")</f>
        <v>Melting_Curves/meltCurve_sp_P30566_PUR8_HUMAN_.pdf</v>
      </c>
      <c r="AA1024" t="s">
        <v>15224</v>
      </c>
      <c r="AB1024" t="s">
        <v>19859</v>
      </c>
    </row>
    <row r="1025" spans="1:28" x14ac:dyDescent="0.25">
      <c r="A1025" t="s">
        <v>1029</v>
      </c>
      <c r="B1025">
        <v>0.99904790336628502</v>
      </c>
      <c r="C1025">
        <v>1.01616593846456</v>
      </c>
      <c r="D1025">
        <v>1.1115115870588901</v>
      </c>
      <c r="E1025">
        <v>1.0842011068900901</v>
      </c>
      <c r="F1025">
        <v>1.0057649360428</v>
      </c>
      <c r="G1025">
        <v>0.84817300903329096</v>
      </c>
      <c r="H1025">
        <v>0.58765063594512801</v>
      </c>
      <c r="I1025">
        <v>0.260364833641126</v>
      </c>
      <c r="J1025">
        <v>3.0741651640278901E-2</v>
      </c>
      <c r="K1025">
        <v>3.28950071139298E-2</v>
      </c>
      <c r="L1025">
        <v>1757.45647035958</v>
      </c>
      <c r="M1025">
        <v>28.569848285529201</v>
      </c>
      <c r="N1025">
        <v>61.514378784976003</v>
      </c>
      <c r="O1025">
        <v>61.2153837419431</v>
      </c>
      <c r="P1025">
        <v>-0.11667852788410001</v>
      </c>
      <c r="Q1025">
        <v>0</v>
      </c>
      <c r="R1025">
        <v>0.98384215220286497</v>
      </c>
      <c r="S1025" t="s">
        <v>5765</v>
      </c>
      <c r="T1025" t="s">
        <v>9478</v>
      </c>
      <c r="U1025" t="s">
        <v>9478</v>
      </c>
      <c r="V1025" t="s">
        <v>9478</v>
      </c>
      <c r="W1025">
        <v>36</v>
      </c>
      <c r="X1025" t="s">
        <v>10503</v>
      </c>
      <c r="Y1025">
        <v>0.72242623035505116</v>
      </c>
      <c r="Z1025" t="str">
        <f>HYPERLINK("Melting_Curves/meltCurve_sp_P30613_2_KPYR_HUMAN_.pdf", "Melting_Curves/meltCurve_sp_P30613_2_KPYR_HUMAN_.pdf")</f>
        <v>Melting_Curves/meltCurve_sp_P30613_2_KPYR_HUMAN_.pdf</v>
      </c>
      <c r="AA1025" t="s">
        <v>15225</v>
      </c>
      <c r="AB1025" t="s">
        <v>19860</v>
      </c>
    </row>
    <row r="1026" spans="1:28" x14ac:dyDescent="0.25">
      <c r="A1026" t="s">
        <v>1030</v>
      </c>
      <c r="B1026">
        <v>0.99904790336628502</v>
      </c>
      <c r="C1026">
        <v>1.06050839322519</v>
      </c>
      <c r="D1026">
        <v>1.0575794331100601</v>
      </c>
      <c r="E1026">
        <v>1.0281736389182601</v>
      </c>
      <c r="F1026">
        <v>1.0056407349929199</v>
      </c>
      <c r="G1026">
        <v>0.80366645607655196</v>
      </c>
      <c r="H1026">
        <v>0.71330133716503197</v>
      </c>
      <c r="I1026">
        <v>0.71016572423656699</v>
      </c>
      <c r="J1026">
        <v>0.69406350807562001</v>
      </c>
      <c r="K1026">
        <v>0.58302750700952499</v>
      </c>
      <c r="L1026">
        <v>2012.59215720774</v>
      </c>
      <c r="M1026">
        <v>35.421027753475698</v>
      </c>
      <c r="O1026">
        <v>56.6389487055106</v>
      </c>
      <c r="P1026">
        <v>-5.2569174932054499E-2</v>
      </c>
      <c r="Q1026">
        <v>0.66376440856350705</v>
      </c>
      <c r="R1026">
        <v>0.93744517451641995</v>
      </c>
      <c r="S1026" t="s">
        <v>5766</v>
      </c>
      <c r="T1026" t="s">
        <v>9478</v>
      </c>
      <c r="U1026" t="s">
        <v>9478</v>
      </c>
      <c r="V1026" t="s">
        <v>9478</v>
      </c>
      <c r="W1026">
        <v>61</v>
      </c>
      <c r="X1026" t="s">
        <v>10504</v>
      </c>
      <c r="Y1026">
        <v>0.85392220729831725</v>
      </c>
      <c r="Z1026" t="str">
        <f>HYPERLINK("Melting_Curves/meltCurve_sp_P30622_2_CLIP1_HUMAN_.pdf", "Melting_Curves/meltCurve_sp_P30622_2_CLIP1_HUMAN_.pdf")</f>
        <v>Melting_Curves/meltCurve_sp_P30622_2_CLIP1_HUMAN_.pdf</v>
      </c>
      <c r="AA1026" t="s">
        <v>15226</v>
      </c>
      <c r="AB1026" t="s">
        <v>19861</v>
      </c>
    </row>
    <row r="1027" spans="1:28" x14ac:dyDescent="0.25">
      <c r="A1027" t="s">
        <v>1031</v>
      </c>
      <c r="B1027">
        <v>0.99904790336628502</v>
      </c>
      <c r="C1027">
        <v>0.93190652836686705</v>
      </c>
      <c r="D1027">
        <v>0.94197479068475298</v>
      </c>
      <c r="E1027">
        <v>0.878977345385628</v>
      </c>
      <c r="F1027">
        <v>0.83404282921842299</v>
      </c>
      <c r="G1027">
        <v>0.68024933497478901</v>
      </c>
      <c r="H1027">
        <v>0.54323889528888303</v>
      </c>
      <c r="I1027">
        <v>0.44956254148186098</v>
      </c>
      <c r="J1027">
        <v>0.37996428366437801</v>
      </c>
      <c r="K1027">
        <v>0.23728812869059299</v>
      </c>
      <c r="L1027">
        <v>530.71852268205396</v>
      </c>
      <c r="M1027">
        <v>8.5319492871547808</v>
      </c>
      <c r="N1027">
        <v>62.203661091079702</v>
      </c>
      <c r="O1027">
        <v>59.068950976563002</v>
      </c>
      <c r="P1027">
        <v>-3.6142208210657598E-2</v>
      </c>
      <c r="Q1027">
        <v>0</v>
      </c>
      <c r="R1027">
        <v>0.99161051895434904</v>
      </c>
      <c r="S1027" t="s">
        <v>5767</v>
      </c>
      <c r="T1027" t="s">
        <v>9478</v>
      </c>
      <c r="U1027" t="s">
        <v>9478</v>
      </c>
      <c r="V1027" t="s">
        <v>9478</v>
      </c>
      <c r="W1027">
        <v>12</v>
      </c>
      <c r="X1027" t="s">
        <v>10505</v>
      </c>
      <c r="Y1027">
        <v>0.70595444050067646</v>
      </c>
      <c r="Z1027" t="str">
        <f>HYPERLINK("Melting_Curves/meltCurve_sp_P30711_GSTT1_HUMAN_.pdf", "Melting_Curves/meltCurve_sp_P30711_GSTT1_HUMAN_.pdf")</f>
        <v>Melting_Curves/meltCurve_sp_P30711_GSTT1_HUMAN_.pdf</v>
      </c>
      <c r="AA1027" t="s">
        <v>15227</v>
      </c>
      <c r="AB1027" t="s">
        <v>19862</v>
      </c>
    </row>
    <row r="1028" spans="1:28" x14ac:dyDescent="0.25">
      <c r="A1028" t="s">
        <v>1032</v>
      </c>
      <c r="B1028">
        <v>0.99904790336628502</v>
      </c>
      <c r="C1028">
        <v>0.97699270878973099</v>
      </c>
      <c r="D1028">
        <v>0.94613479221061403</v>
      </c>
      <c r="E1028">
        <v>0.94356121466624099</v>
      </c>
      <c r="F1028">
        <v>0.73713411364707904</v>
      </c>
      <c r="G1028">
        <v>0.42881236968970698</v>
      </c>
      <c r="H1028">
        <v>0.242021206302618</v>
      </c>
      <c r="I1028">
        <v>0.18659296592892399</v>
      </c>
      <c r="J1028">
        <v>0.144458287402699</v>
      </c>
      <c r="K1028">
        <v>0.10932369177177401</v>
      </c>
      <c r="L1028">
        <v>1112.3643712806499</v>
      </c>
      <c r="M1028">
        <v>20.0719145854662</v>
      </c>
      <c r="N1028">
        <v>56.145401534358697</v>
      </c>
      <c r="O1028">
        <v>54.877656748833203</v>
      </c>
      <c r="P1028">
        <v>-8.0984908600208197E-2</v>
      </c>
      <c r="Q1028">
        <v>0.11436064741787801</v>
      </c>
      <c r="R1028">
        <v>0.99703283008575305</v>
      </c>
      <c r="S1028" t="s">
        <v>5768</v>
      </c>
      <c r="T1028" t="s">
        <v>9478</v>
      </c>
      <c r="U1028" t="s">
        <v>9478</v>
      </c>
      <c r="V1028" t="s">
        <v>9478</v>
      </c>
      <c r="W1028">
        <v>12</v>
      </c>
      <c r="X1028" t="s">
        <v>10506</v>
      </c>
      <c r="Y1028">
        <v>0.58113840194378064</v>
      </c>
      <c r="Z1028" t="str">
        <f>HYPERLINK("Melting_Curves/meltCurve_sp_P30740_ILEU_HUMAN_.pdf", "Melting_Curves/meltCurve_sp_P30740_ILEU_HUMAN_.pdf")</f>
        <v>Melting_Curves/meltCurve_sp_P30740_ILEU_HUMAN_.pdf</v>
      </c>
      <c r="AA1028" t="s">
        <v>15228</v>
      </c>
      <c r="AB1028" t="s">
        <v>19863</v>
      </c>
    </row>
    <row r="1029" spans="1:28" x14ac:dyDescent="0.25">
      <c r="A1029" t="s">
        <v>1033</v>
      </c>
      <c r="B1029">
        <v>0.99904790336628502</v>
      </c>
      <c r="C1029">
        <v>0.95431729131980103</v>
      </c>
      <c r="D1029">
        <v>0.95344206134833598</v>
      </c>
      <c r="E1029">
        <v>0.834089372973151</v>
      </c>
      <c r="F1029">
        <v>0.71927018886271898</v>
      </c>
      <c r="G1029">
        <v>0.54165414609412599</v>
      </c>
      <c r="H1029">
        <v>0.45185229626096302</v>
      </c>
      <c r="I1029">
        <v>0.49305737761526902</v>
      </c>
      <c r="J1029">
        <v>0.46606585754633101</v>
      </c>
      <c r="K1029">
        <v>0.32216250756540699</v>
      </c>
      <c r="L1029">
        <v>720.113927878043</v>
      </c>
      <c r="M1029">
        <v>13.413545003069901</v>
      </c>
      <c r="N1029">
        <v>59.679015715081</v>
      </c>
      <c r="O1029">
        <v>52.534474626074903</v>
      </c>
      <c r="P1029">
        <v>-4.0220350722282402E-2</v>
      </c>
      <c r="Q1029">
        <v>0.37000259893550103</v>
      </c>
      <c r="R1029">
        <v>0.97471697053552997</v>
      </c>
      <c r="S1029" t="s">
        <v>5769</v>
      </c>
      <c r="T1029" t="s">
        <v>9478</v>
      </c>
      <c r="U1029" t="s">
        <v>9478</v>
      </c>
      <c r="V1029" t="s">
        <v>9478</v>
      </c>
      <c r="W1029">
        <v>8</v>
      </c>
      <c r="X1029" t="s">
        <v>10507</v>
      </c>
      <c r="Y1029">
        <v>0.67244660455283245</v>
      </c>
      <c r="Z1029" t="str">
        <f>HYPERLINK("Melting_Curves/meltCurve_sp_P30793_GCH1_HUMAN_.pdf", "Melting_Curves/meltCurve_sp_P30793_GCH1_HUMAN_.pdf")</f>
        <v>Melting_Curves/meltCurve_sp_P30793_GCH1_HUMAN_.pdf</v>
      </c>
      <c r="AA1029" t="s">
        <v>15229</v>
      </c>
      <c r="AB1029" t="s">
        <v>19864</v>
      </c>
    </row>
    <row r="1030" spans="1:28" x14ac:dyDescent="0.25">
      <c r="A1030" t="s">
        <v>1034</v>
      </c>
      <c r="B1030">
        <v>0.99904790336628502</v>
      </c>
      <c r="C1030">
        <v>0.81588723864695301</v>
      </c>
      <c r="D1030">
        <v>0.71902428935620299</v>
      </c>
      <c r="E1030">
        <v>0.38983103200929897</v>
      </c>
      <c r="F1030">
        <v>0.15070442639620901</v>
      </c>
      <c r="G1030">
        <v>5.9651596609019197E-2</v>
      </c>
      <c r="H1030">
        <v>3.1334629372511802E-2</v>
      </c>
      <c r="I1030">
        <v>2.0947012805500501E-2</v>
      </c>
      <c r="J1030">
        <v>1.54189032808309E-2</v>
      </c>
      <c r="K1030">
        <v>1.12823165984927E-2</v>
      </c>
      <c r="L1030">
        <v>791.98794008823495</v>
      </c>
      <c r="M1030">
        <v>16.4107237369529</v>
      </c>
      <c r="N1030">
        <v>48.260390744836798</v>
      </c>
      <c r="O1030">
        <v>47.560860826270698</v>
      </c>
      <c r="P1030">
        <v>-8.6267852522650207E-2</v>
      </c>
      <c r="Q1030">
        <v>0</v>
      </c>
      <c r="R1030">
        <v>0.99310934984773602</v>
      </c>
      <c r="S1030" t="s">
        <v>5770</v>
      </c>
      <c r="T1030" t="s">
        <v>9478</v>
      </c>
      <c r="U1030" t="s">
        <v>9478</v>
      </c>
      <c r="V1030" t="s">
        <v>9478</v>
      </c>
      <c r="W1030">
        <v>29</v>
      </c>
      <c r="X1030" t="s">
        <v>10508</v>
      </c>
      <c r="Y1030">
        <v>0.29661636573063049</v>
      </c>
      <c r="Z1030" t="str">
        <f>HYPERLINK("Melting_Curves/meltCurve_sp_P30837_AL1B1_HUMAN_.pdf", "Melting_Curves/meltCurve_sp_P30837_AL1B1_HUMAN_.pdf")</f>
        <v>Melting_Curves/meltCurve_sp_P30837_AL1B1_HUMAN_.pdf</v>
      </c>
      <c r="AA1030" t="s">
        <v>15230</v>
      </c>
      <c r="AB1030" t="s">
        <v>19865</v>
      </c>
    </row>
    <row r="1031" spans="1:28" x14ac:dyDescent="0.25">
      <c r="A1031" t="s">
        <v>1035</v>
      </c>
      <c r="B1031">
        <v>0.99904790336628502</v>
      </c>
      <c r="C1031">
        <v>0.928755451387824</v>
      </c>
      <c r="D1031">
        <v>0.94210899747114296</v>
      </c>
      <c r="E1031">
        <v>0.86829407430119898</v>
      </c>
      <c r="F1031">
        <v>0.76830086485551197</v>
      </c>
      <c r="G1031">
        <v>0.57289841367259797</v>
      </c>
      <c r="H1031">
        <v>0.30956246119709802</v>
      </c>
      <c r="I1031">
        <v>0.166070294241975</v>
      </c>
      <c r="J1031">
        <v>5.28710595780486E-2</v>
      </c>
      <c r="K1031">
        <v>3.9065144880617901E-2</v>
      </c>
      <c r="L1031">
        <v>867.46976280070999</v>
      </c>
      <c r="M1031">
        <v>15.0986681972835</v>
      </c>
      <c r="N1031">
        <v>57.453396083944703</v>
      </c>
      <c r="O1031">
        <v>56.473829506185403</v>
      </c>
      <c r="P1031">
        <v>-6.68458072824855E-2</v>
      </c>
      <c r="Q1031">
        <v>0</v>
      </c>
      <c r="R1031">
        <v>0.99091147831861004</v>
      </c>
      <c r="S1031" t="s">
        <v>5771</v>
      </c>
      <c r="T1031" t="s">
        <v>9478</v>
      </c>
      <c r="U1031" t="s">
        <v>9478</v>
      </c>
      <c r="V1031" t="s">
        <v>9478</v>
      </c>
      <c r="W1031">
        <v>25</v>
      </c>
      <c r="X1031" t="s">
        <v>10509</v>
      </c>
      <c r="Y1031">
        <v>0.59653918401071304</v>
      </c>
      <c r="Z1031" t="str">
        <f>HYPERLINK("Melting_Curves/meltCurve_sp_P31040_DHSA_HUMAN_.pdf", "Melting_Curves/meltCurve_sp_P31040_DHSA_HUMAN_.pdf")</f>
        <v>Melting_Curves/meltCurve_sp_P31040_DHSA_HUMAN_.pdf</v>
      </c>
      <c r="AA1031" t="s">
        <v>15231</v>
      </c>
      <c r="AB1031" t="s">
        <v>19866</v>
      </c>
    </row>
    <row r="1032" spans="1:28" x14ac:dyDescent="0.25">
      <c r="A1032" t="s">
        <v>1036</v>
      </c>
      <c r="B1032">
        <v>0.99904790336628502</v>
      </c>
      <c r="C1032">
        <v>0.87461311618206095</v>
      </c>
      <c r="D1032">
        <v>0.93107300016274896</v>
      </c>
      <c r="E1032">
        <v>0.74519185457369697</v>
      </c>
      <c r="F1032">
        <v>0.26887015585081198</v>
      </c>
      <c r="G1032">
        <v>0.174405577042515</v>
      </c>
      <c r="H1032">
        <v>0.113023985450382</v>
      </c>
      <c r="I1032">
        <v>8.7502337812072895E-2</v>
      </c>
      <c r="J1032">
        <v>8.2973953188018798E-2</v>
      </c>
      <c r="K1032">
        <v>8.4141994159536798E-2</v>
      </c>
      <c r="L1032">
        <v>1870.8019959159201</v>
      </c>
      <c r="M1032">
        <v>36.590936448409899</v>
      </c>
      <c r="N1032">
        <v>51.442832936554602</v>
      </c>
      <c r="O1032">
        <v>50.9754832961899</v>
      </c>
      <c r="P1032">
        <v>-0.161424394094632</v>
      </c>
      <c r="Q1032">
        <v>0.10046994095522201</v>
      </c>
      <c r="R1032">
        <v>0.98367572743092602</v>
      </c>
      <c r="S1032" t="s">
        <v>5772</v>
      </c>
      <c r="T1032" t="s">
        <v>9478</v>
      </c>
      <c r="U1032" t="s">
        <v>9478</v>
      </c>
      <c r="V1032" t="s">
        <v>9478</v>
      </c>
      <c r="W1032">
        <v>10</v>
      </c>
      <c r="X1032" t="s">
        <v>10510</v>
      </c>
      <c r="Y1032">
        <v>0.43792292062981258</v>
      </c>
      <c r="Z1032" t="str">
        <f>HYPERLINK("Melting_Curves/meltCurve_sp_P31146_COR1A_HUMAN_.pdf", "Melting_Curves/meltCurve_sp_P31146_COR1A_HUMAN_.pdf")</f>
        <v>Melting_Curves/meltCurve_sp_P31146_COR1A_HUMAN_.pdf</v>
      </c>
      <c r="AA1032" t="s">
        <v>15232</v>
      </c>
      <c r="AB1032" t="s">
        <v>19867</v>
      </c>
    </row>
    <row r="1033" spans="1:28" x14ac:dyDescent="0.25">
      <c r="A1033" t="s">
        <v>1037</v>
      </c>
      <c r="B1033">
        <v>0.99904790336628502</v>
      </c>
      <c r="C1033">
        <v>0.96229443650299595</v>
      </c>
      <c r="D1033">
        <v>0.98580515774871802</v>
      </c>
      <c r="E1033">
        <v>0.95856881848474396</v>
      </c>
      <c r="F1033">
        <v>0.78752338056256099</v>
      </c>
      <c r="G1033">
        <v>0.212376138057425</v>
      </c>
      <c r="H1033">
        <v>0.10294595941972801</v>
      </c>
      <c r="I1033">
        <v>7.2879319872349899E-2</v>
      </c>
      <c r="J1033">
        <v>5.1689571588655003E-2</v>
      </c>
      <c r="K1033">
        <v>4.7638384539880299E-2</v>
      </c>
      <c r="L1033">
        <v>2096.9615037488502</v>
      </c>
      <c r="M1033">
        <v>38.377229097534801</v>
      </c>
      <c r="N1033">
        <v>54.829441751654898</v>
      </c>
      <c r="O1033">
        <v>54.493049055911001</v>
      </c>
      <c r="P1033">
        <v>-0.16517488325420199</v>
      </c>
      <c r="Q1033">
        <v>6.1854087371137498E-2</v>
      </c>
      <c r="R1033">
        <v>0.99838409228651903</v>
      </c>
      <c r="S1033" t="s">
        <v>5773</v>
      </c>
      <c r="T1033" t="s">
        <v>9478</v>
      </c>
      <c r="U1033" t="s">
        <v>9478</v>
      </c>
      <c r="V1033" t="s">
        <v>9478</v>
      </c>
      <c r="W1033">
        <v>21</v>
      </c>
      <c r="X1033" t="s">
        <v>10511</v>
      </c>
      <c r="Y1033">
        <v>0.5235296018238772</v>
      </c>
      <c r="Z1033" t="str">
        <f>HYPERLINK("Melting_Curves/meltCurve_sp_P31150_GDIA_HUMAN_.pdf", "Melting_Curves/meltCurve_sp_P31150_GDIA_HUMAN_.pdf")</f>
        <v>Melting_Curves/meltCurve_sp_P31150_GDIA_HUMAN_.pdf</v>
      </c>
      <c r="AA1033" t="s">
        <v>15233</v>
      </c>
      <c r="AB1033" t="s">
        <v>19868</v>
      </c>
    </row>
    <row r="1034" spans="1:28" x14ac:dyDescent="0.25">
      <c r="A1034" t="s">
        <v>1038</v>
      </c>
      <c r="B1034">
        <v>0.99904790336628502</v>
      </c>
      <c r="C1034">
        <v>0.97305365792298804</v>
      </c>
      <c r="D1034">
        <v>1.0452539818097799</v>
      </c>
      <c r="E1034">
        <v>0.96499300696899204</v>
      </c>
      <c r="F1034">
        <v>0.75478293566592203</v>
      </c>
      <c r="G1034">
        <v>0.311041662557274</v>
      </c>
      <c r="H1034">
        <v>0.104305722712704</v>
      </c>
      <c r="I1034">
        <v>6.8417886468773406E-2</v>
      </c>
      <c r="J1034">
        <v>4.3548208469560597E-2</v>
      </c>
      <c r="K1034">
        <v>4.2135978287633102E-2</v>
      </c>
      <c r="L1034">
        <v>1567.3556169277999</v>
      </c>
      <c r="M1034">
        <v>28.4578640015676</v>
      </c>
      <c r="N1034">
        <v>55.2551434379426</v>
      </c>
      <c r="O1034">
        <v>54.806547824156297</v>
      </c>
      <c r="P1034">
        <v>-0.12410209972675</v>
      </c>
      <c r="Q1034">
        <v>4.3982639663287401E-2</v>
      </c>
      <c r="R1034">
        <v>0.99808214222187597</v>
      </c>
      <c r="S1034" t="s">
        <v>5774</v>
      </c>
      <c r="T1034" t="s">
        <v>9478</v>
      </c>
      <c r="U1034" t="s">
        <v>9478</v>
      </c>
      <c r="V1034" t="s">
        <v>9478</v>
      </c>
      <c r="W1034">
        <v>21</v>
      </c>
      <c r="X1034" t="s">
        <v>10512</v>
      </c>
      <c r="Y1034">
        <v>0.53142736992348294</v>
      </c>
      <c r="Z1034" t="str">
        <f>HYPERLINK("Melting_Curves/meltCurve_sp_P31153_METK2_HUMAN_.pdf", "Melting_Curves/meltCurve_sp_P31153_METK2_HUMAN_.pdf")</f>
        <v>Melting_Curves/meltCurve_sp_P31153_METK2_HUMAN_.pdf</v>
      </c>
      <c r="AA1034" t="s">
        <v>15234</v>
      </c>
      <c r="AB1034" t="s">
        <v>19869</v>
      </c>
    </row>
    <row r="1035" spans="1:28" x14ac:dyDescent="0.25">
      <c r="A1035" t="s">
        <v>1039</v>
      </c>
      <c r="B1035">
        <v>0.99904790336628502</v>
      </c>
      <c r="C1035">
        <v>1.1408256145557101</v>
      </c>
      <c r="D1035">
        <v>1.12859201434792</v>
      </c>
      <c r="E1035">
        <v>0.79926428678633499</v>
      </c>
      <c r="F1035">
        <v>0.39903216376091499</v>
      </c>
      <c r="G1035">
        <v>0.179896546675547</v>
      </c>
      <c r="H1035">
        <v>0.167441600673949</v>
      </c>
      <c r="I1035">
        <v>0.11135712492223999</v>
      </c>
      <c r="J1035">
        <v>0.115378212295636</v>
      </c>
      <c r="K1035">
        <v>0.108880447106785</v>
      </c>
      <c r="L1035">
        <v>1880.0417914350101</v>
      </c>
      <c r="M1035">
        <v>36.285747675635697</v>
      </c>
      <c r="N1035">
        <v>52.242510271532197</v>
      </c>
      <c r="O1035">
        <v>51.655514888397903</v>
      </c>
      <c r="P1035">
        <v>-0.15292568005934601</v>
      </c>
      <c r="Q1035">
        <v>0.12919742800930401</v>
      </c>
      <c r="R1035">
        <v>0.97707340852968405</v>
      </c>
      <c r="S1035" t="s">
        <v>5775</v>
      </c>
      <c r="T1035" t="s">
        <v>9478</v>
      </c>
      <c r="U1035" t="s">
        <v>9478</v>
      </c>
      <c r="V1035" t="s">
        <v>9478</v>
      </c>
      <c r="W1035">
        <v>8</v>
      </c>
      <c r="X1035" t="s">
        <v>10513</v>
      </c>
      <c r="Y1035">
        <v>0.47585729788707187</v>
      </c>
      <c r="Z1035" t="str">
        <f>HYPERLINK("Melting_Curves/meltCurve_sp_P31321_KAP1_HUMAN_.pdf", "Melting_Curves/meltCurve_sp_P31321_KAP1_HUMAN_.pdf")</f>
        <v>Melting_Curves/meltCurve_sp_P31321_KAP1_HUMAN_.pdf</v>
      </c>
      <c r="AA1035" t="s">
        <v>15235</v>
      </c>
      <c r="AB1035" t="s">
        <v>19870</v>
      </c>
    </row>
    <row r="1036" spans="1:28" x14ac:dyDescent="0.25">
      <c r="A1036" t="s">
        <v>1040</v>
      </c>
      <c r="B1036">
        <v>0.99904790336628502</v>
      </c>
      <c r="C1036">
        <v>1.29083093393438</v>
      </c>
      <c r="D1036">
        <v>0.83431067248040902</v>
      </c>
      <c r="E1036">
        <v>0.93748373976842403</v>
      </c>
      <c r="F1036">
        <v>0.50142357453759301</v>
      </c>
      <c r="G1036">
        <v>8.88276582488223E-2</v>
      </c>
      <c r="H1036">
        <v>4.25676837127043E-2</v>
      </c>
      <c r="I1036">
        <v>2.8422202412356799E-2</v>
      </c>
      <c r="J1036">
        <v>2.5877014306843998E-2</v>
      </c>
      <c r="K1036">
        <v>2.7840991742715999E-2</v>
      </c>
      <c r="L1036">
        <v>2168.30713879428</v>
      </c>
      <c r="M1036">
        <v>40.947872563628898</v>
      </c>
      <c r="N1036">
        <v>53.036247209469302</v>
      </c>
      <c r="O1036">
        <v>52.827023704961</v>
      </c>
      <c r="P1036">
        <v>-0.18774175978160501</v>
      </c>
      <c r="Q1036">
        <v>3.11757728211653E-2</v>
      </c>
      <c r="R1036">
        <v>0.94962312633780899</v>
      </c>
      <c r="S1036" t="s">
        <v>5776</v>
      </c>
      <c r="T1036" t="s">
        <v>9478</v>
      </c>
      <c r="U1036" t="s">
        <v>9478</v>
      </c>
      <c r="V1036" t="s">
        <v>9478</v>
      </c>
      <c r="W1036">
        <v>97</v>
      </c>
      <c r="X1036" t="s">
        <v>10514</v>
      </c>
      <c r="Y1036">
        <v>0.4528572506761922</v>
      </c>
      <c r="Z1036" t="str">
        <f>HYPERLINK("Melting_Curves/meltCurve_sp_P31327_2_CPSM_HUMAN_.pdf", "Melting_Curves/meltCurve_sp_P31327_2_CPSM_HUMAN_.pdf")</f>
        <v>Melting_Curves/meltCurve_sp_P31327_2_CPSM_HUMAN_.pdf</v>
      </c>
      <c r="AA1036" t="s">
        <v>15236</v>
      </c>
      <c r="AB1036" t="s">
        <v>19871</v>
      </c>
    </row>
    <row r="1037" spans="1:28" x14ac:dyDescent="0.25">
      <c r="A1037" t="s">
        <v>1041</v>
      </c>
      <c r="B1037">
        <v>0.99904790336628502</v>
      </c>
      <c r="C1037">
        <v>1.0238063103761901</v>
      </c>
      <c r="D1037">
        <v>1.1775410900991301</v>
      </c>
      <c r="E1037">
        <v>1.01428993401339</v>
      </c>
      <c r="F1037">
        <v>0.640226764268502</v>
      </c>
      <c r="G1037">
        <v>0.15127551600432601</v>
      </c>
      <c r="H1037">
        <v>5.9877058638964399E-2</v>
      </c>
      <c r="I1037">
        <v>3.7187116732228902E-2</v>
      </c>
      <c r="J1037">
        <v>2.9164558589561899E-2</v>
      </c>
      <c r="K1037">
        <v>2.38231047054204E-2</v>
      </c>
      <c r="L1037">
        <v>2219.9406576030001</v>
      </c>
      <c r="M1037">
        <v>41.283207641502202</v>
      </c>
      <c r="N1037">
        <v>53.882784797432997</v>
      </c>
      <c r="O1037">
        <v>53.647717463390698</v>
      </c>
      <c r="P1037">
        <v>-0.18465231142352601</v>
      </c>
      <c r="Q1037">
        <v>4.0175269791879901E-2</v>
      </c>
      <c r="R1037">
        <v>0.98344267070580105</v>
      </c>
      <c r="S1037" t="s">
        <v>5777</v>
      </c>
      <c r="T1037" t="s">
        <v>9478</v>
      </c>
      <c r="U1037" t="s">
        <v>9478</v>
      </c>
      <c r="V1037" t="s">
        <v>9478</v>
      </c>
      <c r="W1037">
        <v>135</v>
      </c>
      <c r="X1037" t="s">
        <v>10515</v>
      </c>
      <c r="Y1037">
        <v>0.48418850767584798</v>
      </c>
      <c r="Z1037" t="str">
        <f>HYPERLINK("Melting_Curves/meltCurve_sp_P31327_CPSM_HUMAN_.pdf", "Melting_Curves/meltCurve_sp_P31327_CPSM_HUMAN_.pdf")</f>
        <v>Melting_Curves/meltCurve_sp_P31327_CPSM_HUMAN_.pdf</v>
      </c>
      <c r="AA1037" t="s">
        <v>15236</v>
      </c>
      <c r="AB1037" t="s">
        <v>19872</v>
      </c>
    </row>
    <row r="1038" spans="1:28" x14ac:dyDescent="0.25">
      <c r="A1038" t="s">
        <v>1042</v>
      </c>
      <c r="B1038">
        <v>0.99904790336628502</v>
      </c>
      <c r="C1038">
        <v>1.02664662461983</v>
      </c>
      <c r="D1038">
        <v>0.99569079643111502</v>
      </c>
      <c r="E1038">
        <v>0.916204763514193</v>
      </c>
      <c r="F1038">
        <v>0.84104150014411505</v>
      </c>
      <c r="G1038">
        <v>0.66844199610378696</v>
      </c>
      <c r="H1038">
        <v>0.53587581086102698</v>
      </c>
      <c r="I1038">
        <v>0.51270326925336696</v>
      </c>
      <c r="J1038">
        <v>0.40935210182021198</v>
      </c>
      <c r="K1038">
        <v>0.25993573687397298</v>
      </c>
      <c r="L1038">
        <v>581.25836078836699</v>
      </c>
      <c r="M1038">
        <v>9.4171767649600309</v>
      </c>
      <c r="N1038">
        <v>62.798602917187097</v>
      </c>
      <c r="O1038">
        <v>59.131912221114298</v>
      </c>
      <c r="P1038">
        <v>-3.6871961010980697E-2</v>
      </c>
      <c r="Q1038">
        <v>7.4466956870163498E-2</v>
      </c>
      <c r="R1038">
        <v>0.983886264415888</v>
      </c>
      <c r="S1038" t="s">
        <v>5778</v>
      </c>
      <c r="T1038" t="s">
        <v>9478</v>
      </c>
      <c r="U1038" t="s">
        <v>9478</v>
      </c>
      <c r="V1038" t="s">
        <v>9478</v>
      </c>
      <c r="W1038">
        <v>10</v>
      </c>
      <c r="X1038" t="s">
        <v>10516</v>
      </c>
      <c r="Y1038">
        <v>0.72403685567154319</v>
      </c>
      <c r="Z1038" t="str">
        <f>HYPERLINK("Melting_Curves/meltCurve_sp_P31350_RIR2_HUMAN_.pdf", "Melting_Curves/meltCurve_sp_P31350_RIR2_HUMAN_.pdf")</f>
        <v>Melting_Curves/meltCurve_sp_P31350_RIR2_HUMAN_.pdf</v>
      </c>
      <c r="AA1038" t="s">
        <v>15237</v>
      </c>
      <c r="AB1038" t="s">
        <v>19873</v>
      </c>
    </row>
    <row r="1039" spans="1:28" x14ac:dyDescent="0.25">
      <c r="A1039" t="s">
        <v>1043</v>
      </c>
      <c r="B1039">
        <v>0.99904790336628502</v>
      </c>
      <c r="C1039">
        <v>1.09143231746451</v>
      </c>
      <c r="D1039">
        <v>0.748208471707419</v>
      </c>
      <c r="E1039">
        <v>0.31839665124481198</v>
      </c>
      <c r="F1039">
        <v>0.146190141056702</v>
      </c>
      <c r="G1039">
        <v>7.0089113826251798E-2</v>
      </c>
      <c r="H1039">
        <v>3.6650239315331998E-2</v>
      </c>
      <c r="I1039">
        <v>1.8202028812209E-2</v>
      </c>
      <c r="J1039">
        <v>1.7607594033565498E-2</v>
      </c>
      <c r="K1039">
        <v>1.0669076178587001E-2</v>
      </c>
      <c r="L1039">
        <v>1231.43526583516</v>
      </c>
      <c r="M1039">
        <v>25.480064120346899</v>
      </c>
      <c r="N1039">
        <v>48.441126147984399</v>
      </c>
      <c r="O1039">
        <v>48.034622287865403</v>
      </c>
      <c r="P1039">
        <v>-0.12882898984463101</v>
      </c>
      <c r="Q1039">
        <v>2.8546447045244401E-2</v>
      </c>
      <c r="R1039">
        <v>0.98810134269840899</v>
      </c>
      <c r="S1039" t="s">
        <v>5779</v>
      </c>
      <c r="T1039" t="s">
        <v>9478</v>
      </c>
      <c r="U1039" t="s">
        <v>9478</v>
      </c>
      <c r="V1039" t="s">
        <v>9478</v>
      </c>
      <c r="W1039">
        <v>12</v>
      </c>
      <c r="X1039" t="s">
        <v>10517</v>
      </c>
      <c r="Y1039">
        <v>0.30651494048606742</v>
      </c>
      <c r="Z1039" t="str">
        <f>HYPERLINK("Melting_Curves/meltCurve_sp_P31513_FMO3_HUMAN_.pdf", "Melting_Curves/meltCurve_sp_P31513_FMO3_HUMAN_.pdf")</f>
        <v>Melting_Curves/meltCurve_sp_P31513_FMO3_HUMAN_.pdf</v>
      </c>
      <c r="AA1039" t="s">
        <v>15238</v>
      </c>
      <c r="AB1039" t="s">
        <v>19874</v>
      </c>
    </row>
    <row r="1040" spans="1:28" x14ac:dyDescent="0.25">
      <c r="A1040" t="s">
        <v>1044</v>
      </c>
      <c r="B1040">
        <v>0.99904790336628502</v>
      </c>
      <c r="C1040">
        <v>1.01643725018152</v>
      </c>
      <c r="D1040">
        <v>1.03037750965646</v>
      </c>
      <c r="E1040">
        <v>0.87189669588191598</v>
      </c>
      <c r="F1040">
        <v>0.68689504253451195</v>
      </c>
      <c r="G1040">
        <v>0.28183520301466303</v>
      </c>
      <c r="H1040">
        <v>0.12137283824912901</v>
      </c>
      <c r="I1040">
        <v>9.59016643629617E-2</v>
      </c>
      <c r="J1040">
        <v>8.2177972241193706E-2</v>
      </c>
      <c r="K1040">
        <v>6.3257455553064307E-2</v>
      </c>
      <c r="L1040">
        <v>1339.5893204978299</v>
      </c>
      <c r="M1040">
        <v>24.666099020472899</v>
      </c>
      <c r="N1040">
        <v>54.627287502805302</v>
      </c>
      <c r="O1040">
        <v>53.955738253550997</v>
      </c>
      <c r="P1040">
        <v>-0.106638745882305</v>
      </c>
      <c r="Q1040">
        <v>6.6947623277934104E-2</v>
      </c>
      <c r="R1040">
        <v>0.99805137331189997</v>
      </c>
      <c r="S1040" t="s">
        <v>5780</v>
      </c>
      <c r="T1040" t="s">
        <v>9478</v>
      </c>
      <c r="U1040" t="s">
        <v>9478</v>
      </c>
      <c r="V1040" t="s">
        <v>9478</v>
      </c>
      <c r="W1040">
        <v>10</v>
      </c>
      <c r="X1040" t="s">
        <v>10518</v>
      </c>
      <c r="Y1040">
        <v>0.52083060734485453</v>
      </c>
      <c r="Z1040" t="str">
        <f>HYPERLINK("Melting_Curves/meltCurve_sp_P31689_DNJA1_HUMAN_.pdf", "Melting_Curves/meltCurve_sp_P31689_DNJA1_HUMAN_.pdf")</f>
        <v>Melting_Curves/meltCurve_sp_P31689_DNJA1_HUMAN_.pdf</v>
      </c>
      <c r="AA1040" t="s">
        <v>15239</v>
      </c>
      <c r="AB1040" t="s">
        <v>19875</v>
      </c>
    </row>
    <row r="1041" spans="1:28" x14ac:dyDescent="0.25">
      <c r="A1041" t="s">
        <v>1045</v>
      </c>
      <c r="B1041">
        <v>0.99904790336628502</v>
      </c>
      <c r="C1041">
        <v>0.999386760669286</v>
      </c>
      <c r="D1041">
        <v>0.938309353183158</v>
      </c>
      <c r="E1041">
        <v>0.75524307741326002</v>
      </c>
      <c r="F1041">
        <v>0.41772640243441</v>
      </c>
      <c r="G1041">
        <v>0.13318992293766699</v>
      </c>
      <c r="H1041">
        <v>6.8559441748618402E-2</v>
      </c>
      <c r="I1041">
        <v>4.8804317844181697E-2</v>
      </c>
      <c r="J1041">
        <v>2.79459706239698E-2</v>
      </c>
      <c r="K1041">
        <v>3.0491659738509098E-2</v>
      </c>
      <c r="L1041">
        <v>1258.20892433722</v>
      </c>
      <c r="M1041">
        <v>24.1354107779914</v>
      </c>
      <c r="N1041">
        <v>52.269307159080299</v>
      </c>
      <c r="O1041">
        <v>51.777304230618199</v>
      </c>
      <c r="P1041">
        <v>-0.11293772797538799</v>
      </c>
      <c r="Q1041">
        <v>3.0880931676732701E-2</v>
      </c>
      <c r="R1041">
        <v>0.99941871621210898</v>
      </c>
      <c r="S1041" t="s">
        <v>5781</v>
      </c>
      <c r="T1041" t="s">
        <v>9478</v>
      </c>
      <c r="U1041" t="s">
        <v>9478</v>
      </c>
      <c r="V1041" t="s">
        <v>9478</v>
      </c>
      <c r="W1041">
        <v>12</v>
      </c>
      <c r="X1041" t="s">
        <v>10519</v>
      </c>
      <c r="Y1041">
        <v>0.43224261176723838</v>
      </c>
      <c r="Z1041" t="str">
        <f>HYPERLINK("Melting_Curves/meltCurve_sp_P31749_AKT1_HUMAN_.pdf", "Melting_Curves/meltCurve_sp_P31749_AKT1_HUMAN_.pdf")</f>
        <v>Melting_Curves/meltCurve_sp_P31749_AKT1_HUMAN_.pdf</v>
      </c>
      <c r="AA1041" t="s">
        <v>15240</v>
      </c>
      <c r="AB1041" t="s">
        <v>19876</v>
      </c>
    </row>
    <row r="1042" spans="1:28" x14ac:dyDescent="0.25">
      <c r="A1042" t="s">
        <v>1046</v>
      </c>
      <c r="B1042">
        <v>0.99904790336628502</v>
      </c>
      <c r="C1042">
        <v>0.88572856534053102</v>
      </c>
      <c r="D1042">
        <v>0.88307319983923604</v>
      </c>
      <c r="E1042">
        <v>0.83070056931349201</v>
      </c>
      <c r="F1042">
        <v>0.67949274955785899</v>
      </c>
      <c r="G1042">
        <v>0.22806056470399699</v>
      </c>
      <c r="H1042">
        <v>7.4498451008553096E-2</v>
      </c>
      <c r="I1042">
        <v>5.1086934527466397E-2</v>
      </c>
      <c r="J1042">
        <v>4.9845125509509501E-2</v>
      </c>
      <c r="K1042">
        <v>3.3575932769450402E-2</v>
      </c>
      <c r="L1042">
        <v>1169.15612351964</v>
      </c>
      <c r="M1042">
        <v>21.5932740192486</v>
      </c>
      <c r="N1042">
        <v>54.223916537487099</v>
      </c>
      <c r="O1042">
        <v>53.686505397160602</v>
      </c>
      <c r="P1042">
        <v>-9.8989056325076694E-2</v>
      </c>
      <c r="Q1042">
        <v>1.55733934421294E-2</v>
      </c>
      <c r="R1042">
        <v>0.98197166935787705</v>
      </c>
      <c r="S1042" t="s">
        <v>5782</v>
      </c>
      <c r="T1042" t="s">
        <v>9478</v>
      </c>
      <c r="U1042" t="s">
        <v>9478</v>
      </c>
      <c r="V1042" t="s">
        <v>9478</v>
      </c>
      <c r="W1042">
        <v>16</v>
      </c>
      <c r="X1042" t="s">
        <v>10520</v>
      </c>
      <c r="Y1042">
        <v>0.49148614667681889</v>
      </c>
      <c r="Z1042" t="str">
        <f>HYPERLINK("Melting_Curves/meltCurve_sp_P31751_AKT2_HUMAN_.pdf", "Melting_Curves/meltCurve_sp_P31751_AKT2_HUMAN_.pdf")</f>
        <v>Melting_Curves/meltCurve_sp_P31751_AKT2_HUMAN_.pdf</v>
      </c>
      <c r="AA1042" t="s">
        <v>15241</v>
      </c>
      <c r="AB1042" t="s">
        <v>19877</v>
      </c>
    </row>
    <row r="1043" spans="1:28" x14ac:dyDescent="0.25">
      <c r="A1043" t="s">
        <v>1047</v>
      </c>
      <c r="B1043">
        <v>0.99904790336628502</v>
      </c>
      <c r="C1043">
        <v>0.70105365412377496</v>
      </c>
      <c r="D1043">
        <v>0.33099652263562901</v>
      </c>
      <c r="E1043">
        <v>0.17516903196585301</v>
      </c>
      <c r="F1043">
        <v>0.10879249840736401</v>
      </c>
      <c r="G1043">
        <v>7.0706177644088097E-2</v>
      </c>
      <c r="H1043">
        <v>4.9431827467921199E-2</v>
      </c>
      <c r="I1043">
        <v>3.6939410861419303E-2</v>
      </c>
      <c r="J1043">
        <v>3.0894153175496299E-2</v>
      </c>
      <c r="K1043">
        <v>2.8264145983028701E-2</v>
      </c>
      <c r="L1043">
        <v>1030.8998157620199</v>
      </c>
      <c r="M1043">
        <v>23.177439548083701</v>
      </c>
      <c r="N1043">
        <v>44.700375072797598</v>
      </c>
      <c r="O1043">
        <v>44.151448846810602</v>
      </c>
      <c r="P1043">
        <v>-0.124111793033889</v>
      </c>
      <c r="Q1043">
        <v>5.4318998184768298E-2</v>
      </c>
      <c r="R1043">
        <v>0.98953136124555896</v>
      </c>
      <c r="S1043" t="s">
        <v>5783</v>
      </c>
      <c r="T1043" t="s">
        <v>9478</v>
      </c>
      <c r="U1043" t="s">
        <v>9478</v>
      </c>
      <c r="V1043" t="s">
        <v>9478</v>
      </c>
      <c r="W1043">
        <v>8</v>
      </c>
      <c r="X1043" t="s">
        <v>10521</v>
      </c>
      <c r="Y1043">
        <v>0.20755261926972049</v>
      </c>
      <c r="Z1043" t="str">
        <f>HYPERLINK("Melting_Curves/meltCurve_sp_P31930_QCR1_HUMAN_.pdf", "Melting_Curves/meltCurve_sp_P31930_QCR1_HUMAN_.pdf")</f>
        <v>Melting_Curves/meltCurve_sp_P31930_QCR1_HUMAN_.pdf</v>
      </c>
      <c r="AA1043" t="s">
        <v>15242</v>
      </c>
      <c r="AB1043" t="s">
        <v>19878</v>
      </c>
    </row>
    <row r="1044" spans="1:28" x14ac:dyDescent="0.25">
      <c r="A1044" t="s">
        <v>1048</v>
      </c>
      <c r="B1044">
        <v>0.99904790336628502</v>
      </c>
      <c r="C1044">
        <v>1.0017924314884199</v>
      </c>
      <c r="D1044">
        <v>1.0837110292388199</v>
      </c>
      <c r="E1044">
        <v>1.0475720546704801</v>
      </c>
      <c r="F1044">
        <v>1.0143023357780401</v>
      </c>
      <c r="G1044">
        <v>0.91406972402183995</v>
      </c>
      <c r="H1044">
        <v>0.62426021406017596</v>
      </c>
      <c r="I1044">
        <v>0.13837580845101399</v>
      </c>
      <c r="J1044">
        <v>2.9250915611153699E-2</v>
      </c>
      <c r="K1044">
        <v>3.0764550904164599E-2</v>
      </c>
      <c r="L1044">
        <v>2865.4974433580101</v>
      </c>
      <c r="M1044">
        <v>46.551123374087197</v>
      </c>
      <c r="N1044">
        <v>61.588902977501199</v>
      </c>
      <c r="O1044">
        <v>61.442633353207199</v>
      </c>
      <c r="P1044">
        <v>-0.18707829460587899</v>
      </c>
      <c r="Q1044">
        <v>1.23054237673186E-2</v>
      </c>
      <c r="R1044">
        <v>0.99217906203872097</v>
      </c>
      <c r="S1044" t="s">
        <v>5784</v>
      </c>
      <c r="T1044" t="s">
        <v>9478</v>
      </c>
      <c r="U1044" t="s">
        <v>9478</v>
      </c>
      <c r="V1044" t="s">
        <v>9478</v>
      </c>
      <c r="W1044">
        <v>15</v>
      </c>
      <c r="X1044" t="s">
        <v>10522</v>
      </c>
      <c r="Y1044">
        <v>0.72487561503502262</v>
      </c>
      <c r="Z1044" t="str">
        <f>HYPERLINK("Melting_Curves/meltCurve_sp_P31937_3HIDH_HUMAN_.pdf", "Melting_Curves/meltCurve_sp_P31937_3HIDH_HUMAN_.pdf")</f>
        <v>Melting_Curves/meltCurve_sp_P31937_3HIDH_HUMAN_.pdf</v>
      </c>
      <c r="AA1044" t="s">
        <v>15243</v>
      </c>
      <c r="AB1044" t="s">
        <v>19879</v>
      </c>
    </row>
    <row r="1045" spans="1:28" x14ac:dyDescent="0.25">
      <c r="A1045" t="s">
        <v>1049</v>
      </c>
      <c r="B1045">
        <v>0.99904790336628502</v>
      </c>
      <c r="C1045">
        <v>0.86145085680368505</v>
      </c>
      <c r="D1045">
        <v>0.62382540852338497</v>
      </c>
      <c r="E1045">
        <v>0.216241916210234</v>
      </c>
      <c r="F1045">
        <v>0.110888233947624</v>
      </c>
      <c r="G1045">
        <v>6.7092829135887003E-2</v>
      </c>
      <c r="H1045">
        <v>4.8303013755035297E-2</v>
      </c>
      <c r="I1045">
        <v>3.0458233042754301E-2</v>
      </c>
      <c r="J1045">
        <v>2.62623245791688E-2</v>
      </c>
      <c r="K1045">
        <v>2.2719893689068901E-2</v>
      </c>
      <c r="L1045">
        <v>1004.92918774052</v>
      </c>
      <c r="M1045">
        <v>21.451402285146902</v>
      </c>
      <c r="N1045">
        <v>46.990297100417997</v>
      </c>
      <c r="O1045">
        <v>46.445366277382398</v>
      </c>
      <c r="P1045">
        <v>-0.111807397863134</v>
      </c>
      <c r="Q1045">
        <v>3.1707597653453198E-2</v>
      </c>
      <c r="R1045">
        <v>0.998576194281938</v>
      </c>
      <c r="S1045" t="s">
        <v>5785</v>
      </c>
      <c r="T1045" t="s">
        <v>9478</v>
      </c>
      <c r="U1045" t="s">
        <v>9478</v>
      </c>
      <c r="V1045" t="s">
        <v>9478</v>
      </c>
      <c r="W1045">
        <v>27</v>
      </c>
      <c r="X1045" t="s">
        <v>10523</v>
      </c>
      <c r="Y1045">
        <v>0.26490116366021771</v>
      </c>
      <c r="Z1045" t="str">
        <f>HYPERLINK("Melting_Curves/meltCurve_sp_P31939_PUR9_HUMAN_.pdf", "Melting_Curves/meltCurve_sp_P31939_PUR9_HUMAN_.pdf")</f>
        <v>Melting_Curves/meltCurve_sp_P31939_PUR9_HUMAN_.pdf</v>
      </c>
      <c r="AA1045" t="s">
        <v>15244</v>
      </c>
      <c r="AB1045" t="s">
        <v>19880</v>
      </c>
    </row>
    <row r="1046" spans="1:28" x14ac:dyDescent="0.25">
      <c r="A1046" t="s">
        <v>1050</v>
      </c>
      <c r="B1046">
        <v>0.99904790336628502</v>
      </c>
      <c r="C1046">
        <v>0.99093677302794603</v>
      </c>
      <c r="D1046">
        <v>0.98099754109801596</v>
      </c>
      <c r="E1046">
        <v>0.90018054404367998</v>
      </c>
      <c r="F1046">
        <v>0.81454209860495597</v>
      </c>
      <c r="G1046">
        <v>0.45403590816783901</v>
      </c>
      <c r="H1046">
        <v>0.26144739244375398</v>
      </c>
      <c r="I1046">
        <v>0.19641851825029799</v>
      </c>
      <c r="J1046">
        <v>0.21906131758094699</v>
      </c>
      <c r="K1046">
        <v>0.19700784032518701</v>
      </c>
      <c r="L1046">
        <v>1322.6048279726999</v>
      </c>
      <c r="M1046">
        <v>23.896458232170801</v>
      </c>
      <c r="N1046">
        <v>56.451082400965703</v>
      </c>
      <c r="O1046">
        <v>54.964077057145801</v>
      </c>
      <c r="P1046">
        <v>-8.8407108835475798E-2</v>
      </c>
      <c r="Q1046">
        <v>0.18663462216712501</v>
      </c>
      <c r="R1046">
        <v>0.997150313272818</v>
      </c>
      <c r="S1046" t="s">
        <v>5786</v>
      </c>
      <c r="T1046" t="s">
        <v>9478</v>
      </c>
      <c r="U1046" t="s">
        <v>9478</v>
      </c>
      <c r="V1046" t="s">
        <v>9478</v>
      </c>
      <c r="W1046">
        <v>8</v>
      </c>
      <c r="X1046" t="s">
        <v>10524</v>
      </c>
      <c r="Y1046">
        <v>0.61084497859301901</v>
      </c>
      <c r="Z1046" t="str">
        <f>HYPERLINK("Melting_Curves/meltCurve_sp_P31942_2_HNRH3_HUMAN_.pdf", "Melting_Curves/meltCurve_sp_P31942_2_HNRH3_HUMAN_.pdf")</f>
        <v>Melting_Curves/meltCurve_sp_P31942_2_HNRH3_HUMAN_.pdf</v>
      </c>
      <c r="AA1046" t="s">
        <v>15245</v>
      </c>
      <c r="AB1046" t="s">
        <v>19881</v>
      </c>
    </row>
    <row r="1047" spans="1:28" x14ac:dyDescent="0.25">
      <c r="A1047" t="s">
        <v>1051</v>
      </c>
      <c r="B1047">
        <v>0.99904790336628502</v>
      </c>
      <c r="C1047">
        <v>0.88261174637642803</v>
      </c>
      <c r="D1047">
        <v>1.8434436794223199</v>
      </c>
      <c r="E1047">
        <v>5.9835970096132201</v>
      </c>
      <c r="F1047">
        <v>0.55771559224576495</v>
      </c>
      <c r="G1047">
        <v>0.75797018336973998</v>
      </c>
      <c r="H1047">
        <v>0.926678957234365</v>
      </c>
      <c r="I1047">
        <v>0.426990337741527</v>
      </c>
      <c r="J1047">
        <v>0.56901912845854996</v>
      </c>
      <c r="K1047">
        <v>0.57481919072186705</v>
      </c>
      <c r="L1047">
        <v>15000</v>
      </c>
      <c r="M1047">
        <v>244.19801424251</v>
      </c>
      <c r="O1047">
        <v>61.421454423026397</v>
      </c>
      <c r="P1047">
        <v>-0.47351043374516899</v>
      </c>
      <c r="Q1047">
        <v>0.52360475507805804</v>
      </c>
      <c r="R1047">
        <v>-2.1924768500049902E-2</v>
      </c>
      <c r="S1047" t="s">
        <v>5787</v>
      </c>
      <c r="T1047" t="s">
        <v>9478</v>
      </c>
      <c r="U1047" t="s">
        <v>9478</v>
      </c>
      <c r="V1047" t="s">
        <v>9478</v>
      </c>
      <c r="W1047">
        <v>3</v>
      </c>
      <c r="X1047" t="s">
        <v>10525</v>
      </c>
      <c r="Y1047">
        <v>0.86389309221837229</v>
      </c>
      <c r="Z1047" t="str">
        <f>HYPERLINK("Melting_Curves/meltCurve_sp_P31944_CASPE_HUMAN_.pdf", "Melting_Curves/meltCurve_sp_P31944_CASPE_HUMAN_.pdf")</f>
        <v>Melting_Curves/meltCurve_sp_P31944_CASPE_HUMAN_.pdf</v>
      </c>
      <c r="AA1047" t="s">
        <v>15246</v>
      </c>
      <c r="AB1047" t="s">
        <v>19882</v>
      </c>
    </row>
    <row r="1048" spans="1:28" x14ac:dyDescent="0.25">
      <c r="A1048" t="s">
        <v>1052</v>
      </c>
      <c r="B1048">
        <v>0.99904790336628502</v>
      </c>
      <c r="C1048">
        <v>0.89662381626693999</v>
      </c>
      <c r="D1048">
        <v>0.95154638116051005</v>
      </c>
      <c r="E1048">
        <v>0.99207943351104699</v>
      </c>
      <c r="F1048">
        <v>0.998788005854227</v>
      </c>
      <c r="G1048">
        <v>0.79286197289496496</v>
      </c>
      <c r="H1048">
        <v>0.31956568845391897</v>
      </c>
      <c r="I1048">
        <v>7.3080217335786901E-2</v>
      </c>
      <c r="J1048">
        <v>3.5628351480149402E-2</v>
      </c>
      <c r="K1048">
        <v>3.3820183408909403E-2</v>
      </c>
      <c r="L1048">
        <v>1966.8079294255001</v>
      </c>
      <c r="M1048">
        <v>33.115538748222797</v>
      </c>
      <c r="N1048">
        <v>59.442339471054801</v>
      </c>
      <c r="O1048">
        <v>59.176973121090199</v>
      </c>
      <c r="P1048">
        <v>-0.13797787322155999</v>
      </c>
      <c r="Q1048">
        <v>1.37467704751828E-2</v>
      </c>
      <c r="R1048">
        <v>0.99158337071630598</v>
      </c>
      <c r="S1048" t="s">
        <v>5788</v>
      </c>
      <c r="T1048" t="s">
        <v>9478</v>
      </c>
      <c r="U1048" t="s">
        <v>9478</v>
      </c>
      <c r="V1048" t="s">
        <v>9478</v>
      </c>
      <c r="W1048">
        <v>16</v>
      </c>
      <c r="X1048" t="s">
        <v>10526</v>
      </c>
      <c r="Y1048">
        <v>0.65662074262228487</v>
      </c>
      <c r="Z1048" t="str">
        <f>HYPERLINK("Melting_Curves/meltCurve_sp_P31946_2_1433B_HUMAN_.pdf", "Melting_Curves/meltCurve_sp_P31946_2_1433B_HUMAN_.pdf")</f>
        <v>Melting_Curves/meltCurve_sp_P31946_2_1433B_HUMAN_.pdf</v>
      </c>
      <c r="AA1048" t="s">
        <v>15247</v>
      </c>
      <c r="AB1048" t="s">
        <v>19883</v>
      </c>
    </row>
    <row r="1049" spans="1:28" x14ac:dyDescent="0.25">
      <c r="A1049" t="s">
        <v>1053</v>
      </c>
      <c r="B1049">
        <v>0.99904790336628502</v>
      </c>
      <c r="C1049">
        <v>1.01463611065794</v>
      </c>
      <c r="D1049">
        <v>0.84981590067282398</v>
      </c>
      <c r="E1049">
        <v>1.03827552364979</v>
      </c>
      <c r="F1049">
        <v>1.16679976415566</v>
      </c>
      <c r="G1049">
        <v>0.81261592565664398</v>
      </c>
      <c r="H1049">
        <v>0.38981299737759201</v>
      </c>
      <c r="I1049">
        <v>0.20547826322374599</v>
      </c>
      <c r="J1049">
        <v>0.15184005319914601</v>
      </c>
      <c r="K1049">
        <v>0.13910188154512801</v>
      </c>
      <c r="L1049">
        <v>2152.0048213769401</v>
      </c>
      <c r="M1049">
        <v>36.243804308935701</v>
      </c>
      <c r="N1049">
        <v>59.927105276348499</v>
      </c>
      <c r="O1049">
        <v>59.195909685153602</v>
      </c>
      <c r="P1049">
        <v>-0.131367444522906</v>
      </c>
      <c r="Q1049">
        <v>0.14176873886880101</v>
      </c>
      <c r="R1049">
        <v>0.96209506598955497</v>
      </c>
      <c r="S1049" t="s">
        <v>5789</v>
      </c>
      <c r="T1049" t="s">
        <v>9478</v>
      </c>
      <c r="U1049" t="s">
        <v>9478</v>
      </c>
      <c r="V1049" t="s">
        <v>9478</v>
      </c>
      <c r="W1049">
        <v>6</v>
      </c>
      <c r="X1049" t="s">
        <v>10527</v>
      </c>
      <c r="Y1049">
        <v>0.70008118988930734</v>
      </c>
      <c r="Z1049" t="str">
        <f>HYPERLINK("Melting_Curves/meltCurve_sp_P31947_2_1433S_HUMAN_.pdf", "Melting_Curves/meltCurve_sp_P31947_2_1433S_HUMAN_.pdf")</f>
        <v>Melting_Curves/meltCurve_sp_P31947_2_1433S_HUMAN_.pdf</v>
      </c>
      <c r="AA1049" t="s">
        <v>15248</v>
      </c>
      <c r="AB1049" t="s">
        <v>19884</v>
      </c>
    </row>
    <row r="1050" spans="1:28" x14ac:dyDescent="0.25">
      <c r="A1050" t="s">
        <v>1054</v>
      </c>
      <c r="B1050">
        <v>0.99904790336628502</v>
      </c>
      <c r="C1050">
        <v>0.98657870891785604</v>
      </c>
      <c r="D1050">
        <v>1.03988602866256</v>
      </c>
      <c r="E1050">
        <v>1.0284030113917599</v>
      </c>
      <c r="F1050">
        <v>0.94869273080599303</v>
      </c>
      <c r="G1050">
        <v>0.72842257906371599</v>
      </c>
      <c r="H1050">
        <v>0.59866580077363596</v>
      </c>
      <c r="I1050">
        <v>0.62011627935293201</v>
      </c>
      <c r="J1050">
        <v>0.57584094663484198</v>
      </c>
      <c r="K1050">
        <v>0.51919196401342305</v>
      </c>
      <c r="L1050">
        <v>1871.9304020945201</v>
      </c>
      <c r="M1050">
        <v>33.308714013187803</v>
      </c>
      <c r="O1050">
        <v>55.998011908525399</v>
      </c>
      <c r="P1050">
        <v>-6.4287543734289604E-2</v>
      </c>
      <c r="Q1050">
        <v>0.56768560082491504</v>
      </c>
      <c r="R1050">
        <v>0.98171700704165099</v>
      </c>
      <c r="S1050" t="s">
        <v>5790</v>
      </c>
      <c r="T1050" t="s">
        <v>9478</v>
      </c>
      <c r="U1050" t="s">
        <v>9478</v>
      </c>
      <c r="V1050" t="s">
        <v>9478</v>
      </c>
      <c r="W1050">
        <v>52</v>
      </c>
      <c r="X1050" t="s">
        <v>10528</v>
      </c>
      <c r="Y1050">
        <v>0.80350177498477415</v>
      </c>
      <c r="Z1050" t="str">
        <f>HYPERLINK("Melting_Curves/meltCurve_sp_P31948_STIP1_HUMAN_.pdf", "Melting_Curves/meltCurve_sp_P31948_STIP1_HUMAN_.pdf")</f>
        <v>Melting_Curves/meltCurve_sp_P31948_STIP1_HUMAN_.pdf</v>
      </c>
      <c r="AA1050" t="s">
        <v>15249</v>
      </c>
      <c r="AB1050" t="s">
        <v>19885</v>
      </c>
    </row>
    <row r="1051" spans="1:28" x14ac:dyDescent="0.25">
      <c r="A1051" t="s">
        <v>1055</v>
      </c>
      <c r="B1051">
        <v>0.99904790336628502</v>
      </c>
      <c r="C1051">
        <v>1.0832604282227301</v>
      </c>
      <c r="D1051">
        <v>1.01286468058815</v>
      </c>
      <c r="E1051">
        <v>1.05877207842711</v>
      </c>
      <c r="F1051">
        <v>1.11049770374817</v>
      </c>
      <c r="G1051">
        <v>0.772864083585732</v>
      </c>
      <c r="H1051">
        <v>0.55917505233198395</v>
      </c>
      <c r="I1051">
        <v>0.590786094187019</v>
      </c>
      <c r="J1051">
        <v>0.55984462544567903</v>
      </c>
      <c r="K1051">
        <v>0.50604723439051802</v>
      </c>
      <c r="L1051">
        <v>14247.895006966201</v>
      </c>
      <c r="M1051">
        <v>250</v>
      </c>
      <c r="O1051">
        <v>56.987932958001799</v>
      </c>
      <c r="P1051">
        <v>-0.48917895282245899</v>
      </c>
      <c r="Q1051">
        <v>0.55396324273986997</v>
      </c>
      <c r="R1051">
        <v>0.95344569667485801</v>
      </c>
      <c r="S1051" t="s">
        <v>5791</v>
      </c>
      <c r="T1051" t="s">
        <v>9478</v>
      </c>
      <c r="U1051" t="s">
        <v>9478</v>
      </c>
      <c r="V1051" t="s">
        <v>9478</v>
      </c>
      <c r="W1051">
        <v>4</v>
      </c>
      <c r="X1051" t="s">
        <v>10529</v>
      </c>
      <c r="Y1051">
        <v>0.80663683025197352</v>
      </c>
      <c r="Z1051" t="str">
        <f>HYPERLINK("Melting_Curves/meltCurve_sp_P31949_S10AB_HUMAN_.pdf", "Melting_Curves/meltCurve_sp_P31949_S10AB_HUMAN_.pdf")</f>
        <v>Melting_Curves/meltCurve_sp_P31949_S10AB_HUMAN_.pdf</v>
      </c>
      <c r="AA1051" t="s">
        <v>15250</v>
      </c>
      <c r="AB1051" t="s">
        <v>19886</v>
      </c>
    </row>
    <row r="1052" spans="1:28" x14ac:dyDescent="0.25">
      <c r="A1052" t="s">
        <v>1056</v>
      </c>
      <c r="B1052">
        <v>0.99904790336628502</v>
      </c>
      <c r="C1052">
        <v>1.0160289701626299</v>
      </c>
      <c r="D1052">
        <v>1.06753668085586</v>
      </c>
      <c r="E1052">
        <v>0.99746889227049695</v>
      </c>
      <c r="F1052">
        <v>0.96545565391953303</v>
      </c>
      <c r="G1052">
        <v>0.68044237020333798</v>
      </c>
      <c r="H1052">
        <v>0.56935090012932998</v>
      </c>
      <c r="I1052">
        <v>0.47885334322155398</v>
      </c>
      <c r="J1052">
        <v>0.351736352604609</v>
      </c>
      <c r="K1052">
        <v>0.21088789126844801</v>
      </c>
      <c r="L1052">
        <v>828.99339026462803</v>
      </c>
      <c r="M1052">
        <v>13.4910286588667</v>
      </c>
      <c r="N1052">
        <v>62.531422525483798</v>
      </c>
      <c r="O1052">
        <v>60.1447795920419</v>
      </c>
      <c r="P1052">
        <v>-5.02395024726673E-2</v>
      </c>
      <c r="Q1052">
        <v>0.104239760686986</v>
      </c>
      <c r="R1052">
        <v>0.97446923500488003</v>
      </c>
      <c r="S1052" t="s">
        <v>5792</v>
      </c>
      <c r="T1052" t="s">
        <v>9478</v>
      </c>
      <c r="U1052" t="s">
        <v>9478</v>
      </c>
      <c r="V1052" t="s">
        <v>9478</v>
      </c>
      <c r="W1052">
        <v>14</v>
      </c>
      <c r="X1052" t="s">
        <v>10530</v>
      </c>
      <c r="Y1052">
        <v>0.74211038938260832</v>
      </c>
      <c r="Z1052" t="str">
        <f>HYPERLINK("Melting_Curves/meltCurve_sp_P32119_PRDX2_HUMAN_.pdf", "Melting_Curves/meltCurve_sp_P32119_PRDX2_HUMAN_.pdf")</f>
        <v>Melting_Curves/meltCurve_sp_P32119_PRDX2_HUMAN_.pdf</v>
      </c>
      <c r="AA1052" t="s">
        <v>15251</v>
      </c>
      <c r="AB1052" t="s">
        <v>19887</v>
      </c>
    </row>
    <row r="1053" spans="1:28" x14ac:dyDescent="0.25">
      <c r="A1053" t="s">
        <v>1057</v>
      </c>
      <c r="B1053">
        <v>0.99904790336628502</v>
      </c>
      <c r="C1053">
        <v>0.75322490135948394</v>
      </c>
      <c r="D1053">
        <v>0.57477131787668501</v>
      </c>
      <c r="E1053">
        <v>0.605515862611402</v>
      </c>
      <c r="F1053">
        <v>0.32980990123564202</v>
      </c>
      <c r="G1053">
        <v>0.117910359516368</v>
      </c>
      <c r="H1053">
        <v>8.7795592451397605E-2</v>
      </c>
      <c r="I1053">
        <v>2.73591014453144E-2</v>
      </c>
      <c r="J1053">
        <v>2.5394027166532E-2</v>
      </c>
      <c r="K1053">
        <v>2.8281998988456999E-2</v>
      </c>
      <c r="L1053">
        <v>534.78405959817405</v>
      </c>
      <c r="M1053">
        <v>10.895021815442099</v>
      </c>
      <c r="N1053">
        <v>49.085180528025703</v>
      </c>
      <c r="O1053">
        <v>47.5183802884061</v>
      </c>
      <c r="P1053">
        <v>-5.7340106280513899E-2</v>
      </c>
      <c r="Q1053">
        <v>0</v>
      </c>
      <c r="R1053">
        <v>0.95319903087786695</v>
      </c>
      <c r="S1053" t="s">
        <v>5793</v>
      </c>
      <c r="T1053" t="s">
        <v>9478</v>
      </c>
      <c r="U1053" t="s">
        <v>9478</v>
      </c>
      <c r="V1053" t="s">
        <v>9478</v>
      </c>
      <c r="W1053">
        <v>2</v>
      </c>
      <c r="X1053" t="s">
        <v>10531</v>
      </c>
      <c r="Y1053">
        <v>0.34555089012219359</v>
      </c>
      <c r="Z1053" t="str">
        <f>HYPERLINK("Melting_Curves/meltCurve_sp_P32121_5_ARRB2_HUMAN_.pdf", "Melting_Curves/meltCurve_sp_P32121_5_ARRB2_HUMAN_.pdf")</f>
        <v>Melting_Curves/meltCurve_sp_P32121_5_ARRB2_HUMAN_.pdf</v>
      </c>
      <c r="AA1053" t="s">
        <v>15252</v>
      </c>
      <c r="AB1053" t="s">
        <v>19888</v>
      </c>
    </row>
    <row r="1054" spans="1:28" x14ac:dyDescent="0.25">
      <c r="A1054" t="s">
        <v>1058</v>
      </c>
      <c r="B1054">
        <v>0.99904790336628502</v>
      </c>
      <c r="C1054">
        <v>0.96812549422645799</v>
      </c>
      <c r="D1054">
        <v>0.96484192280372805</v>
      </c>
      <c r="E1054">
        <v>0.88388662692239905</v>
      </c>
      <c r="F1054">
        <v>0.68140168743125895</v>
      </c>
      <c r="G1054">
        <v>0.45822975314300002</v>
      </c>
      <c r="H1054">
        <v>0.30843877452782398</v>
      </c>
      <c r="I1054">
        <v>0.22236066929950099</v>
      </c>
      <c r="J1054">
        <v>0.14097495024529999</v>
      </c>
      <c r="K1054">
        <v>7.3237785501704206E-2</v>
      </c>
      <c r="L1054">
        <v>736.79415337792602</v>
      </c>
      <c r="M1054">
        <v>13.0605209304087</v>
      </c>
      <c r="N1054">
        <v>56.652513476536797</v>
      </c>
      <c r="O1054">
        <v>55.140419460995403</v>
      </c>
      <c r="P1054">
        <v>-5.7639734444549701E-2</v>
      </c>
      <c r="Q1054">
        <v>2.6768255721103099E-2</v>
      </c>
      <c r="R1054">
        <v>0.99635173677562305</v>
      </c>
      <c r="S1054" t="s">
        <v>5794</v>
      </c>
      <c r="T1054" t="s">
        <v>9478</v>
      </c>
      <c r="U1054" t="s">
        <v>9478</v>
      </c>
      <c r="V1054" t="s">
        <v>9478</v>
      </c>
      <c r="W1054">
        <v>23</v>
      </c>
      <c r="X1054" t="s">
        <v>10532</v>
      </c>
      <c r="Y1054">
        <v>0.57720391151427486</v>
      </c>
      <c r="Z1054" t="str">
        <f>HYPERLINK("Melting_Curves/meltCurve_sp_P32189_1_GLPK_HUMAN_.pdf", "Melting_Curves/meltCurve_sp_P32189_1_GLPK_HUMAN_.pdf")</f>
        <v>Melting_Curves/meltCurve_sp_P32189_1_GLPK_HUMAN_.pdf</v>
      </c>
      <c r="AA1054" t="s">
        <v>15253</v>
      </c>
      <c r="AB1054" t="s">
        <v>19889</v>
      </c>
    </row>
    <row r="1055" spans="1:28" x14ac:dyDescent="0.25">
      <c r="A1055" t="s">
        <v>1059</v>
      </c>
      <c r="B1055">
        <v>0.99904790336628502</v>
      </c>
      <c r="C1055">
        <v>1.0380549157471901</v>
      </c>
      <c r="D1055">
        <v>1.0442635558281199</v>
      </c>
      <c r="E1055">
        <v>1.00343903448961</v>
      </c>
      <c r="F1055">
        <v>0.95105708352361595</v>
      </c>
      <c r="G1055">
        <v>0.79179963216722904</v>
      </c>
      <c r="H1055">
        <v>0.75774979951907495</v>
      </c>
      <c r="I1055">
        <v>0.74730448895345902</v>
      </c>
      <c r="J1055">
        <v>0.80564030347938298</v>
      </c>
      <c r="K1055">
        <v>0.68584388240821603</v>
      </c>
      <c r="L1055">
        <v>2260.3079949476401</v>
      </c>
      <c r="M1055">
        <v>41.1922880044471</v>
      </c>
      <c r="O1055">
        <v>54.743269306464398</v>
      </c>
      <c r="P1055">
        <v>-4.7450763013299403E-2</v>
      </c>
      <c r="Q1055">
        <v>0.74775812054854496</v>
      </c>
      <c r="R1055">
        <v>0.93709049019669599</v>
      </c>
      <c r="S1055" t="s">
        <v>5795</v>
      </c>
      <c r="T1055" t="s">
        <v>9478</v>
      </c>
      <c r="U1055" t="s">
        <v>9478</v>
      </c>
      <c r="V1055" t="s">
        <v>9478</v>
      </c>
      <c r="W1055">
        <v>7</v>
      </c>
      <c r="X1055" t="s">
        <v>10533</v>
      </c>
      <c r="Y1055">
        <v>0.87370310406442975</v>
      </c>
      <c r="Z1055" t="str">
        <f>HYPERLINK("Melting_Curves/meltCurve_sp_P32320_CDD_HUMAN_.pdf", "Melting_Curves/meltCurve_sp_P32320_CDD_HUMAN_.pdf")</f>
        <v>Melting_Curves/meltCurve_sp_P32320_CDD_HUMAN_.pdf</v>
      </c>
      <c r="AA1055" t="s">
        <v>15254</v>
      </c>
      <c r="AB1055" t="s">
        <v>19890</v>
      </c>
    </row>
    <row r="1056" spans="1:28" x14ac:dyDescent="0.25">
      <c r="A1056" t="s">
        <v>1060</v>
      </c>
      <c r="B1056">
        <v>0.99904790336628502</v>
      </c>
      <c r="C1056">
        <v>0.90578269291747304</v>
      </c>
      <c r="D1056">
        <v>0.90862500657541501</v>
      </c>
      <c r="E1056">
        <v>0.91702298850036701</v>
      </c>
      <c r="F1056">
        <v>0.87552227211404499</v>
      </c>
      <c r="G1056">
        <v>0.76950773985134302</v>
      </c>
      <c r="H1056">
        <v>0.50990985146732704</v>
      </c>
      <c r="I1056">
        <v>0.317099874952114</v>
      </c>
      <c r="J1056">
        <v>0.15554382845365</v>
      </c>
      <c r="K1056">
        <v>7.6240566620894401E-2</v>
      </c>
      <c r="L1056">
        <v>979.18808283588203</v>
      </c>
      <c r="M1056">
        <v>16.106732402745301</v>
      </c>
      <c r="N1056">
        <v>60.793713984230003</v>
      </c>
      <c r="O1056">
        <v>59.879756273673401</v>
      </c>
      <c r="P1056">
        <v>-6.72512888290549E-2</v>
      </c>
      <c r="Q1056">
        <v>0</v>
      </c>
      <c r="R1056">
        <v>0.97869590975677501</v>
      </c>
      <c r="S1056" t="s">
        <v>5796</v>
      </c>
      <c r="T1056" t="s">
        <v>9478</v>
      </c>
      <c r="U1056" t="s">
        <v>9478</v>
      </c>
      <c r="V1056" t="s">
        <v>9478</v>
      </c>
      <c r="W1056">
        <v>6</v>
      </c>
      <c r="X1056" t="s">
        <v>10534</v>
      </c>
      <c r="Y1056">
        <v>0.6977964769648034</v>
      </c>
      <c r="Z1056" t="str">
        <f>HYPERLINK("Melting_Curves/meltCurve_sp_P32321_DCTD_HUMAN_.pdf", "Melting_Curves/meltCurve_sp_P32321_DCTD_HUMAN_.pdf")</f>
        <v>Melting_Curves/meltCurve_sp_P32321_DCTD_HUMAN_.pdf</v>
      </c>
      <c r="AA1056" t="s">
        <v>15255</v>
      </c>
      <c r="AB1056" t="s">
        <v>19891</v>
      </c>
    </row>
    <row r="1057" spans="1:28" x14ac:dyDescent="0.25">
      <c r="A1057" t="s">
        <v>1061</v>
      </c>
      <c r="B1057">
        <v>0.99904790336628502</v>
      </c>
      <c r="C1057">
        <v>0.96034100364172503</v>
      </c>
      <c r="D1057">
        <v>0.96510460096428496</v>
      </c>
      <c r="E1057">
        <v>0.85908368657696799</v>
      </c>
      <c r="F1057">
        <v>0.22212519718439</v>
      </c>
      <c r="G1057">
        <v>0.110686234548508</v>
      </c>
      <c r="H1057">
        <v>6.1943778879633898E-2</v>
      </c>
      <c r="I1057">
        <v>4.40224223815424E-2</v>
      </c>
      <c r="J1057">
        <v>3.8405725244313599E-2</v>
      </c>
      <c r="K1057">
        <v>3.1826649477854997E-2</v>
      </c>
      <c r="L1057">
        <v>2850.4412459790201</v>
      </c>
      <c r="M1057">
        <v>55.294154012047997</v>
      </c>
      <c r="N1057">
        <v>51.6609333231698</v>
      </c>
      <c r="O1057">
        <v>51.483203473967997</v>
      </c>
      <c r="P1057">
        <v>-0.25353914536030397</v>
      </c>
      <c r="Q1057">
        <v>5.5741050100463201E-2</v>
      </c>
      <c r="R1057">
        <v>0.99653205110847798</v>
      </c>
      <c r="S1057" t="s">
        <v>5797</v>
      </c>
      <c r="T1057" t="s">
        <v>9478</v>
      </c>
      <c r="U1057" t="s">
        <v>9478</v>
      </c>
      <c r="V1057" t="s">
        <v>9478</v>
      </c>
      <c r="W1057">
        <v>28</v>
      </c>
      <c r="X1057" t="s">
        <v>10535</v>
      </c>
      <c r="Y1057">
        <v>0.42105032188661579</v>
      </c>
      <c r="Z1057" t="str">
        <f>HYPERLINK("Melting_Curves/meltCurve_sp_P32455_GBP1_HUMAN_.pdf", "Melting_Curves/meltCurve_sp_P32455_GBP1_HUMAN_.pdf")</f>
        <v>Melting_Curves/meltCurve_sp_P32455_GBP1_HUMAN_.pdf</v>
      </c>
      <c r="AA1057" t="s">
        <v>15256</v>
      </c>
      <c r="AB1057" t="s">
        <v>19892</v>
      </c>
    </row>
    <row r="1058" spans="1:28" x14ac:dyDescent="0.25">
      <c r="A1058" t="s">
        <v>1062</v>
      </c>
      <c r="B1058">
        <v>0.99904790336628502</v>
      </c>
      <c r="C1058">
        <v>1.0687048174809499</v>
      </c>
      <c r="D1058">
        <v>0.98274785755317995</v>
      </c>
      <c r="E1058">
        <v>0.68400113888445802</v>
      </c>
      <c r="F1058">
        <v>0.38419772724486001</v>
      </c>
      <c r="G1058">
        <v>0.204406564953624</v>
      </c>
      <c r="H1058">
        <v>0.109197132238608</v>
      </c>
      <c r="I1058">
        <v>5.88905883030931E-2</v>
      </c>
      <c r="J1058">
        <v>5.1034260164527903E-2</v>
      </c>
      <c r="K1058">
        <v>3.47938963380824E-2</v>
      </c>
      <c r="L1058">
        <v>1148.8405674299599</v>
      </c>
      <c r="M1058">
        <v>22.2187344105497</v>
      </c>
      <c r="N1058">
        <v>51.984478981693997</v>
      </c>
      <c r="O1058">
        <v>51.2925625067232</v>
      </c>
      <c r="P1058">
        <v>-0.10221908688897099</v>
      </c>
      <c r="Q1058">
        <v>5.6117916187554101E-2</v>
      </c>
      <c r="R1058">
        <v>0.99328893200006196</v>
      </c>
      <c r="S1058" t="s">
        <v>5798</v>
      </c>
      <c r="T1058" t="s">
        <v>9478</v>
      </c>
      <c r="U1058" t="s">
        <v>9478</v>
      </c>
      <c r="V1058" t="s">
        <v>9478</v>
      </c>
      <c r="W1058">
        <v>5</v>
      </c>
      <c r="X1058" t="s">
        <v>10536</v>
      </c>
      <c r="Y1058">
        <v>0.43518255556377478</v>
      </c>
      <c r="Z1058" t="str">
        <f>HYPERLINK("Melting_Curves/meltCurve_sp_P32456_GBP2_HUMAN_.pdf", "Melting_Curves/meltCurve_sp_P32456_GBP2_HUMAN_.pdf")</f>
        <v>Melting_Curves/meltCurve_sp_P32456_GBP2_HUMAN_.pdf</v>
      </c>
      <c r="AA1058" t="s">
        <v>15257</v>
      </c>
      <c r="AB1058" t="s">
        <v>19893</v>
      </c>
    </row>
    <row r="1059" spans="1:28" x14ac:dyDescent="0.25">
      <c r="A1059" t="s">
        <v>1063</v>
      </c>
      <c r="B1059">
        <v>0.99904790336628502</v>
      </c>
      <c r="C1059">
        <v>0.68596436863425503</v>
      </c>
      <c r="D1059">
        <v>0.59466169041100503</v>
      </c>
      <c r="E1059">
        <v>0.68213006223398498</v>
      </c>
      <c r="F1059">
        <v>0.58706139266592405</v>
      </c>
      <c r="G1059">
        <v>0.42178350119847502</v>
      </c>
      <c r="H1059">
        <v>0.75562334631458095</v>
      </c>
      <c r="I1059">
        <v>0.45419810211612099</v>
      </c>
      <c r="J1059">
        <v>0.44727325875674601</v>
      </c>
      <c r="K1059">
        <v>0.41193476714163901</v>
      </c>
      <c r="L1059">
        <v>2399.08820708438</v>
      </c>
      <c r="M1059">
        <v>56.663996164579103</v>
      </c>
      <c r="O1059">
        <v>42.286209915065598</v>
      </c>
      <c r="P1059">
        <v>-0.15299543864617099</v>
      </c>
      <c r="Q1059">
        <v>0.54330126180097904</v>
      </c>
      <c r="R1059">
        <v>0.61908578158307204</v>
      </c>
      <c r="S1059" t="s">
        <v>5799</v>
      </c>
      <c r="T1059" t="s">
        <v>9478</v>
      </c>
      <c r="U1059" t="s">
        <v>9478</v>
      </c>
      <c r="V1059" t="s">
        <v>9478</v>
      </c>
      <c r="W1059">
        <v>4</v>
      </c>
      <c r="X1059" t="s">
        <v>10537</v>
      </c>
      <c r="Y1059">
        <v>0.57992081962070385</v>
      </c>
      <c r="Z1059" t="str">
        <f>HYPERLINK("Melting_Curves/meltCurve_sp_P32519_2_ELF1_HUMAN_.pdf", "Melting_Curves/meltCurve_sp_P32519_2_ELF1_HUMAN_.pdf")</f>
        <v>Melting_Curves/meltCurve_sp_P32519_2_ELF1_HUMAN_.pdf</v>
      </c>
      <c r="AA1059" t="s">
        <v>15258</v>
      </c>
      <c r="AB1059" t="s">
        <v>19894</v>
      </c>
    </row>
    <row r="1060" spans="1:28" x14ac:dyDescent="0.25">
      <c r="A1060" t="s">
        <v>1064</v>
      </c>
      <c r="B1060">
        <v>0.99904790336628502</v>
      </c>
      <c r="C1060">
        <v>1.4030833014647199</v>
      </c>
      <c r="D1060">
        <v>1.3697595034868799</v>
      </c>
      <c r="E1060">
        <v>0.99824781164465604</v>
      </c>
      <c r="F1060">
        <v>0.52327049203506304</v>
      </c>
      <c r="G1060">
        <v>0.22735113387415701</v>
      </c>
      <c r="H1060">
        <v>0.120440360061421</v>
      </c>
      <c r="I1060">
        <v>5.4692322131205597E-2</v>
      </c>
      <c r="J1060">
        <v>1.8046907861428499E-2</v>
      </c>
      <c r="K1060">
        <v>2.2953939696021799E-2</v>
      </c>
      <c r="L1060">
        <v>2003.9971141288499</v>
      </c>
      <c r="M1060">
        <v>37.631962663069899</v>
      </c>
      <c r="N1060">
        <v>53.458207839876302</v>
      </c>
      <c r="O1060">
        <v>53.1028365379862</v>
      </c>
      <c r="P1060">
        <v>-0.16522501565565401</v>
      </c>
      <c r="Q1060">
        <v>6.7400141014739207E-2</v>
      </c>
      <c r="R1060">
        <v>0.88815997205251895</v>
      </c>
      <c r="S1060" t="s">
        <v>5800</v>
      </c>
      <c r="T1060" t="s">
        <v>9478</v>
      </c>
      <c r="U1060" t="s">
        <v>9478</v>
      </c>
      <c r="V1060" t="s">
        <v>9478</v>
      </c>
      <c r="W1060">
        <v>30</v>
      </c>
      <c r="X1060" t="s">
        <v>10538</v>
      </c>
      <c r="Y1060">
        <v>0.48325110197017163</v>
      </c>
      <c r="Z1060" t="str">
        <f>HYPERLINK("Melting_Curves/meltCurve_sp_P32754_2_HPPD_HUMAN_.pdf", "Melting_Curves/meltCurve_sp_P32754_2_HPPD_HUMAN_.pdf")</f>
        <v>Melting_Curves/meltCurve_sp_P32754_2_HPPD_HUMAN_.pdf</v>
      </c>
      <c r="AA1060" t="s">
        <v>15259</v>
      </c>
      <c r="AB1060" t="s">
        <v>19895</v>
      </c>
    </row>
    <row r="1061" spans="1:28" x14ac:dyDescent="0.25">
      <c r="A1061" t="s">
        <v>1065</v>
      </c>
      <c r="B1061">
        <v>0.99904790336628502</v>
      </c>
      <c r="C1061">
        <v>0.99924922108347403</v>
      </c>
      <c r="D1061">
        <v>1.04956755372641</v>
      </c>
      <c r="E1061">
        <v>1.0158879039289399</v>
      </c>
      <c r="F1061">
        <v>0.69955218442960998</v>
      </c>
      <c r="G1061">
        <v>0.34303120102419299</v>
      </c>
      <c r="H1061">
        <v>0.17485267185564199</v>
      </c>
      <c r="I1061">
        <v>9.3797883812416105E-2</v>
      </c>
      <c r="J1061">
        <v>4.3648158066673798E-2</v>
      </c>
      <c r="K1061">
        <v>3.1321454069813598E-2</v>
      </c>
      <c r="L1061">
        <v>1368.0559066779199</v>
      </c>
      <c r="M1061">
        <v>24.807202421432901</v>
      </c>
      <c r="N1061">
        <v>55.390901689379099</v>
      </c>
      <c r="O1061">
        <v>54.792912458509399</v>
      </c>
      <c r="P1061">
        <v>-0.107343514539869</v>
      </c>
      <c r="Q1061">
        <v>5.1633128571966502E-2</v>
      </c>
      <c r="R1061">
        <v>0.99145986018585197</v>
      </c>
      <c r="S1061" t="s">
        <v>5801</v>
      </c>
      <c r="T1061" t="s">
        <v>9478</v>
      </c>
      <c r="U1061" t="s">
        <v>9478</v>
      </c>
      <c r="V1061" t="s">
        <v>9478</v>
      </c>
      <c r="W1061">
        <v>31</v>
      </c>
      <c r="X1061" t="s">
        <v>10539</v>
      </c>
      <c r="Y1061">
        <v>0.53936759649147759</v>
      </c>
      <c r="Z1061" t="str">
        <f>HYPERLINK("Melting_Curves/meltCurve_sp_P32754_HPPD_HUMAN_.pdf", "Melting_Curves/meltCurve_sp_P32754_HPPD_HUMAN_.pdf")</f>
        <v>Melting_Curves/meltCurve_sp_P32754_HPPD_HUMAN_.pdf</v>
      </c>
      <c r="AA1061" t="s">
        <v>15259</v>
      </c>
      <c r="AB1061" t="s">
        <v>19896</v>
      </c>
    </row>
    <row r="1062" spans="1:28" x14ac:dyDescent="0.25">
      <c r="A1062" t="s">
        <v>1066</v>
      </c>
      <c r="B1062">
        <v>0.99904790336628502</v>
      </c>
      <c r="C1062">
        <v>1.0290804422476301</v>
      </c>
      <c r="D1062">
        <v>1.0915284724958301</v>
      </c>
      <c r="E1062">
        <v>1.07522259919549</v>
      </c>
      <c r="F1062">
        <v>1.00660236795166</v>
      </c>
      <c r="G1062">
        <v>0.84674611245273901</v>
      </c>
      <c r="H1062">
        <v>0.69100048744408304</v>
      </c>
      <c r="I1062">
        <v>0.60911978948721901</v>
      </c>
      <c r="J1062">
        <v>0.52365977543251396</v>
      </c>
      <c r="K1062">
        <v>0.295481168502219</v>
      </c>
      <c r="L1062">
        <v>845.05968706413296</v>
      </c>
      <c r="M1062">
        <v>12.8218485952902</v>
      </c>
      <c r="N1062">
        <v>66.096433047415402</v>
      </c>
      <c r="O1062">
        <v>64.366325761829003</v>
      </c>
      <c r="P1062">
        <v>-4.8914651055140597E-2</v>
      </c>
      <c r="Q1062">
        <v>1.7967013895395501E-2</v>
      </c>
      <c r="R1062">
        <v>0.95487416524765301</v>
      </c>
      <c r="S1062" t="s">
        <v>5802</v>
      </c>
      <c r="T1062" t="s">
        <v>9478</v>
      </c>
      <c r="U1062" t="s">
        <v>9478</v>
      </c>
      <c r="V1062" t="s">
        <v>9478</v>
      </c>
      <c r="W1062">
        <v>21</v>
      </c>
      <c r="X1062" t="s">
        <v>10540</v>
      </c>
      <c r="Y1062">
        <v>0.82125921353790265</v>
      </c>
      <c r="Z1062" t="str">
        <f>HYPERLINK("Melting_Curves/meltCurve_sp_P32929_CGL_HUMAN_.pdf", "Melting_Curves/meltCurve_sp_P32929_CGL_HUMAN_.pdf")</f>
        <v>Melting_Curves/meltCurve_sp_P32929_CGL_HUMAN_.pdf</v>
      </c>
      <c r="AA1062" t="s">
        <v>15260</v>
      </c>
      <c r="AB1062" t="s">
        <v>19897</v>
      </c>
    </row>
    <row r="1063" spans="1:28" x14ac:dyDescent="0.25">
      <c r="A1063" t="s">
        <v>1067</v>
      </c>
      <c r="B1063">
        <v>0.99904790336628502</v>
      </c>
      <c r="C1063">
        <v>0.76145057761811596</v>
      </c>
      <c r="D1063">
        <v>0.483779317050614</v>
      </c>
      <c r="E1063">
        <v>0.260129211200677</v>
      </c>
      <c r="F1063">
        <v>0.13882547474955101</v>
      </c>
      <c r="G1063">
        <v>7.1584688780988504E-2</v>
      </c>
      <c r="H1063">
        <v>4.5737562460206202E-2</v>
      </c>
      <c r="I1063">
        <v>2.7291560394510299E-2</v>
      </c>
      <c r="J1063">
        <v>2.4636742653272301E-2</v>
      </c>
      <c r="K1063">
        <v>2.0457444254213E-2</v>
      </c>
      <c r="L1063">
        <v>767.763372407784</v>
      </c>
      <c r="M1063">
        <v>16.680536663881099</v>
      </c>
      <c r="N1063">
        <v>46.185567839489003</v>
      </c>
      <c r="O1063">
        <v>45.381233286856201</v>
      </c>
      <c r="P1063">
        <v>-8.9347590564728102E-2</v>
      </c>
      <c r="Q1063">
        <v>2.7744981623753499E-2</v>
      </c>
      <c r="R1063">
        <v>0.99295924978057604</v>
      </c>
      <c r="S1063" t="s">
        <v>5803</v>
      </c>
      <c r="T1063" t="s">
        <v>9478</v>
      </c>
      <c r="U1063" t="s">
        <v>9478</v>
      </c>
      <c r="V1063" t="s">
        <v>9478</v>
      </c>
      <c r="W1063">
        <v>28</v>
      </c>
      <c r="X1063" t="s">
        <v>10541</v>
      </c>
      <c r="Y1063">
        <v>0.24563738449406161</v>
      </c>
      <c r="Z1063" t="str">
        <f>HYPERLINK("Melting_Curves/meltCurve_sp_P33121_ACSL1_HUMAN_.pdf", "Melting_Curves/meltCurve_sp_P33121_ACSL1_HUMAN_.pdf")</f>
        <v>Melting_Curves/meltCurve_sp_P33121_ACSL1_HUMAN_.pdf</v>
      </c>
      <c r="AA1063" t="s">
        <v>15261</v>
      </c>
      <c r="AB1063" t="s">
        <v>19898</v>
      </c>
    </row>
    <row r="1064" spans="1:28" x14ac:dyDescent="0.25">
      <c r="A1064" t="s">
        <v>1068</v>
      </c>
      <c r="B1064">
        <v>0.99904790336628502</v>
      </c>
      <c r="C1064">
        <v>0.97207883638867199</v>
      </c>
      <c r="D1064">
        <v>0.89486499229724903</v>
      </c>
      <c r="E1064">
        <v>0.62057635498924701</v>
      </c>
      <c r="F1064">
        <v>0.35051707294298301</v>
      </c>
      <c r="G1064">
        <v>0.16095955030088799</v>
      </c>
      <c r="H1064">
        <v>8.13714694939323E-2</v>
      </c>
      <c r="I1064">
        <v>6.0454092814853998E-2</v>
      </c>
      <c r="J1064">
        <v>4.8352765925632597E-2</v>
      </c>
      <c r="K1064">
        <v>3.8945005393572797E-2</v>
      </c>
      <c r="L1064">
        <v>973.31385902174998</v>
      </c>
      <c r="M1064">
        <v>19.059085189238999</v>
      </c>
      <c r="N1064">
        <v>51.2835668340472</v>
      </c>
      <c r="O1064">
        <v>50.515999848373497</v>
      </c>
      <c r="P1064">
        <v>-9.0698571782996201E-2</v>
      </c>
      <c r="Q1064">
        <v>3.84537380476953E-2</v>
      </c>
      <c r="R1064">
        <v>0.99987750389285601</v>
      </c>
      <c r="S1064" t="s">
        <v>5804</v>
      </c>
      <c r="T1064" t="s">
        <v>9478</v>
      </c>
      <c r="U1064" t="s">
        <v>9478</v>
      </c>
      <c r="V1064" t="s">
        <v>9478</v>
      </c>
      <c r="W1064">
        <v>31</v>
      </c>
      <c r="X1064" t="s">
        <v>10542</v>
      </c>
      <c r="Y1064">
        <v>0.40779888133309578</v>
      </c>
      <c r="Z1064" t="str">
        <f>HYPERLINK("Melting_Curves/meltCurve_sp_P33176_KINH_HUMAN_.pdf", "Melting_Curves/meltCurve_sp_P33176_KINH_HUMAN_.pdf")</f>
        <v>Melting_Curves/meltCurve_sp_P33176_KINH_HUMAN_.pdf</v>
      </c>
      <c r="AA1064" t="s">
        <v>15262</v>
      </c>
      <c r="AB1064" t="s">
        <v>19899</v>
      </c>
    </row>
    <row r="1065" spans="1:28" x14ac:dyDescent="0.25">
      <c r="A1065" t="s">
        <v>1069</v>
      </c>
      <c r="B1065">
        <v>0.99904790336628502</v>
      </c>
      <c r="C1065">
        <v>1.0024783029845801</v>
      </c>
      <c r="D1065">
        <v>0.93799652135248202</v>
      </c>
      <c r="E1065">
        <v>0.817381925439575</v>
      </c>
      <c r="F1065">
        <v>0.73559471781556895</v>
      </c>
      <c r="G1065">
        <v>0.51861758093971799</v>
      </c>
      <c r="H1065">
        <v>0.45627662125033203</v>
      </c>
      <c r="I1065">
        <v>0.42064643722372802</v>
      </c>
      <c r="J1065">
        <v>0.48647096498546899</v>
      </c>
      <c r="K1065">
        <v>0.43339804264758303</v>
      </c>
      <c r="L1065">
        <v>938.58572320076303</v>
      </c>
      <c r="M1065">
        <v>17.844968232929201</v>
      </c>
      <c r="N1065">
        <v>58.949182047016897</v>
      </c>
      <c r="O1065">
        <v>51.949492857818797</v>
      </c>
      <c r="P1065">
        <v>-4.9216832928620502E-2</v>
      </c>
      <c r="Q1065">
        <v>0.42691767125413399</v>
      </c>
      <c r="R1065">
        <v>0.98762382834482199</v>
      </c>
      <c r="S1065" t="s">
        <v>5805</v>
      </c>
      <c r="T1065" t="s">
        <v>9478</v>
      </c>
      <c r="U1065" t="s">
        <v>9478</v>
      </c>
      <c r="V1065" t="s">
        <v>9478</v>
      </c>
      <c r="W1065">
        <v>11</v>
      </c>
      <c r="X1065" t="s">
        <v>10543</v>
      </c>
      <c r="Y1065">
        <v>0.67713463996029177</v>
      </c>
      <c r="Z1065" t="str">
        <f>HYPERLINK("Melting_Curves/meltCurve_sp_P33240_2_CSTF2_HUMAN_.pdf", "Melting_Curves/meltCurve_sp_P33240_2_CSTF2_HUMAN_.pdf")</f>
        <v>Melting_Curves/meltCurve_sp_P33240_2_CSTF2_HUMAN_.pdf</v>
      </c>
      <c r="AA1065" t="s">
        <v>15263</v>
      </c>
      <c r="AB1065" t="s">
        <v>19900</v>
      </c>
    </row>
    <row r="1066" spans="1:28" x14ac:dyDescent="0.25">
      <c r="A1066" t="s">
        <v>1070</v>
      </c>
      <c r="B1066">
        <v>0.99904790336628502</v>
      </c>
      <c r="C1066">
        <v>0.83934254670545605</v>
      </c>
      <c r="D1066">
        <v>0.80243505753574595</v>
      </c>
      <c r="E1066">
        <v>0.74985431509747802</v>
      </c>
      <c r="F1066">
        <v>0.74159610203300796</v>
      </c>
      <c r="G1066">
        <v>0.47864189278700597</v>
      </c>
      <c r="H1066">
        <v>0.36870999285607903</v>
      </c>
      <c r="I1066">
        <v>0.38601515255900298</v>
      </c>
      <c r="J1066">
        <v>0.497349678029186</v>
      </c>
      <c r="K1066">
        <v>0.48663276052987497</v>
      </c>
      <c r="L1066">
        <v>505.234943334599</v>
      </c>
      <c r="M1066">
        <v>9.95313365195668</v>
      </c>
      <c r="N1066">
        <v>59.302352450709598</v>
      </c>
      <c r="O1066">
        <v>48.839826638433699</v>
      </c>
      <c r="P1066">
        <v>-3.1564441020601103E-2</v>
      </c>
      <c r="Q1066">
        <v>0.380762338143186</v>
      </c>
      <c r="R1066">
        <v>0.87880236852593097</v>
      </c>
      <c r="S1066" t="s">
        <v>5806</v>
      </c>
      <c r="T1066" t="s">
        <v>9478</v>
      </c>
      <c r="U1066" t="s">
        <v>9478</v>
      </c>
      <c r="V1066" t="s">
        <v>9478</v>
      </c>
      <c r="W1066">
        <v>3</v>
      </c>
      <c r="X1066" t="s">
        <v>10544</v>
      </c>
      <c r="Y1066">
        <v>0.62933444574851582</v>
      </c>
      <c r="Z1066" t="str">
        <f>HYPERLINK("Melting_Curves/meltCurve_sp_P33241_LSP1_HUMAN_.pdf", "Melting_Curves/meltCurve_sp_P33241_LSP1_HUMAN_.pdf")</f>
        <v>Melting_Curves/meltCurve_sp_P33241_LSP1_HUMAN_.pdf</v>
      </c>
      <c r="AA1066" t="s">
        <v>15264</v>
      </c>
      <c r="AB1066" t="s">
        <v>19901</v>
      </c>
    </row>
    <row r="1067" spans="1:28" x14ac:dyDescent="0.25">
      <c r="A1067" t="s">
        <v>1071</v>
      </c>
      <c r="B1067">
        <v>0.99904790336628502</v>
      </c>
      <c r="C1067">
        <v>1.19126728867835</v>
      </c>
      <c r="D1067">
        <v>0.92971357147032596</v>
      </c>
      <c r="E1067">
        <v>0.58398107442536995</v>
      </c>
      <c r="F1067">
        <v>0.351892593619681</v>
      </c>
      <c r="G1067">
        <v>0.18087797719009099</v>
      </c>
      <c r="H1067">
        <v>0.10763487924578501</v>
      </c>
      <c r="I1067">
        <v>7.5269753919253002E-2</v>
      </c>
      <c r="J1067">
        <v>5.19067603719141E-2</v>
      </c>
      <c r="K1067">
        <v>3.4124306545517798E-2</v>
      </c>
      <c r="L1067">
        <v>1141.4300474439401</v>
      </c>
      <c r="M1067">
        <v>22.428454256642901</v>
      </c>
      <c r="N1067">
        <v>51.213980944376999</v>
      </c>
      <c r="O1067">
        <v>50.492654255073298</v>
      </c>
      <c r="P1067">
        <v>-0.103748990839534</v>
      </c>
      <c r="Q1067">
        <v>6.5748616054651293E-2</v>
      </c>
      <c r="R1067">
        <v>0.97321095537909996</v>
      </c>
      <c r="S1067" t="s">
        <v>5807</v>
      </c>
      <c r="T1067" t="s">
        <v>9478</v>
      </c>
      <c r="U1067" t="s">
        <v>9478</v>
      </c>
      <c r="V1067" t="s">
        <v>9478</v>
      </c>
      <c r="W1067">
        <v>9</v>
      </c>
      <c r="X1067" t="s">
        <v>10545</v>
      </c>
      <c r="Y1067">
        <v>0.41536867049979997</v>
      </c>
      <c r="Z1067" t="str">
        <f>HYPERLINK("Melting_Curves/meltCurve_sp_P33261_CP2CJ_HUMAN_.pdf", "Melting_Curves/meltCurve_sp_P33261_CP2CJ_HUMAN_.pdf")</f>
        <v>Melting_Curves/meltCurve_sp_P33261_CP2CJ_HUMAN_.pdf</v>
      </c>
      <c r="AA1067" t="s">
        <v>15265</v>
      </c>
      <c r="AB1067" t="s">
        <v>19902</v>
      </c>
    </row>
    <row r="1068" spans="1:28" x14ac:dyDescent="0.25">
      <c r="A1068" t="s">
        <v>1072</v>
      </c>
      <c r="B1068">
        <v>0.99904790336628502</v>
      </c>
      <c r="C1068">
        <v>0.92523441150665198</v>
      </c>
      <c r="D1068">
        <v>0.74103850620273004</v>
      </c>
      <c r="E1068">
        <v>0.63820186212456997</v>
      </c>
      <c r="F1068">
        <v>0.78937991776626903</v>
      </c>
      <c r="G1068">
        <v>0.42824004660933701</v>
      </c>
      <c r="H1068">
        <v>0.31179670955833599</v>
      </c>
      <c r="I1068">
        <v>0.317812408531014</v>
      </c>
      <c r="J1068">
        <v>0.27278508784144001</v>
      </c>
      <c r="K1068">
        <v>0.33708403085164002</v>
      </c>
      <c r="L1068">
        <v>457.19060525556603</v>
      </c>
      <c r="M1068">
        <v>8.5839546855632207</v>
      </c>
      <c r="N1068">
        <v>56.098295658674701</v>
      </c>
      <c r="O1068">
        <v>50.606811049975697</v>
      </c>
      <c r="P1068">
        <v>-3.4968362622328601E-2</v>
      </c>
      <c r="Q1068">
        <v>0.17608979565908001</v>
      </c>
      <c r="R1068">
        <v>0.90648729588409105</v>
      </c>
      <c r="S1068" t="s">
        <v>5808</v>
      </c>
      <c r="T1068" t="s">
        <v>9478</v>
      </c>
      <c r="U1068" t="s">
        <v>9478</v>
      </c>
      <c r="V1068" t="s">
        <v>9478</v>
      </c>
      <c r="W1068">
        <v>7</v>
      </c>
      <c r="X1068" t="s">
        <v>10546</v>
      </c>
      <c r="Y1068">
        <v>0.57100790067020868</v>
      </c>
      <c r="Z1068" t="str">
        <f>HYPERLINK("Melting_Curves/meltCurve_sp_P33316_2_DUT_HUMAN_.pdf", "Melting_Curves/meltCurve_sp_P33316_2_DUT_HUMAN_.pdf")</f>
        <v>Melting_Curves/meltCurve_sp_P33316_2_DUT_HUMAN_.pdf</v>
      </c>
      <c r="AA1068" t="s">
        <v>15266</v>
      </c>
      <c r="AB1068" t="s">
        <v>19903</v>
      </c>
    </row>
    <row r="1069" spans="1:28" x14ac:dyDescent="0.25">
      <c r="A1069" t="s">
        <v>1073</v>
      </c>
      <c r="B1069">
        <v>0.99904790336628502</v>
      </c>
      <c r="C1069">
        <v>0.96295609787974401</v>
      </c>
      <c r="D1069">
        <v>0.89342623313774305</v>
      </c>
      <c r="E1069">
        <v>0.87295422592662597</v>
      </c>
      <c r="F1069">
        <v>0.70085841339307298</v>
      </c>
      <c r="G1069">
        <v>0.48169334597841201</v>
      </c>
      <c r="H1069">
        <v>0.34852661870409901</v>
      </c>
      <c r="I1069">
        <v>0.311889790629721</v>
      </c>
      <c r="J1069">
        <v>0.305431406854137</v>
      </c>
      <c r="K1069">
        <v>0.30733829932739398</v>
      </c>
      <c r="L1069">
        <v>887.01623679417003</v>
      </c>
      <c r="M1069">
        <v>16.4306040929978</v>
      </c>
      <c r="N1069">
        <v>56.685573746390702</v>
      </c>
      <c r="O1069">
        <v>53.204928082673</v>
      </c>
      <c r="P1069">
        <v>-5.6255702903645101E-2</v>
      </c>
      <c r="Q1069">
        <v>0.27139155414041599</v>
      </c>
      <c r="R1069">
        <v>0.991210903816514</v>
      </c>
      <c r="S1069" t="s">
        <v>5809</v>
      </c>
      <c r="T1069" t="s">
        <v>9478</v>
      </c>
      <c r="U1069" t="s">
        <v>9478</v>
      </c>
      <c r="V1069" t="s">
        <v>9478</v>
      </c>
      <c r="W1069">
        <v>7</v>
      </c>
      <c r="X1069" t="s">
        <v>10547</v>
      </c>
      <c r="Y1069">
        <v>0.62434344474082326</v>
      </c>
      <c r="Z1069" t="str">
        <f>HYPERLINK("Melting_Curves/meltCurve_sp_P33316_DUT_HUMAN_.pdf", "Melting_Curves/meltCurve_sp_P33316_DUT_HUMAN_.pdf")</f>
        <v>Melting_Curves/meltCurve_sp_P33316_DUT_HUMAN_.pdf</v>
      </c>
      <c r="AA1069" t="s">
        <v>15266</v>
      </c>
      <c r="AB1069" t="s">
        <v>19904</v>
      </c>
    </row>
    <row r="1070" spans="1:28" x14ac:dyDescent="0.25">
      <c r="A1070" t="s">
        <v>1074</v>
      </c>
      <c r="B1070">
        <v>0.99904790336628502</v>
      </c>
      <c r="C1070">
        <v>1.02715476246328</v>
      </c>
      <c r="D1070">
        <v>0.95203142726603096</v>
      </c>
      <c r="E1070">
        <v>0.91868675425424895</v>
      </c>
      <c r="F1070">
        <v>1.03341545716503</v>
      </c>
      <c r="G1070">
        <v>0.73339182877845799</v>
      </c>
      <c r="H1070">
        <v>0.44987449155625903</v>
      </c>
      <c r="I1070">
        <v>0.119914263084805</v>
      </c>
      <c r="J1070">
        <v>4.0316588717235299E-2</v>
      </c>
      <c r="K1070">
        <v>5.1651753628477202E-2</v>
      </c>
      <c r="L1070">
        <v>1510.3067916244399</v>
      </c>
      <c r="M1070">
        <v>25.205120046247899</v>
      </c>
      <c r="N1070">
        <v>59.920620953423203</v>
      </c>
      <c r="O1070">
        <v>59.5472708181127</v>
      </c>
      <c r="P1070">
        <v>-0.105821172875985</v>
      </c>
      <c r="Q1070">
        <v>0</v>
      </c>
      <c r="R1070">
        <v>0.985869230517047</v>
      </c>
      <c r="S1070" t="s">
        <v>5810</v>
      </c>
      <c r="T1070" t="s">
        <v>9478</v>
      </c>
      <c r="U1070" t="s">
        <v>9478</v>
      </c>
      <c r="V1070" t="s">
        <v>9478</v>
      </c>
      <c r="W1070">
        <v>6</v>
      </c>
      <c r="X1070" t="s">
        <v>10548</v>
      </c>
      <c r="Y1070">
        <v>0.6714592640578132</v>
      </c>
      <c r="Z1070" t="str">
        <f>HYPERLINK("Melting_Curves/meltCurve_sp_P33908_MA1A1_HUMAN_.pdf", "Melting_Curves/meltCurve_sp_P33908_MA1A1_HUMAN_.pdf")</f>
        <v>Melting_Curves/meltCurve_sp_P33908_MA1A1_HUMAN_.pdf</v>
      </c>
      <c r="AA1070" t="s">
        <v>15267</v>
      </c>
      <c r="AB1070" t="s">
        <v>19905</v>
      </c>
    </row>
    <row r="1071" spans="1:28" x14ac:dyDescent="0.25">
      <c r="A1071" t="s">
        <v>1075</v>
      </c>
      <c r="B1071">
        <v>0.99904790336628502</v>
      </c>
      <c r="C1071">
        <v>0.96410174139966598</v>
      </c>
      <c r="D1071">
        <v>0.64900091336822596</v>
      </c>
      <c r="E1071">
        <v>0.35767908671444398</v>
      </c>
      <c r="F1071">
        <v>0.188817684977342</v>
      </c>
      <c r="G1071">
        <v>0.11868027031787599</v>
      </c>
      <c r="H1071">
        <v>7.6109541437694994E-2</v>
      </c>
      <c r="I1071">
        <v>3.9653270375557097E-2</v>
      </c>
      <c r="J1071">
        <v>3.8946004118783899E-2</v>
      </c>
      <c r="K1071">
        <v>2.1210119297679901E-2</v>
      </c>
      <c r="L1071">
        <v>880.71545482294096</v>
      </c>
      <c r="M1071">
        <v>18.370630134505902</v>
      </c>
      <c r="N1071">
        <v>48.172537895829699</v>
      </c>
      <c r="O1071">
        <v>47.384240261137002</v>
      </c>
      <c r="P1071">
        <v>-9.2840595292481704E-2</v>
      </c>
      <c r="Q1071">
        <v>4.2170948495098497E-2</v>
      </c>
      <c r="R1071">
        <v>0.99341758837154404</v>
      </c>
      <c r="S1071" t="s">
        <v>5811</v>
      </c>
      <c r="T1071" t="s">
        <v>9478</v>
      </c>
      <c r="U1071" t="s">
        <v>9478</v>
      </c>
      <c r="V1071" t="s">
        <v>9478</v>
      </c>
      <c r="W1071">
        <v>4</v>
      </c>
      <c r="X1071" t="s">
        <v>10549</v>
      </c>
      <c r="Y1071">
        <v>0.31203641757828288</v>
      </c>
      <c r="Z1071" t="str">
        <f>HYPERLINK("Melting_Curves/meltCurve_sp_P33991_MCM4_HUMAN_.pdf", "Melting_Curves/meltCurve_sp_P33991_MCM4_HUMAN_.pdf")</f>
        <v>Melting_Curves/meltCurve_sp_P33991_MCM4_HUMAN_.pdf</v>
      </c>
      <c r="AA1071" t="s">
        <v>15268</v>
      </c>
      <c r="AB1071" t="s">
        <v>19906</v>
      </c>
    </row>
    <row r="1072" spans="1:28" x14ac:dyDescent="0.25">
      <c r="A1072" t="s">
        <v>1076</v>
      </c>
      <c r="B1072">
        <v>0.99904790336628502</v>
      </c>
      <c r="C1072">
        <v>0.95781567037376203</v>
      </c>
      <c r="D1072">
        <v>0.93531909424123805</v>
      </c>
      <c r="E1072">
        <v>0.63284247055251597</v>
      </c>
      <c r="F1072">
        <v>0.34359874376343003</v>
      </c>
      <c r="G1072">
        <v>0.16630532603794501</v>
      </c>
      <c r="H1072">
        <v>9.4682665020206599E-2</v>
      </c>
      <c r="I1072">
        <v>8.3584710131128406E-2</v>
      </c>
      <c r="J1072">
        <v>7.3653740778538396E-2</v>
      </c>
      <c r="K1072">
        <v>5.8902712864402601E-2</v>
      </c>
      <c r="L1072">
        <v>1110.5870148131301</v>
      </c>
      <c r="M1072">
        <v>21.779823905991801</v>
      </c>
      <c r="N1072">
        <v>51.337737805413703</v>
      </c>
      <c r="O1072">
        <v>50.567515080234202</v>
      </c>
      <c r="P1072">
        <v>-0.100325370885865</v>
      </c>
      <c r="Q1072">
        <v>6.8296036976562294E-2</v>
      </c>
      <c r="R1072">
        <v>0.99906762351242295</v>
      </c>
      <c r="S1072" t="s">
        <v>5812</v>
      </c>
      <c r="T1072" t="s">
        <v>9478</v>
      </c>
      <c r="U1072" t="s">
        <v>9478</v>
      </c>
      <c r="V1072" t="s">
        <v>9478</v>
      </c>
      <c r="W1072">
        <v>15</v>
      </c>
      <c r="X1072" t="s">
        <v>10550</v>
      </c>
      <c r="Y1072">
        <v>0.42066241921782671</v>
      </c>
      <c r="Z1072" t="str">
        <f>HYPERLINK("Melting_Curves/meltCurve_sp_P33992_MCM5_HUMAN_.pdf", "Melting_Curves/meltCurve_sp_P33992_MCM5_HUMAN_.pdf")</f>
        <v>Melting_Curves/meltCurve_sp_P33992_MCM5_HUMAN_.pdf</v>
      </c>
      <c r="AA1072" t="s">
        <v>15269</v>
      </c>
      <c r="AB1072" t="s">
        <v>19907</v>
      </c>
    </row>
    <row r="1073" spans="1:28" x14ac:dyDescent="0.25">
      <c r="A1073" t="s">
        <v>1077</v>
      </c>
      <c r="B1073">
        <v>0.99904790336628502</v>
      </c>
      <c r="C1073">
        <v>0.75226780511742497</v>
      </c>
      <c r="D1073">
        <v>0.40199988269961101</v>
      </c>
      <c r="E1073">
        <v>0.20549383162677001</v>
      </c>
      <c r="F1073">
        <v>0.127274972105197</v>
      </c>
      <c r="G1073">
        <v>8.1809611370778704E-2</v>
      </c>
      <c r="H1073">
        <v>5.47295694952811E-2</v>
      </c>
      <c r="I1073">
        <v>4.5011518246971402E-2</v>
      </c>
      <c r="J1073">
        <v>3.2022344262646801E-2</v>
      </c>
      <c r="K1073">
        <v>4.2112149382776597E-2</v>
      </c>
      <c r="L1073">
        <v>931.98934929231098</v>
      </c>
      <c r="M1073">
        <v>20.658033663804801</v>
      </c>
      <c r="N1073">
        <v>45.375936923790697</v>
      </c>
      <c r="O1073">
        <v>44.6987270262915</v>
      </c>
      <c r="P1073">
        <v>-0.10907486929678401</v>
      </c>
      <c r="Q1073">
        <v>5.5986020440545299E-2</v>
      </c>
      <c r="R1073">
        <v>0.99181370898810906</v>
      </c>
      <c r="S1073" t="s">
        <v>5813</v>
      </c>
      <c r="T1073" t="s">
        <v>9478</v>
      </c>
      <c r="U1073" t="s">
        <v>9478</v>
      </c>
      <c r="V1073" t="s">
        <v>9478</v>
      </c>
      <c r="W1073">
        <v>8</v>
      </c>
      <c r="X1073" t="s">
        <v>10551</v>
      </c>
      <c r="Y1073">
        <v>0.23157317980402831</v>
      </c>
      <c r="Z1073" t="str">
        <f>HYPERLINK("Melting_Curves/meltCurve_sp_P33993_MCM7_HUMAN_.pdf", "Melting_Curves/meltCurve_sp_P33993_MCM7_HUMAN_.pdf")</f>
        <v>Melting_Curves/meltCurve_sp_P33993_MCM7_HUMAN_.pdf</v>
      </c>
      <c r="AA1073" t="s">
        <v>15270</v>
      </c>
      <c r="AB1073" t="s">
        <v>19908</v>
      </c>
    </row>
    <row r="1074" spans="1:28" x14ac:dyDescent="0.25">
      <c r="A1074" t="s">
        <v>1078</v>
      </c>
      <c r="B1074">
        <v>0.99904790336628502</v>
      </c>
      <c r="C1074">
        <v>0.95631743743236897</v>
      </c>
      <c r="D1074">
        <v>0.971878503031951</v>
      </c>
      <c r="E1074">
        <v>0.93042048583956305</v>
      </c>
      <c r="F1074">
        <v>0.92670761872534302</v>
      </c>
      <c r="G1074">
        <v>0.71025004518384605</v>
      </c>
      <c r="H1074">
        <v>0.60859626057956895</v>
      </c>
      <c r="I1074">
        <v>0.58056184330461502</v>
      </c>
      <c r="J1074">
        <v>0.47763232173025999</v>
      </c>
      <c r="K1074">
        <v>0.30138422424526401</v>
      </c>
      <c r="L1074">
        <v>556.48760029364905</v>
      </c>
      <c r="M1074">
        <v>8.5649686638855602</v>
      </c>
      <c r="N1074">
        <v>64.972517639042906</v>
      </c>
      <c r="O1074">
        <v>61.721440500506198</v>
      </c>
      <c r="P1074">
        <v>-3.4722420065843501E-2</v>
      </c>
      <c r="Q1074">
        <v>0</v>
      </c>
      <c r="R1074">
        <v>0.97339298807290298</v>
      </c>
      <c r="S1074" t="s">
        <v>5814</v>
      </c>
      <c r="T1074" t="s">
        <v>9478</v>
      </c>
      <c r="U1074" t="s">
        <v>9478</v>
      </c>
      <c r="V1074" t="s">
        <v>9478</v>
      </c>
      <c r="W1074">
        <v>14</v>
      </c>
      <c r="X1074" t="s">
        <v>10552</v>
      </c>
      <c r="Y1074">
        <v>0.76411691831878126</v>
      </c>
      <c r="Z1074" t="str">
        <f>HYPERLINK("Melting_Curves/meltCurve_sp_P34059_GALNS_HUMAN_.pdf", "Melting_Curves/meltCurve_sp_P34059_GALNS_HUMAN_.pdf")</f>
        <v>Melting_Curves/meltCurve_sp_P34059_GALNS_HUMAN_.pdf</v>
      </c>
      <c r="AA1074" t="s">
        <v>15271</v>
      </c>
      <c r="AB1074" t="s">
        <v>19909</v>
      </c>
    </row>
    <row r="1075" spans="1:28" x14ac:dyDescent="0.25">
      <c r="A1075" t="s">
        <v>1079</v>
      </c>
      <c r="B1075">
        <v>0.99904790336628502</v>
      </c>
      <c r="C1075">
        <v>0.919661170172135</v>
      </c>
      <c r="D1075">
        <v>0.90219857521866098</v>
      </c>
      <c r="E1075">
        <v>0.90220753761146399</v>
      </c>
      <c r="F1075">
        <v>0.81956685929033202</v>
      </c>
      <c r="G1075">
        <v>0.76301620610892495</v>
      </c>
      <c r="H1075">
        <v>0.70053643020857004</v>
      </c>
      <c r="I1075">
        <v>0.80455008329581901</v>
      </c>
      <c r="J1075">
        <v>0.81294292579354999</v>
      </c>
      <c r="K1075">
        <v>0.471807040141411</v>
      </c>
      <c r="L1075">
        <v>258.52198822404802</v>
      </c>
      <c r="M1075">
        <v>3.1675280368081702</v>
      </c>
      <c r="O1075">
        <v>61.511851405106199</v>
      </c>
      <c r="P1075">
        <v>-1.32131168823428E-2</v>
      </c>
      <c r="Q1075">
        <v>0</v>
      </c>
      <c r="R1075">
        <v>0.67696103803403695</v>
      </c>
      <c r="S1075" t="s">
        <v>5815</v>
      </c>
      <c r="T1075" t="s">
        <v>9478</v>
      </c>
      <c r="U1075" t="s">
        <v>9478</v>
      </c>
      <c r="V1075" t="s">
        <v>9478</v>
      </c>
      <c r="W1075">
        <v>2</v>
      </c>
      <c r="X1075" t="s">
        <v>10553</v>
      </c>
      <c r="Y1075">
        <v>0.81367627663464759</v>
      </c>
      <c r="Z1075" t="str">
        <f>HYPERLINK("Melting_Curves/meltCurve_sp_P34096_RNAS4_HUMAN_.pdf", "Melting_Curves/meltCurve_sp_P34096_RNAS4_HUMAN_.pdf")</f>
        <v>Melting_Curves/meltCurve_sp_P34096_RNAS4_HUMAN_.pdf</v>
      </c>
      <c r="AA1075" t="s">
        <v>15272</v>
      </c>
      <c r="AB1075" t="s">
        <v>19910</v>
      </c>
    </row>
    <row r="1076" spans="1:28" x14ac:dyDescent="0.25">
      <c r="A1076" t="s">
        <v>1080</v>
      </c>
      <c r="B1076">
        <v>0.99904790336628502</v>
      </c>
      <c r="C1076">
        <v>0.98938067031584798</v>
      </c>
      <c r="D1076">
        <v>1.07207801263836</v>
      </c>
      <c r="E1076">
        <v>1.06949558977695</v>
      </c>
      <c r="F1076">
        <v>0.99229270965479799</v>
      </c>
      <c r="G1076">
        <v>0.81868931187496097</v>
      </c>
      <c r="H1076">
        <v>0.46405855137843299</v>
      </c>
      <c r="I1076">
        <v>0.19358179673849399</v>
      </c>
      <c r="J1076">
        <v>0.10597171822525001</v>
      </c>
      <c r="K1076">
        <v>8.50701062192563E-2</v>
      </c>
      <c r="L1076">
        <v>1678.2950826598901</v>
      </c>
      <c r="M1076">
        <v>27.867714739976599</v>
      </c>
      <c r="N1076">
        <v>60.485636354562097</v>
      </c>
      <c r="O1076">
        <v>59.916101937920402</v>
      </c>
      <c r="P1076">
        <v>-0.109668177890552</v>
      </c>
      <c r="Q1076">
        <v>5.6854075439634902E-2</v>
      </c>
      <c r="R1076">
        <v>0.99252186442700896</v>
      </c>
      <c r="S1076" t="s">
        <v>5816</v>
      </c>
      <c r="T1076" t="s">
        <v>9478</v>
      </c>
      <c r="U1076" t="s">
        <v>9478</v>
      </c>
      <c r="V1076" t="s">
        <v>9478</v>
      </c>
      <c r="W1076">
        <v>35</v>
      </c>
      <c r="X1076" t="s">
        <v>10554</v>
      </c>
      <c r="Y1076">
        <v>0.69878510734482968</v>
      </c>
      <c r="Z1076" t="str">
        <f>HYPERLINK("Melting_Curves/meltCurve_sp_P34896_GLYC_HUMAN_.pdf", "Melting_Curves/meltCurve_sp_P34896_GLYC_HUMAN_.pdf")</f>
        <v>Melting_Curves/meltCurve_sp_P34896_GLYC_HUMAN_.pdf</v>
      </c>
      <c r="AA1076" t="s">
        <v>15273</v>
      </c>
      <c r="AB1076" t="s">
        <v>19911</v>
      </c>
    </row>
    <row r="1077" spans="1:28" x14ac:dyDescent="0.25">
      <c r="A1077" t="s">
        <v>1081</v>
      </c>
      <c r="B1077">
        <v>0.99904790336628502</v>
      </c>
      <c r="C1077">
        <v>0.99446471702154804</v>
      </c>
      <c r="D1077">
        <v>1.0618423054555099</v>
      </c>
      <c r="E1077">
        <v>0.99707523164428902</v>
      </c>
      <c r="F1077">
        <v>0.91112802723581998</v>
      </c>
      <c r="G1077">
        <v>0.70072334123129099</v>
      </c>
      <c r="H1077">
        <v>0.38005813748349598</v>
      </c>
      <c r="I1077">
        <v>0.156118276190955</v>
      </c>
      <c r="J1077">
        <v>4.5575346073877802E-2</v>
      </c>
      <c r="K1077">
        <v>3.8218086433189899E-2</v>
      </c>
      <c r="L1077">
        <v>1301.0049385612799</v>
      </c>
      <c r="M1077">
        <v>21.933346152576199</v>
      </c>
      <c r="N1077">
        <v>59.316300985570798</v>
      </c>
      <c r="O1077">
        <v>58.829816175385503</v>
      </c>
      <c r="P1077">
        <v>-9.3208849935899701E-2</v>
      </c>
      <c r="Q1077">
        <v>0</v>
      </c>
      <c r="R1077">
        <v>0.99608278537756001</v>
      </c>
      <c r="S1077" t="s">
        <v>5817</v>
      </c>
      <c r="T1077" t="s">
        <v>9478</v>
      </c>
      <c r="U1077" t="s">
        <v>9478</v>
      </c>
      <c r="V1077" t="s">
        <v>9478</v>
      </c>
      <c r="W1077">
        <v>38</v>
      </c>
      <c r="X1077" t="s">
        <v>10555</v>
      </c>
      <c r="Y1077">
        <v>0.65290610052145992</v>
      </c>
      <c r="Z1077" t="str">
        <f>HYPERLINK("Melting_Curves/meltCurve_sp_P34897_3_GLYM_HUMAN_.pdf", "Melting_Curves/meltCurve_sp_P34897_3_GLYM_HUMAN_.pdf")</f>
        <v>Melting_Curves/meltCurve_sp_P34897_3_GLYM_HUMAN_.pdf</v>
      </c>
      <c r="AA1077" t="s">
        <v>15274</v>
      </c>
      <c r="AB1077" t="s">
        <v>19912</v>
      </c>
    </row>
    <row r="1078" spans="1:28" x14ac:dyDescent="0.25">
      <c r="A1078" t="s">
        <v>1082</v>
      </c>
      <c r="B1078">
        <v>0.99904790336628502</v>
      </c>
      <c r="C1078">
        <v>1.0134744877687001</v>
      </c>
      <c r="D1078">
        <v>1.08600415420092</v>
      </c>
      <c r="E1078">
        <v>1.0453499543008</v>
      </c>
      <c r="F1078">
        <v>0.97260962665817996</v>
      </c>
      <c r="G1078">
        <v>0.85247929749972395</v>
      </c>
      <c r="H1078">
        <v>0.45544493883506898</v>
      </c>
      <c r="I1078">
        <v>0.100925420924007</v>
      </c>
      <c r="J1078">
        <v>4.6701744103385803E-2</v>
      </c>
      <c r="K1078">
        <v>3.9638687289923299E-2</v>
      </c>
      <c r="L1078">
        <v>1979.8053390800201</v>
      </c>
      <c r="M1078">
        <v>32.777984781152298</v>
      </c>
      <c r="N1078">
        <v>60.429128152250797</v>
      </c>
      <c r="O1078">
        <v>60.176978272510503</v>
      </c>
      <c r="P1078">
        <v>-0.13512331009081399</v>
      </c>
      <c r="Q1078">
        <v>7.7151410500336101E-3</v>
      </c>
      <c r="R1078">
        <v>0.992402598329442</v>
      </c>
      <c r="S1078" t="s">
        <v>5818</v>
      </c>
      <c r="T1078" t="s">
        <v>9478</v>
      </c>
      <c r="U1078" t="s">
        <v>9478</v>
      </c>
      <c r="V1078" t="s">
        <v>9478</v>
      </c>
      <c r="W1078">
        <v>33</v>
      </c>
      <c r="X1078" t="s">
        <v>10556</v>
      </c>
      <c r="Y1078">
        <v>0.68770122040075121</v>
      </c>
      <c r="Z1078" t="str">
        <f>HYPERLINK("Melting_Curves/meltCurve_sp_P34913_HYES_HUMAN_.pdf", "Melting_Curves/meltCurve_sp_P34913_HYES_HUMAN_.pdf")</f>
        <v>Melting_Curves/meltCurve_sp_P34913_HYES_HUMAN_.pdf</v>
      </c>
      <c r="AA1078" t="s">
        <v>15275</v>
      </c>
      <c r="AB1078" t="s">
        <v>19913</v>
      </c>
    </row>
    <row r="1079" spans="1:28" x14ac:dyDescent="0.25">
      <c r="A1079" t="s">
        <v>1083</v>
      </c>
      <c r="B1079">
        <v>0.99904790336628502</v>
      </c>
      <c r="C1079">
        <v>0.98042401905512799</v>
      </c>
      <c r="D1079">
        <v>0.91180570140598305</v>
      </c>
      <c r="E1079">
        <v>0.59958927158558495</v>
      </c>
      <c r="F1079">
        <v>0.40734350923949603</v>
      </c>
      <c r="G1079">
        <v>0.31317525013423297</v>
      </c>
      <c r="H1079">
        <v>0.192436315017469</v>
      </c>
      <c r="I1079">
        <v>0.16787819082863301</v>
      </c>
      <c r="J1079">
        <v>0.200975096720129</v>
      </c>
      <c r="K1079">
        <v>4.04888546027979E-2</v>
      </c>
      <c r="L1079">
        <v>819.81490523968796</v>
      </c>
      <c r="M1079">
        <v>16.075164452764799</v>
      </c>
      <c r="N1079">
        <v>51.930274130827897</v>
      </c>
      <c r="O1079">
        <v>50.2292073841095</v>
      </c>
      <c r="P1079">
        <v>-6.9994052652067901E-2</v>
      </c>
      <c r="Q1079">
        <v>0.12524065765164599</v>
      </c>
      <c r="R1079">
        <v>0.98393848174557597</v>
      </c>
      <c r="S1079" t="s">
        <v>5819</v>
      </c>
      <c r="T1079" t="s">
        <v>9478</v>
      </c>
      <c r="U1079" t="s">
        <v>9478</v>
      </c>
      <c r="V1079" t="s">
        <v>9478</v>
      </c>
      <c r="W1079">
        <v>13</v>
      </c>
      <c r="X1079" t="s">
        <v>10557</v>
      </c>
      <c r="Y1079">
        <v>0.46393907447692212</v>
      </c>
      <c r="Z1079" t="str">
        <f>HYPERLINK("Melting_Curves/meltCurve_sp_P34931_HS71L_HUMAN_.pdf", "Melting_Curves/meltCurve_sp_P34931_HS71L_HUMAN_.pdf")</f>
        <v>Melting_Curves/meltCurve_sp_P34931_HS71L_HUMAN_.pdf</v>
      </c>
      <c r="AA1079" t="s">
        <v>15276</v>
      </c>
      <c r="AB1079" t="s">
        <v>19914</v>
      </c>
    </row>
    <row r="1080" spans="1:28" x14ac:dyDescent="0.25">
      <c r="A1080" t="s">
        <v>1084</v>
      </c>
      <c r="B1080">
        <v>0.99904790336628502</v>
      </c>
      <c r="C1080">
        <v>1.0697676434310099</v>
      </c>
      <c r="D1080">
        <v>1.15236543731873</v>
      </c>
      <c r="E1080">
        <v>1.02389108539202</v>
      </c>
      <c r="F1080">
        <v>0.35987551409062402</v>
      </c>
      <c r="G1080">
        <v>0.15670055097374599</v>
      </c>
      <c r="H1080">
        <v>8.6585978414652903E-2</v>
      </c>
      <c r="I1080">
        <v>5.9390797720382499E-2</v>
      </c>
      <c r="J1080">
        <v>5.0308729283143901E-2</v>
      </c>
      <c r="K1080">
        <v>4.4132263069184899E-2</v>
      </c>
      <c r="L1080">
        <v>13206.2612145004</v>
      </c>
      <c r="M1080">
        <v>250</v>
      </c>
      <c r="N1080">
        <v>52.861645411885299</v>
      </c>
      <c r="O1080">
        <v>52.8216843569665</v>
      </c>
      <c r="P1080">
        <v>-1.0892504487396699</v>
      </c>
      <c r="Q1080">
        <v>7.9423652518677806E-2</v>
      </c>
      <c r="R1080">
        <v>0.98299778001094595</v>
      </c>
      <c r="S1080" t="s">
        <v>5820</v>
      </c>
      <c r="T1080" t="s">
        <v>9478</v>
      </c>
      <c r="U1080" t="s">
        <v>9478</v>
      </c>
      <c r="V1080" t="s">
        <v>9478</v>
      </c>
      <c r="W1080">
        <v>51</v>
      </c>
      <c r="X1080" t="s">
        <v>10558</v>
      </c>
      <c r="Y1080">
        <v>0.47305676156670001</v>
      </c>
      <c r="Z1080" t="str">
        <f>HYPERLINK("Melting_Curves/meltCurve_sp_P34932_HSP74_HUMAN_.pdf", "Melting_Curves/meltCurve_sp_P34932_HSP74_HUMAN_.pdf")</f>
        <v>Melting_Curves/meltCurve_sp_P34932_HSP74_HUMAN_.pdf</v>
      </c>
      <c r="AA1080" t="s">
        <v>15277</v>
      </c>
      <c r="AB1080" t="s">
        <v>19915</v>
      </c>
    </row>
    <row r="1081" spans="1:28" x14ac:dyDescent="0.25">
      <c r="A1081" t="s">
        <v>1085</v>
      </c>
      <c r="B1081">
        <v>0.99904790336628502</v>
      </c>
      <c r="C1081">
        <v>0.96874212423275097</v>
      </c>
      <c r="D1081">
        <v>0.92013262496217096</v>
      </c>
      <c r="E1081">
        <v>0.91882026375253101</v>
      </c>
      <c r="F1081">
        <v>0.952991010963813</v>
      </c>
      <c r="G1081">
        <v>0.97193062634569205</v>
      </c>
      <c r="H1081">
        <v>0.73767560323807702</v>
      </c>
      <c r="I1081">
        <v>0.69662499495824903</v>
      </c>
      <c r="J1081">
        <v>0.623590461052973</v>
      </c>
      <c r="K1081">
        <v>0.48694452465972798</v>
      </c>
      <c r="L1081">
        <v>631.88410658528903</v>
      </c>
      <c r="M1081">
        <v>9.0285924685428096</v>
      </c>
      <c r="N1081">
        <v>69.987002871833297</v>
      </c>
      <c r="O1081">
        <v>66.809529105131503</v>
      </c>
      <c r="P1081">
        <v>-3.3809065291302703E-2</v>
      </c>
      <c r="Q1081">
        <v>0</v>
      </c>
      <c r="R1081">
        <v>0.931026424726075</v>
      </c>
      <c r="S1081" t="s">
        <v>5821</v>
      </c>
      <c r="T1081" t="s">
        <v>9478</v>
      </c>
      <c r="U1081" t="s">
        <v>9478</v>
      </c>
      <c r="V1081" t="s">
        <v>9478</v>
      </c>
      <c r="W1081">
        <v>2</v>
      </c>
      <c r="X1081" t="s">
        <v>10559</v>
      </c>
      <c r="Y1081">
        <v>0.85590097047483682</v>
      </c>
      <c r="Z1081" t="str">
        <f>HYPERLINK("Melting_Curves/meltCurve_sp_P35030_2_TRY3_HUMAN_.pdf", "Melting_Curves/meltCurve_sp_P35030_2_TRY3_HUMAN_.pdf")</f>
        <v>Melting_Curves/meltCurve_sp_P35030_2_TRY3_HUMAN_.pdf</v>
      </c>
      <c r="AA1081" t="s">
        <v>15278</v>
      </c>
      <c r="AB1081" t="s">
        <v>19916</v>
      </c>
    </row>
    <row r="1082" spans="1:28" x14ac:dyDescent="0.25">
      <c r="A1082" t="s">
        <v>1086</v>
      </c>
      <c r="B1082">
        <v>0.99904790336628502</v>
      </c>
      <c r="C1082">
        <v>0.92705248903876603</v>
      </c>
      <c r="D1082">
        <v>0.86083332645093502</v>
      </c>
      <c r="E1082">
        <v>0.72756032438882501</v>
      </c>
      <c r="F1082">
        <v>0.53149803483217195</v>
      </c>
      <c r="G1082">
        <v>0.47828329303622102</v>
      </c>
      <c r="H1082">
        <v>0.19934788894647101</v>
      </c>
      <c r="I1082">
        <v>5.1221920120919098E-2</v>
      </c>
      <c r="J1082">
        <v>3.52325467390787E-3</v>
      </c>
      <c r="K1082">
        <v>0</v>
      </c>
      <c r="L1082">
        <v>684.03103171601401</v>
      </c>
      <c r="M1082">
        <v>12.645408471981799</v>
      </c>
      <c r="N1082">
        <v>54.093233172145297</v>
      </c>
      <c r="O1082">
        <v>52.793946969958903</v>
      </c>
      <c r="P1082">
        <v>-5.9892738746226103E-2</v>
      </c>
      <c r="Q1082">
        <v>0</v>
      </c>
      <c r="R1082">
        <v>0.97387198955607401</v>
      </c>
      <c r="S1082" t="s">
        <v>5822</v>
      </c>
      <c r="T1082" t="s">
        <v>9478</v>
      </c>
      <c r="U1082" t="s">
        <v>9478</v>
      </c>
      <c r="V1082" t="s">
        <v>9478</v>
      </c>
      <c r="W1082">
        <v>2</v>
      </c>
      <c r="X1082" t="s">
        <v>10560</v>
      </c>
      <c r="Y1082">
        <v>0.49441292632677669</v>
      </c>
      <c r="Z1082" t="str">
        <f>HYPERLINK("Melting_Curves/meltCurve_sp_P35218_CAH5A_HUMAN_.pdf", "Melting_Curves/meltCurve_sp_P35218_CAH5A_HUMAN_.pdf")</f>
        <v>Melting_Curves/meltCurve_sp_P35218_CAH5A_HUMAN_.pdf</v>
      </c>
      <c r="AA1082" t="s">
        <v>15279</v>
      </c>
      <c r="AB1082" t="s">
        <v>19917</v>
      </c>
    </row>
    <row r="1083" spans="1:28" x14ac:dyDescent="0.25">
      <c r="A1083" t="s">
        <v>1087</v>
      </c>
      <c r="B1083">
        <v>0.99904790336628502</v>
      </c>
      <c r="C1083">
        <v>1.0082602453415499</v>
      </c>
      <c r="D1083">
        <v>1.04974505299955</v>
      </c>
      <c r="E1083">
        <v>0.95291817072252905</v>
      </c>
      <c r="F1083">
        <v>0.886420886274492</v>
      </c>
      <c r="G1083">
        <v>0.62812483608714897</v>
      </c>
      <c r="H1083">
        <v>0.226603297110163</v>
      </c>
      <c r="I1083">
        <v>9.7638089057423397E-2</v>
      </c>
      <c r="J1083">
        <v>5.3568026285923998E-2</v>
      </c>
      <c r="K1083">
        <v>4.5413984039584798E-2</v>
      </c>
      <c r="L1083">
        <v>1421.7252725022399</v>
      </c>
      <c r="M1083">
        <v>24.542826074847099</v>
      </c>
      <c r="N1083">
        <v>58.021076727823299</v>
      </c>
      <c r="O1083">
        <v>57.547866128444099</v>
      </c>
      <c r="P1083">
        <v>-0.104569638156661</v>
      </c>
      <c r="Q1083">
        <v>1.9237241144671E-2</v>
      </c>
      <c r="R1083">
        <v>0.997191461257386</v>
      </c>
      <c r="S1083" t="s">
        <v>5823</v>
      </c>
      <c r="T1083" t="s">
        <v>9478</v>
      </c>
      <c r="U1083" t="s">
        <v>9478</v>
      </c>
      <c r="V1083" t="s">
        <v>9478</v>
      </c>
      <c r="W1083">
        <v>32</v>
      </c>
      <c r="X1083" t="s">
        <v>10561</v>
      </c>
      <c r="Y1083">
        <v>0.61413275294781777</v>
      </c>
      <c r="Z1083" t="str">
        <f>HYPERLINK("Melting_Curves/meltCurve_sp_P35221_CTNA1_HUMAN_.pdf", "Melting_Curves/meltCurve_sp_P35221_CTNA1_HUMAN_.pdf")</f>
        <v>Melting_Curves/meltCurve_sp_P35221_CTNA1_HUMAN_.pdf</v>
      </c>
      <c r="AA1083" t="s">
        <v>15280</v>
      </c>
      <c r="AB1083" t="s">
        <v>19918</v>
      </c>
    </row>
    <row r="1084" spans="1:28" x14ac:dyDescent="0.25">
      <c r="A1084" t="s">
        <v>1088</v>
      </c>
      <c r="B1084">
        <v>0.99904790336628502</v>
      </c>
      <c r="C1084">
        <v>0.98298048205140898</v>
      </c>
      <c r="D1084">
        <v>0.96162814732345903</v>
      </c>
      <c r="E1084">
        <v>0.93270012791942403</v>
      </c>
      <c r="F1084">
        <v>0.93006373599590098</v>
      </c>
      <c r="G1084">
        <v>0.70132315481927199</v>
      </c>
      <c r="H1084">
        <v>0.20968610917403899</v>
      </c>
      <c r="I1084">
        <v>7.3924955820076493E-2</v>
      </c>
      <c r="J1084">
        <v>4.2137914043925598E-2</v>
      </c>
      <c r="K1084">
        <v>3.6100840080043002E-2</v>
      </c>
      <c r="L1084">
        <v>1839.5350990331001</v>
      </c>
      <c r="M1084">
        <v>31.5287245224862</v>
      </c>
      <c r="N1084">
        <v>58.432154016586402</v>
      </c>
      <c r="O1084">
        <v>58.111525850018197</v>
      </c>
      <c r="P1084">
        <v>-0.132514874022297</v>
      </c>
      <c r="Q1084">
        <v>2.3036886670231099E-2</v>
      </c>
      <c r="R1084">
        <v>0.99590206355480104</v>
      </c>
      <c r="S1084" t="s">
        <v>5824</v>
      </c>
      <c r="T1084" t="s">
        <v>9478</v>
      </c>
      <c r="U1084" t="s">
        <v>9478</v>
      </c>
      <c r="V1084" t="s">
        <v>9478</v>
      </c>
      <c r="W1084">
        <v>17</v>
      </c>
      <c r="X1084" t="s">
        <v>10562</v>
      </c>
      <c r="Y1084">
        <v>0.62632625042567569</v>
      </c>
      <c r="Z1084" t="str">
        <f>HYPERLINK("Melting_Curves/meltCurve_sp_P35237_SPB6_HUMAN_.pdf", "Melting_Curves/meltCurve_sp_P35237_SPB6_HUMAN_.pdf")</f>
        <v>Melting_Curves/meltCurve_sp_P35237_SPB6_HUMAN_.pdf</v>
      </c>
      <c r="AA1084" t="s">
        <v>15281</v>
      </c>
      <c r="AB1084" t="s">
        <v>19919</v>
      </c>
    </row>
    <row r="1085" spans="1:28" x14ac:dyDescent="0.25">
      <c r="A1085" t="s">
        <v>1089</v>
      </c>
      <c r="B1085">
        <v>0.99904790336628502</v>
      </c>
      <c r="C1085">
        <v>0.96912196380555704</v>
      </c>
      <c r="D1085">
        <v>1.03086201740176</v>
      </c>
      <c r="E1085">
        <v>0.99157982000853495</v>
      </c>
      <c r="F1085">
        <v>0.94181491594553401</v>
      </c>
      <c r="G1085">
        <v>0.70095119433500497</v>
      </c>
      <c r="H1085">
        <v>0.46803243453013099</v>
      </c>
      <c r="I1085">
        <v>9.0952245909437596E-2</v>
      </c>
      <c r="J1085">
        <v>5.8723440488166002E-2</v>
      </c>
      <c r="K1085">
        <v>6.1277493169097703E-2</v>
      </c>
      <c r="L1085">
        <v>1357.1230583464501</v>
      </c>
      <c r="M1085">
        <v>22.744439434428902</v>
      </c>
      <c r="N1085">
        <v>59.668352573682597</v>
      </c>
      <c r="O1085">
        <v>59.212838343030597</v>
      </c>
      <c r="P1085">
        <v>-9.6030221207083405E-2</v>
      </c>
      <c r="Q1085">
        <v>0</v>
      </c>
      <c r="R1085">
        <v>0.98741233791553795</v>
      </c>
      <c r="S1085" t="s">
        <v>5825</v>
      </c>
      <c r="T1085" t="s">
        <v>9478</v>
      </c>
      <c r="U1085" t="s">
        <v>9478</v>
      </c>
      <c r="V1085" t="s">
        <v>9478</v>
      </c>
      <c r="W1085">
        <v>51</v>
      </c>
      <c r="X1085" t="s">
        <v>10563</v>
      </c>
      <c r="Y1085">
        <v>0.66398541885652784</v>
      </c>
      <c r="Z1085" t="str">
        <f>HYPERLINK("Melting_Curves/meltCurve_sp_P35241_RADI_HUMAN_.pdf", "Melting_Curves/meltCurve_sp_P35241_RADI_HUMAN_.pdf")</f>
        <v>Melting_Curves/meltCurve_sp_P35241_RADI_HUMAN_.pdf</v>
      </c>
      <c r="AA1085" t="s">
        <v>15282</v>
      </c>
      <c r="AB1085" t="s">
        <v>19920</v>
      </c>
    </row>
    <row r="1086" spans="1:28" x14ac:dyDescent="0.25">
      <c r="A1086" t="s">
        <v>1090</v>
      </c>
      <c r="B1086">
        <v>0.99904790336628502</v>
      </c>
      <c r="C1086">
        <v>1.0788734488098299</v>
      </c>
      <c r="D1086">
        <v>0.96490207354333801</v>
      </c>
      <c r="E1086">
        <v>0.86033373041777605</v>
      </c>
      <c r="F1086">
        <v>0.80371394818438002</v>
      </c>
      <c r="G1086">
        <v>0.61375927217487203</v>
      </c>
      <c r="H1086">
        <v>0.48508623327356898</v>
      </c>
      <c r="I1086">
        <v>0.41724926667436701</v>
      </c>
      <c r="J1086">
        <v>0.52647849875018504</v>
      </c>
      <c r="K1086">
        <v>0.40874156010481399</v>
      </c>
      <c r="L1086">
        <v>938.70170671972301</v>
      </c>
      <c r="M1086">
        <v>17.246276300846901</v>
      </c>
      <c r="N1086">
        <v>61.127789811773397</v>
      </c>
      <c r="O1086">
        <v>53.713248676753402</v>
      </c>
      <c r="P1086">
        <v>-4.6201676967842803E-2</v>
      </c>
      <c r="Q1086">
        <v>0.42445609190366201</v>
      </c>
      <c r="R1086">
        <v>0.96729800631657004</v>
      </c>
      <c r="S1086" t="s">
        <v>5826</v>
      </c>
      <c r="T1086" t="s">
        <v>9478</v>
      </c>
      <c r="U1086" t="s">
        <v>9478</v>
      </c>
      <c r="V1086" t="s">
        <v>9478</v>
      </c>
      <c r="W1086">
        <v>5</v>
      </c>
      <c r="X1086" t="s">
        <v>10564</v>
      </c>
      <c r="Y1086">
        <v>0.71092942498093192</v>
      </c>
      <c r="Z1086" t="str">
        <f>HYPERLINK("Melting_Curves/meltCurve_sp_P35251_2_RFC1_HUMAN_.pdf", "Melting_Curves/meltCurve_sp_P35251_2_RFC1_HUMAN_.pdf")</f>
        <v>Melting_Curves/meltCurve_sp_P35251_2_RFC1_HUMAN_.pdf</v>
      </c>
      <c r="AA1086" t="s">
        <v>15283</v>
      </c>
      <c r="AB1086" t="s">
        <v>19921</v>
      </c>
    </row>
    <row r="1087" spans="1:28" x14ac:dyDescent="0.25">
      <c r="A1087" t="s">
        <v>1091</v>
      </c>
      <c r="B1087">
        <v>0.99904790336628502</v>
      </c>
      <c r="C1087">
        <v>0.99991614900855197</v>
      </c>
      <c r="D1087">
        <v>0.93467820988039996</v>
      </c>
      <c r="E1087">
        <v>0.93629704832914995</v>
      </c>
      <c r="F1087">
        <v>0.851522559340395</v>
      </c>
      <c r="G1087">
        <v>0.60579884314761201</v>
      </c>
      <c r="H1087">
        <v>0.49892039662835402</v>
      </c>
      <c r="I1087">
        <v>0.39534709785569899</v>
      </c>
      <c r="J1087">
        <v>0.25665038886911001</v>
      </c>
      <c r="K1087">
        <v>0.124633070289747</v>
      </c>
      <c r="L1087">
        <v>681.98968537652001</v>
      </c>
      <c r="M1087">
        <v>11.2762234657154</v>
      </c>
      <c r="N1087">
        <v>60.480327280658997</v>
      </c>
      <c r="O1087">
        <v>58.671823494017403</v>
      </c>
      <c r="P1087">
        <v>-4.8062597708495601E-2</v>
      </c>
      <c r="Q1087">
        <v>0</v>
      </c>
      <c r="R1087">
        <v>0.98817258694746102</v>
      </c>
      <c r="S1087" t="s">
        <v>5827</v>
      </c>
      <c r="T1087" t="s">
        <v>9478</v>
      </c>
      <c r="U1087" t="s">
        <v>9478</v>
      </c>
      <c r="V1087" t="s">
        <v>9478</v>
      </c>
      <c r="W1087">
        <v>3</v>
      </c>
      <c r="X1087" t="s">
        <v>10565</v>
      </c>
      <c r="Y1087">
        <v>0.67991628164213269</v>
      </c>
      <c r="Z1087" t="str">
        <f>HYPERLINK("Melting_Curves/meltCurve_sp_P35268_RL22_HUMAN_.pdf", "Melting_Curves/meltCurve_sp_P35268_RL22_HUMAN_.pdf")</f>
        <v>Melting_Curves/meltCurve_sp_P35268_RL22_HUMAN_.pdf</v>
      </c>
      <c r="AA1087" t="s">
        <v>15284</v>
      </c>
      <c r="AB1087" t="s">
        <v>19922</v>
      </c>
    </row>
    <row r="1088" spans="1:28" x14ac:dyDescent="0.25">
      <c r="A1088" t="s">
        <v>1092</v>
      </c>
      <c r="B1088">
        <v>0.99904790336628502</v>
      </c>
      <c r="C1088">
        <v>0.97871167075750898</v>
      </c>
      <c r="D1088">
        <v>0.98444589177610298</v>
      </c>
      <c r="E1088">
        <v>0.89417108453307603</v>
      </c>
      <c r="F1088">
        <v>0.83475667527642206</v>
      </c>
      <c r="G1088">
        <v>0.507801600960334</v>
      </c>
      <c r="H1088">
        <v>0.40313866573005303</v>
      </c>
      <c r="I1088">
        <v>0.36076058438494402</v>
      </c>
      <c r="J1088">
        <v>0.44963496988293</v>
      </c>
      <c r="K1088">
        <v>0.45498453257089799</v>
      </c>
      <c r="L1088">
        <v>1656.67923483764</v>
      </c>
      <c r="M1088">
        <v>30.563680248525799</v>
      </c>
      <c r="N1088">
        <v>57.429400989892102</v>
      </c>
      <c r="O1088">
        <v>53.973738055137197</v>
      </c>
      <c r="P1088">
        <v>-8.3504277801096705E-2</v>
      </c>
      <c r="Q1088">
        <v>0.410148359736136</v>
      </c>
      <c r="R1088">
        <v>0.98069761310556203</v>
      </c>
      <c r="S1088" t="s">
        <v>5828</v>
      </c>
      <c r="T1088" t="s">
        <v>9478</v>
      </c>
      <c r="U1088" t="s">
        <v>9478</v>
      </c>
      <c r="V1088" t="s">
        <v>9478</v>
      </c>
      <c r="W1088">
        <v>9</v>
      </c>
      <c r="X1088" t="s">
        <v>10566</v>
      </c>
      <c r="Y1088">
        <v>0.69317371894142066</v>
      </c>
      <c r="Z1088" t="str">
        <f>HYPERLINK("Melting_Curves/meltCurve_sp_P35269_T2FA_HUMAN_.pdf", "Melting_Curves/meltCurve_sp_P35269_T2FA_HUMAN_.pdf")</f>
        <v>Melting_Curves/meltCurve_sp_P35269_T2FA_HUMAN_.pdf</v>
      </c>
      <c r="AA1088" t="s">
        <v>15285</v>
      </c>
      <c r="AB1088" t="s">
        <v>19923</v>
      </c>
    </row>
    <row r="1089" spans="1:28" x14ac:dyDescent="0.25">
      <c r="A1089" t="s">
        <v>1093</v>
      </c>
      <c r="B1089">
        <v>0.99904790336628502</v>
      </c>
      <c r="C1089">
        <v>0.95952219475230605</v>
      </c>
      <c r="D1089">
        <v>0.91192877291670404</v>
      </c>
      <c r="E1089">
        <v>0.56630471930364601</v>
      </c>
      <c r="F1089">
        <v>0.32908140862247798</v>
      </c>
      <c r="G1089">
        <v>0.210217640500028</v>
      </c>
      <c r="H1089">
        <v>0.13542103515037701</v>
      </c>
      <c r="I1089">
        <v>9.4805472611396893E-2</v>
      </c>
      <c r="J1089">
        <v>6.6189939700002906E-2</v>
      </c>
      <c r="K1089">
        <v>3.6627975296839199E-2</v>
      </c>
      <c r="L1089">
        <v>938.88390633972301</v>
      </c>
      <c r="M1089">
        <v>18.559193376001499</v>
      </c>
      <c r="N1089">
        <v>50.998623212415602</v>
      </c>
      <c r="O1089">
        <v>50.0122568858298</v>
      </c>
      <c r="P1089">
        <v>-8.6347350094698905E-2</v>
      </c>
      <c r="Q1089">
        <v>6.9305023361177304E-2</v>
      </c>
      <c r="R1089">
        <v>0.99552699227827401</v>
      </c>
      <c r="S1089" t="s">
        <v>5829</v>
      </c>
      <c r="T1089" t="s">
        <v>9478</v>
      </c>
      <c r="U1089" t="s">
        <v>9478</v>
      </c>
      <c r="V1089" t="s">
        <v>9478</v>
      </c>
      <c r="W1089">
        <v>11</v>
      </c>
      <c r="X1089" t="s">
        <v>10567</v>
      </c>
      <c r="Y1089">
        <v>0.41268621687763019</v>
      </c>
      <c r="Z1089" t="str">
        <f>HYPERLINK("Melting_Curves/meltCurve_sp_P35270_SPRE_HUMAN_.pdf", "Melting_Curves/meltCurve_sp_P35270_SPRE_HUMAN_.pdf")</f>
        <v>Melting_Curves/meltCurve_sp_P35270_SPRE_HUMAN_.pdf</v>
      </c>
      <c r="AA1089" t="s">
        <v>15286</v>
      </c>
      <c r="AB1089" t="s">
        <v>19924</v>
      </c>
    </row>
    <row r="1090" spans="1:28" x14ac:dyDescent="0.25">
      <c r="A1090" t="s">
        <v>1094</v>
      </c>
      <c r="B1090">
        <v>0.99904790336628502</v>
      </c>
      <c r="C1090">
        <v>1.05736669333536</v>
      </c>
      <c r="D1090">
        <v>1.09530868463974</v>
      </c>
      <c r="E1090">
        <v>0.93847192615753094</v>
      </c>
      <c r="F1090">
        <v>0.58692138592598697</v>
      </c>
      <c r="G1090">
        <v>0.17958879451321599</v>
      </c>
      <c r="H1090">
        <v>8.2959907798377502E-2</v>
      </c>
      <c r="I1090">
        <v>5.5324186984445398E-2</v>
      </c>
      <c r="J1090">
        <v>5.4420327324797201E-2</v>
      </c>
      <c r="K1090">
        <v>4.4205687985889003E-2</v>
      </c>
      <c r="L1090">
        <v>1823.3116882536001</v>
      </c>
      <c r="M1090">
        <v>34.086563721747403</v>
      </c>
      <c r="N1090">
        <v>53.683362873874501</v>
      </c>
      <c r="O1090">
        <v>53.307514111485098</v>
      </c>
      <c r="P1090">
        <v>-0.15065180296445099</v>
      </c>
      <c r="Q1090">
        <v>5.7594219947816397E-2</v>
      </c>
      <c r="R1090">
        <v>0.99276792284634996</v>
      </c>
      <c r="S1090" t="s">
        <v>5830</v>
      </c>
      <c r="T1090" t="s">
        <v>9478</v>
      </c>
      <c r="U1090" t="s">
        <v>9478</v>
      </c>
      <c r="V1090" t="s">
        <v>9478</v>
      </c>
      <c r="W1090">
        <v>24</v>
      </c>
      <c r="X1090" t="s">
        <v>10568</v>
      </c>
      <c r="Y1090">
        <v>0.48616905226381069</v>
      </c>
      <c r="Z1090" t="str">
        <f>HYPERLINK("Melting_Curves/meltCurve_sp_P35520_CBS_HUMAN_.pdf", "Melting_Curves/meltCurve_sp_P35520_CBS_HUMAN_.pdf")</f>
        <v>Melting_Curves/meltCurve_sp_P35520_CBS_HUMAN_.pdf</v>
      </c>
      <c r="AA1090" t="s">
        <v>15287</v>
      </c>
      <c r="AB1090" t="s">
        <v>19925</v>
      </c>
    </row>
    <row r="1091" spans="1:28" x14ac:dyDescent="0.25">
      <c r="A1091" t="s">
        <v>1095</v>
      </c>
      <c r="B1091">
        <v>0.99904790336628502</v>
      </c>
      <c r="C1091">
        <v>0.94851389314617995</v>
      </c>
      <c r="D1091">
        <v>0.84666240560515205</v>
      </c>
      <c r="E1091">
        <v>0.45847337148122103</v>
      </c>
      <c r="F1091">
        <v>0.28541508395059501</v>
      </c>
      <c r="G1091">
        <v>0.16304858768612099</v>
      </c>
      <c r="H1091">
        <v>0.112759996346673</v>
      </c>
      <c r="I1091">
        <v>7.0832984871613602E-2</v>
      </c>
      <c r="J1091">
        <v>5.2391072504367101E-2</v>
      </c>
      <c r="K1091">
        <v>5.7890378577028001E-2</v>
      </c>
      <c r="L1091">
        <v>933.40108511655899</v>
      </c>
      <c r="M1091">
        <v>18.852478498443499</v>
      </c>
      <c r="N1091">
        <v>49.883537787278001</v>
      </c>
      <c r="O1091">
        <v>48.963810736354397</v>
      </c>
      <c r="P1091">
        <v>-8.9936808106188496E-2</v>
      </c>
      <c r="Q1091">
        <v>6.5700075084421106E-2</v>
      </c>
      <c r="R1091">
        <v>0.99741651093484596</v>
      </c>
      <c r="S1091" t="s">
        <v>5831</v>
      </c>
      <c r="T1091" t="s">
        <v>9478</v>
      </c>
      <c r="U1091" t="s">
        <v>9478</v>
      </c>
      <c r="V1091" t="s">
        <v>9478</v>
      </c>
      <c r="W1091">
        <v>2</v>
      </c>
      <c r="X1091" t="s">
        <v>10569</v>
      </c>
      <c r="Y1091">
        <v>0.37655235484518268</v>
      </c>
      <c r="Z1091" t="str">
        <f>HYPERLINK("Melting_Curves/meltCurve_sp_P35542_SAA4_HUMAN_.pdf", "Melting_Curves/meltCurve_sp_P35542_SAA4_HUMAN_.pdf")</f>
        <v>Melting_Curves/meltCurve_sp_P35542_SAA4_HUMAN_.pdf</v>
      </c>
      <c r="AA1091" t="s">
        <v>15288</v>
      </c>
      <c r="AB1091" t="s">
        <v>19926</v>
      </c>
    </row>
    <row r="1092" spans="1:28" x14ac:dyDescent="0.25">
      <c r="A1092" t="s">
        <v>1096</v>
      </c>
      <c r="B1092">
        <v>0.99904790336628502</v>
      </c>
      <c r="C1092">
        <v>0.93409483007727701</v>
      </c>
      <c r="D1092">
        <v>0.92453423656762102</v>
      </c>
      <c r="E1092">
        <v>0.94186586693299901</v>
      </c>
      <c r="F1092">
        <v>0.86939901002220799</v>
      </c>
      <c r="G1092">
        <v>0.73582858240562798</v>
      </c>
      <c r="H1092">
        <v>0.77870358510716597</v>
      </c>
      <c r="I1092">
        <v>0.77938368210554598</v>
      </c>
      <c r="J1092">
        <v>0.79756929108035801</v>
      </c>
      <c r="K1092">
        <v>0.60278170064786596</v>
      </c>
      <c r="L1092">
        <v>253.701294219662</v>
      </c>
      <c r="M1092">
        <v>2.8971460406020499</v>
      </c>
      <c r="O1092">
        <v>63.475798082810698</v>
      </c>
      <c r="P1092">
        <v>-1.1799867713075399E-2</v>
      </c>
      <c r="Q1092">
        <v>0</v>
      </c>
      <c r="R1092">
        <v>0.80194725721648297</v>
      </c>
      <c r="S1092" t="s">
        <v>5832</v>
      </c>
      <c r="T1092" t="s">
        <v>9478</v>
      </c>
      <c r="U1092" t="s">
        <v>9478</v>
      </c>
      <c r="V1092" t="s">
        <v>9478</v>
      </c>
      <c r="W1092">
        <v>4</v>
      </c>
      <c r="X1092" t="s">
        <v>10570</v>
      </c>
      <c r="Y1092">
        <v>0.83879472314741765</v>
      </c>
      <c r="Z1092" t="str">
        <f>HYPERLINK("Melting_Curves/meltCurve_sp_P35555_FBN1_HUMAN_.pdf", "Melting_Curves/meltCurve_sp_P35555_FBN1_HUMAN_.pdf")</f>
        <v>Melting_Curves/meltCurve_sp_P35555_FBN1_HUMAN_.pdf</v>
      </c>
      <c r="AA1092" t="s">
        <v>15289</v>
      </c>
      <c r="AB1092" t="s">
        <v>19927</v>
      </c>
    </row>
    <row r="1093" spans="1:28" x14ac:dyDescent="0.25">
      <c r="A1093" t="s">
        <v>1097</v>
      </c>
      <c r="B1093">
        <v>0.99904790336628502</v>
      </c>
      <c r="C1093">
        <v>0.96998566830157695</v>
      </c>
      <c r="D1093">
        <v>0.92522842928049898</v>
      </c>
      <c r="E1093">
        <v>0.58196464175098805</v>
      </c>
      <c r="F1093">
        <v>0.29325710298253599</v>
      </c>
      <c r="G1093">
        <v>0.11709695774727</v>
      </c>
      <c r="H1093">
        <v>6.2162184135311903E-2</v>
      </c>
      <c r="I1093">
        <v>4.2582562872846903E-2</v>
      </c>
      <c r="J1093">
        <v>3.69997147547639E-2</v>
      </c>
      <c r="K1093">
        <v>2.8037642406648099E-2</v>
      </c>
      <c r="L1093">
        <v>1140.1789565132401</v>
      </c>
      <c r="M1093">
        <v>22.5101399096819</v>
      </c>
      <c r="N1093">
        <v>50.815957891056001</v>
      </c>
      <c r="O1093">
        <v>50.257124547246299</v>
      </c>
      <c r="P1093">
        <v>-0.108050155949444</v>
      </c>
      <c r="Q1093">
        <v>3.5069623694015603E-2</v>
      </c>
      <c r="R1093">
        <v>0.99958086217317399</v>
      </c>
      <c r="S1093" t="s">
        <v>5833</v>
      </c>
      <c r="T1093" t="s">
        <v>9478</v>
      </c>
      <c r="U1093" t="s">
        <v>9478</v>
      </c>
      <c r="V1093" t="s">
        <v>9478</v>
      </c>
      <c r="W1093">
        <v>36</v>
      </c>
      <c r="X1093" t="s">
        <v>10571</v>
      </c>
      <c r="Y1093">
        <v>0.38835282697943779</v>
      </c>
      <c r="Z1093" t="str">
        <f>HYPERLINK("Melting_Curves/meltCurve_sp_P35558_PCKGC_HUMAN_.pdf", "Melting_Curves/meltCurve_sp_P35558_PCKGC_HUMAN_.pdf")</f>
        <v>Melting_Curves/meltCurve_sp_P35558_PCKGC_HUMAN_.pdf</v>
      </c>
      <c r="AA1093" t="s">
        <v>15290</v>
      </c>
      <c r="AB1093" t="s">
        <v>19928</v>
      </c>
    </row>
    <row r="1094" spans="1:28" x14ac:dyDescent="0.25">
      <c r="A1094" t="s">
        <v>1098</v>
      </c>
      <c r="B1094">
        <v>0.99904790336628502</v>
      </c>
      <c r="C1094">
        <v>0.95031412721650299</v>
      </c>
      <c r="D1094">
        <v>0.943156913832497</v>
      </c>
      <c r="E1094">
        <v>0.84924447304065198</v>
      </c>
      <c r="F1094">
        <v>0.83527980436147997</v>
      </c>
      <c r="G1094">
        <v>0.63920365273487101</v>
      </c>
      <c r="H1094">
        <v>0.58847773616043897</v>
      </c>
      <c r="I1094">
        <v>0.53954180933686002</v>
      </c>
      <c r="J1094">
        <v>0.53827598688467204</v>
      </c>
      <c r="K1094">
        <v>0.49076275704227401</v>
      </c>
      <c r="L1094">
        <v>616.91891913615996</v>
      </c>
      <c r="M1094">
        <v>11.2063931154802</v>
      </c>
      <c r="N1094">
        <v>69.558011401862402</v>
      </c>
      <c r="O1094">
        <v>53.384922870912398</v>
      </c>
      <c r="P1094">
        <v>-2.8783152434300401E-2</v>
      </c>
      <c r="Q1094">
        <v>0.451704422853898</v>
      </c>
      <c r="R1094">
        <v>0.98440787868507396</v>
      </c>
      <c r="S1094" t="s">
        <v>5834</v>
      </c>
      <c r="T1094" t="s">
        <v>9478</v>
      </c>
      <c r="U1094" t="s">
        <v>9478</v>
      </c>
      <c r="V1094" t="s">
        <v>9478</v>
      </c>
      <c r="W1094">
        <v>10</v>
      </c>
      <c r="X1094" t="s">
        <v>10572</v>
      </c>
      <c r="Y1094">
        <v>0.74010881694400332</v>
      </c>
      <c r="Z1094" t="str">
        <f>HYPERLINK("Melting_Curves/meltCurve_sp_P35568_IRS1_HUMAN_.pdf", "Melting_Curves/meltCurve_sp_P35568_IRS1_HUMAN_.pdf")</f>
        <v>Melting_Curves/meltCurve_sp_P35568_IRS1_HUMAN_.pdf</v>
      </c>
      <c r="AA1094" t="s">
        <v>15291</v>
      </c>
      <c r="AB1094" t="s">
        <v>19929</v>
      </c>
    </row>
    <row r="1095" spans="1:28" x14ac:dyDescent="0.25">
      <c r="A1095" t="s">
        <v>1099</v>
      </c>
      <c r="B1095">
        <v>0.99904790336628502</v>
      </c>
      <c r="C1095">
        <v>0.98476661537144095</v>
      </c>
      <c r="D1095">
        <v>0.93769667362248799</v>
      </c>
      <c r="E1095">
        <v>0.38636108707272798</v>
      </c>
      <c r="F1095">
        <v>0.13547914044843401</v>
      </c>
      <c r="G1095">
        <v>8.5360652521468697E-2</v>
      </c>
      <c r="H1095">
        <v>5.3562050323173897E-2</v>
      </c>
      <c r="I1095">
        <v>4.0946086514465699E-2</v>
      </c>
      <c r="J1095">
        <v>3.3860369238503801E-2</v>
      </c>
      <c r="K1095">
        <v>2.7031850289018899E-2</v>
      </c>
      <c r="L1095">
        <v>1709.67001014077</v>
      </c>
      <c r="M1095">
        <v>34.741921026275897</v>
      </c>
      <c r="N1095">
        <v>49.353199186094798</v>
      </c>
      <c r="O1095">
        <v>49.048390490693798</v>
      </c>
      <c r="P1095">
        <v>-0.16862339991043401</v>
      </c>
      <c r="Q1095">
        <v>4.7758344222031797E-2</v>
      </c>
      <c r="R1095">
        <v>0.99868730246502002</v>
      </c>
      <c r="S1095" t="s">
        <v>5835</v>
      </c>
      <c r="T1095" t="s">
        <v>9478</v>
      </c>
      <c r="U1095" t="s">
        <v>9478</v>
      </c>
      <c r="V1095" t="s">
        <v>9478</v>
      </c>
      <c r="W1095">
        <v>54</v>
      </c>
      <c r="X1095" t="s">
        <v>10573</v>
      </c>
      <c r="Y1095">
        <v>0.34442868544995309</v>
      </c>
      <c r="Z1095" t="str">
        <f>HYPERLINK("Melting_Curves/meltCurve_sp_P35573_GDE_HUMAN_.pdf", "Melting_Curves/meltCurve_sp_P35573_GDE_HUMAN_.pdf")</f>
        <v>Melting_Curves/meltCurve_sp_P35573_GDE_HUMAN_.pdf</v>
      </c>
      <c r="AA1095" t="s">
        <v>15292</v>
      </c>
      <c r="AB1095" t="s">
        <v>19930</v>
      </c>
    </row>
    <row r="1096" spans="1:28" x14ac:dyDescent="0.25">
      <c r="A1096" t="s">
        <v>1100</v>
      </c>
      <c r="B1096">
        <v>0.99904790336628502</v>
      </c>
      <c r="C1096">
        <v>1.0351427827742401</v>
      </c>
      <c r="D1096">
        <v>0.95976297979719405</v>
      </c>
      <c r="E1096">
        <v>0.77427701582223396</v>
      </c>
      <c r="F1096">
        <v>0.48944952215541299</v>
      </c>
      <c r="G1096">
        <v>0.32211409208535502</v>
      </c>
      <c r="H1096">
        <v>0.27477728870581702</v>
      </c>
      <c r="I1096">
        <v>0.25892101303133302</v>
      </c>
      <c r="J1096">
        <v>0.24599556378899601</v>
      </c>
      <c r="K1096">
        <v>0.22782244063788701</v>
      </c>
      <c r="L1096">
        <v>1307.69838444476</v>
      </c>
      <c r="M1096">
        <v>25.349790613410299</v>
      </c>
      <c r="N1096">
        <v>53.014323971097397</v>
      </c>
      <c r="O1096">
        <v>51.268356618079402</v>
      </c>
      <c r="P1096">
        <v>-9.3029290936466003E-2</v>
      </c>
      <c r="Q1096">
        <v>0.247426121407922</v>
      </c>
      <c r="R1096">
        <v>0.99757414132047195</v>
      </c>
      <c r="S1096" t="s">
        <v>5836</v>
      </c>
      <c r="T1096" t="s">
        <v>9478</v>
      </c>
      <c r="U1096" t="s">
        <v>9478</v>
      </c>
      <c r="V1096" t="s">
        <v>9478</v>
      </c>
      <c r="W1096">
        <v>82</v>
      </c>
      <c r="X1096" t="s">
        <v>10574</v>
      </c>
      <c r="Y1096">
        <v>0.54473331396875924</v>
      </c>
      <c r="Z1096" t="str">
        <f>HYPERLINK("Melting_Curves/meltCurve_sp_P35579_MYH9_HUMAN_.pdf", "Melting_Curves/meltCurve_sp_P35579_MYH9_HUMAN_.pdf")</f>
        <v>Melting_Curves/meltCurve_sp_P35579_MYH9_HUMAN_.pdf</v>
      </c>
      <c r="AA1096" t="s">
        <v>15293</v>
      </c>
      <c r="AB1096" t="s">
        <v>19931</v>
      </c>
    </row>
    <row r="1097" spans="1:28" x14ac:dyDescent="0.25">
      <c r="A1097" t="s">
        <v>1101</v>
      </c>
      <c r="B1097">
        <v>0.99904790336628502</v>
      </c>
      <c r="C1097">
        <v>1.0957621739761301</v>
      </c>
      <c r="D1097">
        <v>1.12409829461694</v>
      </c>
      <c r="E1097">
        <v>0.671426853323976</v>
      </c>
      <c r="F1097">
        <v>0.45203766822303598</v>
      </c>
      <c r="G1097">
        <v>0.22903049690468</v>
      </c>
      <c r="H1097">
        <v>0.17796085018834801</v>
      </c>
      <c r="I1097">
        <v>0.15050251560313299</v>
      </c>
      <c r="J1097">
        <v>0.142793652260677</v>
      </c>
      <c r="K1097">
        <v>0.12510456259795399</v>
      </c>
      <c r="L1097">
        <v>1393.1216547183201</v>
      </c>
      <c r="M1097">
        <v>27.049766503520001</v>
      </c>
      <c r="N1097">
        <v>52.194508136600199</v>
      </c>
      <c r="O1097">
        <v>51.2231560958068</v>
      </c>
      <c r="P1097">
        <v>-0.112119078937917</v>
      </c>
      <c r="Q1097">
        <v>0.15074511100125501</v>
      </c>
      <c r="R1097">
        <v>0.97402381934886895</v>
      </c>
      <c r="S1097" t="s">
        <v>5837</v>
      </c>
      <c r="T1097" t="s">
        <v>9478</v>
      </c>
      <c r="U1097" t="s">
        <v>9478</v>
      </c>
      <c r="V1097" t="s">
        <v>9478</v>
      </c>
      <c r="W1097">
        <v>29</v>
      </c>
      <c r="X1097" t="s">
        <v>10575</v>
      </c>
      <c r="Y1097">
        <v>0.48296433057730592</v>
      </c>
      <c r="Z1097" t="str">
        <f>HYPERLINK("Melting_Curves/meltCurve_sp_P35580_MYH10_HUMAN_.pdf", "Melting_Curves/meltCurve_sp_P35580_MYH10_HUMAN_.pdf")</f>
        <v>Melting_Curves/meltCurve_sp_P35580_MYH10_HUMAN_.pdf</v>
      </c>
      <c r="AA1097" t="s">
        <v>15294</v>
      </c>
      <c r="AB1097" t="s">
        <v>19932</v>
      </c>
    </row>
    <row r="1098" spans="1:28" x14ac:dyDescent="0.25">
      <c r="A1098" t="s">
        <v>1102</v>
      </c>
      <c r="B1098">
        <v>0.99904790336628502</v>
      </c>
      <c r="C1098">
        <v>1.1919756167534701</v>
      </c>
      <c r="D1098">
        <v>1.3204412148226701</v>
      </c>
      <c r="E1098">
        <v>1.2135645701023099</v>
      </c>
      <c r="F1098">
        <v>0.64677847614533701</v>
      </c>
      <c r="G1098">
        <v>0.245297383729526</v>
      </c>
      <c r="H1098">
        <v>9.9063974624798101E-2</v>
      </c>
      <c r="I1098">
        <v>6.2877661797026502E-2</v>
      </c>
      <c r="J1098">
        <v>4.7170902668417197E-2</v>
      </c>
      <c r="K1098">
        <v>3.7014545651135301E-2</v>
      </c>
      <c r="L1098">
        <v>2228.5907690005001</v>
      </c>
      <c r="M1098">
        <v>41.211138642190498</v>
      </c>
      <c r="N1098">
        <v>54.281677364836099</v>
      </c>
      <c r="O1098">
        <v>53.950522760637199</v>
      </c>
      <c r="P1098">
        <v>-0.177249087232074</v>
      </c>
      <c r="Q1098">
        <v>7.1837020732839998E-2</v>
      </c>
      <c r="R1098">
        <v>0.92096946758401999</v>
      </c>
      <c r="S1098" t="s">
        <v>5838</v>
      </c>
      <c r="T1098" t="s">
        <v>9478</v>
      </c>
      <c r="U1098" t="s">
        <v>9478</v>
      </c>
      <c r="V1098" t="s">
        <v>9478</v>
      </c>
      <c r="W1098">
        <v>41</v>
      </c>
      <c r="X1098" t="s">
        <v>10576</v>
      </c>
      <c r="Y1098">
        <v>0.51063568037366069</v>
      </c>
      <c r="Z1098" t="str">
        <f>HYPERLINK("Melting_Curves/meltCurve_sp_P35606_COPB2_HUMAN_.pdf", "Melting_Curves/meltCurve_sp_P35606_COPB2_HUMAN_.pdf")</f>
        <v>Melting_Curves/meltCurve_sp_P35606_COPB2_HUMAN_.pdf</v>
      </c>
      <c r="AA1098" t="s">
        <v>15295</v>
      </c>
      <c r="AB1098" t="s">
        <v>19933</v>
      </c>
    </row>
    <row r="1099" spans="1:28" x14ac:dyDescent="0.25">
      <c r="A1099" t="s">
        <v>1103</v>
      </c>
      <c r="B1099">
        <v>0.99904790336628502</v>
      </c>
      <c r="C1099">
        <v>1.02708126714</v>
      </c>
      <c r="D1099">
        <v>1.0203440655881</v>
      </c>
      <c r="E1099">
        <v>0.98229740982791403</v>
      </c>
      <c r="F1099">
        <v>0.96722289924205596</v>
      </c>
      <c r="G1099">
        <v>0.70218243087546905</v>
      </c>
      <c r="H1099">
        <v>0.56109522969959802</v>
      </c>
      <c r="I1099">
        <v>0.50181649864079803</v>
      </c>
      <c r="J1099">
        <v>0.44896753484971402</v>
      </c>
      <c r="K1099">
        <v>0.37297479406378697</v>
      </c>
      <c r="L1099">
        <v>1210.2276341807301</v>
      </c>
      <c r="M1099">
        <v>20.927015267890798</v>
      </c>
      <c r="N1099">
        <v>62.6215494017193</v>
      </c>
      <c r="O1099">
        <v>57.310570581652101</v>
      </c>
      <c r="P1099">
        <v>-5.4851836592399103E-2</v>
      </c>
      <c r="Q1099">
        <v>0.39914899959075101</v>
      </c>
      <c r="R1099">
        <v>0.98707648427352401</v>
      </c>
      <c r="S1099" t="s">
        <v>5839</v>
      </c>
      <c r="T1099" t="s">
        <v>9478</v>
      </c>
      <c r="U1099" t="s">
        <v>9478</v>
      </c>
      <c r="V1099" t="s">
        <v>9478</v>
      </c>
      <c r="W1099">
        <v>15</v>
      </c>
      <c r="X1099" t="s">
        <v>10577</v>
      </c>
      <c r="Y1099">
        <v>0.76286513464529171</v>
      </c>
      <c r="Z1099" t="str">
        <f>HYPERLINK("Melting_Curves/meltCurve_sp_P35611_2_ADDA_HUMAN_.pdf", "Melting_Curves/meltCurve_sp_P35611_2_ADDA_HUMAN_.pdf")</f>
        <v>Melting_Curves/meltCurve_sp_P35611_2_ADDA_HUMAN_.pdf</v>
      </c>
      <c r="AA1099" t="s">
        <v>15296</v>
      </c>
      <c r="AB1099" t="s">
        <v>19934</v>
      </c>
    </row>
    <row r="1100" spans="1:28" x14ac:dyDescent="0.25">
      <c r="A1100" t="s">
        <v>1104</v>
      </c>
      <c r="B1100">
        <v>0.99904790336628502</v>
      </c>
      <c r="C1100">
        <v>0.99776576646525095</v>
      </c>
      <c r="D1100">
        <v>0.95542677989862701</v>
      </c>
      <c r="E1100">
        <v>0.988928109224673</v>
      </c>
      <c r="F1100">
        <v>0.88543944377019002</v>
      </c>
      <c r="G1100">
        <v>0.727678778477723</v>
      </c>
      <c r="H1100">
        <v>0.575189977752943</v>
      </c>
      <c r="I1100">
        <v>0.55652995358823598</v>
      </c>
      <c r="J1100">
        <v>0.56293101205167595</v>
      </c>
      <c r="K1100">
        <v>0.52474255416454396</v>
      </c>
      <c r="L1100">
        <v>1284.5988131107099</v>
      </c>
      <c r="M1100">
        <v>22.970029587231998</v>
      </c>
      <c r="O1100">
        <v>55.506299498334698</v>
      </c>
      <c r="P1100">
        <v>-4.8446885410591903E-2</v>
      </c>
      <c r="Q1100">
        <v>0.53172777757807199</v>
      </c>
      <c r="R1100">
        <v>0.99185416401200199</v>
      </c>
      <c r="S1100" t="s">
        <v>5840</v>
      </c>
      <c r="T1100" t="s">
        <v>9478</v>
      </c>
      <c r="U1100" t="s">
        <v>9478</v>
      </c>
      <c r="V1100" t="s">
        <v>9478</v>
      </c>
      <c r="W1100">
        <v>9</v>
      </c>
      <c r="X1100" t="s">
        <v>10578</v>
      </c>
      <c r="Y1100">
        <v>0.78523714102315822</v>
      </c>
      <c r="Z1100" t="str">
        <f>HYPERLINK("Melting_Curves/meltCurve_sp_P35637_2_FUS_HUMAN_.pdf", "Melting_Curves/meltCurve_sp_P35637_2_FUS_HUMAN_.pdf")</f>
        <v>Melting_Curves/meltCurve_sp_P35637_2_FUS_HUMAN_.pdf</v>
      </c>
      <c r="AA1100" t="s">
        <v>15297</v>
      </c>
      <c r="AB1100" t="s">
        <v>19935</v>
      </c>
    </row>
    <row r="1101" spans="1:28" x14ac:dyDescent="0.25">
      <c r="A1101" t="s">
        <v>1105</v>
      </c>
      <c r="B1101">
        <v>0.99904790336628502</v>
      </c>
      <c r="C1101">
        <v>0.99960921994739405</v>
      </c>
      <c r="D1101">
        <v>0.97064896912932397</v>
      </c>
      <c r="E1101">
        <v>0.79541877688866303</v>
      </c>
      <c r="F1101">
        <v>0.47505192484342701</v>
      </c>
      <c r="G1101">
        <v>0.26917666728248602</v>
      </c>
      <c r="H1101">
        <v>0.19576220890659099</v>
      </c>
      <c r="I1101">
        <v>0.16930357098292201</v>
      </c>
      <c r="J1101">
        <v>0.174365620266628</v>
      </c>
      <c r="K1101">
        <v>0.17890769537478701</v>
      </c>
      <c r="L1101">
        <v>1359.7096256669499</v>
      </c>
      <c r="M1101">
        <v>26.145764700199202</v>
      </c>
      <c r="N1101">
        <v>52.879449623108002</v>
      </c>
      <c r="O1101">
        <v>51.703614355410103</v>
      </c>
      <c r="P1101">
        <v>-0.10423303028676301</v>
      </c>
      <c r="Q1101">
        <v>0.175520401575225</v>
      </c>
      <c r="R1101">
        <v>0.99937706843188701</v>
      </c>
      <c r="S1101" t="s">
        <v>5841</v>
      </c>
      <c r="T1101" t="s">
        <v>9478</v>
      </c>
      <c r="U1101" t="s">
        <v>9478</v>
      </c>
      <c r="V1101" t="s">
        <v>9478</v>
      </c>
      <c r="W1101">
        <v>21</v>
      </c>
      <c r="X1101" t="s">
        <v>10579</v>
      </c>
      <c r="Y1101">
        <v>0.51235097411645714</v>
      </c>
      <c r="Z1101" t="str">
        <f>HYPERLINK("Melting_Curves/meltCurve_sp_P35658_2_NU214_HUMAN_.pdf", "Melting_Curves/meltCurve_sp_P35658_2_NU214_HUMAN_.pdf")</f>
        <v>Melting_Curves/meltCurve_sp_P35658_2_NU214_HUMAN_.pdf</v>
      </c>
      <c r="AA1101" t="s">
        <v>15298</v>
      </c>
      <c r="AB1101" t="s">
        <v>19936</v>
      </c>
    </row>
    <row r="1102" spans="1:28" x14ac:dyDescent="0.25">
      <c r="A1102" t="s">
        <v>1106</v>
      </c>
      <c r="B1102">
        <v>0.99904790336628502</v>
      </c>
      <c r="C1102">
        <v>0.92783802011479999</v>
      </c>
      <c r="D1102">
        <v>0.94761570777542703</v>
      </c>
      <c r="E1102">
        <v>0.92101137912095599</v>
      </c>
      <c r="F1102">
        <v>0.88707233036088595</v>
      </c>
      <c r="G1102">
        <v>0.68936431479003801</v>
      </c>
      <c r="H1102">
        <v>0.580678961641373</v>
      </c>
      <c r="I1102">
        <v>0.55740315044370803</v>
      </c>
      <c r="J1102">
        <v>0.56081546661209902</v>
      </c>
      <c r="K1102">
        <v>0.57968089986650895</v>
      </c>
      <c r="L1102">
        <v>1149.48199007723</v>
      </c>
      <c r="M1102">
        <v>20.928494084593002</v>
      </c>
      <c r="O1102">
        <v>54.430187995969398</v>
      </c>
      <c r="P1102">
        <v>-4.3319719373363298E-2</v>
      </c>
      <c r="Q1102">
        <v>0.54935398954515902</v>
      </c>
      <c r="R1102">
        <v>0.96816107893218994</v>
      </c>
      <c r="S1102" t="s">
        <v>5842</v>
      </c>
      <c r="T1102" t="s">
        <v>9478</v>
      </c>
      <c r="U1102" t="s">
        <v>9478</v>
      </c>
      <c r="V1102" t="s">
        <v>9478</v>
      </c>
      <c r="W1102">
        <v>8</v>
      </c>
      <c r="X1102" t="s">
        <v>10580</v>
      </c>
      <c r="Y1102">
        <v>0.77914639600794089</v>
      </c>
      <c r="Z1102" t="str">
        <f>HYPERLINK("Melting_Curves/meltCurve_sp_P35659_DEK_HUMAN_.pdf", "Melting_Curves/meltCurve_sp_P35659_DEK_HUMAN_.pdf")</f>
        <v>Melting_Curves/meltCurve_sp_P35659_DEK_HUMAN_.pdf</v>
      </c>
      <c r="AA1102" t="s">
        <v>15299</v>
      </c>
      <c r="AB1102" t="s">
        <v>19937</v>
      </c>
    </row>
    <row r="1103" spans="1:28" x14ac:dyDescent="0.25">
      <c r="A1103" t="s">
        <v>1107</v>
      </c>
      <c r="B1103">
        <v>0.99904790336628502</v>
      </c>
      <c r="C1103">
        <v>1.5150440820277999</v>
      </c>
      <c r="D1103">
        <v>1.42104296790591</v>
      </c>
      <c r="E1103">
        <v>1.0784319780882199</v>
      </c>
      <c r="F1103">
        <v>0.99236882321425401</v>
      </c>
      <c r="G1103">
        <v>0.67266325405778404</v>
      </c>
      <c r="H1103">
        <v>0.489017278259744</v>
      </c>
      <c r="I1103">
        <v>0.39407783874722802</v>
      </c>
      <c r="J1103">
        <v>0.60025390383579003</v>
      </c>
      <c r="K1103">
        <v>0.54425871568964002</v>
      </c>
      <c r="L1103">
        <v>14211.2148898424</v>
      </c>
      <c r="M1103">
        <v>250</v>
      </c>
      <c r="O1103">
        <v>56.8412219660066</v>
      </c>
      <c r="P1103">
        <v>-0.54218801795883598</v>
      </c>
      <c r="Q1103">
        <v>0.50690192983299298</v>
      </c>
      <c r="R1103">
        <v>0.65908305404614498</v>
      </c>
      <c r="S1103" t="s">
        <v>5843</v>
      </c>
      <c r="T1103" t="s">
        <v>9478</v>
      </c>
      <c r="U1103" t="s">
        <v>9478</v>
      </c>
      <c r="V1103" t="s">
        <v>9478</v>
      </c>
      <c r="W1103">
        <v>10</v>
      </c>
      <c r="X1103" t="s">
        <v>10581</v>
      </c>
      <c r="Y1103">
        <v>0.78382338023763987</v>
      </c>
      <c r="Z1103" t="str">
        <f>HYPERLINK("Melting_Curves/meltCurve_sp_P35749_4_MYH11_HUMAN_.pdf", "Melting_Curves/meltCurve_sp_P35749_4_MYH11_HUMAN_.pdf")</f>
        <v>Melting_Curves/meltCurve_sp_P35749_4_MYH11_HUMAN_.pdf</v>
      </c>
      <c r="AA1103" t="s">
        <v>15300</v>
      </c>
      <c r="AB1103" t="s">
        <v>19938</v>
      </c>
    </row>
    <row r="1104" spans="1:28" x14ac:dyDescent="0.25">
      <c r="A1104" t="s">
        <v>1108</v>
      </c>
      <c r="B1104">
        <v>0.99904790336628502</v>
      </c>
      <c r="C1104">
        <v>0.77573374123115701</v>
      </c>
      <c r="D1104">
        <v>0.76369831775150299</v>
      </c>
      <c r="E1104">
        <v>0.83122595153310797</v>
      </c>
      <c r="F1104">
        <v>0.79542294485918597</v>
      </c>
      <c r="G1104">
        <v>0.75015975450379102</v>
      </c>
      <c r="H1104">
        <v>0.61260936370665797</v>
      </c>
      <c r="I1104">
        <v>0.53473611335170201</v>
      </c>
      <c r="J1104">
        <v>0.43686922728022498</v>
      </c>
      <c r="K1104">
        <v>0.36999255253778601</v>
      </c>
      <c r="L1104">
        <v>288.60139499179098</v>
      </c>
      <c r="M1104">
        <v>4.3981013581586597</v>
      </c>
      <c r="N1104">
        <v>65.619541633578606</v>
      </c>
      <c r="O1104">
        <v>55.418241377306401</v>
      </c>
      <c r="P1104">
        <v>-2.00277214808832E-2</v>
      </c>
      <c r="Q1104">
        <v>0</v>
      </c>
      <c r="R1104">
        <v>0.85051917197846405</v>
      </c>
      <c r="S1104" t="s">
        <v>5844</v>
      </c>
      <c r="T1104" t="s">
        <v>9478</v>
      </c>
      <c r="U1104" t="s">
        <v>9478</v>
      </c>
      <c r="V1104" t="s">
        <v>9478</v>
      </c>
      <c r="W1104">
        <v>5</v>
      </c>
      <c r="X1104" t="s">
        <v>10582</v>
      </c>
      <c r="Y1104">
        <v>0.69707608975373858</v>
      </c>
      <c r="Z1104" t="str">
        <f>HYPERLINK("Melting_Curves/meltCurve_sp_P35754_GLRX1_HUMAN_.pdf", "Melting_Curves/meltCurve_sp_P35754_GLRX1_HUMAN_.pdf")</f>
        <v>Melting_Curves/meltCurve_sp_P35754_GLRX1_HUMAN_.pdf</v>
      </c>
      <c r="AA1104" t="s">
        <v>15301</v>
      </c>
      <c r="AB1104" t="s">
        <v>19939</v>
      </c>
    </row>
    <row r="1105" spans="1:28" x14ac:dyDescent="0.25">
      <c r="A1105" t="s">
        <v>1109</v>
      </c>
      <c r="B1105">
        <v>0.99904790336628502</v>
      </c>
      <c r="C1105">
        <v>1.2654638449064599</v>
      </c>
      <c r="D1105">
        <v>1.08998630223006</v>
      </c>
      <c r="E1105">
        <v>0.83982755548462995</v>
      </c>
      <c r="F1105">
        <v>0.61118190804801298</v>
      </c>
      <c r="G1105">
        <v>0.25494418212624298</v>
      </c>
      <c r="H1105">
        <v>0.19878990109808001</v>
      </c>
      <c r="I1105">
        <v>0.19799933268842701</v>
      </c>
      <c r="J1105">
        <v>0.16379640980216401</v>
      </c>
      <c r="K1105">
        <v>0.14396131792561201</v>
      </c>
      <c r="L1105">
        <v>1523.57960276075</v>
      </c>
      <c r="M1105">
        <v>28.699404410260001</v>
      </c>
      <c r="N1105">
        <v>53.849586085620103</v>
      </c>
      <c r="O1105">
        <v>52.831752605095197</v>
      </c>
      <c r="P1105">
        <v>-0.113140901716587</v>
      </c>
      <c r="Q1105">
        <v>0.166897601132933</v>
      </c>
      <c r="R1105">
        <v>0.95136636254621398</v>
      </c>
      <c r="S1105" t="s">
        <v>5845</v>
      </c>
      <c r="T1105" t="s">
        <v>9478</v>
      </c>
      <c r="U1105" t="s">
        <v>9478</v>
      </c>
      <c r="V1105" t="s">
        <v>9478</v>
      </c>
      <c r="W1105">
        <v>1</v>
      </c>
      <c r="X1105" t="s">
        <v>10583</v>
      </c>
      <c r="Y1105">
        <v>0.53623577662330113</v>
      </c>
      <c r="Z1105" t="str">
        <f>HYPERLINK("Melting_Curves/meltCurve_sp_P35790_2_CHKA_HUMAN_.pdf", "Melting_Curves/meltCurve_sp_P35790_2_CHKA_HUMAN_.pdf")</f>
        <v>Melting_Curves/meltCurve_sp_P35790_2_CHKA_HUMAN_.pdf</v>
      </c>
      <c r="AA1105" t="s">
        <v>15302</v>
      </c>
      <c r="AB1105" t="s">
        <v>19940</v>
      </c>
    </row>
    <row r="1106" spans="1:28" x14ac:dyDescent="0.25">
      <c r="A1106" t="s">
        <v>1110</v>
      </c>
      <c r="B1106">
        <v>0.99904790336628502</v>
      </c>
      <c r="C1106">
        <v>0.99357102884540704</v>
      </c>
      <c r="D1106">
        <v>0.97223311577604699</v>
      </c>
      <c r="E1106">
        <v>0.78556351042308703</v>
      </c>
      <c r="F1106">
        <v>0.37510232541565203</v>
      </c>
      <c r="G1106">
        <v>0.165651137179052</v>
      </c>
      <c r="H1106">
        <v>8.9044447110432398E-2</v>
      </c>
      <c r="I1106">
        <v>6.4211083545259298E-2</v>
      </c>
      <c r="J1106">
        <v>5.5134916814866999E-2</v>
      </c>
      <c r="K1106">
        <v>5.0755416914127001E-2</v>
      </c>
      <c r="L1106">
        <v>1503.28862093564</v>
      </c>
      <c r="M1106">
        <v>28.9547566784805</v>
      </c>
      <c r="N1106">
        <v>52.171354717986397</v>
      </c>
      <c r="O1106">
        <v>51.672782200392199</v>
      </c>
      <c r="P1106">
        <v>-0.13091870617652199</v>
      </c>
      <c r="Q1106">
        <v>6.54547272746272E-2</v>
      </c>
      <c r="R1106">
        <v>0.99843572740113096</v>
      </c>
      <c r="S1106" t="s">
        <v>5846</v>
      </c>
      <c r="T1106" t="s">
        <v>9478</v>
      </c>
      <c r="U1106" t="s">
        <v>9478</v>
      </c>
      <c r="V1106" t="s">
        <v>9478</v>
      </c>
      <c r="W1106">
        <v>17</v>
      </c>
      <c r="X1106" t="s">
        <v>10584</v>
      </c>
      <c r="Y1106">
        <v>0.44313258605680811</v>
      </c>
      <c r="Z1106" t="str">
        <f>HYPERLINK("Melting_Curves/meltCurve_sp_P35813_PPM1A_HUMAN_.pdf", "Melting_Curves/meltCurve_sp_P35813_PPM1A_HUMAN_.pdf")</f>
        <v>Melting_Curves/meltCurve_sp_P35813_PPM1A_HUMAN_.pdf</v>
      </c>
      <c r="AA1106" t="s">
        <v>15303</v>
      </c>
      <c r="AB1106" t="s">
        <v>19941</v>
      </c>
    </row>
    <row r="1107" spans="1:28" x14ac:dyDescent="0.25">
      <c r="A1107" t="s">
        <v>1111</v>
      </c>
      <c r="B1107">
        <v>0.99904790336628502</v>
      </c>
      <c r="C1107">
        <v>0.90247610520583899</v>
      </c>
      <c r="D1107">
        <v>0.85030618139574998</v>
      </c>
      <c r="E1107">
        <v>0.58249445446896198</v>
      </c>
      <c r="F1107">
        <v>0.37423239667879798</v>
      </c>
      <c r="G1107">
        <v>0.220398813872967</v>
      </c>
      <c r="H1107">
        <v>0.127120896703286</v>
      </c>
      <c r="I1107">
        <v>7.5148498704479594E-2</v>
      </c>
      <c r="J1107">
        <v>6.9046971046836797E-2</v>
      </c>
      <c r="K1107">
        <v>5.8296049999120698E-2</v>
      </c>
      <c r="L1107">
        <v>728.28765480648894</v>
      </c>
      <c r="M1107">
        <v>14.301691750458</v>
      </c>
      <c r="N1107">
        <v>51.203826281872701</v>
      </c>
      <c r="O1107">
        <v>49.958603852341902</v>
      </c>
      <c r="P1107">
        <v>-6.8878246463346199E-2</v>
      </c>
      <c r="Q1107">
        <v>3.7696467793710699E-2</v>
      </c>
      <c r="R1107">
        <v>0.99803240993341902</v>
      </c>
      <c r="S1107" t="s">
        <v>5847</v>
      </c>
      <c r="T1107" t="s">
        <v>9478</v>
      </c>
      <c r="U1107" t="s">
        <v>9478</v>
      </c>
      <c r="V1107" t="s">
        <v>9478</v>
      </c>
      <c r="W1107">
        <v>3</v>
      </c>
      <c r="X1107" t="s">
        <v>10585</v>
      </c>
      <c r="Y1107">
        <v>0.41217832867696952</v>
      </c>
      <c r="Z1107" t="str">
        <f>HYPERLINK("Melting_Curves/meltCurve_sp_P35858_ALS_HUMAN_.pdf", "Melting_Curves/meltCurve_sp_P35858_ALS_HUMAN_.pdf")</f>
        <v>Melting_Curves/meltCurve_sp_P35858_ALS_HUMAN_.pdf</v>
      </c>
      <c r="AA1107" t="s">
        <v>15304</v>
      </c>
      <c r="AB1107" t="s">
        <v>19942</v>
      </c>
    </row>
    <row r="1108" spans="1:28" x14ac:dyDescent="0.25">
      <c r="A1108" t="s">
        <v>1112</v>
      </c>
      <c r="B1108">
        <v>0.99904790336628502</v>
      </c>
      <c r="C1108">
        <v>0.92140169230265301</v>
      </c>
      <c r="D1108">
        <v>0.90903243406182399</v>
      </c>
      <c r="E1108">
        <v>0.74887553871315204</v>
      </c>
      <c r="F1108">
        <v>0.421028074542871</v>
      </c>
      <c r="G1108">
        <v>0.20919496038536101</v>
      </c>
      <c r="H1108">
        <v>8.9497959582805195E-2</v>
      </c>
      <c r="I1108">
        <v>4.0740739904544E-2</v>
      </c>
      <c r="J1108">
        <v>2.2966955546088099E-2</v>
      </c>
      <c r="K1108">
        <v>1.8161508426255201E-2</v>
      </c>
      <c r="L1108">
        <v>927.55736903043305</v>
      </c>
      <c r="M1108">
        <v>17.686890821861901</v>
      </c>
      <c r="N1108">
        <v>52.475009081446302</v>
      </c>
      <c r="O1108">
        <v>51.786587364020598</v>
      </c>
      <c r="P1108">
        <v>-8.49329710251156E-2</v>
      </c>
      <c r="Q1108">
        <v>5.3297111514905198E-3</v>
      </c>
      <c r="R1108">
        <v>0.99541701751842904</v>
      </c>
      <c r="S1108" t="s">
        <v>5848</v>
      </c>
      <c r="T1108" t="s">
        <v>9478</v>
      </c>
      <c r="U1108" t="s">
        <v>9478</v>
      </c>
      <c r="V1108" t="s">
        <v>9478</v>
      </c>
      <c r="W1108">
        <v>23</v>
      </c>
      <c r="X1108" t="s">
        <v>10586</v>
      </c>
      <c r="Y1108">
        <v>0.43482111127214079</v>
      </c>
      <c r="Z1108" t="str">
        <f>HYPERLINK("Melting_Curves/meltCurve_sp_P35914_HMGCL_HUMAN_.pdf", "Melting_Curves/meltCurve_sp_P35914_HMGCL_HUMAN_.pdf")</f>
        <v>Melting_Curves/meltCurve_sp_P35914_HMGCL_HUMAN_.pdf</v>
      </c>
      <c r="AA1108" t="s">
        <v>15305</v>
      </c>
      <c r="AB1108" t="s">
        <v>19943</v>
      </c>
    </row>
    <row r="1109" spans="1:28" x14ac:dyDescent="0.25">
      <c r="A1109" t="s">
        <v>1113</v>
      </c>
      <c r="B1109">
        <v>0.99904790336628502</v>
      </c>
      <c r="C1109">
        <v>0.99991210301561195</v>
      </c>
      <c r="D1109">
        <v>0.86457837871144205</v>
      </c>
      <c r="E1109">
        <v>0.49821996708503402</v>
      </c>
      <c r="F1109">
        <v>0.24829152850200101</v>
      </c>
      <c r="G1109">
        <v>0.11163775840300599</v>
      </c>
      <c r="H1109">
        <v>6.0319525400755802E-2</v>
      </c>
      <c r="I1109">
        <v>4.5081519525473998E-2</v>
      </c>
      <c r="J1109">
        <v>4.3088807623254899E-2</v>
      </c>
      <c r="K1109">
        <v>2.92044682419841E-2</v>
      </c>
      <c r="L1109">
        <v>1084.66817758817</v>
      </c>
      <c r="M1109">
        <v>21.756078219616899</v>
      </c>
      <c r="N1109">
        <v>50.044705530074097</v>
      </c>
      <c r="O1109">
        <v>49.440385331346299</v>
      </c>
      <c r="P1109">
        <v>-0.105678895405786</v>
      </c>
      <c r="Q1109">
        <v>3.9407129664495097E-2</v>
      </c>
      <c r="R1109">
        <v>0.99926611273044197</v>
      </c>
      <c r="S1109" t="s">
        <v>5849</v>
      </c>
      <c r="T1109" t="s">
        <v>9478</v>
      </c>
      <c r="U1109" t="s">
        <v>9478</v>
      </c>
      <c r="V1109" t="s">
        <v>9478</v>
      </c>
      <c r="W1109">
        <v>20</v>
      </c>
      <c r="X1109" t="s">
        <v>10587</v>
      </c>
      <c r="Y1109">
        <v>0.36631915956468297</v>
      </c>
      <c r="Z1109" t="str">
        <f>HYPERLINK("Melting_Curves/meltCurve_sp_P35998_PRS7_HUMAN_.pdf", "Melting_Curves/meltCurve_sp_P35998_PRS7_HUMAN_.pdf")</f>
        <v>Melting_Curves/meltCurve_sp_P35998_PRS7_HUMAN_.pdf</v>
      </c>
      <c r="AA1109" t="s">
        <v>15306</v>
      </c>
      <c r="AB1109" t="s">
        <v>19944</v>
      </c>
    </row>
    <row r="1110" spans="1:28" x14ac:dyDescent="0.25">
      <c r="A1110" t="s">
        <v>1114</v>
      </c>
      <c r="B1110">
        <v>0.99904790336628502</v>
      </c>
      <c r="C1110">
        <v>0.93862004566024904</v>
      </c>
      <c r="D1110">
        <v>0.917830306948347</v>
      </c>
      <c r="E1110">
        <v>0.61941290638525404</v>
      </c>
      <c r="F1110">
        <v>0.34977284709290302</v>
      </c>
      <c r="G1110">
        <v>2.8758381689798301E-2</v>
      </c>
      <c r="H1110">
        <v>0</v>
      </c>
      <c r="I1110">
        <v>3.5408812095475597E-2</v>
      </c>
      <c r="J1110">
        <v>0</v>
      </c>
      <c r="K1110">
        <v>0</v>
      </c>
      <c r="L1110">
        <v>1168.15065265113</v>
      </c>
      <c r="M1110">
        <v>22.8380680459356</v>
      </c>
      <c r="N1110">
        <v>51.1492765192204</v>
      </c>
      <c r="O1110">
        <v>50.761944709464402</v>
      </c>
      <c r="P1110">
        <v>-0.112478475809699</v>
      </c>
      <c r="Q1110">
        <v>0</v>
      </c>
      <c r="R1110">
        <v>0.994845614060901</v>
      </c>
      <c r="S1110" t="s">
        <v>5850</v>
      </c>
      <c r="T1110" t="s">
        <v>9478</v>
      </c>
      <c r="U1110" t="s">
        <v>9478</v>
      </c>
      <c r="V1110" t="s">
        <v>9478</v>
      </c>
      <c r="W1110">
        <v>2</v>
      </c>
      <c r="X1110" t="s">
        <v>10588</v>
      </c>
      <c r="Y1110">
        <v>0.38243215063865132</v>
      </c>
      <c r="Z1110" t="str">
        <f>HYPERLINK("Melting_Curves/meltCurve_sp_P36404_ARL2_HUMAN_.pdf", "Melting_Curves/meltCurve_sp_P36404_ARL2_HUMAN_.pdf")</f>
        <v>Melting_Curves/meltCurve_sp_P36404_ARL2_HUMAN_.pdf</v>
      </c>
      <c r="AA1110" t="s">
        <v>15307</v>
      </c>
      <c r="AB1110" t="s">
        <v>19945</v>
      </c>
    </row>
    <row r="1111" spans="1:28" x14ac:dyDescent="0.25">
      <c r="A1111" t="s">
        <v>1115</v>
      </c>
      <c r="B1111">
        <v>0.99904790336628502</v>
      </c>
      <c r="C1111">
        <v>0.96137884784767003</v>
      </c>
      <c r="D1111">
        <v>0.85532825261184997</v>
      </c>
      <c r="E1111">
        <v>0.86731936099737605</v>
      </c>
      <c r="F1111">
        <v>0.83195334615025895</v>
      </c>
      <c r="G1111">
        <v>0.53039097236444599</v>
      </c>
      <c r="H1111">
        <v>0.36550308981143198</v>
      </c>
      <c r="I1111">
        <v>0.23724135385501199</v>
      </c>
      <c r="J1111">
        <v>0.21361029757859401</v>
      </c>
      <c r="K1111">
        <v>0.183633986397609</v>
      </c>
      <c r="L1111">
        <v>739.54681170627305</v>
      </c>
      <c r="M1111">
        <v>12.933351699438999</v>
      </c>
      <c r="N1111">
        <v>58.028741677773503</v>
      </c>
      <c r="O1111">
        <v>55.8660958146056</v>
      </c>
      <c r="P1111">
        <v>-5.2905891095906002E-2</v>
      </c>
      <c r="Q1111">
        <v>8.6048834784583306E-2</v>
      </c>
      <c r="R1111">
        <v>0.980165614112957</v>
      </c>
      <c r="S1111" t="s">
        <v>5851</v>
      </c>
      <c r="T1111" t="s">
        <v>9478</v>
      </c>
      <c r="U1111" t="s">
        <v>9478</v>
      </c>
      <c r="V1111" t="s">
        <v>9478</v>
      </c>
      <c r="W1111">
        <v>3</v>
      </c>
      <c r="X1111" t="s">
        <v>10589</v>
      </c>
      <c r="Y1111">
        <v>0.62423917150038433</v>
      </c>
      <c r="Z1111" t="str">
        <f>HYPERLINK("Melting_Curves/meltCurve_sp_P36405_ARL3_HUMAN_.pdf", "Melting_Curves/meltCurve_sp_P36405_ARL3_HUMAN_.pdf")</f>
        <v>Melting_Curves/meltCurve_sp_P36405_ARL3_HUMAN_.pdf</v>
      </c>
      <c r="AA1111" t="s">
        <v>15308</v>
      </c>
      <c r="AB1111" t="s">
        <v>19946</v>
      </c>
    </row>
    <row r="1112" spans="1:28" x14ac:dyDescent="0.25">
      <c r="A1112" t="s">
        <v>1116</v>
      </c>
      <c r="B1112">
        <v>0.99904790336628502</v>
      </c>
      <c r="C1112">
        <v>0.97870474277380304</v>
      </c>
      <c r="D1112">
        <v>0.89438252830493603</v>
      </c>
      <c r="E1112">
        <v>0.58659942059597503</v>
      </c>
      <c r="F1112">
        <v>0.23702369039986099</v>
      </c>
      <c r="G1112">
        <v>0.113400742713751</v>
      </c>
      <c r="H1112">
        <v>8.4965498585934204E-2</v>
      </c>
      <c r="I1112">
        <v>4.8869760926890903E-2</v>
      </c>
      <c r="J1112">
        <v>4.3727901299782802E-2</v>
      </c>
      <c r="K1112">
        <v>3.3567695757486402E-2</v>
      </c>
      <c r="L1112">
        <v>1220.6599553348301</v>
      </c>
      <c r="M1112">
        <v>24.243446316044</v>
      </c>
      <c r="N1112">
        <v>50.555624453406601</v>
      </c>
      <c r="O1112">
        <v>50.011272520554598</v>
      </c>
      <c r="P1112">
        <v>-0.115504473406866</v>
      </c>
      <c r="Q1112">
        <v>4.6927957101172403E-2</v>
      </c>
      <c r="R1112">
        <v>0.99825159848654099</v>
      </c>
      <c r="S1112" t="s">
        <v>5852</v>
      </c>
      <c r="T1112" t="s">
        <v>9478</v>
      </c>
      <c r="U1112" t="s">
        <v>9478</v>
      </c>
      <c r="V1112" t="s">
        <v>9478</v>
      </c>
      <c r="W1112">
        <v>13</v>
      </c>
      <c r="X1112" t="s">
        <v>10590</v>
      </c>
      <c r="Y1112">
        <v>0.38483018264376723</v>
      </c>
      <c r="Z1112" t="str">
        <f>HYPERLINK("Melting_Curves/meltCurve_sp_P36507_MP2K2_HUMAN_.pdf", "Melting_Curves/meltCurve_sp_P36507_MP2K2_HUMAN_.pdf")</f>
        <v>Melting_Curves/meltCurve_sp_P36507_MP2K2_HUMAN_.pdf</v>
      </c>
      <c r="AA1112" t="s">
        <v>15309</v>
      </c>
      <c r="AB1112" t="s">
        <v>19947</v>
      </c>
    </row>
    <row r="1113" spans="1:28" x14ac:dyDescent="0.25">
      <c r="A1113" t="s">
        <v>1117</v>
      </c>
      <c r="B1113">
        <v>0.99904790336628502</v>
      </c>
      <c r="C1113">
        <v>0.98035899243299796</v>
      </c>
      <c r="D1113">
        <v>0.99500585515609696</v>
      </c>
      <c r="E1113">
        <v>0.87974686588439099</v>
      </c>
      <c r="F1113">
        <v>0.65111685454509705</v>
      </c>
      <c r="G1113">
        <v>0.21781307600578001</v>
      </c>
      <c r="H1113">
        <v>8.1688366691624104E-2</v>
      </c>
      <c r="I1113">
        <v>5.3512082161111002E-2</v>
      </c>
      <c r="J1113">
        <v>4.21465482215614E-2</v>
      </c>
      <c r="K1113">
        <v>2.53166984332985E-2</v>
      </c>
      <c r="L1113">
        <v>1415.3000835825301</v>
      </c>
      <c r="M1113">
        <v>26.188360555720699</v>
      </c>
      <c r="N1113">
        <v>54.1768189925168</v>
      </c>
      <c r="O1113">
        <v>53.730929299804401</v>
      </c>
      <c r="P1113">
        <v>-0.118037765525023</v>
      </c>
      <c r="Q1113">
        <v>3.1293656326398599E-2</v>
      </c>
      <c r="R1113">
        <v>0.99938831805115802</v>
      </c>
      <c r="S1113" t="s">
        <v>5853</v>
      </c>
      <c r="T1113" t="s">
        <v>9478</v>
      </c>
      <c r="U1113" t="s">
        <v>9478</v>
      </c>
      <c r="V1113" t="s">
        <v>9478</v>
      </c>
      <c r="W1113">
        <v>12</v>
      </c>
      <c r="X1113" t="s">
        <v>10591</v>
      </c>
      <c r="Y1113">
        <v>0.49298089135309342</v>
      </c>
      <c r="Z1113" t="str">
        <f>HYPERLINK("Melting_Curves/meltCurve_sp_P36543_VATE1_HUMAN_.pdf", "Melting_Curves/meltCurve_sp_P36543_VATE1_HUMAN_.pdf")</f>
        <v>Melting_Curves/meltCurve_sp_P36543_VATE1_HUMAN_.pdf</v>
      </c>
      <c r="AA1113" t="s">
        <v>15310</v>
      </c>
      <c r="AB1113" t="s">
        <v>19948</v>
      </c>
    </row>
    <row r="1114" spans="1:28" x14ac:dyDescent="0.25">
      <c r="A1114" t="s">
        <v>1118</v>
      </c>
      <c r="B1114">
        <v>0.99904790336628502</v>
      </c>
      <c r="C1114">
        <v>0.98257122060781599</v>
      </c>
      <c r="D1114">
        <v>1.0100893445653201</v>
      </c>
      <c r="E1114">
        <v>0.95209972575083701</v>
      </c>
      <c r="F1114">
        <v>0.84456711567738596</v>
      </c>
      <c r="G1114">
        <v>0.60206516622328499</v>
      </c>
      <c r="H1114">
        <v>0.323874073558437</v>
      </c>
      <c r="I1114">
        <v>0.13881506685359099</v>
      </c>
      <c r="J1114">
        <v>7.6035541607994694E-2</v>
      </c>
      <c r="K1114">
        <v>6.3220362981957295E-2</v>
      </c>
      <c r="L1114">
        <v>1056.00639547984</v>
      </c>
      <c r="M1114">
        <v>18.1305153373909</v>
      </c>
      <c r="N1114">
        <v>58.244699543068002</v>
      </c>
      <c r="O1114">
        <v>57.549990012322198</v>
      </c>
      <c r="P1114">
        <v>-7.8763631479170898E-2</v>
      </c>
      <c r="Q1114">
        <v>0</v>
      </c>
      <c r="R1114">
        <v>0.99860005521788298</v>
      </c>
      <c r="S1114" t="s">
        <v>5854</v>
      </c>
      <c r="T1114" t="s">
        <v>9478</v>
      </c>
      <c r="U1114" t="s">
        <v>9478</v>
      </c>
      <c r="V1114" t="s">
        <v>9478</v>
      </c>
      <c r="W1114">
        <v>22</v>
      </c>
      <c r="X1114" t="s">
        <v>10592</v>
      </c>
      <c r="Y1114">
        <v>0.62007901822990708</v>
      </c>
      <c r="Z1114" t="str">
        <f>HYPERLINK("Melting_Curves/meltCurve_sp_P36551_HEM6_HUMAN_.pdf", "Melting_Curves/meltCurve_sp_P36551_HEM6_HUMAN_.pdf")</f>
        <v>Melting_Curves/meltCurve_sp_P36551_HEM6_HUMAN_.pdf</v>
      </c>
      <c r="AA1114" t="s">
        <v>15311</v>
      </c>
      <c r="AB1114" t="s">
        <v>19949</v>
      </c>
    </row>
    <row r="1115" spans="1:28" x14ac:dyDescent="0.25">
      <c r="A1115" t="s">
        <v>1119</v>
      </c>
      <c r="B1115">
        <v>0.99904790336628502</v>
      </c>
      <c r="C1115">
        <v>1.06774598943126</v>
      </c>
      <c r="D1115">
        <v>0.83917838749515605</v>
      </c>
      <c r="E1115">
        <v>0.81928528244073395</v>
      </c>
      <c r="F1115">
        <v>0.66558872991697504</v>
      </c>
      <c r="G1115">
        <v>0.52207121016110403</v>
      </c>
      <c r="H1115">
        <v>0.42409270770889101</v>
      </c>
      <c r="I1115">
        <v>0.52347854376909497</v>
      </c>
      <c r="J1115">
        <v>0.65954060648971202</v>
      </c>
      <c r="K1115">
        <v>0.53694990348362304</v>
      </c>
      <c r="L1115">
        <v>1018.9758394578</v>
      </c>
      <c r="M1115">
        <v>20.287068456328399</v>
      </c>
      <c r="O1115">
        <v>49.747448682125402</v>
      </c>
      <c r="P1115">
        <v>-4.8252415348023998E-2</v>
      </c>
      <c r="Q1115">
        <v>0.526721030536351</v>
      </c>
      <c r="R1115">
        <v>0.88084632099425897</v>
      </c>
      <c r="S1115" t="s">
        <v>5855</v>
      </c>
      <c r="T1115" t="s">
        <v>9478</v>
      </c>
      <c r="U1115" t="s">
        <v>9478</v>
      </c>
      <c r="V1115" t="s">
        <v>9478</v>
      </c>
      <c r="W1115">
        <v>2</v>
      </c>
      <c r="X1115" t="s">
        <v>10593</v>
      </c>
      <c r="Y1115">
        <v>0.69447951390521323</v>
      </c>
      <c r="Z1115" t="str">
        <f>HYPERLINK("Melting_Curves/meltCurve_sp_P36578_RL4_HUMAN_.pdf", "Melting_Curves/meltCurve_sp_P36578_RL4_HUMAN_.pdf")</f>
        <v>Melting_Curves/meltCurve_sp_P36578_RL4_HUMAN_.pdf</v>
      </c>
      <c r="AA1115" t="s">
        <v>15312</v>
      </c>
      <c r="AB1115" t="s">
        <v>19950</v>
      </c>
    </row>
    <row r="1116" spans="1:28" x14ac:dyDescent="0.25">
      <c r="A1116" t="s">
        <v>1120</v>
      </c>
      <c r="B1116">
        <v>0.99904790336628502</v>
      </c>
      <c r="C1116">
        <v>1.0669341116248101</v>
      </c>
      <c r="D1116">
        <v>1.07802256598498</v>
      </c>
      <c r="E1116">
        <v>0.98791874254798195</v>
      </c>
      <c r="F1116">
        <v>0.86665765561952801</v>
      </c>
      <c r="G1116">
        <v>0.307996352014616</v>
      </c>
      <c r="H1116">
        <v>0.142388336227916</v>
      </c>
      <c r="I1116">
        <v>0.14047110518936001</v>
      </c>
      <c r="J1116">
        <v>0.11980422988529101</v>
      </c>
      <c r="K1116">
        <v>0.172056516894876</v>
      </c>
      <c r="L1116">
        <v>2372.4363659378801</v>
      </c>
      <c r="M1116">
        <v>43.055497381457499</v>
      </c>
      <c r="N1116">
        <v>55.526112278649798</v>
      </c>
      <c r="O1116">
        <v>54.983342815775003</v>
      </c>
      <c r="P1116">
        <v>-0.16832423002011301</v>
      </c>
      <c r="Q1116">
        <v>0.14017799212517601</v>
      </c>
      <c r="R1116">
        <v>0.99302683954337001</v>
      </c>
      <c r="S1116" t="s">
        <v>5856</v>
      </c>
      <c r="T1116" t="s">
        <v>9478</v>
      </c>
      <c r="U1116" t="s">
        <v>9478</v>
      </c>
      <c r="V1116" t="s">
        <v>9478</v>
      </c>
      <c r="W1116">
        <v>1</v>
      </c>
      <c r="X1116" t="s">
        <v>10594</v>
      </c>
      <c r="Y1116">
        <v>0.57582463390908778</v>
      </c>
      <c r="Z1116" t="str">
        <f>HYPERLINK("Melting_Curves/meltCurve_sp_P36639_4_8ODP_HUMAN_.pdf", "Melting_Curves/meltCurve_sp_P36639_4_8ODP_HUMAN_.pdf")</f>
        <v>Melting_Curves/meltCurve_sp_P36639_4_8ODP_HUMAN_.pdf</v>
      </c>
      <c r="AA1116" t="s">
        <v>15313</v>
      </c>
      <c r="AB1116" t="s">
        <v>19951</v>
      </c>
    </row>
    <row r="1117" spans="1:28" x14ac:dyDescent="0.25">
      <c r="A1117" t="s">
        <v>1121</v>
      </c>
      <c r="B1117">
        <v>0.99904790336628502</v>
      </c>
      <c r="C1117">
        <v>0.99112365920666601</v>
      </c>
      <c r="D1117">
        <v>1.0218177810860201</v>
      </c>
      <c r="E1117">
        <v>0.96447682681357505</v>
      </c>
      <c r="F1117">
        <v>0.72235499114644297</v>
      </c>
      <c r="G1117">
        <v>0.27303158104432501</v>
      </c>
      <c r="H1117">
        <v>8.3678216812635306E-2</v>
      </c>
      <c r="I1117">
        <v>4.5688899477176997E-2</v>
      </c>
      <c r="J1117">
        <v>3.3396024855843802E-2</v>
      </c>
      <c r="K1117">
        <v>2.77480187760458E-2</v>
      </c>
      <c r="L1117">
        <v>1584.4628519686801</v>
      </c>
      <c r="M1117">
        <v>28.921097598891699</v>
      </c>
      <c r="N1117">
        <v>54.905097986223701</v>
      </c>
      <c r="O1117">
        <v>54.525781606537301</v>
      </c>
      <c r="P1117">
        <v>-0.128562131993114</v>
      </c>
      <c r="Q1117">
        <v>3.0479699441151399E-2</v>
      </c>
      <c r="R1117">
        <v>0.99925166475761495</v>
      </c>
      <c r="S1117" t="s">
        <v>5857</v>
      </c>
      <c r="T1117" t="s">
        <v>9478</v>
      </c>
      <c r="U1117" t="s">
        <v>9478</v>
      </c>
      <c r="V1117" t="s">
        <v>9478</v>
      </c>
      <c r="W1117">
        <v>47</v>
      </c>
      <c r="X1117" t="s">
        <v>10595</v>
      </c>
      <c r="Y1117">
        <v>0.51519373450948891</v>
      </c>
      <c r="Z1117" t="str">
        <f>HYPERLINK("Melting_Curves/meltCurve_sp_P36871_PGM1_HUMAN_.pdf", "Melting_Curves/meltCurve_sp_P36871_PGM1_HUMAN_.pdf")</f>
        <v>Melting_Curves/meltCurve_sp_P36871_PGM1_HUMAN_.pdf</v>
      </c>
      <c r="AA1117" t="s">
        <v>15314</v>
      </c>
      <c r="AB1117" t="s">
        <v>19952</v>
      </c>
    </row>
    <row r="1118" spans="1:28" x14ac:dyDescent="0.25">
      <c r="A1118" t="s">
        <v>1122</v>
      </c>
      <c r="B1118">
        <v>0.99904790336628502</v>
      </c>
      <c r="C1118">
        <v>0.984389380302642</v>
      </c>
      <c r="D1118">
        <v>0.94547678812722102</v>
      </c>
      <c r="E1118">
        <v>0.723230751315181</v>
      </c>
      <c r="F1118">
        <v>0.16264356810844099</v>
      </c>
      <c r="G1118">
        <v>9.9168422452672295E-2</v>
      </c>
      <c r="H1118">
        <v>6.5305232807858701E-2</v>
      </c>
      <c r="I1118">
        <v>4.3061436346419298E-2</v>
      </c>
      <c r="J1118">
        <v>4.52189482751146E-2</v>
      </c>
      <c r="K1118">
        <v>3.3763402247618701E-2</v>
      </c>
      <c r="L1118">
        <v>2499.9642766011102</v>
      </c>
      <c r="M1118">
        <v>49.140340742193999</v>
      </c>
      <c r="N1118">
        <v>50.995044215337799</v>
      </c>
      <c r="O1118">
        <v>50.7899320860787</v>
      </c>
      <c r="P1118">
        <v>-0.228563286076162</v>
      </c>
      <c r="Q1118">
        <v>5.50571715409333E-2</v>
      </c>
      <c r="R1118">
        <v>0.99707986679034399</v>
      </c>
      <c r="S1118" t="s">
        <v>5858</v>
      </c>
      <c r="T1118" t="s">
        <v>9478</v>
      </c>
      <c r="U1118" t="s">
        <v>9478</v>
      </c>
      <c r="V1118" t="s">
        <v>9478</v>
      </c>
      <c r="W1118">
        <v>11</v>
      </c>
      <c r="X1118" t="s">
        <v>10596</v>
      </c>
      <c r="Y1118">
        <v>0.39976227380336232</v>
      </c>
      <c r="Z1118" t="str">
        <f>HYPERLINK("Melting_Curves/meltCurve_sp_P36915_GNL1_HUMAN_.pdf", "Melting_Curves/meltCurve_sp_P36915_GNL1_HUMAN_.pdf")</f>
        <v>Melting_Curves/meltCurve_sp_P36915_GNL1_HUMAN_.pdf</v>
      </c>
      <c r="AA1118" t="s">
        <v>15315</v>
      </c>
      <c r="AB1118" t="s">
        <v>19953</v>
      </c>
    </row>
    <row r="1119" spans="1:28" x14ac:dyDescent="0.25">
      <c r="A1119" t="s">
        <v>1123</v>
      </c>
      <c r="B1119">
        <v>0.99904790336628502</v>
      </c>
      <c r="C1119">
        <v>0.94711904775790301</v>
      </c>
      <c r="D1119">
        <v>0.95742458060625202</v>
      </c>
      <c r="E1119">
        <v>0.92330680030991996</v>
      </c>
      <c r="F1119">
        <v>0.89138497373355297</v>
      </c>
      <c r="G1119">
        <v>0.36669021764710902</v>
      </c>
      <c r="H1119">
        <v>8.9078925317961494E-2</v>
      </c>
      <c r="I1119">
        <v>5.5559386516403401E-2</v>
      </c>
      <c r="J1119">
        <v>4.07827316412347E-2</v>
      </c>
      <c r="K1119">
        <v>3.9126969797068201E-2</v>
      </c>
      <c r="L1119">
        <v>1914.7399723036799</v>
      </c>
      <c r="M1119">
        <v>34.2316908895843</v>
      </c>
      <c r="N1119">
        <v>56.065373728592597</v>
      </c>
      <c r="O1119">
        <v>55.744862848549801</v>
      </c>
      <c r="P1119">
        <v>-0.14763448236056001</v>
      </c>
      <c r="Q1119">
        <v>3.8337635145467598E-2</v>
      </c>
      <c r="R1119">
        <v>0.995225770663001</v>
      </c>
      <c r="S1119" t="s">
        <v>5859</v>
      </c>
      <c r="T1119" t="s">
        <v>9478</v>
      </c>
      <c r="U1119" t="s">
        <v>9478</v>
      </c>
      <c r="V1119" t="s">
        <v>9478</v>
      </c>
      <c r="W1119">
        <v>5</v>
      </c>
      <c r="X1119" t="s">
        <v>10597</v>
      </c>
      <c r="Y1119">
        <v>0.5541351166302686</v>
      </c>
      <c r="Z1119" t="str">
        <f>HYPERLINK("Melting_Curves/meltCurve_sp_P36955_PEDF_HUMAN_.pdf", "Melting_Curves/meltCurve_sp_P36955_PEDF_HUMAN_.pdf")</f>
        <v>Melting_Curves/meltCurve_sp_P36955_PEDF_HUMAN_.pdf</v>
      </c>
      <c r="AA1119" t="s">
        <v>15316</v>
      </c>
      <c r="AB1119" t="s">
        <v>19954</v>
      </c>
    </row>
    <row r="1120" spans="1:28" x14ac:dyDescent="0.25">
      <c r="A1120" t="s">
        <v>1124</v>
      </c>
      <c r="B1120">
        <v>0.99904790336628502</v>
      </c>
      <c r="C1120">
        <v>1.05934633556383</v>
      </c>
      <c r="D1120">
        <v>1.0893856932358399</v>
      </c>
      <c r="E1120">
        <v>0.98378241885009698</v>
      </c>
      <c r="F1120">
        <v>0.89661825393040895</v>
      </c>
      <c r="G1120">
        <v>0.73579402035604102</v>
      </c>
      <c r="H1120">
        <v>0.62045249672547298</v>
      </c>
      <c r="I1120">
        <v>0.69705916819062896</v>
      </c>
      <c r="J1120">
        <v>0.60093636795257999</v>
      </c>
      <c r="K1120">
        <v>0.487363080214339</v>
      </c>
      <c r="L1120">
        <v>1077.2983459910899</v>
      </c>
      <c r="M1120">
        <v>19.082840249046999</v>
      </c>
      <c r="O1120">
        <v>55.844784526399899</v>
      </c>
      <c r="P1120">
        <v>-3.7768774806007203E-2</v>
      </c>
      <c r="Q1120">
        <v>0.55790512867652498</v>
      </c>
      <c r="R1120">
        <v>0.92621221838834</v>
      </c>
      <c r="S1120" t="s">
        <v>5860</v>
      </c>
      <c r="T1120" t="s">
        <v>9478</v>
      </c>
      <c r="U1120" t="s">
        <v>9478</v>
      </c>
      <c r="V1120" t="s">
        <v>9478</v>
      </c>
      <c r="W1120">
        <v>15</v>
      </c>
      <c r="X1120" t="s">
        <v>10598</v>
      </c>
      <c r="Y1120">
        <v>0.80629120517162456</v>
      </c>
      <c r="Z1120" t="str">
        <f>HYPERLINK("Melting_Curves/meltCurve_sp_P36957_ODO2_HUMAN_.pdf", "Melting_Curves/meltCurve_sp_P36957_ODO2_HUMAN_.pdf")</f>
        <v>Melting_Curves/meltCurve_sp_P36957_ODO2_HUMAN_.pdf</v>
      </c>
      <c r="AA1120" t="s">
        <v>15317</v>
      </c>
      <c r="AB1120" t="s">
        <v>19955</v>
      </c>
    </row>
    <row r="1121" spans="1:28" x14ac:dyDescent="0.25">
      <c r="A1121" t="s">
        <v>1125</v>
      </c>
      <c r="B1121">
        <v>0.99904790336628502</v>
      </c>
      <c r="C1121">
        <v>1.02494131040861</v>
      </c>
      <c r="D1121">
        <v>1.0104289050217301</v>
      </c>
      <c r="E1121">
        <v>0.90048760802806405</v>
      </c>
      <c r="F1121">
        <v>0.67682158693712802</v>
      </c>
      <c r="G1121">
        <v>0.53435709572961698</v>
      </c>
      <c r="H1121">
        <v>0.439614970906265</v>
      </c>
      <c r="I1121">
        <v>0.29894171449471502</v>
      </c>
      <c r="J1121">
        <v>0.32926113007637597</v>
      </c>
      <c r="K1121">
        <v>0.202096502761345</v>
      </c>
      <c r="L1121">
        <v>789.87469182131099</v>
      </c>
      <c r="M1121">
        <v>14.2121481919053</v>
      </c>
      <c r="N1121">
        <v>57.883354225707599</v>
      </c>
      <c r="O1121">
        <v>54.511806844640297</v>
      </c>
      <c r="P1121">
        <v>-5.1096866684564E-2</v>
      </c>
      <c r="Q1121">
        <v>0.21615367944848901</v>
      </c>
      <c r="R1121">
        <v>0.98182133198219201</v>
      </c>
      <c r="S1121" t="s">
        <v>5861</v>
      </c>
      <c r="T1121" t="s">
        <v>9478</v>
      </c>
      <c r="U1121" t="s">
        <v>9478</v>
      </c>
      <c r="V1121" t="s">
        <v>9478</v>
      </c>
      <c r="W1121">
        <v>3</v>
      </c>
      <c r="X1121" t="s">
        <v>10599</v>
      </c>
      <c r="Y1121">
        <v>0.63832981942095246</v>
      </c>
      <c r="Z1121" t="str">
        <f>HYPERLINK("Melting_Curves/meltCurve_sp_P36959_GMPR1_HUMAN_.pdf", "Melting_Curves/meltCurve_sp_P36959_GMPR1_HUMAN_.pdf")</f>
        <v>Melting_Curves/meltCurve_sp_P36959_GMPR1_HUMAN_.pdf</v>
      </c>
      <c r="AA1121" t="s">
        <v>15318</v>
      </c>
      <c r="AB1121" t="s">
        <v>19956</v>
      </c>
    </row>
    <row r="1122" spans="1:28" x14ac:dyDescent="0.25">
      <c r="A1122" t="s">
        <v>1126</v>
      </c>
      <c r="B1122">
        <v>0.99904790336628502</v>
      </c>
      <c r="C1122">
        <v>0.90815386971758105</v>
      </c>
      <c r="D1122">
        <v>0.62512213731588895</v>
      </c>
      <c r="E1122">
        <v>0.29376761317317501</v>
      </c>
      <c r="F1122">
        <v>0.13421559534173699</v>
      </c>
      <c r="G1122">
        <v>8.0917705017024499E-2</v>
      </c>
      <c r="H1122">
        <v>4.8144690277209599E-2</v>
      </c>
      <c r="I1122">
        <v>3.0367129515368699E-2</v>
      </c>
      <c r="J1122">
        <v>2.3781098965008299E-2</v>
      </c>
      <c r="K1122">
        <v>1.6674172466625E-2</v>
      </c>
      <c r="L1122">
        <v>924.01542683105197</v>
      </c>
      <c r="M1122">
        <v>19.517941597685901</v>
      </c>
      <c r="N1122">
        <v>47.485108447661197</v>
      </c>
      <c r="O1122">
        <v>46.853283156526203</v>
      </c>
      <c r="P1122">
        <v>-0.101169712125298</v>
      </c>
      <c r="Q1122">
        <v>2.8593617193925999E-2</v>
      </c>
      <c r="R1122">
        <v>0.99815085796346903</v>
      </c>
      <c r="S1122" t="s">
        <v>5862</v>
      </c>
      <c r="T1122" t="s">
        <v>9478</v>
      </c>
      <c r="U1122" t="s">
        <v>9478</v>
      </c>
      <c r="V1122" t="s">
        <v>9478</v>
      </c>
      <c r="W1122">
        <v>13</v>
      </c>
      <c r="X1122" t="s">
        <v>10600</v>
      </c>
      <c r="Y1122">
        <v>0.2811361710140286</v>
      </c>
      <c r="Z1122" t="str">
        <f>HYPERLINK("Melting_Curves/meltCurve_sp_P36969_2_GPX4_HUMAN_.pdf", "Melting_Curves/meltCurve_sp_P36969_2_GPX4_HUMAN_.pdf")</f>
        <v>Melting_Curves/meltCurve_sp_P36969_2_GPX4_HUMAN_.pdf</v>
      </c>
      <c r="AA1122" t="s">
        <v>15319</v>
      </c>
      <c r="AB1122" t="s">
        <v>19957</v>
      </c>
    </row>
    <row r="1123" spans="1:28" x14ac:dyDescent="0.25">
      <c r="A1123" t="s">
        <v>1127</v>
      </c>
      <c r="B1123">
        <v>0.99904790336628502</v>
      </c>
      <c r="C1123">
        <v>0.98019750826819096</v>
      </c>
      <c r="D1123">
        <v>0.93694300880395398</v>
      </c>
      <c r="E1123">
        <v>0.74661093418569402</v>
      </c>
      <c r="F1123">
        <v>0.64713116874362797</v>
      </c>
      <c r="G1123">
        <v>0.46298609476257102</v>
      </c>
      <c r="H1123">
        <v>0.370627961161279</v>
      </c>
      <c r="I1123">
        <v>0.33029473625545103</v>
      </c>
      <c r="J1123">
        <v>0.33029832281870097</v>
      </c>
      <c r="K1123">
        <v>0.30894468216535198</v>
      </c>
      <c r="L1123">
        <v>770.57673129861905</v>
      </c>
      <c r="M1123">
        <v>14.6500680154025</v>
      </c>
      <c r="N1123">
        <v>55.934158583144203</v>
      </c>
      <c r="O1123">
        <v>51.647955161478599</v>
      </c>
      <c r="P1123">
        <v>-5.0263740340457899E-2</v>
      </c>
      <c r="Q1123">
        <v>0.29127106757735</v>
      </c>
      <c r="R1123">
        <v>0.99772717394216603</v>
      </c>
      <c r="S1123" t="s">
        <v>5863</v>
      </c>
      <c r="T1123" t="s">
        <v>9478</v>
      </c>
      <c r="U1123" t="s">
        <v>9478</v>
      </c>
      <c r="V1123" t="s">
        <v>9478</v>
      </c>
      <c r="W1123">
        <v>8</v>
      </c>
      <c r="X1123" t="s">
        <v>10601</v>
      </c>
      <c r="Y1123">
        <v>0.60494413753804521</v>
      </c>
      <c r="Z1123" t="str">
        <f>HYPERLINK("Melting_Curves/meltCurve_sp_P36980_2_FHR2_HUMAN_.pdf", "Melting_Curves/meltCurve_sp_P36980_2_FHR2_HUMAN_.pdf")</f>
        <v>Melting_Curves/meltCurve_sp_P36980_2_FHR2_HUMAN_.pdf</v>
      </c>
      <c r="AA1123" t="s">
        <v>15320</v>
      </c>
      <c r="AB1123" t="s">
        <v>19958</v>
      </c>
    </row>
    <row r="1124" spans="1:28" x14ac:dyDescent="0.25">
      <c r="A1124" t="s">
        <v>1128</v>
      </c>
      <c r="B1124">
        <v>0.99904790336628502</v>
      </c>
      <c r="C1124">
        <v>1.059987227585</v>
      </c>
      <c r="D1124">
        <v>0.84170503324004298</v>
      </c>
      <c r="E1124">
        <v>0.67706695583855603</v>
      </c>
      <c r="F1124">
        <v>0.53913523728666801</v>
      </c>
      <c r="G1124">
        <v>0.401207362609039</v>
      </c>
      <c r="H1124">
        <v>0.24202361809426801</v>
      </c>
      <c r="I1124">
        <v>0.15722084834695799</v>
      </c>
      <c r="J1124">
        <v>9.9072400566559998E-2</v>
      </c>
      <c r="K1124">
        <v>4.0292622481272501E-2</v>
      </c>
      <c r="L1124">
        <v>599.15690168740502</v>
      </c>
      <c r="M1124">
        <v>11.0732365370132</v>
      </c>
      <c r="N1124">
        <v>54.108561433219698</v>
      </c>
      <c r="O1124">
        <v>52.433766903393803</v>
      </c>
      <c r="P1124">
        <v>-5.2813667984384798E-2</v>
      </c>
      <c r="Q1124">
        <v>0</v>
      </c>
      <c r="R1124">
        <v>0.98522243468442405</v>
      </c>
      <c r="S1124" t="s">
        <v>5864</v>
      </c>
      <c r="T1124" t="s">
        <v>9478</v>
      </c>
      <c r="U1124" t="s">
        <v>9478</v>
      </c>
      <c r="V1124" t="s">
        <v>9478</v>
      </c>
      <c r="W1124">
        <v>3</v>
      </c>
      <c r="X1124" t="s">
        <v>10602</v>
      </c>
      <c r="Y1124">
        <v>0.49794318814846927</v>
      </c>
      <c r="Z1124" t="str">
        <f>HYPERLINK("Melting_Curves/meltCurve_sp_P37059_DHB2_HUMAN_.pdf", "Melting_Curves/meltCurve_sp_P37059_DHB2_HUMAN_.pdf")</f>
        <v>Melting_Curves/meltCurve_sp_P37059_DHB2_HUMAN_.pdf</v>
      </c>
      <c r="AA1124" t="s">
        <v>15321</v>
      </c>
      <c r="AB1124" t="s">
        <v>19959</v>
      </c>
    </row>
    <row r="1125" spans="1:28" x14ac:dyDescent="0.25">
      <c r="A1125" t="s">
        <v>1129</v>
      </c>
      <c r="B1125">
        <v>0.99904790336628502</v>
      </c>
      <c r="C1125">
        <v>0.91000198169236601</v>
      </c>
      <c r="D1125">
        <v>0.88996728010111104</v>
      </c>
      <c r="E1125">
        <v>0.89700996364970598</v>
      </c>
      <c r="F1125">
        <v>0.88223956257543501</v>
      </c>
      <c r="G1125">
        <v>0.72563545559570197</v>
      </c>
      <c r="H1125">
        <v>0.43546913531444598</v>
      </c>
      <c r="I1125">
        <v>0.22396660397565099</v>
      </c>
      <c r="J1125">
        <v>0.15519078719172799</v>
      </c>
      <c r="K1125">
        <v>0.125937361453584</v>
      </c>
      <c r="L1125">
        <v>913.61695211848701</v>
      </c>
      <c r="M1125">
        <v>15.2658986488388</v>
      </c>
      <c r="N1125">
        <v>59.846916076421202</v>
      </c>
      <c r="O1125">
        <v>58.848159302937802</v>
      </c>
      <c r="P1125">
        <v>-6.4859029636998994E-2</v>
      </c>
      <c r="Q1125">
        <v>0</v>
      </c>
      <c r="R1125">
        <v>0.976713471827521</v>
      </c>
      <c r="S1125" t="s">
        <v>5865</v>
      </c>
      <c r="T1125" t="s">
        <v>9478</v>
      </c>
      <c r="U1125" t="s">
        <v>9478</v>
      </c>
      <c r="V1125" t="s">
        <v>9478</v>
      </c>
      <c r="W1125">
        <v>7</v>
      </c>
      <c r="X1125" t="s">
        <v>10603</v>
      </c>
      <c r="Y1125">
        <v>0.66922965372285048</v>
      </c>
      <c r="Z1125" t="str">
        <f>HYPERLINK("Melting_Curves/meltCurve_sp_P37108_SRP14_HUMAN_.pdf", "Melting_Curves/meltCurve_sp_P37108_SRP14_HUMAN_.pdf")</f>
        <v>Melting_Curves/meltCurve_sp_P37108_SRP14_HUMAN_.pdf</v>
      </c>
      <c r="AA1125" t="s">
        <v>15322</v>
      </c>
      <c r="AB1125" t="s">
        <v>19960</v>
      </c>
    </row>
    <row r="1126" spans="1:28" x14ac:dyDescent="0.25">
      <c r="A1126" t="s">
        <v>1130</v>
      </c>
      <c r="B1126">
        <v>0.99904790336628502</v>
      </c>
      <c r="C1126">
        <v>1.0297089587096799</v>
      </c>
      <c r="D1126">
        <v>0.97869224657481502</v>
      </c>
      <c r="E1126">
        <v>0.922043373921972</v>
      </c>
      <c r="F1126">
        <v>0.85479125335023198</v>
      </c>
      <c r="G1126">
        <v>0.59774106702005303</v>
      </c>
      <c r="H1126">
        <v>0.49313486205691498</v>
      </c>
      <c r="I1126">
        <v>0.49423145348345099</v>
      </c>
      <c r="J1126">
        <v>0.50006548720208399</v>
      </c>
      <c r="K1126">
        <v>0.42056019741299799</v>
      </c>
      <c r="L1126">
        <v>1292.3406142414899</v>
      </c>
      <c r="M1126">
        <v>23.592855447338899</v>
      </c>
      <c r="N1126">
        <v>61.163891952492897</v>
      </c>
      <c r="O1126">
        <v>54.387797339474901</v>
      </c>
      <c r="P1126">
        <v>-5.88401205033681E-2</v>
      </c>
      <c r="Q1126">
        <v>0.457440816093379</v>
      </c>
      <c r="R1126">
        <v>0.98924851767543498</v>
      </c>
      <c r="S1126" t="s">
        <v>5866</v>
      </c>
      <c r="T1126" t="s">
        <v>9478</v>
      </c>
      <c r="U1126" t="s">
        <v>9478</v>
      </c>
      <c r="V1126" t="s">
        <v>9478</v>
      </c>
      <c r="W1126">
        <v>7</v>
      </c>
      <c r="X1126" t="s">
        <v>10604</v>
      </c>
      <c r="Y1126">
        <v>0.73023917620472489</v>
      </c>
      <c r="Z1126" t="str">
        <f>HYPERLINK("Melting_Curves/meltCurve_sp_P37198_NUP62_HUMAN_.pdf", "Melting_Curves/meltCurve_sp_P37198_NUP62_HUMAN_.pdf")</f>
        <v>Melting_Curves/meltCurve_sp_P37198_NUP62_HUMAN_.pdf</v>
      </c>
      <c r="AA1126" t="s">
        <v>15323</v>
      </c>
      <c r="AB1126" t="s">
        <v>19961</v>
      </c>
    </row>
    <row r="1127" spans="1:28" x14ac:dyDescent="0.25">
      <c r="A1127" t="s">
        <v>1131</v>
      </c>
      <c r="B1127">
        <v>0.99904790336628502</v>
      </c>
      <c r="C1127">
        <v>1.0410423291122299</v>
      </c>
      <c r="D1127">
        <v>0.96345754122704996</v>
      </c>
      <c r="E1127">
        <v>0.77310209174162803</v>
      </c>
      <c r="F1127">
        <v>0.81055327477875405</v>
      </c>
      <c r="G1127">
        <v>0.49184137382277199</v>
      </c>
      <c r="H1127">
        <v>0.41084042901895201</v>
      </c>
      <c r="I1127">
        <v>0.45799952777698899</v>
      </c>
      <c r="J1127">
        <v>0.440272704451113</v>
      </c>
      <c r="K1127">
        <v>0.36735581026004799</v>
      </c>
      <c r="L1127">
        <v>910.00464844422697</v>
      </c>
      <c r="M1127">
        <v>17.0365244672867</v>
      </c>
      <c r="N1127">
        <v>58.440904624839803</v>
      </c>
      <c r="O1127">
        <v>52.695255311231897</v>
      </c>
      <c r="P1127">
        <v>-4.97529420429439E-2</v>
      </c>
      <c r="Q1127">
        <v>0.38447929368941403</v>
      </c>
      <c r="R1127">
        <v>0.95962888861619799</v>
      </c>
      <c r="S1127" t="s">
        <v>5867</v>
      </c>
      <c r="T1127" t="s">
        <v>9478</v>
      </c>
      <c r="U1127" t="s">
        <v>9478</v>
      </c>
      <c r="V1127" t="s">
        <v>9478</v>
      </c>
      <c r="W1127">
        <v>5</v>
      </c>
      <c r="X1127" t="s">
        <v>10605</v>
      </c>
      <c r="Y1127">
        <v>0.67058362883987455</v>
      </c>
      <c r="Z1127" t="str">
        <f>HYPERLINK("Melting_Curves/meltCurve_sp_P37235_HPCL1_HUMAN_.pdf", "Melting_Curves/meltCurve_sp_P37235_HPCL1_HUMAN_.pdf")</f>
        <v>Melting_Curves/meltCurve_sp_P37235_HPCL1_HUMAN_.pdf</v>
      </c>
      <c r="AA1127" t="s">
        <v>15324</v>
      </c>
      <c r="AB1127" t="s">
        <v>19962</v>
      </c>
    </row>
    <row r="1128" spans="1:28" x14ac:dyDescent="0.25">
      <c r="A1128" t="s">
        <v>1132</v>
      </c>
      <c r="B1128">
        <v>0.99904790336628502</v>
      </c>
      <c r="C1128">
        <v>0.97925996535203896</v>
      </c>
      <c r="D1128">
        <v>0.88963293181360703</v>
      </c>
      <c r="E1128">
        <v>0.92538126870319504</v>
      </c>
      <c r="F1128">
        <v>0.83940412171456702</v>
      </c>
      <c r="G1128">
        <v>0.695667509897678</v>
      </c>
      <c r="H1128">
        <v>0.42306300638556299</v>
      </c>
      <c r="I1128">
        <v>0.36928078117605301</v>
      </c>
      <c r="J1128">
        <v>0.387861886835558</v>
      </c>
      <c r="K1128">
        <v>0.36196924327403102</v>
      </c>
      <c r="L1128">
        <v>970.16186902765605</v>
      </c>
      <c r="M1128">
        <v>17.113258018468901</v>
      </c>
      <c r="N1128">
        <v>60.222264252316002</v>
      </c>
      <c r="O1128">
        <v>55.933520508340997</v>
      </c>
      <c r="P1128">
        <v>-5.2267039377117401E-2</v>
      </c>
      <c r="Q1128">
        <v>0.31671583219912303</v>
      </c>
      <c r="R1128">
        <v>0.97386704846774497</v>
      </c>
      <c r="S1128" t="s">
        <v>5868</v>
      </c>
      <c r="T1128" t="s">
        <v>9478</v>
      </c>
      <c r="U1128" t="s">
        <v>9478</v>
      </c>
      <c r="V1128" t="s">
        <v>9478</v>
      </c>
      <c r="W1128">
        <v>15</v>
      </c>
      <c r="X1128" t="s">
        <v>10606</v>
      </c>
      <c r="Y1128">
        <v>0.70697395644150907</v>
      </c>
      <c r="Z1128" t="str">
        <f>HYPERLINK("Melting_Curves/meltCurve_sp_P37802_TAGL2_HUMAN_.pdf", "Melting_Curves/meltCurve_sp_P37802_TAGL2_HUMAN_.pdf")</f>
        <v>Melting_Curves/meltCurve_sp_P37802_TAGL2_HUMAN_.pdf</v>
      </c>
      <c r="AA1128" t="s">
        <v>15325</v>
      </c>
      <c r="AB1128" t="s">
        <v>19963</v>
      </c>
    </row>
    <row r="1129" spans="1:28" x14ac:dyDescent="0.25">
      <c r="A1129" t="s">
        <v>1133</v>
      </c>
      <c r="B1129">
        <v>0.99904790336628502</v>
      </c>
      <c r="C1129">
        <v>0.94802432870641995</v>
      </c>
      <c r="D1129">
        <v>1.04503431432837</v>
      </c>
      <c r="E1129">
        <v>0.996416343648307</v>
      </c>
      <c r="F1129">
        <v>0.63068760966549298</v>
      </c>
      <c r="G1129">
        <v>0.339083216052806</v>
      </c>
      <c r="H1129">
        <v>0.20500435436644199</v>
      </c>
      <c r="I1129">
        <v>0.14269060974106099</v>
      </c>
      <c r="J1129">
        <v>0.108576531839514</v>
      </c>
      <c r="K1129">
        <v>6.72748353840317E-2</v>
      </c>
      <c r="L1129">
        <v>1366.8598401694301</v>
      </c>
      <c r="M1129">
        <v>25.148637338511001</v>
      </c>
      <c r="N1129">
        <v>54.891160432312198</v>
      </c>
      <c r="O1129">
        <v>54.0110856127719</v>
      </c>
      <c r="P1129">
        <v>-0.103651687925539</v>
      </c>
      <c r="Q1129">
        <v>0.10957145949505</v>
      </c>
      <c r="R1129">
        <v>0.98648250064676302</v>
      </c>
      <c r="S1129" t="s">
        <v>5869</v>
      </c>
      <c r="T1129" t="s">
        <v>9478</v>
      </c>
      <c r="U1129" t="s">
        <v>9478</v>
      </c>
      <c r="V1129" t="s">
        <v>9478</v>
      </c>
      <c r="W1129">
        <v>29</v>
      </c>
      <c r="X1129" t="s">
        <v>10607</v>
      </c>
      <c r="Y1129">
        <v>0.54368758988614019</v>
      </c>
      <c r="Z1129" t="str">
        <f>HYPERLINK("Melting_Curves/meltCurve_sp_P37837_TALDO_HUMAN_.pdf", "Melting_Curves/meltCurve_sp_P37837_TALDO_HUMAN_.pdf")</f>
        <v>Melting_Curves/meltCurve_sp_P37837_TALDO_HUMAN_.pdf</v>
      </c>
      <c r="AA1129" t="s">
        <v>15326</v>
      </c>
      <c r="AB1129" t="s">
        <v>19964</v>
      </c>
    </row>
    <row r="1130" spans="1:28" x14ac:dyDescent="0.25">
      <c r="A1130" t="s">
        <v>1134</v>
      </c>
      <c r="B1130">
        <v>0.99904790336628502</v>
      </c>
      <c r="C1130">
        <v>0.88548739963242995</v>
      </c>
      <c r="D1130">
        <v>1.05631352793778</v>
      </c>
      <c r="E1130">
        <v>0.93358776097628104</v>
      </c>
      <c r="F1130">
        <v>0.80029902505685802</v>
      </c>
      <c r="G1130">
        <v>0.36757460505522199</v>
      </c>
      <c r="H1130">
        <v>9.7291425680048005E-2</v>
      </c>
      <c r="I1130">
        <v>4.9377252430759501E-2</v>
      </c>
      <c r="J1130">
        <v>3.3458081094173697E-2</v>
      </c>
      <c r="K1130">
        <v>2.9708147950582301E-2</v>
      </c>
      <c r="L1130">
        <v>1481.8451948442701</v>
      </c>
      <c r="M1130">
        <v>26.6172648531909</v>
      </c>
      <c r="N1130">
        <v>55.7595653194156</v>
      </c>
      <c r="O1130">
        <v>55.360954697458403</v>
      </c>
      <c r="P1130">
        <v>-0.117748748580497</v>
      </c>
      <c r="Q1130">
        <v>2.0393300899029101E-2</v>
      </c>
      <c r="R1130">
        <v>0.99043119103036303</v>
      </c>
      <c r="S1130" t="s">
        <v>5870</v>
      </c>
      <c r="T1130" t="s">
        <v>9478</v>
      </c>
      <c r="U1130" t="s">
        <v>9478</v>
      </c>
      <c r="V1130" t="s">
        <v>9478</v>
      </c>
      <c r="W1130">
        <v>25</v>
      </c>
      <c r="X1130" t="s">
        <v>10608</v>
      </c>
      <c r="Y1130">
        <v>0.5402502933712362</v>
      </c>
      <c r="Z1130" t="str">
        <f>HYPERLINK("Melting_Curves/meltCurve_sp_P38117_ETFB_HUMAN_.pdf", "Melting_Curves/meltCurve_sp_P38117_ETFB_HUMAN_.pdf")</f>
        <v>Melting_Curves/meltCurve_sp_P38117_ETFB_HUMAN_.pdf</v>
      </c>
      <c r="AA1130" t="s">
        <v>15327</v>
      </c>
      <c r="AB1130" t="s">
        <v>19965</v>
      </c>
    </row>
    <row r="1131" spans="1:28" x14ac:dyDescent="0.25">
      <c r="A1131" t="s">
        <v>1135</v>
      </c>
      <c r="B1131">
        <v>0.99904790336628502</v>
      </c>
      <c r="C1131">
        <v>0.96459190842841902</v>
      </c>
      <c r="D1131">
        <v>0.969318694450927</v>
      </c>
      <c r="E1131">
        <v>0.94523930033255099</v>
      </c>
      <c r="F1131">
        <v>0.97075329217766504</v>
      </c>
      <c r="G1131">
        <v>0.76290579048277696</v>
      </c>
      <c r="H1131">
        <v>0.62067769282419505</v>
      </c>
      <c r="I1131">
        <v>0.57407994257249795</v>
      </c>
      <c r="J1131">
        <v>0.62246606009147498</v>
      </c>
      <c r="K1131">
        <v>0.58268530050221901</v>
      </c>
      <c r="L1131">
        <v>1947.81232747475</v>
      </c>
      <c r="M1131">
        <v>34.489594908967298</v>
      </c>
      <c r="O1131">
        <v>56.286512775665301</v>
      </c>
      <c r="P1131">
        <v>-6.2744277945852203E-2</v>
      </c>
      <c r="Q1131">
        <v>0.59041058221266396</v>
      </c>
      <c r="R1131">
        <v>0.97956850880250501</v>
      </c>
      <c r="S1131" t="s">
        <v>5871</v>
      </c>
      <c r="T1131" t="s">
        <v>9478</v>
      </c>
      <c r="U1131" t="s">
        <v>9478</v>
      </c>
      <c r="V1131" t="s">
        <v>9478</v>
      </c>
      <c r="W1131">
        <v>16</v>
      </c>
      <c r="X1131" t="s">
        <v>10609</v>
      </c>
      <c r="Y1131">
        <v>0.81745896706655219</v>
      </c>
      <c r="Z1131" t="str">
        <f>HYPERLINK("Melting_Curves/meltCurve_sp_P38159_RBMX_HUMAN_.pdf", "Melting_Curves/meltCurve_sp_P38159_RBMX_HUMAN_.pdf")</f>
        <v>Melting_Curves/meltCurve_sp_P38159_RBMX_HUMAN_.pdf</v>
      </c>
      <c r="AA1131" t="s">
        <v>15328</v>
      </c>
      <c r="AB1131" t="s">
        <v>19966</v>
      </c>
    </row>
    <row r="1132" spans="1:28" x14ac:dyDescent="0.25">
      <c r="A1132" t="s">
        <v>1136</v>
      </c>
      <c r="B1132">
        <v>0.99904790336628502</v>
      </c>
      <c r="C1132">
        <v>1.06288694611132</v>
      </c>
      <c r="D1132">
        <v>1.0779887452838599</v>
      </c>
      <c r="E1132">
        <v>0.96836644399929805</v>
      </c>
      <c r="F1132">
        <v>0.95477528401256795</v>
      </c>
      <c r="G1132">
        <v>0.61937154511777204</v>
      </c>
      <c r="H1132">
        <v>0.52423747868047699</v>
      </c>
      <c r="I1132">
        <v>0.459387382336989</v>
      </c>
      <c r="J1132">
        <v>0.48277159481488702</v>
      </c>
      <c r="K1132">
        <v>0.51520635195071296</v>
      </c>
      <c r="L1132">
        <v>2445.1352976018502</v>
      </c>
      <c r="M1132">
        <v>43.950460835679102</v>
      </c>
      <c r="N1132">
        <v>61.3432651271834</v>
      </c>
      <c r="O1132">
        <v>55.519099942782802</v>
      </c>
      <c r="P1132">
        <v>-0.100609088602967</v>
      </c>
      <c r="Q1132">
        <v>0.49163521812542699</v>
      </c>
      <c r="R1132">
        <v>0.97922244399288705</v>
      </c>
      <c r="S1132" t="s">
        <v>5872</v>
      </c>
      <c r="T1132" t="s">
        <v>9478</v>
      </c>
      <c r="U1132" t="s">
        <v>9478</v>
      </c>
      <c r="V1132" t="s">
        <v>9478</v>
      </c>
      <c r="W1132">
        <v>2</v>
      </c>
      <c r="X1132" t="s">
        <v>10610</v>
      </c>
      <c r="Y1132">
        <v>0.75817220281998488</v>
      </c>
      <c r="Z1132" t="str">
        <f>HYPERLINK("Melting_Curves/meltCurve_sp_P38432_COIL_HUMAN_.pdf", "Melting_Curves/meltCurve_sp_P38432_COIL_HUMAN_.pdf")</f>
        <v>Melting_Curves/meltCurve_sp_P38432_COIL_HUMAN_.pdf</v>
      </c>
      <c r="AA1132" t="s">
        <v>15329</v>
      </c>
      <c r="AB1132" t="s">
        <v>19967</v>
      </c>
    </row>
    <row r="1133" spans="1:28" x14ac:dyDescent="0.25">
      <c r="A1133" t="s">
        <v>1137</v>
      </c>
      <c r="B1133">
        <v>0.99904790336628502</v>
      </c>
      <c r="C1133">
        <v>0.94949588152507503</v>
      </c>
      <c r="D1133">
        <v>0.90304627510731394</v>
      </c>
      <c r="E1133">
        <v>0.71846119228224503</v>
      </c>
      <c r="F1133">
        <v>0.53781595511036495</v>
      </c>
      <c r="G1133">
        <v>0.42614195272250399</v>
      </c>
      <c r="H1133">
        <v>0.23137484702727601</v>
      </c>
      <c r="I1133">
        <v>9.2285916735908205E-2</v>
      </c>
      <c r="J1133">
        <v>4.6166437525904699E-2</v>
      </c>
      <c r="K1133">
        <v>3.8748334696027502E-2</v>
      </c>
      <c r="L1133">
        <v>659.59135859761898</v>
      </c>
      <c r="M1133">
        <v>12.1672221280285</v>
      </c>
      <c r="N1133">
        <v>54.210513279113599</v>
      </c>
      <c r="O1133">
        <v>52.808491649594401</v>
      </c>
      <c r="P1133">
        <v>-5.7613850195612E-2</v>
      </c>
      <c r="Q1133">
        <v>0</v>
      </c>
      <c r="R1133">
        <v>0.99139840305525295</v>
      </c>
      <c r="S1133" t="s">
        <v>5873</v>
      </c>
      <c r="T1133" t="s">
        <v>9478</v>
      </c>
      <c r="U1133" t="s">
        <v>9478</v>
      </c>
      <c r="V1133" t="s">
        <v>9478</v>
      </c>
      <c r="W1133">
        <v>21</v>
      </c>
      <c r="X1133" t="s">
        <v>10611</v>
      </c>
      <c r="Y1133">
        <v>0.49895643319790572</v>
      </c>
      <c r="Z1133" t="str">
        <f>HYPERLINK("Melting_Curves/meltCurve_sp_P38606_VATA_HUMAN_.pdf", "Melting_Curves/meltCurve_sp_P38606_VATA_HUMAN_.pdf")</f>
        <v>Melting_Curves/meltCurve_sp_P38606_VATA_HUMAN_.pdf</v>
      </c>
      <c r="AA1133" t="s">
        <v>15330</v>
      </c>
      <c r="AB1133" t="s">
        <v>19968</v>
      </c>
    </row>
    <row r="1134" spans="1:28" x14ac:dyDescent="0.25">
      <c r="A1134" t="s">
        <v>1138</v>
      </c>
      <c r="B1134">
        <v>0.99904790336628502</v>
      </c>
      <c r="C1134">
        <v>1.0583638988136901</v>
      </c>
      <c r="D1134">
        <v>1.0835436459792001</v>
      </c>
      <c r="E1134">
        <v>0.89445324975263796</v>
      </c>
      <c r="F1134">
        <v>0.53967058193240702</v>
      </c>
      <c r="G1134">
        <v>0.20232512041370199</v>
      </c>
      <c r="H1134">
        <v>9.1180989704681206E-2</v>
      </c>
      <c r="I1134">
        <v>5.2738565380302103E-2</v>
      </c>
      <c r="J1134">
        <v>4.4732698528216701E-2</v>
      </c>
      <c r="K1134">
        <v>3.2520457328024797E-2</v>
      </c>
      <c r="L1134">
        <v>1549.8285453107101</v>
      </c>
      <c r="M1134">
        <v>29.076531072826398</v>
      </c>
      <c r="N1134">
        <v>53.497135760667398</v>
      </c>
      <c r="O1134">
        <v>53.051486310389301</v>
      </c>
      <c r="P1134">
        <v>-0.130117150139544</v>
      </c>
      <c r="Q1134">
        <v>5.0387753922911199E-2</v>
      </c>
      <c r="R1134">
        <v>0.99255034849745605</v>
      </c>
      <c r="S1134" t="s">
        <v>5874</v>
      </c>
      <c r="T1134" t="s">
        <v>9478</v>
      </c>
      <c r="U1134" t="s">
        <v>9478</v>
      </c>
      <c r="V1134" t="s">
        <v>9478</v>
      </c>
      <c r="W1134">
        <v>64</v>
      </c>
      <c r="X1134" t="s">
        <v>10612</v>
      </c>
      <c r="Y1134">
        <v>0.47800774834890469</v>
      </c>
      <c r="Z1134" t="str">
        <f>HYPERLINK("Melting_Curves/meltCurve_sp_P38646_GRP75_HUMAN_.pdf", "Melting_Curves/meltCurve_sp_P38646_GRP75_HUMAN_.pdf")</f>
        <v>Melting_Curves/meltCurve_sp_P38646_GRP75_HUMAN_.pdf</v>
      </c>
      <c r="AA1134" t="s">
        <v>15331</v>
      </c>
      <c r="AB1134" t="s">
        <v>19969</v>
      </c>
    </row>
    <row r="1135" spans="1:28" x14ac:dyDescent="0.25">
      <c r="A1135" t="s">
        <v>1139</v>
      </c>
      <c r="B1135">
        <v>0.99904790336628502</v>
      </c>
      <c r="C1135">
        <v>0.86610394632521703</v>
      </c>
      <c r="D1135">
        <v>0.71306412262576502</v>
      </c>
      <c r="E1135">
        <v>0.341698996647256</v>
      </c>
      <c r="F1135">
        <v>0.217178633153568</v>
      </c>
      <c r="G1135">
        <v>0.12790126934267201</v>
      </c>
      <c r="H1135">
        <v>7.2679026303314506E-2</v>
      </c>
      <c r="I1135">
        <v>4.7335888739579599E-2</v>
      </c>
      <c r="J1135">
        <v>4.58582169832965E-2</v>
      </c>
      <c r="K1135">
        <v>3.8706839208176601E-2</v>
      </c>
      <c r="L1135">
        <v>813.00394045869803</v>
      </c>
      <c r="M1135">
        <v>16.923759983534499</v>
      </c>
      <c r="N1135">
        <v>48.293882393294403</v>
      </c>
      <c r="O1135">
        <v>47.383510201013102</v>
      </c>
      <c r="P1135">
        <v>-8.5484662751039497E-2</v>
      </c>
      <c r="Q1135">
        <v>4.2693061224110603E-2</v>
      </c>
      <c r="R1135">
        <v>0.99730530628963698</v>
      </c>
      <c r="S1135" t="s">
        <v>5875</v>
      </c>
      <c r="T1135" t="s">
        <v>9478</v>
      </c>
      <c r="U1135" t="s">
        <v>9478</v>
      </c>
      <c r="V1135" t="s">
        <v>9478</v>
      </c>
      <c r="W1135">
        <v>11</v>
      </c>
      <c r="X1135" t="s">
        <v>10613</v>
      </c>
      <c r="Y1135">
        <v>0.31850120020914768</v>
      </c>
      <c r="Z1135" t="str">
        <f>HYPERLINK("Melting_Curves/meltCurve_sp_P38919_IF4A3_HUMAN_.pdf", "Melting_Curves/meltCurve_sp_P38919_IF4A3_HUMAN_.pdf")</f>
        <v>Melting_Curves/meltCurve_sp_P38919_IF4A3_HUMAN_.pdf</v>
      </c>
      <c r="AA1135" t="s">
        <v>15332</v>
      </c>
      <c r="AB1135" t="s">
        <v>19970</v>
      </c>
    </row>
    <row r="1136" spans="1:28" x14ac:dyDescent="0.25">
      <c r="A1136" t="s">
        <v>1140</v>
      </c>
      <c r="B1136">
        <v>0.99904790336628502</v>
      </c>
      <c r="C1136">
        <v>1.0370853302104099</v>
      </c>
      <c r="D1136">
        <v>0.98876842211612803</v>
      </c>
      <c r="E1136">
        <v>0.992194292659346</v>
      </c>
      <c r="F1136">
        <v>1.00946924715304</v>
      </c>
      <c r="G1136">
        <v>0.86486735348365495</v>
      </c>
      <c r="H1136">
        <v>0.74217519084345995</v>
      </c>
      <c r="I1136">
        <v>0.72573032527118397</v>
      </c>
      <c r="J1136">
        <v>0.75488024679722399</v>
      </c>
      <c r="K1136">
        <v>0.62079730821965695</v>
      </c>
      <c r="L1136">
        <v>1605.8559856525701</v>
      </c>
      <c r="M1136">
        <v>27.735439858602099</v>
      </c>
      <c r="O1136">
        <v>57.6005819627633</v>
      </c>
      <c r="P1136">
        <v>-3.7666799271732297E-2</v>
      </c>
      <c r="Q1136">
        <v>0.68709921845428301</v>
      </c>
      <c r="R1136">
        <v>0.94418004386908605</v>
      </c>
      <c r="S1136" t="s">
        <v>5876</v>
      </c>
      <c r="T1136" t="s">
        <v>9478</v>
      </c>
      <c r="U1136" t="s">
        <v>9478</v>
      </c>
      <c r="V1136" t="s">
        <v>9478</v>
      </c>
      <c r="W1136">
        <v>13</v>
      </c>
      <c r="X1136" t="s">
        <v>10614</v>
      </c>
      <c r="Y1136">
        <v>0.87612920414286699</v>
      </c>
      <c r="Z1136" t="str">
        <f>HYPERLINK("Melting_Curves/meltCurve_sp_P39687_AN32A_HUMAN_.pdf", "Melting_Curves/meltCurve_sp_P39687_AN32A_HUMAN_.pdf")</f>
        <v>Melting_Curves/meltCurve_sp_P39687_AN32A_HUMAN_.pdf</v>
      </c>
      <c r="AA1136" t="s">
        <v>15333</v>
      </c>
      <c r="AB1136" t="s">
        <v>19971</v>
      </c>
    </row>
    <row r="1137" spans="1:28" x14ac:dyDescent="0.25">
      <c r="A1137" t="s">
        <v>1141</v>
      </c>
      <c r="B1137">
        <v>0.99904790336628502</v>
      </c>
      <c r="C1137">
        <v>0.88812862005994597</v>
      </c>
      <c r="D1137">
        <v>0.79715771655918499</v>
      </c>
      <c r="E1137">
        <v>0.29628213604905101</v>
      </c>
      <c r="F1137">
        <v>0.12594480753520301</v>
      </c>
      <c r="G1137">
        <v>6.6837272633098396E-2</v>
      </c>
      <c r="H1137">
        <v>4.0300830497405897E-2</v>
      </c>
      <c r="I1137">
        <v>2.5541417744530202E-2</v>
      </c>
      <c r="J1137">
        <v>2.5326224106081499E-2</v>
      </c>
      <c r="K1137">
        <v>1.8579203459929999E-2</v>
      </c>
      <c r="L1137">
        <v>1155.21938024224</v>
      </c>
      <c r="M1137">
        <v>23.9769286406829</v>
      </c>
      <c r="N1137">
        <v>48.292402468384999</v>
      </c>
      <c r="O1137">
        <v>47.849066376653802</v>
      </c>
      <c r="P1137">
        <v>-0.12188930048178</v>
      </c>
      <c r="Q1137">
        <v>2.7031979618211899E-2</v>
      </c>
      <c r="R1137">
        <v>0.995922055788102</v>
      </c>
      <c r="S1137" t="s">
        <v>5877</v>
      </c>
      <c r="T1137" t="s">
        <v>9478</v>
      </c>
      <c r="U1137" t="s">
        <v>9478</v>
      </c>
      <c r="V1137" t="s">
        <v>9478</v>
      </c>
      <c r="W1137">
        <v>9</v>
      </c>
      <c r="X1137" t="s">
        <v>10615</v>
      </c>
      <c r="Y1137">
        <v>0.30173408875962182</v>
      </c>
      <c r="Z1137" t="str">
        <f>HYPERLINK("Melting_Curves/meltCurve_sp_P39748_FEN1_HUMAN_.pdf", "Melting_Curves/meltCurve_sp_P39748_FEN1_HUMAN_.pdf")</f>
        <v>Melting_Curves/meltCurve_sp_P39748_FEN1_HUMAN_.pdf</v>
      </c>
      <c r="AA1137" t="s">
        <v>15334</v>
      </c>
      <c r="AB1137" t="s">
        <v>19972</v>
      </c>
    </row>
    <row r="1138" spans="1:28" x14ac:dyDescent="0.25">
      <c r="A1138" t="s">
        <v>1142</v>
      </c>
      <c r="B1138">
        <v>0.99904790336628502</v>
      </c>
      <c r="C1138">
        <v>0.913017767320355</v>
      </c>
      <c r="D1138">
        <v>0.98837372790241895</v>
      </c>
      <c r="E1138">
        <v>0.73951288135635396</v>
      </c>
      <c r="F1138">
        <v>0.31880913774572001</v>
      </c>
      <c r="G1138">
        <v>0.244065637060325</v>
      </c>
      <c r="H1138">
        <v>0.177839652935255</v>
      </c>
      <c r="I1138">
        <v>0.15358327638820601</v>
      </c>
      <c r="J1138">
        <v>0.144074097183438</v>
      </c>
      <c r="K1138">
        <v>0.12100396055101099</v>
      </c>
      <c r="L1138">
        <v>1815.8968706995399</v>
      </c>
      <c r="M1138">
        <v>35.568238596596501</v>
      </c>
      <c r="N1138">
        <v>51.615444497272399</v>
      </c>
      <c r="O1138">
        <v>50.893313067611203</v>
      </c>
      <c r="P1138">
        <v>-0.14668722723528699</v>
      </c>
      <c r="Q1138">
        <v>0.16044490420766799</v>
      </c>
      <c r="R1138">
        <v>0.98920355155013295</v>
      </c>
      <c r="S1138" t="s">
        <v>5878</v>
      </c>
      <c r="T1138" t="s">
        <v>9478</v>
      </c>
      <c r="U1138" t="s">
        <v>9478</v>
      </c>
      <c r="V1138" t="s">
        <v>9478</v>
      </c>
      <c r="W1138">
        <v>4</v>
      </c>
      <c r="X1138" t="s">
        <v>10616</v>
      </c>
      <c r="Y1138">
        <v>0.4735427680988033</v>
      </c>
      <c r="Z1138" t="str">
        <f>HYPERLINK("Melting_Curves/meltCurve_sp_P40123_CAP2_HUMAN_.pdf", "Melting_Curves/meltCurve_sp_P40123_CAP2_HUMAN_.pdf")</f>
        <v>Melting_Curves/meltCurve_sp_P40123_CAP2_HUMAN_.pdf</v>
      </c>
      <c r="AA1138" t="s">
        <v>15335</v>
      </c>
      <c r="AB1138" t="s">
        <v>19973</v>
      </c>
    </row>
    <row r="1139" spans="1:28" x14ac:dyDescent="0.25">
      <c r="A1139" t="s">
        <v>1143</v>
      </c>
      <c r="B1139">
        <v>0.99904790336628502</v>
      </c>
      <c r="C1139">
        <v>0.94511318956697998</v>
      </c>
      <c r="D1139">
        <v>0.93715629860510097</v>
      </c>
      <c r="E1139">
        <v>0.86065574577739101</v>
      </c>
      <c r="F1139">
        <v>0.77428019192369801</v>
      </c>
      <c r="G1139">
        <v>0.53555417703798702</v>
      </c>
      <c r="H1139">
        <v>0.42641069177150498</v>
      </c>
      <c r="I1139">
        <v>0.39613983469340502</v>
      </c>
      <c r="J1139">
        <v>0.397957308923507</v>
      </c>
      <c r="K1139">
        <v>0.348527586524782</v>
      </c>
      <c r="L1139">
        <v>841.77258152030197</v>
      </c>
      <c r="M1139">
        <v>15.4616420842935</v>
      </c>
      <c r="N1139">
        <v>58.686458355041999</v>
      </c>
      <c r="O1139">
        <v>53.556315768237504</v>
      </c>
      <c r="P1139">
        <v>-4.7888787635903297E-2</v>
      </c>
      <c r="Q1139">
        <v>0.336547319282056</v>
      </c>
      <c r="R1139">
        <v>0.99109014139312301</v>
      </c>
      <c r="S1139" t="s">
        <v>5879</v>
      </c>
      <c r="T1139" t="s">
        <v>9478</v>
      </c>
      <c r="U1139" t="s">
        <v>9478</v>
      </c>
      <c r="V1139" t="s">
        <v>9478</v>
      </c>
      <c r="W1139">
        <v>24</v>
      </c>
      <c r="X1139" t="s">
        <v>10617</v>
      </c>
      <c r="Y1139">
        <v>0.66874989958707354</v>
      </c>
      <c r="Z1139" t="str">
        <f>HYPERLINK("Melting_Curves/meltCurve_sp_P40222_TXLNA_HUMAN_.pdf", "Melting_Curves/meltCurve_sp_P40222_TXLNA_HUMAN_.pdf")</f>
        <v>Melting_Curves/meltCurve_sp_P40222_TXLNA_HUMAN_.pdf</v>
      </c>
      <c r="AA1139" t="s">
        <v>15336</v>
      </c>
      <c r="AB1139" t="s">
        <v>19974</v>
      </c>
    </row>
    <row r="1140" spans="1:28" x14ac:dyDescent="0.25">
      <c r="A1140" t="s">
        <v>1144</v>
      </c>
      <c r="B1140">
        <v>0.99904790336628502</v>
      </c>
      <c r="C1140">
        <v>1.10012569724495</v>
      </c>
      <c r="D1140">
        <v>1.1707189484326099</v>
      </c>
      <c r="E1140">
        <v>1.0276307129061599</v>
      </c>
      <c r="F1140">
        <v>0.78477080742246896</v>
      </c>
      <c r="G1140">
        <v>0.28018128996990199</v>
      </c>
      <c r="H1140">
        <v>8.7244780070050196E-2</v>
      </c>
      <c r="I1140">
        <v>6.4638405408666999E-2</v>
      </c>
      <c r="J1140">
        <v>4.8010992589517E-2</v>
      </c>
      <c r="K1140">
        <v>3.4886811736108803E-2</v>
      </c>
      <c r="L1140">
        <v>1908.9522795881301</v>
      </c>
      <c r="M1140">
        <v>34.665483233140897</v>
      </c>
      <c r="N1140">
        <v>55.231991904404502</v>
      </c>
      <c r="O1140">
        <v>54.885521222728798</v>
      </c>
      <c r="P1140">
        <v>-0.15016932743313699</v>
      </c>
      <c r="Q1140">
        <v>4.8956965342267102E-2</v>
      </c>
      <c r="R1140">
        <v>0.98040096873103799</v>
      </c>
      <c r="S1140" t="s">
        <v>5880</v>
      </c>
      <c r="T1140" t="s">
        <v>9478</v>
      </c>
      <c r="U1140" t="s">
        <v>9478</v>
      </c>
      <c r="V1140" t="s">
        <v>9478</v>
      </c>
      <c r="W1140">
        <v>21</v>
      </c>
      <c r="X1140" t="s">
        <v>10618</v>
      </c>
      <c r="Y1140">
        <v>0.5314098284037353</v>
      </c>
      <c r="Z1140" t="str">
        <f>HYPERLINK("Melting_Curves/meltCurve_sp_P40227_TCPZ_HUMAN_.pdf", "Melting_Curves/meltCurve_sp_P40227_TCPZ_HUMAN_.pdf")</f>
        <v>Melting_Curves/meltCurve_sp_P40227_TCPZ_HUMAN_.pdf</v>
      </c>
      <c r="AA1140" t="s">
        <v>15337</v>
      </c>
      <c r="AB1140" t="s">
        <v>19975</v>
      </c>
    </row>
    <row r="1141" spans="1:28" x14ac:dyDescent="0.25">
      <c r="A1141" t="s">
        <v>1145</v>
      </c>
      <c r="B1141">
        <v>0.99904790336628502</v>
      </c>
      <c r="C1141">
        <v>1.0934480322056801</v>
      </c>
      <c r="D1141">
        <v>1.0266574906908701</v>
      </c>
      <c r="E1141">
        <v>0.99567073871724698</v>
      </c>
      <c r="F1141">
        <v>0.88903107547494498</v>
      </c>
      <c r="G1141">
        <v>0.29284209726584798</v>
      </c>
      <c r="H1141">
        <v>8.5379245593923903E-2</v>
      </c>
      <c r="I1141">
        <v>5.8607091951853298E-2</v>
      </c>
      <c r="J1141">
        <v>4.45888301374135E-2</v>
      </c>
      <c r="K1141">
        <v>3.4782048289866599E-2</v>
      </c>
      <c r="L1141">
        <v>2302.8599628265401</v>
      </c>
      <c r="M1141">
        <v>41.4450277961</v>
      </c>
      <c r="N1141">
        <v>55.700436672808998</v>
      </c>
      <c r="O1141">
        <v>55.435312083695997</v>
      </c>
      <c r="P1141">
        <v>-0.17789866879335101</v>
      </c>
      <c r="Q1141">
        <v>4.8199431305639799E-2</v>
      </c>
      <c r="R1141">
        <v>0.99522752467476305</v>
      </c>
      <c r="S1141" t="s">
        <v>5881</v>
      </c>
      <c r="T1141" t="s">
        <v>9478</v>
      </c>
      <c r="U1141" t="s">
        <v>9478</v>
      </c>
      <c r="V1141" t="s">
        <v>9478</v>
      </c>
      <c r="W1141">
        <v>15</v>
      </c>
      <c r="X1141" t="s">
        <v>10619</v>
      </c>
      <c r="Y1141">
        <v>0.54539011254537495</v>
      </c>
      <c r="Z1141" t="str">
        <f>HYPERLINK("Melting_Curves/meltCurve_sp_P40261_NNMT_HUMAN_.pdf", "Melting_Curves/meltCurve_sp_P40261_NNMT_HUMAN_.pdf")</f>
        <v>Melting_Curves/meltCurve_sp_P40261_NNMT_HUMAN_.pdf</v>
      </c>
      <c r="AA1141" t="s">
        <v>15338</v>
      </c>
      <c r="AB1141" t="s">
        <v>19976</v>
      </c>
    </row>
    <row r="1142" spans="1:28" x14ac:dyDescent="0.25">
      <c r="A1142" t="s">
        <v>1146</v>
      </c>
      <c r="B1142">
        <v>0.99904790336628502</v>
      </c>
      <c r="C1142">
        <v>1.13415767585979</v>
      </c>
      <c r="D1142">
        <v>1.1539355029353699</v>
      </c>
      <c r="E1142">
        <v>1.1363108736849401</v>
      </c>
      <c r="F1142">
        <v>1.2982063452013199</v>
      </c>
      <c r="G1142">
        <v>0.93304459268696105</v>
      </c>
      <c r="H1142">
        <v>0.84961991090342504</v>
      </c>
      <c r="I1142">
        <v>1.0476299460857801</v>
      </c>
      <c r="J1142">
        <v>0.88790987058031301</v>
      </c>
      <c r="K1142">
        <v>0.53899090440611397</v>
      </c>
      <c r="L1142">
        <v>15000</v>
      </c>
      <c r="M1142">
        <v>222.74475302045099</v>
      </c>
      <c r="O1142">
        <v>67.336225239481195</v>
      </c>
      <c r="P1142">
        <v>-0.38132949518201598</v>
      </c>
      <c r="Q1142">
        <v>0.538893044755552</v>
      </c>
      <c r="R1142">
        <v>0.55757833609363805</v>
      </c>
      <c r="S1142" t="s">
        <v>5882</v>
      </c>
      <c r="T1142" t="s">
        <v>9478</v>
      </c>
      <c r="U1142" t="s">
        <v>9478</v>
      </c>
      <c r="V1142" t="s">
        <v>9478</v>
      </c>
      <c r="W1142">
        <v>5</v>
      </c>
      <c r="X1142" t="s">
        <v>10620</v>
      </c>
      <c r="Y1142">
        <v>0.95920817659162938</v>
      </c>
      <c r="Z1142" t="str">
        <f>HYPERLINK("Melting_Curves/meltCurve_sp_P40306_PSB10_HUMAN_.pdf", "Melting_Curves/meltCurve_sp_P40306_PSB10_HUMAN_.pdf")</f>
        <v>Melting_Curves/meltCurve_sp_P40306_PSB10_HUMAN_.pdf</v>
      </c>
      <c r="AA1142" t="s">
        <v>15339</v>
      </c>
      <c r="AB1142" t="s">
        <v>19977</v>
      </c>
    </row>
    <row r="1143" spans="1:28" x14ac:dyDescent="0.25">
      <c r="A1143" t="s">
        <v>1147</v>
      </c>
      <c r="B1143">
        <v>0.99904790336628502</v>
      </c>
      <c r="C1143">
        <v>0.60825513132064601</v>
      </c>
      <c r="D1143">
        <v>0.63103198165325203</v>
      </c>
      <c r="E1143">
        <v>0.83414523661422402</v>
      </c>
      <c r="F1143">
        <v>0.57995911309850601</v>
      </c>
      <c r="G1143">
        <v>0.49886770106866601</v>
      </c>
      <c r="H1143">
        <v>0.25518411818173298</v>
      </c>
      <c r="I1143">
        <v>0.14033887054227501</v>
      </c>
      <c r="J1143">
        <v>7.1348637451892905E-2</v>
      </c>
      <c r="K1143">
        <v>4.3166378229519999E-2</v>
      </c>
      <c r="L1143">
        <v>413.17726114683899</v>
      </c>
      <c r="M1143">
        <v>7.7405297909066197</v>
      </c>
      <c r="N1143">
        <v>53.3784210879979</v>
      </c>
      <c r="O1143">
        <v>50.166651960159399</v>
      </c>
      <c r="P1143">
        <v>-3.8623418644121103E-2</v>
      </c>
      <c r="Q1143">
        <v>0</v>
      </c>
      <c r="R1143">
        <v>0.81373051906397798</v>
      </c>
      <c r="S1143" t="s">
        <v>5883</v>
      </c>
      <c r="T1143" t="s">
        <v>9478</v>
      </c>
      <c r="U1143" t="s">
        <v>9478</v>
      </c>
      <c r="V1143" t="s">
        <v>9478</v>
      </c>
      <c r="W1143">
        <v>2</v>
      </c>
      <c r="X1143" t="s">
        <v>10621</v>
      </c>
      <c r="Y1143">
        <v>0.48491793412719209</v>
      </c>
      <c r="Z1143" t="str">
        <f>HYPERLINK("Melting_Curves/meltCurve_sp_P40394_ADH7_HUMAN_.pdf", "Melting_Curves/meltCurve_sp_P40394_ADH7_HUMAN_.pdf")</f>
        <v>Melting_Curves/meltCurve_sp_P40394_ADH7_HUMAN_.pdf</v>
      </c>
      <c r="AA1143" t="s">
        <v>15340</v>
      </c>
      <c r="AB1143" t="s">
        <v>19978</v>
      </c>
    </row>
    <row r="1144" spans="1:28" x14ac:dyDescent="0.25">
      <c r="A1144" t="s">
        <v>1148</v>
      </c>
      <c r="B1144">
        <v>0.99904790336628502</v>
      </c>
      <c r="C1144">
        <v>0.95548899730396697</v>
      </c>
      <c r="D1144">
        <v>1.0426529779073499</v>
      </c>
      <c r="E1144">
        <v>0.87845028933507996</v>
      </c>
      <c r="F1144">
        <v>0.47634556062737798</v>
      </c>
      <c r="G1144">
        <v>0.12168407164293001</v>
      </c>
      <c r="H1144">
        <v>5.7289084498799402E-2</v>
      </c>
      <c r="I1144">
        <v>3.9382938709537803E-2</v>
      </c>
      <c r="J1144">
        <v>3.41024512188235E-2</v>
      </c>
      <c r="K1144">
        <v>2.5387553072078E-2</v>
      </c>
      <c r="L1144">
        <v>1804.39971118115</v>
      </c>
      <c r="M1144">
        <v>34.193892820424999</v>
      </c>
      <c r="N1144">
        <v>52.892381966309998</v>
      </c>
      <c r="O1144">
        <v>52.590143435238197</v>
      </c>
      <c r="P1144">
        <v>-0.156349986060594</v>
      </c>
      <c r="Q1144">
        <v>3.8139794708158002E-2</v>
      </c>
      <c r="R1144">
        <v>0.99740533025799305</v>
      </c>
      <c r="S1144" t="s">
        <v>5884</v>
      </c>
      <c r="T1144" t="s">
        <v>9478</v>
      </c>
      <c r="U1144" t="s">
        <v>9478</v>
      </c>
      <c r="V1144" t="s">
        <v>9478</v>
      </c>
      <c r="W1144">
        <v>33</v>
      </c>
      <c r="X1144" t="s">
        <v>10622</v>
      </c>
      <c r="Y1144">
        <v>0.45235828093804742</v>
      </c>
      <c r="Z1144" t="str">
        <f>HYPERLINK("Melting_Curves/meltCurve_sp_P40763_2_STAT3_HUMAN_.pdf", "Melting_Curves/meltCurve_sp_P40763_2_STAT3_HUMAN_.pdf")</f>
        <v>Melting_Curves/meltCurve_sp_P40763_2_STAT3_HUMAN_.pdf</v>
      </c>
      <c r="AA1144" t="s">
        <v>15341</v>
      </c>
      <c r="AB1144" t="s">
        <v>19979</v>
      </c>
    </row>
    <row r="1145" spans="1:28" x14ac:dyDescent="0.25">
      <c r="A1145" t="s">
        <v>1149</v>
      </c>
      <c r="B1145">
        <v>0.99904790336628502</v>
      </c>
      <c r="C1145">
        <v>1.06689257877872</v>
      </c>
      <c r="D1145">
        <v>1.1420317316661499</v>
      </c>
      <c r="E1145">
        <v>0.87377049316098698</v>
      </c>
      <c r="F1145">
        <v>0.54888004326143403</v>
      </c>
      <c r="G1145">
        <v>0.24675771773312699</v>
      </c>
      <c r="H1145">
        <v>0.15308844691345</v>
      </c>
      <c r="I1145">
        <v>0.13881131252866499</v>
      </c>
      <c r="J1145">
        <v>0.11372719472816201</v>
      </c>
      <c r="K1145">
        <v>0.107976534378844</v>
      </c>
      <c r="L1145">
        <v>1608.0736298173699</v>
      </c>
      <c r="M1145">
        <v>30.340373515404199</v>
      </c>
      <c r="N1145">
        <v>53.5181377171021</v>
      </c>
      <c r="O1145">
        <v>52.772467495876</v>
      </c>
      <c r="P1145">
        <v>-0.125475245017522</v>
      </c>
      <c r="Q1145">
        <v>0.12702503195208401</v>
      </c>
      <c r="R1145">
        <v>0.98323572842729101</v>
      </c>
      <c r="S1145" t="s">
        <v>5885</v>
      </c>
      <c r="T1145" t="s">
        <v>9478</v>
      </c>
      <c r="U1145" t="s">
        <v>9478</v>
      </c>
      <c r="V1145" t="s">
        <v>9478</v>
      </c>
      <c r="W1145">
        <v>33</v>
      </c>
      <c r="X1145" t="s">
        <v>10623</v>
      </c>
      <c r="Y1145">
        <v>0.51088411598207328</v>
      </c>
      <c r="Z1145" t="str">
        <f>HYPERLINK("Melting_Curves/meltCurve_sp_P40763_STAT3_HUMAN_.pdf", "Melting_Curves/meltCurve_sp_P40763_STAT3_HUMAN_.pdf")</f>
        <v>Melting_Curves/meltCurve_sp_P40763_STAT3_HUMAN_.pdf</v>
      </c>
      <c r="AA1145" t="s">
        <v>15341</v>
      </c>
      <c r="AB1145" t="s">
        <v>19980</v>
      </c>
    </row>
    <row r="1146" spans="1:28" x14ac:dyDescent="0.25">
      <c r="A1146" t="s">
        <v>1150</v>
      </c>
      <c r="B1146">
        <v>0.99904790336628502</v>
      </c>
      <c r="C1146">
        <v>1.0071456367388001</v>
      </c>
      <c r="D1146">
        <v>0.99132729719157797</v>
      </c>
      <c r="E1146">
        <v>0.71177486853014604</v>
      </c>
      <c r="F1146">
        <v>0.32407829182500703</v>
      </c>
      <c r="G1146">
        <v>0.18629925038377701</v>
      </c>
      <c r="H1146">
        <v>0.13063023827557799</v>
      </c>
      <c r="I1146">
        <v>0.13069713172223901</v>
      </c>
      <c r="J1146">
        <v>0.11292165723983499</v>
      </c>
      <c r="K1146">
        <v>0.129469289585178</v>
      </c>
      <c r="L1146">
        <v>1683.39966150788</v>
      </c>
      <c r="M1146">
        <v>32.966386408887303</v>
      </c>
      <c r="N1146">
        <v>51.5360422014625</v>
      </c>
      <c r="O1146">
        <v>50.877324308231302</v>
      </c>
      <c r="P1146">
        <v>-0.140885193315753</v>
      </c>
      <c r="Q1146">
        <v>0.13028630296337901</v>
      </c>
      <c r="R1146">
        <v>0.99899977458600397</v>
      </c>
      <c r="S1146" t="s">
        <v>5886</v>
      </c>
      <c r="T1146" t="s">
        <v>9478</v>
      </c>
      <c r="U1146" t="s">
        <v>9478</v>
      </c>
      <c r="V1146" t="s">
        <v>9478</v>
      </c>
      <c r="W1146">
        <v>13</v>
      </c>
      <c r="X1146" t="s">
        <v>10624</v>
      </c>
      <c r="Y1146">
        <v>0.45557085759002008</v>
      </c>
      <c r="Z1146" t="str">
        <f>HYPERLINK("Melting_Curves/meltCurve_sp_P40818_UBP8_HUMAN_.pdf", "Melting_Curves/meltCurve_sp_P40818_UBP8_HUMAN_.pdf")</f>
        <v>Melting_Curves/meltCurve_sp_P40818_UBP8_HUMAN_.pdf</v>
      </c>
      <c r="AA1146" t="s">
        <v>15342</v>
      </c>
      <c r="AB1146" t="s">
        <v>19981</v>
      </c>
    </row>
    <row r="1147" spans="1:28" x14ac:dyDescent="0.25">
      <c r="A1147" t="s">
        <v>1151</v>
      </c>
      <c r="B1147">
        <v>0.99904790336628502</v>
      </c>
      <c r="C1147">
        <v>1.10178963765141</v>
      </c>
      <c r="D1147">
        <v>1.09703278947481</v>
      </c>
      <c r="E1147">
        <v>1.1080295656094299</v>
      </c>
      <c r="F1147">
        <v>1.1409836210493101</v>
      </c>
      <c r="G1147">
        <v>0.87728593360322904</v>
      </c>
      <c r="H1147">
        <v>0.20714750058571799</v>
      </c>
      <c r="I1147">
        <v>6.4791985148108105E-2</v>
      </c>
      <c r="J1147">
        <v>3.7402218747327201E-2</v>
      </c>
      <c r="K1147">
        <v>3.3218089093483297E-2</v>
      </c>
      <c r="L1147">
        <v>3073.8175230161801</v>
      </c>
      <c r="M1147">
        <v>51.9450871327765</v>
      </c>
      <c r="N1147">
        <v>59.264998137244604</v>
      </c>
      <c r="O1147">
        <v>59.086860236101799</v>
      </c>
      <c r="P1147">
        <v>-0.21139086106755201</v>
      </c>
      <c r="Q1147">
        <v>3.81833068927084E-2</v>
      </c>
      <c r="R1147">
        <v>0.97753284005168695</v>
      </c>
      <c r="S1147" t="s">
        <v>5887</v>
      </c>
      <c r="T1147" t="s">
        <v>9478</v>
      </c>
      <c r="U1147" t="s">
        <v>9478</v>
      </c>
      <c r="V1147" t="s">
        <v>9478</v>
      </c>
      <c r="W1147">
        <v>24</v>
      </c>
      <c r="X1147" t="s">
        <v>10625</v>
      </c>
      <c r="Y1147">
        <v>0.65523179687231115</v>
      </c>
      <c r="Z1147" t="str">
        <f>HYPERLINK("Melting_Curves/meltCurve_sp_P40925_MDHC_HUMAN_.pdf", "Melting_Curves/meltCurve_sp_P40925_MDHC_HUMAN_.pdf")</f>
        <v>Melting_Curves/meltCurve_sp_P40925_MDHC_HUMAN_.pdf</v>
      </c>
      <c r="AA1147" t="s">
        <v>15343</v>
      </c>
      <c r="AB1147" t="s">
        <v>19982</v>
      </c>
    </row>
    <row r="1148" spans="1:28" x14ac:dyDescent="0.25">
      <c r="A1148" t="s">
        <v>1152</v>
      </c>
      <c r="B1148">
        <v>0.99904790336628502</v>
      </c>
      <c r="C1148">
        <v>1.01547102451313</v>
      </c>
      <c r="D1148">
        <v>1.0077673977592401</v>
      </c>
      <c r="E1148">
        <v>1.0024577137666</v>
      </c>
      <c r="F1148">
        <v>1.03124383178707</v>
      </c>
      <c r="G1148">
        <v>0.80185586737304904</v>
      </c>
      <c r="H1148">
        <v>0.37946876789040201</v>
      </c>
      <c r="I1148">
        <v>7.4554800565542007E-2</v>
      </c>
      <c r="J1148">
        <v>4.0031709262100403E-2</v>
      </c>
      <c r="K1148">
        <v>3.4551310328462002E-2</v>
      </c>
      <c r="L1148">
        <v>1918.2489816776299</v>
      </c>
      <c r="M1148">
        <v>32.086881178175801</v>
      </c>
      <c r="N1148">
        <v>59.810802732603598</v>
      </c>
      <c r="O1148">
        <v>59.552204714645299</v>
      </c>
      <c r="P1148">
        <v>-0.13370307464483799</v>
      </c>
      <c r="Q1148">
        <v>7.4109096555793298E-3</v>
      </c>
      <c r="R1148">
        <v>0.99669277819880397</v>
      </c>
      <c r="S1148" t="s">
        <v>5888</v>
      </c>
      <c r="T1148" t="s">
        <v>9478</v>
      </c>
      <c r="U1148" t="s">
        <v>9478</v>
      </c>
      <c r="V1148" t="s">
        <v>9478</v>
      </c>
      <c r="W1148">
        <v>31</v>
      </c>
      <c r="X1148" t="s">
        <v>10626</v>
      </c>
      <c r="Y1148">
        <v>0.6675218873132498</v>
      </c>
      <c r="Z1148" t="str">
        <f>HYPERLINK("Melting_Curves/meltCurve_sp_P40926_MDHM_HUMAN_.pdf", "Melting_Curves/meltCurve_sp_P40926_MDHM_HUMAN_.pdf")</f>
        <v>Melting_Curves/meltCurve_sp_P40926_MDHM_HUMAN_.pdf</v>
      </c>
      <c r="AA1148" t="s">
        <v>15344</v>
      </c>
      <c r="AB1148" t="s">
        <v>19983</v>
      </c>
    </row>
    <row r="1149" spans="1:28" x14ac:dyDescent="0.25">
      <c r="A1149" t="s">
        <v>1153</v>
      </c>
      <c r="B1149">
        <v>0.99904790336628502</v>
      </c>
      <c r="C1149">
        <v>1.04039322828595</v>
      </c>
      <c r="D1149">
        <v>0.74901620356575205</v>
      </c>
      <c r="E1149">
        <v>0.56508728036619504</v>
      </c>
      <c r="F1149">
        <v>0.317773309596392</v>
      </c>
      <c r="G1149">
        <v>0.14244231640886101</v>
      </c>
      <c r="H1149">
        <v>4.4458075350791999E-2</v>
      </c>
      <c r="I1149">
        <v>2.7629024377980801E-2</v>
      </c>
      <c r="J1149">
        <v>2.1448454574155298E-2</v>
      </c>
      <c r="K1149">
        <v>1.6651964755229801E-2</v>
      </c>
      <c r="L1149">
        <v>810.24123488414796</v>
      </c>
      <c r="M1149">
        <v>16.0482021617645</v>
      </c>
      <c r="N1149">
        <v>50.487969790581303</v>
      </c>
      <c r="O1149">
        <v>49.7235553970879</v>
      </c>
      <c r="P1149">
        <v>-8.0693394182401498E-2</v>
      </c>
      <c r="Q1149">
        <v>0</v>
      </c>
      <c r="R1149">
        <v>0.98937371259264995</v>
      </c>
      <c r="S1149" t="s">
        <v>5889</v>
      </c>
      <c r="T1149" t="s">
        <v>9478</v>
      </c>
      <c r="U1149" t="s">
        <v>9478</v>
      </c>
      <c r="V1149" t="s">
        <v>9478</v>
      </c>
      <c r="W1149">
        <v>58</v>
      </c>
      <c r="X1149" t="s">
        <v>10627</v>
      </c>
      <c r="Y1149">
        <v>0.37047075127199591</v>
      </c>
      <c r="Z1149" t="str">
        <f>HYPERLINK("Melting_Curves/meltCurve_sp_P40939_ECHA_HUMAN_.pdf", "Melting_Curves/meltCurve_sp_P40939_ECHA_HUMAN_.pdf")</f>
        <v>Melting_Curves/meltCurve_sp_P40939_ECHA_HUMAN_.pdf</v>
      </c>
      <c r="AA1149" t="s">
        <v>15345</v>
      </c>
      <c r="AB1149" t="s">
        <v>19984</v>
      </c>
    </row>
    <row r="1150" spans="1:28" x14ac:dyDescent="0.25">
      <c r="A1150" t="s">
        <v>1154</v>
      </c>
      <c r="B1150">
        <v>0.99904790336628502</v>
      </c>
      <c r="C1150">
        <v>1.00646788237129</v>
      </c>
      <c r="D1150">
        <v>1.0637908963695799</v>
      </c>
      <c r="E1150">
        <v>1.0040208873849299</v>
      </c>
      <c r="F1150">
        <v>0.91684298684266197</v>
      </c>
      <c r="G1150">
        <v>0.49616963320998198</v>
      </c>
      <c r="H1150">
        <v>0.14115122630435101</v>
      </c>
      <c r="I1150">
        <v>8.3611095734912599E-2</v>
      </c>
      <c r="J1150">
        <v>5.5864908181057299E-2</v>
      </c>
      <c r="K1150">
        <v>4.1948806326082902E-2</v>
      </c>
      <c r="L1150">
        <v>1859.69434246894</v>
      </c>
      <c r="M1150">
        <v>32.739212268034102</v>
      </c>
      <c r="N1150">
        <v>56.9858930935779</v>
      </c>
      <c r="O1150">
        <v>56.5926005225013</v>
      </c>
      <c r="P1150">
        <v>-0.137424524888696</v>
      </c>
      <c r="Q1150">
        <v>4.98030091405103E-2</v>
      </c>
      <c r="R1150">
        <v>0.99757138740788798</v>
      </c>
      <c r="S1150" t="s">
        <v>5890</v>
      </c>
      <c r="T1150" t="s">
        <v>9478</v>
      </c>
      <c r="U1150" t="s">
        <v>9478</v>
      </c>
      <c r="V1150" t="s">
        <v>9478</v>
      </c>
      <c r="W1150">
        <v>21</v>
      </c>
      <c r="X1150" t="s">
        <v>10628</v>
      </c>
      <c r="Y1150">
        <v>0.58742364906549305</v>
      </c>
      <c r="Z1150" t="str">
        <f>HYPERLINK("Melting_Curves/meltCurve_sp_P41091_IF2G_HUMAN_.pdf", "Melting_Curves/meltCurve_sp_P41091_IF2G_HUMAN_.pdf")</f>
        <v>Melting_Curves/meltCurve_sp_P41091_IF2G_HUMAN_.pdf</v>
      </c>
      <c r="AA1150" t="s">
        <v>15346</v>
      </c>
      <c r="AB1150" t="s">
        <v>19985</v>
      </c>
    </row>
    <row r="1151" spans="1:28" x14ac:dyDescent="0.25">
      <c r="A1151" t="s">
        <v>1155</v>
      </c>
      <c r="B1151">
        <v>0.99904790336628502</v>
      </c>
      <c r="C1151">
        <v>0.95020713048162897</v>
      </c>
      <c r="D1151">
        <v>1.0254776185261401</v>
      </c>
      <c r="E1151">
        <v>0.86585823512149296</v>
      </c>
      <c r="F1151">
        <v>0.82549122690250998</v>
      </c>
      <c r="G1151">
        <v>0.55111626341191899</v>
      </c>
      <c r="H1151">
        <v>0.46940401560835099</v>
      </c>
      <c r="I1151">
        <v>0.47038228136822002</v>
      </c>
      <c r="J1151">
        <v>0.48859923455598098</v>
      </c>
      <c r="K1151">
        <v>0.53655034432180504</v>
      </c>
      <c r="L1151">
        <v>1391.3728893929199</v>
      </c>
      <c r="M1151">
        <v>25.9657972902301</v>
      </c>
      <c r="N1151">
        <v>61.467297801971803</v>
      </c>
      <c r="O1151">
        <v>53.270029619974899</v>
      </c>
      <c r="P1151">
        <v>-6.3111654784491503E-2</v>
      </c>
      <c r="Q1151">
        <v>0.48210007338191702</v>
      </c>
      <c r="R1151">
        <v>0.97044791719078904</v>
      </c>
      <c r="S1151" t="s">
        <v>5891</v>
      </c>
      <c r="T1151" t="s">
        <v>9478</v>
      </c>
      <c r="U1151" t="s">
        <v>9478</v>
      </c>
      <c r="V1151" t="s">
        <v>9478</v>
      </c>
      <c r="W1151">
        <v>1</v>
      </c>
      <c r="X1151" t="s">
        <v>10629</v>
      </c>
      <c r="Y1151">
        <v>0.72107906946245537</v>
      </c>
      <c r="Z1151" t="str">
        <f>HYPERLINK("Melting_Curves/meltCurve_sp_P41208_CETN2_HUMAN_.pdf", "Melting_Curves/meltCurve_sp_P41208_CETN2_HUMAN_.pdf")</f>
        <v>Melting_Curves/meltCurve_sp_P41208_CETN2_HUMAN_.pdf</v>
      </c>
      <c r="AA1151" t="s">
        <v>15347</v>
      </c>
      <c r="AB1151" t="s">
        <v>19986</v>
      </c>
    </row>
    <row r="1152" spans="1:28" x14ac:dyDescent="0.25">
      <c r="A1152" t="s">
        <v>1156</v>
      </c>
      <c r="B1152">
        <v>0.99904790336628502</v>
      </c>
      <c r="C1152">
        <v>0.92963082590132495</v>
      </c>
      <c r="D1152">
        <v>0.98616596662716205</v>
      </c>
      <c r="E1152">
        <v>0.97216077321619798</v>
      </c>
      <c r="F1152">
        <v>0.81863847245383403</v>
      </c>
      <c r="G1152">
        <v>0.36452860550273802</v>
      </c>
      <c r="H1152">
        <v>0.180750870826065</v>
      </c>
      <c r="I1152">
        <v>0.142590906625402</v>
      </c>
      <c r="J1152">
        <v>0.167624224142639</v>
      </c>
      <c r="K1152">
        <v>0.18675161983723201</v>
      </c>
      <c r="L1152">
        <v>1868.6988704479299</v>
      </c>
      <c r="M1152">
        <v>33.954288206175796</v>
      </c>
      <c r="N1152">
        <v>55.671177738079599</v>
      </c>
      <c r="O1152">
        <v>54.845874023702798</v>
      </c>
      <c r="P1152">
        <v>-0.129908119775416</v>
      </c>
      <c r="Q1152">
        <v>0.16064846411055</v>
      </c>
      <c r="R1152">
        <v>0.99531479045972104</v>
      </c>
      <c r="S1152" t="s">
        <v>5892</v>
      </c>
      <c r="T1152" t="s">
        <v>9478</v>
      </c>
      <c r="U1152" t="s">
        <v>9478</v>
      </c>
      <c r="V1152" t="s">
        <v>9478</v>
      </c>
      <c r="W1152">
        <v>3</v>
      </c>
      <c r="X1152" t="s">
        <v>10630</v>
      </c>
      <c r="Y1152">
        <v>0.58571593390363896</v>
      </c>
      <c r="Z1152" t="str">
        <f>HYPERLINK("Melting_Curves/meltCurve_sp_P41223_BUD31_HUMAN_.pdf", "Melting_Curves/meltCurve_sp_P41223_BUD31_HUMAN_.pdf")</f>
        <v>Melting_Curves/meltCurve_sp_P41223_BUD31_HUMAN_.pdf</v>
      </c>
      <c r="AA1152" t="s">
        <v>15348</v>
      </c>
      <c r="AB1152" t="s">
        <v>19987</v>
      </c>
    </row>
    <row r="1153" spans="1:28" x14ac:dyDescent="0.25">
      <c r="A1153" t="s">
        <v>1157</v>
      </c>
      <c r="B1153">
        <v>0.99904790336628502</v>
      </c>
      <c r="C1153">
        <v>0.94097849234518505</v>
      </c>
      <c r="D1153">
        <v>0.94313374202078004</v>
      </c>
      <c r="E1153">
        <v>0.55604719023517202</v>
      </c>
      <c r="F1153">
        <v>0.26076170945899002</v>
      </c>
      <c r="G1153">
        <v>0.124107861144912</v>
      </c>
      <c r="H1153">
        <v>6.2633267624106606E-2</v>
      </c>
      <c r="I1153">
        <v>4.3750132781655598E-2</v>
      </c>
      <c r="J1153">
        <v>4.4278806676701601E-2</v>
      </c>
      <c r="K1153">
        <v>4.2030946054530699E-2</v>
      </c>
      <c r="L1153">
        <v>1227.8458073634899</v>
      </c>
      <c r="M1153">
        <v>24.382319171467302</v>
      </c>
      <c r="N1153">
        <v>50.563348391345201</v>
      </c>
      <c r="O1153">
        <v>50.022965810342299</v>
      </c>
      <c r="P1153">
        <v>-0.116114338071184</v>
      </c>
      <c r="Q1153">
        <v>4.7129680587844898E-2</v>
      </c>
      <c r="R1153">
        <v>0.99759321939540802</v>
      </c>
      <c r="S1153" t="s">
        <v>5893</v>
      </c>
      <c r="T1153" t="s">
        <v>9478</v>
      </c>
      <c r="U1153" t="s">
        <v>9478</v>
      </c>
      <c r="V1153" t="s">
        <v>9478</v>
      </c>
      <c r="W1153">
        <v>13</v>
      </c>
      <c r="X1153" t="s">
        <v>10631</v>
      </c>
      <c r="Y1153">
        <v>0.38511057183119091</v>
      </c>
      <c r="Z1153" t="str">
        <f>HYPERLINK("Melting_Curves/meltCurve_sp_P41226_UBA7_HUMAN_.pdf", "Melting_Curves/meltCurve_sp_P41226_UBA7_HUMAN_.pdf")</f>
        <v>Melting_Curves/meltCurve_sp_P41226_UBA7_HUMAN_.pdf</v>
      </c>
      <c r="AA1153" t="s">
        <v>15349</v>
      </c>
      <c r="AB1153" t="s">
        <v>19988</v>
      </c>
    </row>
    <row r="1154" spans="1:28" x14ac:dyDescent="0.25">
      <c r="A1154" t="s">
        <v>1158</v>
      </c>
      <c r="B1154">
        <v>0.99904790336628502</v>
      </c>
      <c r="C1154">
        <v>0.96733268058691502</v>
      </c>
      <c r="D1154">
        <v>0.99271434054290097</v>
      </c>
      <c r="E1154">
        <v>0.87828702799553104</v>
      </c>
      <c r="F1154">
        <v>0.36535141561589202</v>
      </c>
      <c r="G1154">
        <v>0.14861591092537399</v>
      </c>
      <c r="H1154">
        <v>8.0796050586853504E-2</v>
      </c>
      <c r="I1154">
        <v>4.6641252025845598E-2</v>
      </c>
      <c r="J1154">
        <v>4.5452553151548003E-2</v>
      </c>
      <c r="K1154">
        <v>3.7229295714450099E-2</v>
      </c>
      <c r="L1154">
        <v>2139.0122687620401</v>
      </c>
      <c r="M1154">
        <v>41.023304364909301</v>
      </c>
      <c r="N1154">
        <v>52.3149031141187</v>
      </c>
      <c r="O1154">
        <v>52.0179527442804</v>
      </c>
      <c r="P1154">
        <v>-0.18461957817886701</v>
      </c>
      <c r="Q1154">
        <v>6.3604030637473205E-2</v>
      </c>
      <c r="R1154">
        <v>0.99636973313879695</v>
      </c>
      <c r="S1154" t="s">
        <v>5894</v>
      </c>
      <c r="T1154" t="s">
        <v>9478</v>
      </c>
      <c r="U1154" t="s">
        <v>9478</v>
      </c>
      <c r="V1154" t="s">
        <v>9478</v>
      </c>
      <c r="W1154">
        <v>6</v>
      </c>
      <c r="X1154" t="s">
        <v>10632</v>
      </c>
      <c r="Y1154">
        <v>0.44578184360121759</v>
      </c>
      <c r="Z1154" t="str">
        <f>HYPERLINK("Melting_Curves/meltCurve_sp_P41227_2_NAA10_HUMAN_.pdf", "Melting_Curves/meltCurve_sp_P41227_2_NAA10_HUMAN_.pdf")</f>
        <v>Melting_Curves/meltCurve_sp_P41227_2_NAA10_HUMAN_.pdf</v>
      </c>
      <c r="AA1154" t="s">
        <v>15350</v>
      </c>
      <c r="AB1154" t="s">
        <v>19989</v>
      </c>
    </row>
    <row r="1155" spans="1:28" x14ac:dyDescent="0.25">
      <c r="A1155" t="s">
        <v>1159</v>
      </c>
      <c r="B1155">
        <v>0.99904790336628502</v>
      </c>
      <c r="C1155">
        <v>0.71725879642041601</v>
      </c>
      <c r="D1155">
        <v>0.78904618712897201</v>
      </c>
      <c r="E1155">
        <v>0.73135727913458703</v>
      </c>
      <c r="F1155">
        <v>0.37448911391533801</v>
      </c>
      <c r="G1155">
        <v>0.12869990892633801</v>
      </c>
      <c r="H1155">
        <v>9.0876182984825193E-2</v>
      </c>
      <c r="I1155">
        <v>0</v>
      </c>
      <c r="J1155">
        <v>0</v>
      </c>
      <c r="K1155">
        <v>0</v>
      </c>
      <c r="L1155">
        <v>719.49226001375996</v>
      </c>
      <c r="M1155">
        <v>14.049463087727201</v>
      </c>
      <c r="N1155">
        <v>51.211370586772198</v>
      </c>
      <c r="O1155">
        <v>50.207350156789303</v>
      </c>
      <c r="P1155">
        <v>-6.9966364567339207E-2</v>
      </c>
      <c r="Q1155">
        <v>0</v>
      </c>
      <c r="R1155">
        <v>0.94013675782290496</v>
      </c>
      <c r="S1155" t="s">
        <v>5895</v>
      </c>
      <c r="T1155" t="s">
        <v>9478</v>
      </c>
      <c r="U1155" t="s">
        <v>9478</v>
      </c>
      <c r="V1155" t="s">
        <v>9478</v>
      </c>
      <c r="W1155">
        <v>3</v>
      </c>
      <c r="X1155" t="s">
        <v>10633</v>
      </c>
      <c r="Y1155">
        <v>0.39919087615469367</v>
      </c>
      <c r="Z1155" t="str">
        <f>HYPERLINK("Melting_Curves/meltCurve_sp_P41235_7_HNF4A_HUMAN_.pdf", "Melting_Curves/meltCurve_sp_P41235_7_HNF4A_HUMAN_.pdf")</f>
        <v>Melting_Curves/meltCurve_sp_P41235_7_HNF4A_HUMAN_.pdf</v>
      </c>
      <c r="AA1155" t="s">
        <v>15351</v>
      </c>
      <c r="AB1155" t="s">
        <v>19990</v>
      </c>
    </row>
    <row r="1156" spans="1:28" x14ac:dyDescent="0.25">
      <c r="A1156" t="s">
        <v>1160</v>
      </c>
      <c r="B1156">
        <v>0.99904790336628502</v>
      </c>
      <c r="C1156">
        <v>1.0369832928427201</v>
      </c>
      <c r="D1156">
        <v>0.981275838595422</v>
      </c>
      <c r="E1156">
        <v>1.0100633164447399</v>
      </c>
      <c r="F1156">
        <v>1.1565370742721299</v>
      </c>
      <c r="G1156">
        <v>0.772785912645366</v>
      </c>
      <c r="H1156">
        <v>0.74118977840894795</v>
      </c>
      <c r="I1156">
        <v>0.87129763980442498</v>
      </c>
      <c r="J1156">
        <v>0.87715793205808701</v>
      </c>
      <c r="K1156">
        <v>1.00841921379175</v>
      </c>
      <c r="L1156">
        <v>2802.9873896962799</v>
      </c>
      <c r="M1156">
        <v>50.737143156485203</v>
      </c>
      <c r="O1156">
        <v>55.159653131214398</v>
      </c>
      <c r="P1156">
        <v>-3.2959048953281403E-2</v>
      </c>
      <c r="Q1156">
        <v>0.85667239881350099</v>
      </c>
      <c r="R1156">
        <v>0.45323390869827901</v>
      </c>
      <c r="S1156" t="s">
        <v>5896</v>
      </c>
      <c r="T1156" t="s">
        <v>9478</v>
      </c>
      <c r="U1156" t="s">
        <v>9478</v>
      </c>
      <c r="V1156" t="s">
        <v>9478</v>
      </c>
      <c r="W1156">
        <v>9</v>
      </c>
      <c r="X1156" t="s">
        <v>10634</v>
      </c>
      <c r="Y1156">
        <v>0.92984696269935641</v>
      </c>
      <c r="Z1156" t="str">
        <f>HYPERLINK("Melting_Curves/meltCurve_sp_P41236_IPP2_HUMAN_.pdf", "Melting_Curves/meltCurve_sp_P41236_IPP2_HUMAN_.pdf")</f>
        <v>Melting_Curves/meltCurve_sp_P41236_IPP2_HUMAN_.pdf</v>
      </c>
      <c r="AA1156" t="s">
        <v>15352</v>
      </c>
      <c r="AB1156" t="s">
        <v>19991</v>
      </c>
    </row>
    <row r="1157" spans="1:28" x14ac:dyDescent="0.25">
      <c r="A1157" t="s">
        <v>1161</v>
      </c>
      <c r="B1157">
        <v>0.99904790336628502</v>
      </c>
      <c r="C1157">
        <v>0.89931722913224699</v>
      </c>
      <c r="D1157">
        <v>0.81651579955697595</v>
      </c>
      <c r="E1157">
        <v>0.50149669052928403</v>
      </c>
      <c r="F1157">
        <v>0.18668448079104299</v>
      </c>
      <c r="G1157">
        <v>0.10958537612322899</v>
      </c>
      <c r="H1157">
        <v>6.9541944206420597E-2</v>
      </c>
      <c r="I1157">
        <v>5.1844618817260602E-2</v>
      </c>
      <c r="J1157">
        <v>4.3490783962363902E-2</v>
      </c>
      <c r="K1157">
        <v>3.49370196021076E-2</v>
      </c>
      <c r="L1157">
        <v>962.23148589638197</v>
      </c>
      <c r="M1157">
        <v>19.4803850606447</v>
      </c>
      <c r="N1157">
        <v>49.583219186985701</v>
      </c>
      <c r="O1157">
        <v>48.883186737655997</v>
      </c>
      <c r="P1157">
        <v>-9.6077953807046895E-2</v>
      </c>
      <c r="Q1157">
        <v>3.5659998572835597E-2</v>
      </c>
      <c r="R1157">
        <v>0.99477572256119795</v>
      </c>
      <c r="S1157" t="s">
        <v>5897</v>
      </c>
      <c r="T1157" t="s">
        <v>9478</v>
      </c>
      <c r="U1157" t="s">
        <v>9478</v>
      </c>
      <c r="V1157" t="s">
        <v>9478</v>
      </c>
      <c r="W1157">
        <v>16</v>
      </c>
      <c r="X1157" t="s">
        <v>10635</v>
      </c>
      <c r="Y1157">
        <v>0.35184800390477061</v>
      </c>
      <c r="Z1157" t="str">
        <f>HYPERLINK("Melting_Curves/meltCurve_sp_P41240_CSK_HUMAN_.pdf", "Melting_Curves/meltCurve_sp_P41240_CSK_HUMAN_.pdf")</f>
        <v>Melting_Curves/meltCurve_sp_P41240_CSK_HUMAN_.pdf</v>
      </c>
      <c r="AA1157" t="s">
        <v>15353</v>
      </c>
      <c r="AB1157" t="s">
        <v>19992</v>
      </c>
    </row>
    <row r="1158" spans="1:28" x14ac:dyDescent="0.25">
      <c r="A1158" t="s">
        <v>1162</v>
      </c>
      <c r="B1158">
        <v>0.99904790336628502</v>
      </c>
      <c r="C1158">
        <v>1.02734097199833</v>
      </c>
      <c r="D1158">
        <v>0.94605011289663299</v>
      </c>
      <c r="E1158">
        <v>0.80751005399176001</v>
      </c>
      <c r="F1158">
        <v>0.70176897398791904</v>
      </c>
      <c r="G1158">
        <v>0.57929373592100897</v>
      </c>
      <c r="H1158">
        <v>0.42350477091760702</v>
      </c>
      <c r="I1158">
        <v>0.19512756138981499</v>
      </c>
      <c r="J1158">
        <v>4.6656499392413703E-2</v>
      </c>
      <c r="K1158">
        <v>3.8017320621073998E-2</v>
      </c>
      <c r="L1158">
        <v>729.06822021070104</v>
      </c>
      <c r="M1158">
        <v>12.684727577763599</v>
      </c>
      <c r="N1158">
        <v>57.476088357508203</v>
      </c>
      <c r="O1158">
        <v>56.1037343875999</v>
      </c>
      <c r="P1158">
        <v>-5.6534531333434002E-2</v>
      </c>
      <c r="Q1158">
        <v>0</v>
      </c>
      <c r="R1158">
        <v>0.97542512148538996</v>
      </c>
      <c r="S1158" t="s">
        <v>5898</v>
      </c>
      <c r="T1158" t="s">
        <v>9478</v>
      </c>
      <c r="U1158" t="s">
        <v>9478</v>
      </c>
      <c r="V1158" t="s">
        <v>9478</v>
      </c>
      <c r="W1158">
        <v>28</v>
      </c>
      <c r="X1158" t="s">
        <v>10636</v>
      </c>
      <c r="Y1158">
        <v>0.59766157286756794</v>
      </c>
      <c r="Z1158" t="str">
        <f>HYPERLINK("Melting_Curves/meltCurve_sp_P41250_SYG_HUMAN_.pdf", "Melting_Curves/meltCurve_sp_P41250_SYG_HUMAN_.pdf")</f>
        <v>Melting_Curves/meltCurve_sp_P41250_SYG_HUMAN_.pdf</v>
      </c>
      <c r="AA1158" t="s">
        <v>15354</v>
      </c>
      <c r="AB1158" t="s">
        <v>19993</v>
      </c>
    </row>
    <row r="1159" spans="1:28" x14ac:dyDescent="0.25">
      <c r="A1159" t="s">
        <v>1163</v>
      </c>
      <c r="B1159">
        <v>0.99904790336628502</v>
      </c>
      <c r="C1159">
        <v>0.91883168351168898</v>
      </c>
      <c r="D1159">
        <v>0.54637312526104198</v>
      </c>
      <c r="E1159">
        <v>0.234391346657425</v>
      </c>
      <c r="F1159">
        <v>0.13206133594258601</v>
      </c>
      <c r="G1159">
        <v>8.1093413803912801E-2</v>
      </c>
      <c r="H1159">
        <v>6.17995138897404E-2</v>
      </c>
      <c r="I1159">
        <v>4.3011994155314898E-2</v>
      </c>
      <c r="J1159">
        <v>3.8587936415286898E-2</v>
      </c>
      <c r="K1159">
        <v>3.0916258535363499E-2</v>
      </c>
      <c r="L1159">
        <v>1048.1681974754199</v>
      </c>
      <c r="M1159">
        <v>22.5340525830436</v>
      </c>
      <c r="N1159">
        <v>46.7422795912398</v>
      </c>
      <c r="O1159">
        <v>46.153194269899302</v>
      </c>
      <c r="P1159">
        <v>-0.115726006503379</v>
      </c>
      <c r="Q1159">
        <v>5.1921136803337098E-2</v>
      </c>
      <c r="R1159">
        <v>0.99547202220818298</v>
      </c>
      <c r="S1159" t="s">
        <v>5899</v>
      </c>
      <c r="T1159" t="s">
        <v>9478</v>
      </c>
      <c r="U1159" t="s">
        <v>9478</v>
      </c>
      <c r="V1159" t="s">
        <v>9478</v>
      </c>
      <c r="W1159">
        <v>15</v>
      </c>
      <c r="X1159" t="s">
        <v>10637</v>
      </c>
      <c r="Y1159">
        <v>0.26864832274571759</v>
      </c>
      <c r="Z1159" t="str">
        <f>HYPERLINK("Melting_Curves/meltCurve_sp_P41252_SYIC_HUMAN_.pdf", "Melting_Curves/meltCurve_sp_P41252_SYIC_HUMAN_.pdf")</f>
        <v>Melting_Curves/meltCurve_sp_P41252_SYIC_HUMAN_.pdf</v>
      </c>
      <c r="AA1159" t="s">
        <v>15355</v>
      </c>
      <c r="AB1159" t="s">
        <v>19994</v>
      </c>
    </row>
    <row r="1160" spans="1:28" x14ac:dyDescent="0.25">
      <c r="A1160" t="s">
        <v>1164</v>
      </c>
      <c r="B1160">
        <v>0.99904790336628502</v>
      </c>
      <c r="C1160">
        <v>0.925549344582142</v>
      </c>
      <c r="D1160">
        <v>0.89783318672765899</v>
      </c>
      <c r="E1160">
        <v>0.86654099182231603</v>
      </c>
      <c r="F1160">
        <v>0.81865353925597595</v>
      </c>
      <c r="G1160">
        <v>0.62480153898933</v>
      </c>
      <c r="H1160">
        <v>0.54182900731528205</v>
      </c>
      <c r="I1160">
        <v>0.44967043906799797</v>
      </c>
      <c r="J1160">
        <v>0.45317470650105501</v>
      </c>
      <c r="K1160">
        <v>0.48896717932365702</v>
      </c>
      <c r="L1160">
        <v>624.28966687367597</v>
      </c>
      <c r="M1160">
        <v>11.3103634478266</v>
      </c>
      <c r="N1160">
        <v>63.754694781259403</v>
      </c>
      <c r="O1160">
        <v>53.555217438296303</v>
      </c>
      <c r="P1160">
        <v>-3.21921214728434E-2</v>
      </c>
      <c r="Q1160">
        <v>0.39045858937347799</v>
      </c>
      <c r="R1160">
        <v>0.97022189068973896</v>
      </c>
      <c r="S1160" t="s">
        <v>5900</v>
      </c>
      <c r="T1160" t="s">
        <v>9478</v>
      </c>
      <c r="U1160" t="s">
        <v>9478</v>
      </c>
      <c r="V1160" t="s">
        <v>9478</v>
      </c>
      <c r="W1160">
        <v>8</v>
      </c>
      <c r="X1160" t="s">
        <v>10638</v>
      </c>
      <c r="Y1160">
        <v>0.71365730386016146</v>
      </c>
      <c r="Z1160" t="str">
        <f>HYPERLINK("Melting_Curves/meltCurve_sp_P41567_EIF1_HUMAN_.pdf", "Melting_Curves/meltCurve_sp_P41567_EIF1_HUMAN_.pdf")</f>
        <v>Melting_Curves/meltCurve_sp_P41567_EIF1_HUMAN_.pdf</v>
      </c>
      <c r="AA1160" t="s">
        <v>15356</v>
      </c>
      <c r="AB1160" t="s">
        <v>19995</v>
      </c>
    </row>
    <row r="1161" spans="1:28" x14ac:dyDescent="0.25">
      <c r="A1161" t="s">
        <v>1165</v>
      </c>
      <c r="B1161">
        <v>0.99904790336628502</v>
      </c>
      <c r="C1161">
        <v>1.02615857021219</v>
      </c>
      <c r="D1161">
        <v>0.92080343288657296</v>
      </c>
      <c r="E1161">
        <v>0.77282320892677203</v>
      </c>
      <c r="F1161">
        <v>0.63148255997519198</v>
      </c>
      <c r="G1161">
        <v>0.30353209622117999</v>
      </c>
      <c r="H1161">
        <v>0.21522515037720499</v>
      </c>
      <c r="I1161">
        <v>5.4442641006758802E-2</v>
      </c>
      <c r="J1161">
        <v>2.9266257751127601E-2</v>
      </c>
      <c r="K1161">
        <v>0</v>
      </c>
      <c r="L1161">
        <v>847.18600085432399</v>
      </c>
      <c r="M1161">
        <v>15.5733743203649</v>
      </c>
      <c r="N1161">
        <v>54.3996429127574</v>
      </c>
      <c r="O1161">
        <v>53.526346924617101</v>
      </c>
      <c r="P1161">
        <v>-7.2743300100512304E-2</v>
      </c>
      <c r="Q1161">
        <v>0</v>
      </c>
      <c r="R1161">
        <v>0.99340346477960195</v>
      </c>
      <c r="S1161" t="s">
        <v>5901</v>
      </c>
      <c r="T1161" t="s">
        <v>9478</v>
      </c>
      <c r="U1161" t="s">
        <v>9478</v>
      </c>
      <c r="V1161" t="s">
        <v>9478</v>
      </c>
      <c r="W1161">
        <v>2</v>
      </c>
      <c r="X1161" t="s">
        <v>10639</v>
      </c>
      <c r="Y1161">
        <v>0.49916103132979939</v>
      </c>
      <c r="Z1161" t="str">
        <f>HYPERLINK("Melting_Curves/meltCurve_sp_P41743_KPCI_HUMAN_.pdf", "Melting_Curves/meltCurve_sp_P41743_KPCI_HUMAN_.pdf")</f>
        <v>Melting_Curves/meltCurve_sp_P41743_KPCI_HUMAN_.pdf</v>
      </c>
      <c r="AA1161" t="s">
        <v>15357</v>
      </c>
      <c r="AB1161" t="s">
        <v>19996</v>
      </c>
    </row>
    <row r="1162" spans="1:28" x14ac:dyDescent="0.25">
      <c r="A1162" t="s">
        <v>1166</v>
      </c>
      <c r="B1162">
        <v>0.99904790336628502</v>
      </c>
      <c r="C1162">
        <v>0.96699516667664898</v>
      </c>
      <c r="D1162">
        <v>1.0072385610567101</v>
      </c>
      <c r="E1162">
        <v>0.91969283691424397</v>
      </c>
      <c r="F1162">
        <v>0.57228869404331895</v>
      </c>
      <c r="G1162">
        <v>0.27560149417912599</v>
      </c>
      <c r="H1162">
        <v>0.10306010270249601</v>
      </c>
      <c r="I1162">
        <v>6.9252983377962804E-2</v>
      </c>
      <c r="J1162">
        <v>5.1048341044753302E-2</v>
      </c>
      <c r="K1162">
        <v>4.0472522569267498E-2</v>
      </c>
      <c r="L1162">
        <v>1311.3425192856901</v>
      </c>
      <c r="M1162">
        <v>24.349540039000999</v>
      </c>
      <c r="N1162">
        <v>54.0808049300853</v>
      </c>
      <c r="O1162">
        <v>53.495634331241</v>
      </c>
      <c r="P1162">
        <v>-0.108291823934706</v>
      </c>
      <c r="Q1162">
        <v>4.8351332901207397E-2</v>
      </c>
      <c r="R1162">
        <v>0.99614745118577597</v>
      </c>
      <c r="S1162" t="s">
        <v>5902</v>
      </c>
      <c r="T1162" t="s">
        <v>9478</v>
      </c>
      <c r="U1162" t="s">
        <v>9478</v>
      </c>
      <c r="V1162" t="s">
        <v>9478</v>
      </c>
      <c r="W1162">
        <v>12</v>
      </c>
      <c r="X1162" t="s">
        <v>10640</v>
      </c>
      <c r="Y1162">
        <v>0.49708686753271131</v>
      </c>
      <c r="Z1162" t="str">
        <f>HYPERLINK("Melting_Curves/meltCurve_sp_P42025_ACTY_HUMAN_.pdf", "Melting_Curves/meltCurve_sp_P42025_ACTY_HUMAN_.pdf")</f>
        <v>Melting_Curves/meltCurve_sp_P42025_ACTY_HUMAN_.pdf</v>
      </c>
      <c r="AA1162" t="s">
        <v>15358</v>
      </c>
      <c r="AB1162" t="s">
        <v>19997</v>
      </c>
    </row>
    <row r="1163" spans="1:28" x14ac:dyDescent="0.25">
      <c r="A1163" t="s">
        <v>1167</v>
      </c>
      <c r="B1163">
        <v>0.99904790336628502</v>
      </c>
      <c r="C1163">
        <v>1.18787139984431</v>
      </c>
      <c r="D1163">
        <v>1.23357236085775</v>
      </c>
      <c r="E1163">
        <v>1.26046558706628</v>
      </c>
      <c r="F1163">
        <v>0.93542766151324797</v>
      </c>
      <c r="G1163">
        <v>1.09288786988717</v>
      </c>
      <c r="H1163">
        <v>0.63179202782831101</v>
      </c>
      <c r="I1163">
        <v>0.50461620857101197</v>
      </c>
      <c r="J1163">
        <v>0.40757726221024898</v>
      </c>
      <c r="K1163">
        <v>0.27838260739669601</v>
      </c>
      <c r="L1163">
        <v>2474.50186325511</v>
      </c>
      <c r="M1163">
        <v>40.472828975015702</v>
      </c>
      <c r="N1163">
        <v>62.998829541368998</v>
      </c>
      <c r="O1163">
        <v>60.991135354432103</v>
      </c>
      <c r="P1163">
        <v>-0.108074959896136</v>
      </c>
      <c r="Q1163">
        <v>0.34854057538168398</v>
      </c>
      <c r="R1163">
        <v>0.84091231857844995</v>
      </c>
      <c r="S1163" t="s">
        <v>5903</v>
      </c>
      <c r="T1163" t="s">
        <v>9478</v>
      </c>
      <c r="U1163" t="s">
        <v>9478</v>
      </c>
      <c r="V1163" t="s">
        <v>9478</v>
      </c>
      <c r="W1163">
        <v>12</v>
      </c>
      <c r="X1163" t="s">
        <v>10641</v>
      </c>
      <c r="Y1163">
        <v>0.8100166902798106</v>
      </c>
      <c r="Z1163" t="str">
        <f>HYPERLINK("Melting_Curves/meltCurve_sp_P42126_2_ECI1_HUMAN_.pdf", "Melting_Curves/meltCurve_sp_P42126_2_ECI1_HUMAN_.pdf")</f>
        <v>Melting_Curves/meltCurve_sp_P42126_2_ECI1_HUMAN_.pdf</v>
      </c>
      <c r="AA1163" t="s">
        <v>15359</v>
      </c>
      <c r="AB1163" t="s">
        <v>19998</v>
      </c>
    </row>
    <row r="1164" spans="1:28" x14ac:dyDescent="0.25">
      <c r="A1164" t="s">
        <v>1168</v>
      </c>
      <c r="B1164">
        <v>0.99904790336628502</v>
      </c>
      <c r="C1164">
        <v>1.0022985907925499</v>
      </c>
      <c r="D1164">
        <v>0.98562794732055603</v>
      </c>
      <c r="E1164">
        <v>0.89377533538809395</v>
      </c>
      <c r="F1164">
        <v>0.92275593508767895</v>
      </c>
      <c r="G1164">
        <v>0.68175349633976101</v>
      </c>
      <c r="H1164">
        <v>0.53723706568024399</v>
      </c>
      <c r="I1164">
        <v>0.50530842565964895</v>
      </c>
      <c r="J1164">
        <v>0.49811673455005201</v>
      </c>
      <c r="K1164">
        <v>0.51971290234400502</v>
      </c>
      <c r="L1164">
        <v>1306.3475208206901</v>
      </c>
      <c r="M1164">
        <v>23.4217917053017</v>
      </c>
      <c r="N1164">
        <v>67.642491312140805</v>
      </c>
      <c r="O1164">
        <v>55.373066969660499</v>
      </c>
      <c r="P1164">
        <v>-5.3741810030696197E-2</v>
      </c>
      <c r="Q1164">
        <v>0.49179005165856998</v>
      </c>
      <c r="R1164">
        <v>0.98251697470344401</v>
      </c>
      <c r="S1164" t="s">
        <v>5904</v>
      </c>
      <c r="T1164" t="s">
        <v>9478</v>
      </c>
      <c r="U1164" t="s">
        <v>9478</v>
      </c>
      <c r="V1164" t="s">
        <v>9478</v>
      </c>
      <c r="W1164">
        <v>19</v>
      </c>
      <c r="X1164" t="s">
        <v>10642</v>
      </c>
      <c r="Y1164">
        <v>0.76422917991147965</v>
      </c>
      <c r="Z1164" t="str">
        <f>HYPERLINK("Melting_Curves/meltCurve_sp_P42166_LAP2A_HUMAN_.pdf", "Melting_Curves/meltCurve_sp_P42166_LAP2A_HUMAN_.pdf")</f>
        <v>Melting_Curves/meltCurve_sp_P42166_LAP2A_HUMAN_.pdf</v>
      </c>
      <c r="AA1164" t="s">
        <v>15360</v>
      </c>
      <c r="AB1164" t="s">
        <v>19999</v>
      </c>
    </row>
    <row r="1165" spans="1:28" x14ac:dyDescent="0.25">
      <c r="A1165" t="s">
        <v>1169</v>
      </c>
      <c r="B1165">
        <v>0.99904790336628502</v>
      </c>
      <c r="C1165">
        <v>0.94192627312864896</v>
      </c>
      <c r="D1165">
        <v>0.86969106928503903</v>
      </c>
      <c r="E1165">
        <v>0.83675971653181502</v>
      </c>
      <c r="F1165">
        <v>0.74838651947700596</v>
      </c>
      <c r="G1165">
        <v>0.73433470612280205</v>
      </c>
      <c r="H1165">
        <v>0.63508947784881897</v>
      </c>
      <c r="I1165">
        <v>0.71740658048543704</v>
      </c>
      <c r="J1165">
        <v>0.91593631255772201</v>
      </c>
      <c r="K1165">
        <v>0.97119865851762099</v>
      </c>
      <c r="L1165">
        <v>1123.3754571212501</v>
      </c>
      <c r="M1165">
        <v>24.994254788542602</v>
      </c>
      <c r="O1165">
        <v>44.660598694888101</v>
      </c>
      <c r="P1165">
        <v>-2.9239993405063901E-2</v>
      </c>
      <c r="Q1165">
        <v>0.79101468878182002</v>
      </c>
      <c r="R1165">
        <v>0.37863331918327697</v>
      </c>
      <c r="S1165" t="s">
        <v>5905</v>
      </c>
      <c r="T1165" t="s">
        <v>9478</v>
      </c>
      <c r="U1165" t="s">
        <v>9478</v>
      </c>
      <c r="V1165" t="s">
        <v>9478</v>
      </c>
      <c r="W1165">
        <v>17</v>
      </c>
      <c r="X1165" t="s">
        <v>10643</v>
      </c>
      <c r="Y1165">
        <v>0.82756024259548944</v>
      </c>
      <c r="Z1165" t="str">
        <f>HYPERLINK("Melting_Curves/meltCurve_sp_P42167_LAP2B_HUMAN_.pdf", "Melting_Curves/meltCurve_sp_P42167_LAP2B_HUMAN_.pdf")</f>
        <v>Melting_Curves/meltCurve_sp_P42167_LAP2B_HUMAN_.pdf</v>
      </c>
      <c r="AA1165" t="s">
        <v>15360</v>
      </c>
      <c r="AB1165" t="s">
        <v>20000</v>
      </c>
    </row>
    <row r="1166" spans="1:28" x14ac:dyDescent="0.25">
      <c r="A1166" t="s">
        <v>1170</v>
      </c>
      <c r="B1166">
        <v>0.99904790336628502</v>
      </c>
      <c r="C1166">
        <v>1.02498539159952</v>
      </c>
      <c r="D1166">
        <v>0.96577660408113997</v>
      </c>
      <c r="E1166">
        <v>0.32197642626602901</v>
      </c>
      <c r="F1166">
        <v>0.143640333976087</v>
      </c>
      <c r="G1166">
        <v>7.7589407364980503E-2</v>
      </c>
      <c r="H1166">
        <v>4.7632374831787297E-2</v>
      </c>
      <c r="I1166">
        <v>3.6574774427573599E-2</v>
      </c>
      <c r="J1166">
        <v>3.0414791175617701E-2</v>
      </c>
      <c r="K1166">
        <v>2.5248703517592699E-2</v>
      </c>
      <c r="L1166">
        <v>2054.42553060824</v>
      </c>
      <c r="M1166">
        <v>41.920602965818198</v>
      </c>
      <c r="N1166">
        <v>49.1340449079756</v>
      </c>
      <c r="O1166">
        <v>48.8964095691422</v>
      </c>
      <c r="P1166">
        <v>-0.20337070553484399</v>
      </c>
      <c r="Q1166">
        <v>5.1151031908204699E-2</v>
      </c>
      <c r="R1166">
        <v>0.99639802363302699</v>
      </c>
      <c r="S1166" t="s">
        <v>5906</v>
      </c>
      <c r="T1166" t="s">
        <v>9478</v>
      </c>
      <c r="U1166" t="s">
        <v>9478</v>
      </c>
      <c r="V1166" t="s">
        <v>9478</v>
      </c>
      <c r="W1166">
        <v>29</v>
      </c>
      <c r="X1166" t="s">
        <v>10644</v>
      </c>
      <c r="Y1166">
        <v>0.338970730537697</v>
      </c>
      <c r="Z1166" t="str">
        <f>HYPERLINK("Melting_Curves/meltCurve_sp_P42224_STAT1_HUMAN_.pdf", "Melting_Curves/meltCurve_sp_P42224_STAT1_HUMAN_.pdf")</f>
        <v>Melting_Curves/meltCurve_sp_P42224_STAT1_HUMAN_.pdf</v>
      </c>
      <c r="AA1166" t="s">
        <v>15361</v>
      </c>
      <c r="AB1166" t="s">
        <v>20001</v>
      </c>
    </row>
    <row r="1167" spans="1:28" x14ac:dyDescent="0.25">
      <c r="A1167" t="s">
        <v>1171</v>
      </c>
      <c r="B1167">
        <v>0.99904790336628502</v>
      </c>
      <c r="C1167">
        <v>0.94597959245161201</v>
      </c>
      <c r="D1167">
        <v>0.94177524331626705</v>
      </c>
      <c r="E1167">
        <v>0.79795138330333304</v>
      </c>
      <c r="F1167">
        <v>0.38305117811255002</v>
      </c>
      <c r="G1167">
        <v>0.138061946194241</v>
      </c>
      <c r="H1167">
        <v>0.10176581538044099</v>
      </c>
      <c r="I1167">
        <v>8.7343688507449904E-2</v>
      </c>
      <c r="J1167">
        <v>5.2194679143690102E-2</v>
      </c>
      <c r="K1167">
        <v>2.59538490731854E-2</v>
      </c>
      <c r="L1167">
        <v>1526.25589118077</v>
      </c>
      <c r="M1167">
        <v>29.368625028156501</v>
      </c>
      <c r="N1167">
        <v>52.207810935927597</v>
      </c>
      <c r="O1167">
        <v>51.729761660342</v>
      </c>
      <c r="P1167">
        <v>-0.133010475046205</v>
      </c>
      <c r="Q1167">
        <v>6.2870483985833198E-2</v>
      </c>
      <c r="R1167">
        <v>0.99515049897309504</v>
      </c>
      <c r="S1167" t="s">
        <v>5907</v>
      </c>
      <c r="T1167" t="s">
        <v>9478</v>
      </c>
      <c r="U1167" t="s">
        <v>9478</v>
      </c>
      <c r="V1167" t="s">
        <v>9478</v>
      </c>
      <c r="W1167">
        <v>9</v>
      </c>
      <c r="X1167" t="s">
        <v>10645</v>
      </c>
      <c r="Y1167">
        <v>0.44299389302284159</v>
      </c>
      <c r="Z1167" t="str">
        <f>HYPERLINK("Melting_Curves/meltCurve_sp_P42226_STAT6_HUMAN_.pdf", "Melting_Curves/meltCurve_sp_P42226_STAT6_HUMAN_.pdf")</f>
        <v>Melting_Curves/meltCurve_sp_P42226_STAT6_HUMAN_.pdf</v>
      </c>
      <c r="AA1167" t="s">
        <v>15362</v>
      </c>
      <c r="AB1167" t="s">
        <v>20002</v>
      </c>
    </row>
    <row r="1168" spans="1:28" x14ac:dyDescent="0.25">
      <c r="A1168" t="s">
        <v>1172</v>
      </c>
      <c r="B1168">
        <v>0.99904790336628502</v>
      </c>
      <c r="C1168">
        <v>1.0317974123098399</v>
      </c>
      <c r="D1168">
        <v>1.0703035911596901</v>
      </c>
      <c r="E1168">
        <v>0.90121513167130696</v>
      </c>
      <c r="F1168">
        <v>0.47090955856767103</v>
      </c>
      <c r="G1168">
        <v>0.19381880459547099</v>
      </c>
      <c r="H1168">
        <v>0.11526647808768201</v>
      </c>
      <c r="I1168">
        <v>6.8852245220628897E-2</v>
      </c>
      <c r="J1168">
        <v>5.7484120247310498E-2</v>
      </c>
      <c r="K1168">
        <v>4.2145927390679502E-2</v>
      </c>
      <c r="L1168">
        <v>1785.8007432197301</v>
      </c>
      <c r="M1168">
        <v>33.859918358449399</v>
      </c>
      <c r="N1168">
        <v>52.9998289569128</v>
      </c>
      <c r="O1168">
        <v>52.557901647883099</v>
      </c>
      <c r="P1168">
        <v>-0.148780420328705</v>
      </c>
      <c r="Q1168">
        <v>7.6246417393320595E-2</v>
      </c>
      <c r="R1168">
        <v>0.99275114272007003</v>
      </c>
      <c r="S1168" t="s">
        <v>5908</v>
      </c>
      <c r="T1168" t="s">
        <v>9478</v>
      </c>
      <c r="U1168" t="s">
        <v>9478</v>
      </c>
      <c r="V1168" t="s">
        <v>9478</v>
      </c>
      <c r="W1168">
        <v>21</v>
      </c>
      <c r="X1168" t="s">
        <v>10646</v>
      </c>
      <c r="Y1168">
        <v>0.47325638585313262</v>
      </c>
      <c r="Z1168" t="str">
        <f>HYPERLINK("Melting_Curves/meltCurve_sp_P42285_SK2L2_HUMAN_.pdf", "Melting_Curves/meltCurve_sp_P42285_SK2L2_HUMAN_.pdf")</f>
        <v>Melting_Curves/meltCurve_sp_P42285_SK2L2_HUMAN_.pdf</v>
      </c>
      <c r="AA1168" t="s">
        <v>15363</v>
      </c>
      <c r="AB1168" t="s">
        <v>20003</v>
      </c>
    </row>
    <row r="1169" spans="1:28" x14ac:dyDescent="0.25">
      <c r="A1169" t="s">
        <v>1173</v>
      </c>
      <c r="B1169">
        <v>0.99904790336628502</v>
      </c>
      <c r="C1169">
        <v>0.98851445525236203</v>
      </c>
      <c r="D1169">
        <v>0.93630672622583999</v>
      </c>
      <c r="E1169">
        <v>0.58624840700523395</v>
      </c>
      <c r="F1169">
        <v>0.292314370156117</v>
      </c>
      <c r="G1169">
        <v>0.20967457319386101</v>
      </c>
      <c r="H1169">
        <v>0.12604829881688001</v>
      </c>
      <c r="I1169">
        <v>8.0071720502570803E-2</v>
      </c>
      <c r="J1169">
        <v>5.2534044241868201E-2</v>
      </c>
      <c r="K1169">
        <v>3.80276831544187E-2</v>
      </c>
      <c r="L1169">
        <v>1098.99578969307</v>
      </c>
      <c r="M1169">
        <v>21.729093422205199</v>
      </c>
      <c r="N1169">
        <v>50.948023427838798</v>
      </c>
      <c r="O1169">
        <v>50.154630884316603</v>
      </c>
      <c r="P1169">
        <v>-0.100390087750912</v>
      </c>
      <c r="Q1169">
        <v>7.3148682984754604E-2</v>
      </c>
      <c r="R1169">
        <v>0.99394758042542397</v>
      </c>
      <c r="S1169" t="s">
        <v>5909</v>
      </c>
      <c r="T1169" t="s">
        <v>9478</v>
      </c>
      <c r="U1169" t="s">
        <v>9478</v>
      </c>
      <c r="V1169" t="s">
        <v>9478</v>
      </c>
      <c r="W1169">
        <v>28</v>
      </c>
      <c r="X1169" t="s">
        <v>10647</v>
      </c>
      <c r="Y1169">
        <v>0.41091046846451168</v>
      </c>
      <c r="Z1169" t="str">
        <f>HYPERLINK("Melting_Curves/meltCurve_sp_P42330_AK1C3_HUMAN_.pdf", "Melting_Curves/meltCurve_sp_P42330_AK1C3_HUMAN_.pdf")</f>
        <v>Melting_Curves/meltCurve_sp_P42330_AK1C3_HUMAN_.pdf</v>
      </c>
      <c r="AA1169" t="s">
        <v>15364</v>
      </c>
      <c r="AB1169" t="s">
        <v>20004</v>
      </c>
    </row>
    <row r="1170" spans="1:28" x14ac:dyDescent="0.25">
      <c r="A1170" t="s">
        <v>1174</v>
      </c>
      <c r="B1170">
        <v>0.99904790336628502</v>
      </c>
      <c r="C1170">
        <v>1.03800742651627</v>
      </c>
      <c r="D1170">
        <v>1.14443711512633</v>
      </c>
      <c r="E1170">
        <v>0.98352931206037397</v>
      </c>
      <c r="F1170">
        <v>0.62863090893864504</v>
      </c>
      <c r="G1170">
        <v>0.18670613815505699</v>
      </c>
      <c r="H1170">
        <v>0.116878872540689</v>
      </c>
      <c r="I1170">
        <v>0.124959003778202</v>
      </c>
      <c r="J1170">
        <v>9.1477137871176104E-2</v>
      </c>
      <c r="K1170">
        <v>0.11275074295679</v>
      </c>
      <c r="L1170">
        <v>2370.6198182602998</v>
      </c>
      <c r="M1170">
        <v>44.360375066924703</v>
      </c>
      <c r="N1170">
        <v>53.755147884277797</v>
      </c>
      <c r="O1170">
        <v>53.331772821675102</v>
      </c>
      <c r="P1170">
        <v>-0.18413738297975801</v>
      </c>
      <c r="Q1170">
        <v>0.114492674448899</v>
      </c>
      <c r="R1170">
        <v>0.98719538365045101</v>
      </c>
      <c r="S1170" t="s">
        <v>5910</v>
      </c>
      <c r="T1170" t="s">
        <v>9478</v>
      </c>
      <c r="U1170" t="s">
        <v>9478</v>
      </c>
      <c r="V1170" t="s">
        <v>9478</v>
      </c>
      <c r="W1170">
        <v>3</v>
      </c>
      <c r="X1170" t="s">
        <v>10648</v>
      </c>
      <c r="Y1170">
        <v>0.51385499188698791</v>
      </c>
      <c r="Z1170" t="str">
        <f>HYPERLINK("Melting_Curves/meltCurve_sp_P42336_PK3CA_HUMAN_.pdf", "Melting_Curves/meltCurve_sp_P42336_PK3CA_HUMAN_.pdf")</f>
        <v>Melting_Curves/meltCurve_sp_P42336_PK3CA_HUMAN_.pdf</v>
      </c>
      <c r="AA1170" t="s">
        <v>15365</v>
      </c>
      <c r="AB1170" t="s">
        <v>20005</v>
      </c>
    </row>
    <row r="1171" spans="1:28" x14ac:dyDescent="0.25">
      <c r="A1171" t="s">
        <v>1175</v>
      </c>
      <c r="B1171">
        <v>0.99904790336628502</v>
      </c>
      <c r="C1171">
        <v>1.04459891076304</v>
      </c>
      <c r="D1171">
        <v>1.06124650527881</v>
      </c>
      <c r="E1171">
        <v>0.81025858446219101</v>
      </c>
      <c r="F1171">
        <v>0.219581257243054</v>
      </c>
      <c r="G1171">
        <v>0.16805201457194099</v>
      </c>
      <c r="H1171">
        <v>9.9006372187507796E-2</v>
      </c>
      <c r="I1171">
        <v>5.7168155991564301E-2</v>
      </c>
      <c r="J1171">
        <v>2.09562890967867E-2</v>
      </c>
      <c r="K1171">
        <v>2.94886896054334E-2</v>
      </c>
      <c r="L1171">
        <v>2618.6820715410499</v>
      </c>
      <c r="M1171">
        <v>51.0242907738361</v>
      </c>
      <c r="N1171">
        <v>51.480473609575803</v>
      </c>
      <c r="O1171">
        <v>51.243619145752298</v>
      </c>
      <c r="P1171">
        <v>-0.23086679636174801</v>
      </c>
      <c r="Q1171">
        <v>7.2564129897629601E-2</v>
      </c>
      <c r="R1171">
        <v>0.98983671388303895</v>
      </c>
      <c r="S1171" t="s">
        <v>5911</v>
      </c>
      <c r="T1171" t="s">
        <v>9478</v>
      </c>
      <c r="U1171" t="s">
        <v>9478</v>
      </c>
      <c r="V1171" t="s">
        <v>9478</v>
      </c>
      <c r="W1171">
        <v>4</v>
      </c>
      <c r="X1171" t="s">
        <v>10649</v>
      </c>
      <c r="Y1171">
        <v>0.42460216564713338</v>
      </c>
      <c r="Z1171" t="str">
        <f>HYPERLINK("Melting_Curves/meltCurve_sp_P42338_PK3CB_HUMAN_.pdf", "Melting_Curves/meltCurve_sp_P42338_PK3CB_HUMAN_.pdf")</f>
        <v>Melting_Curves/meltCurve_sp_P42338_PK3CB_HUMAN_.pdf</v>
      </c>
      <c r="AA1171" t="s">
        <v>15366</v>
      </c>
      <c r="AB1171" t="s">
        <v>20006</v>
      </c>
    </row>
    <row r="1172" spans="1:28" x14ac:dyDescent="0.25">
      <c r="A1172" t="s">
        <v>1176</v>
      </c>
      <c r="B1172">
        <v>0.99904790336628502</v>
      </c>
      <c r="C1172">
        <v>1.0855015538870001</v>
      </c>
      <c r="D1172">
        <v>0.70786562700339195</v>
      </c>
      <c r="E1172">
        <v>0.35584091193272599</v>
      </c>
      <c r="F1172">
        <v>0.155649890725196</v>
      </c>
      <c r="G1172">
        <v>0.21004778961281201</v>
      </c>
      <c r="H1172">
        <v>8.4790943129131796E-2</v>
      </c>
      <c r="I1172">
        <v>7.2060714203027496E-2</v>
      </c>
      <c r="J1172">
        <v>1.6327390456386599E-2</v>
      </c>
      <c r="K1172">
        <v>0</v>
      </c>
      <c r="L1172">
        <v>1101.6577781693099</v>
      </c>
      <c r="M1172">
        <v>22.8615114400138</v>
      </c>
      <c r="N1172">
        <v>48.484713753883199</v>
      </c>
      <c r="O1172">
        <v>47.824154662848599</v>
      </c>
      <c r="P1172">
        <v>-0.111716702699709</v>
      </c>
      <c r="Q1172">
        <v>6.5214164017322496E-2</v>
      </c>
      <c r="R1172">
        <v>0.97140477201887299</v>
      </c>
      <c r="S1172" t="s">
        <v>5912</v>
      </c>
      <c r="T1172" t="s">
        <v>9478</v>
      </c>
      <c r="U1172" t="s">
        <v>9478</v>
      </c>
      <c r="V1172" t="s">
        <v>9478</v>
      </c>
      <c r="W1172">
        <v>3</v>
      </c>
      <c r="X1172" t="s">
        <v>10650</v>
      </c>
      <c r="Y1172">
        <v>0.33033747727823481</v>
      </c>
      <c r="Z1172" t="str">
        <f>HYPERLINK("Melting_Curves/meltCurve_sp_P42345_MTOR_HUMAN_.pdf", "Melting_Curves/meltCurve_sp_P42345_MTOR_HUMAN_.pdf")</f>
        <v>Melting_Curves/meltCurve_sp_P42345_MTOR_HUMAN_.pdf</v>
      </c>
      <c r="AA1172" t="s">
        <v>15367</v>
      </c>
      <c r="AB1172" t="s">
        <v>20007</v>
      </c>
    </row>
    <row r="1173" spans="1:28" x14ac:dyDescent="0.25">
      <c r="A1173" t="s">
        <v>1177</v>
      </c>
      <c r="B1173">
        <v>0.99904790336628502</v>
      </c>
      <c r="C1173">
        <v>0.91927621769485401</v>
      </c>
      <c r="D1173">
        <v>0.84946975256590995</v>
      </c>
      <c r="E1173">
        <v>0.47533857012131497</v>
      </c>
      <c r="F1173">
        <v>0.31500203756629702</v>
      </c>
      <c r="G1173">
        <v>0.243079928680312</v>
      </c>
      <c r="H1173">
        <v>0.129171806571027</v>
      </c>
      <c r="I1173">
        <v>0.122881706622058</v>
      </c>
      <c r="J1173">
        <v>0</v>
      </c>
      <c r="K1173">
        <v>1.7657552516718199E-2</v>
      </c>
      <c r="L1173">
        <v>726.07891181492596</v>
      </c>
      <c r="M1173">
        <v>14.472185168185</v>
      </c>
      <c r="N1173">
        <v>50.4240171582492</v>
      </c>
      <c r="O1173">
        <v>49.241909768153199</v>
      </c>
      <c r="P1173">
        <v>-7.0906488096565398E-2</v>
      </c>
      <c r="Q1173">
        <v>3.50691133314339E-2</v>
      </c>
      <c r="R1173">
        <v>0.98596595375304696</v>
      </c>
      <c r="S1173" t="s">
        <v>5913</v>
      </c>
      <c r="T1173" t="s">
        <v>9478</v>
      </c>
      <c r="U1173" t="s">
        <v>9478</v>
      </c>
      <c r="V1173" t="s">
        <v>9478</v>
      </c>
      <c r="W1173">
        <v>5</v>
      </c>
      <c r="X1173" t="s">
        <v>10651</v>
      </c>
      <c r="Y1173">
        <v>0.38655472956990189</v>
      </c>
      <c r="Z1173" t="str">
        <f>HYPERLINK("Melting_Curves/meltCurve_sp_P42356_PI4KA_HUMAN_.pdf", "Melting_Curves/meltCurve_sp_P42356_PI4KA_HUMAN_.pdf")</f>
        <v>Melting_Curves/meltCurve_sp_P42356_PI4KA_HUMAN_.pdf</v>
      </c>
      <c r="AA1173" t="s">
        <v>15368</v>
      </c>
      <c r="AB1173" t="s">
        <v>20008</v>
      </c>
    </row>
    <row r="1174" spans="1:28" x14ac:dyDescent="0.25">
      <c r="A1174" t="s">
        <v>1178</v>
      </c>
      <c r="B1174">
        <v>0.99904790336628502</v>
      </c>
      <c r="C1174">
        <v>1.0275946867746899</v>
      </c>
      <c r="D1174">
        <v>1.0864503211262</v>
      </c>
      <c r="E1174">
        <v>1.0530056888441299</v>
      </c>
      <c r="F1174">
        <v>0.90458683048057398</v>
      </c>
      <c r="G1174">
        <v>0.70839310697420699</v>
      </c>
      <c r="H1174">
        <v>0.128761236411432</v>
      </c>
      <c r="I1174">
        <v>7.1595771706529199E-2</v>
      </c>
      <c r="J1174">
        <v>4.3393241373817601E-2</v>
      </c>
      <c r="K1174">
        <v>4.4710206774332302E-2</v>
      </c>
      <c r="L1174">
        <v>2483.89949647205</v>
      </c>
      <c r="M1174">
        <v>42.813667417181797</v>
      </c>
      <c r="N1174">
        <v>58.134965571797103</v>
      </c>
      <c r="O1174">
        <v>57.890339004565</v>
      </c>
      <c r="P1174">
        <v>-0.17716869931086399</v>
      </c>
      <c r="Q1174">
        <v>4.1769157391994299E-2</v>
      </c>
      <c r="R1174">
        <v>0.99100009230902397</v>
      </c>
      <c r="S1174" t="s">
        <v>5914</v>
      </c>
      <c r="T1174" t="s">
        <v>9478</v>
      </c>
      <c r="U1174" t="s">
        <v>9478</v>
      </c>
      <c r="V1174" t="s">
        <v>9478</v>
      </c>
      <c r="W1174">
        <v>35</v>
      </c>
      <c r="X1174" t="s">
        <v>10652</v>
      </c>
      <c r="Y1174">
        <v>0.62054253730555642</v>
      </c>
      <c r="Z1174" t="str">
        <f>HYPERLINK("Melting_Curves/meltCurve_sp_P42357_HUTH_HUMAN_.pdf", "Melting_Curves/meltCurve_sp_P42357_HUTH_HUMAN_.pdf")</f>
        <v>Melting_Curves/meltCurve_sp_P42357_HUTH_HUMAN_.pdf</v>
      </c>
      <c r="AA1174" t="s">
        <v>15369</v>
      </c>
      <c r="AB1174" t="s">
        <v>20009</v>
      </c>
    </row>
    <row r="1175" spans="1:28" x14ac:dyDescent="0.25">
      <c r="A1175" t="s">
        <v>1179</v>
      </c>
      <c r="B1175">
        <v>0.99904790336628502</v>
      </c>
      <c r="C1175">
        <v>0.99606274570395703</v>
      </c>
      <c r="D1175">
        <v>0.99546351536227196</v>
      </c>
      <c r="E1175">
        <v>0.95204042107498799</v>
      </c>
      <c r="F1175">
        <v>0.82697127207610799</v>
      </c>
      <c r="G1175">
        <v>0.67085345727189105</v>
      </c>
      <c r="H1175">
        <v>0.53357472983917298</v>
      </c>
      <c r="I1175">
        <v>0.438052756302027</v>
      </c>
      <c r="J1175">
        <v>0.33012328722712397</v>
      </c>
      <c r="K1175">
        <v>0.23687636985784499</v>
      </c>
      <c r="L1175">
        <v>657.74252620177595</v>
      </c>
      <c r="M1175">
        <v>10.808462044233</v>
      </c>
      <c r="N1175">
        <v>61.737281240228903</v>
      </c>
      <c r="O1175">
        <v>58.882359136914403</v>
      </c>
      <c r="P1175">
        <v>-4.2619435219040699E-2</v>
      </c>
      <c r="Q1175">
        <v>7.1606190726147698E-2</v>
      </c>
      <c r="R1175">
        <v>0.99548710343718905</v>
      </c>
      <c r="S1175" t="s">
        <v>5915</v>
      </c>
      <c r="T1175" t="s">
        <v>9478</v>
      </c>
      <c r="U1175" t="s">
        <v>9478</v>
      </c>
      <c r="V1175" t="s">
        <v>9478</v>
      </c>
      <c r="W1175">
        <v>26</v>
      </c>
      <c r="X1175" t="s">
        <v>10653</v>
      </c>
      <c r="Y1175">
        <v>0.71026117384636345</v>
      </c>
      <c r="Z1175" t="str">
        <f>HYPERLINK("Melting_Curves/meltCurve_sp_P42566_EPS15_HUMAN_.pdf", "Melting_Curves/meltCurve_sp_P42566_EPS15_HUMAN_.pdf")</f>
        <v>Melting_Curves/meltCurve_sp_P42566_EPS15_HUMAN_.pdf</v>
      </c>
      <c r="AA1175" t="s">
        <v>15370</v>
      </c>
      <c r="AB1175" t="s">
        <v>20010</v>
      </c>
    </row>
    <row r="1176" spans="1:28" x14ac:dyDescent="0.25">
      <c r="A1176" t="s">
        <v>1180</v>
      </c>
      <c r="B1176">
        <v>0.99904790336628502</v>
      </c>
      <c r="C1176">
        <v>1.0125627730583799</v>
      </c>
      <c r="D1176">
        <v>0.97403950809133399</v>
      </c>
      <c r="E1176">
        <v>0.94286550481993703</v>
      </c>
      <c r="F1176">
        <v>0.90270106988010701</v>
      </c>
      <c r="G1176">
        <v>0.75014224969462195</v>
      </c>
      <c r="H1176">
        <v>0.639221216042826</v>
      </c>
      <c r="I1176">
        <v>0.643487000638993</v>
      </c>
      <c r="J1176">
        <v>0.60268526360265695</v>
      </c>
      <c r="K1176">
        <v>0.48328559966689499</v>
      </c>
      <c r="L1176">
        <v>690.16814717074305</v>
      </c>
      <c r="M1176">
        <v>11.7564361451466</v>
      </c>
      <c r="O1176">
        <v>57.084237622409198</v>
      </c>
      <c r="P1176">
        <v>-2.7968282247420501E-2</v>
      </c>
      <c r="Q1176">
        <v>0.45693362208774002</v>
      </c>
      <c r="R1176">
        <v>0.97708933224779104</v>
      </c>
      <c r="S1176" t="s">
        <v>5916</v>
      </c>
      <c r="T1176" t="s">
        <v>9478</v>
      </c>
      <c r="U1176" t="s">
        <v>9478</v>
      </c>
      <c r="V1176" t="s">
        <v>9478</v>
      </c>
      <c r="W1176">
        <v>6</v>
      </c>
      <c r="X1176" t="s">
        <v>10654</v>
      </c>
      <c r="Y1176">
        <v>0.8004638497499893</v>
      </c>
      <c r="Z1176" t="str">
        <f>HYPERLINK("Melting_Curves/meltCurve_sp_P42574_CASP3_HUMAN_.pdf", "Melting_Curves/meltCurve_sp_P42574_CASP3_HUMAN_.pdf")</f>
        <v>Melting_Curves/meltCurve_sp_P42574_CASP3_HUMAN_.pdf</v>
      </c>
      <c r="AA1176" t="s">
        <v>15371</v>
      </c>
      <c r="AB1176" t="s">
        <v>20011</v>
      </c>
    </row>
    <row r="1177" spans="1:28" x14ac:dyDescent="0.25">
      <c r="A1177" t="s">
        <v>1181</v>
      </c>
      <c r="B1177">
        <v>0.99904790336628502</v>
      </c>
      <c r="C1177">
        <v>0.99175832002699105</v>
      </c>
      <c r="D1177">
        <v>1.0672609808053599</v>
      </c>
      <c r="E1177">
        <v>0.52968357300699997</v>
      </c>
      <c r="F1177">
        <v>0.14579366269685801</v>
      </c>
      <c r="G1177">
        <v>7.3023876558970496E-2</v>
      </c>
      <c r="H1177">
        <v>5.1197990220614498E-2</v>
      </c>
      <c r="I1177">
        <v>3.1443569999461497E-2</v>
      </c>
      <c r="J1177">
        <v>2.6590694204871399E-2</v>
      </c>
      <c r="K1177">
        <v>1.9815105028174702E-2</v>
      </c>
      <c r="L1177">
        <v>2260.70987261748</v>
      </c>
      <c r="M1177">
        <v>45.1217148311068</v>
      </c>
      <c r="N1177">
        <v>50.203767496847597</v>
      </c>
      <c r="O1177">
        <v>50.004369056531097</v>
      </c>
      <c r="P1177">
        <v>-0.21577272691277599</v>
      </c>
      <c r="Q1177">
        <v>4.3514635385463803E-2</v>
      </c>
      <c r="R1177">
        <v>0.99480770421777698</v>
      </c>
      <c r="S1177" t="s">
        <v>5917</v>
      </c>
      <c r="T1177" t="s">
        <v>9478</v>
      </c>
      <c r="U1177" t="s">
        <v>9478</v>
      </c>
      <c r="V1177" t="s">
        <v>9478</v>
      </c>
      <c r="W1177">
        <v>80</v>
      </c>
      <c r="X1177" t="s">
        <v>10655</v>
      </c>
      <c r="Y1177">
        <v>0.36820953736017681</v>
      </c>
      <c r="Z1177" t="str">
        <f>HYPERLINK("Melting_Curves/meltCurve_sp_P42704_LPPRC_HUMAN_.pdf", "Melting_Curves/meltCurve_sp_P42704_LPPRC_HUMAN_.pdf")</f>
        <v>Melting_Curves/meltCurve_sp_P42704_LPPRC_HUMAN_.pdf</v>
      </c>
      <c r="AA1177" t="s">
        <v>15372</v>
      </c>
      <c r="AB1177" t="s">
        <v>20012</v>
      </c>
    </row>
    <row r="1178" spans="1:28" x14ac:dyDescent="0.25">
      <c r="A1178" t="s">
        <v>1182</v>
      </c>
      <c r="B1178">
        <v>0.99904790336628502</v>
      </c>
      <c r="C1178">
        <v>1.01830819569333</v>
      </c>
      <c r="D1178">
        <v>1.09559082456407</v>
      </c>
      <c r="E1178">
        <v>1.05388314037215</v>
      </c>
      <c r="F1178">
        <v>0.981477700196141</v>
      </c>
      <c r="G1178">
        <v>0.87959698974328604</v>
      </c>
      <c r="H1178">
        <v>0.77158287055157104</v>
      </c>
      <c r="I1178">
        <v>0.74069894436857897</v>
      </c>
      <c r="J1178">
        <v>0.57469998789905397</v>
      </c>
      <c r="K1178">
        <v>9.8477509256341397E-2</v>
      </c>
      <c r="L1178">
        <v>1487.99183072189</v>
      </c>
      <c r="M1178">
        <v>22.4081754316401</v>
      </c>
      <c r="N1178">
        <v>66.403970939726705</v>
      </c>
      <c r="O1178">
        <v>65.881906293567596</v>
      </c>
      <c r="P1178">
        <v>-8.5033364189174995E-2</v>
      </c>
      <c r="Q1178">
        <v>0</v>
      </c>
      <c r="R1178">
        <v>0.91370095939788198</v>
      </c>
      <c r="S1178" t="s">
        <v>5918</v>
      </c>
      <c r="T1178" t="s">
        <v>9478</v>
      </c>
      <c r="U1178" t="s">
        <v>9478</v>
      </c>
      <c r="V1178" t="s">
        <v>9478</v>
      </c>
      <c r="W1178">
        <v>41</v>
      </c>
      <c r="X1178" t="s">
        <v>10656</v>
      </c>
      <c r="Y1178">
        <v>0.86129992605446426</v>
      </c>
      <c r="Z1178" t="str">
        <f>HYPERLINK("Melting_Curves/meltCurve_sp_P42765_THIM_HUMAN_.pdf", "Melting_Curves/meltCurve_sp_P42765_THIM_HUMAN_.pdf")</f>
        <v>Melting_Curves/meltCurve_sp_P42765_THIM_HUMAN_.pdf</v>
      </c>
      <c r="AA1178" t="s">
        <v>15373</v>
      </c>
      <c r="AB1178" t="s">
        <v>20013</v>
      </c>
    </row>
    <row r="1179" spans="1:28" x14ac:dyDescent="0.25">
      <c r="A1179" t="s">
        <v>1183</v>
      </c>
      <c r="B1179">
        <v>0.99904790336628502</v>
      </c>
      <c r="C1179">
        <v>0.79547203297014102</v>
      </c>
      <c r="D1179">
        <v>0.84402489632361299</v>
      </c>
      <c r="E1179">
        <v>0.62521223910716095</v>
      </c>
      <c r="F1179">
        <v>0.66603078553079698</v>
      </c>
      <c r="G1179">
        <v>0.55608905329144298</v>
      </c>
      <c r="H1179">
        <v>0.55928280862795998</v>
      </c>
      <c r="I1179">
        <v>0.54787649762337798</v>
      </c>
      <c r="J1179">
        <v>0.38671712548194698</v>
      </c>
      <c r="K1179">
        <v>0.45898043487461598</v>
      </c>
      <c r="L1179">
        <v>386.76783814728498</v>
      </c>
      <c r="M1179">
        <v>7.7314972644595796</v>
      </c>
      <c r="N1179">
        <v>62.741061809394502</v>
      </c>
      <c r="O1179">
        <v>47.008622754899903</v>
      </c>
      <c r="P1179">
        <v>-2.4880689644794E-2</v>
      </c>
      <c r="Q1179">
        <v>0.39566365123182701</v>
      </c>
      <c r="R1179">
        <v>0.89805015308837199</v>
      </c>
      <c r="S1179" t="s">
        <v>5919</v>
      </c>
      <c r="T1179" t="s">
        <v>9478</v>
      </c>
      <c r="U1179" t="s">
        <v>9478</v>
      </c>
      <c r="V1179" t="s">
        <v>9478</v>
      </c>
      <c r="W1179">
        <v>2</v>
      </c>
      <c r="X1179" t="s">
        <v>10657</v>
      </c>
      <c r="Y1179">
        <v>0.63493472116944927</v>
      </c>
      <c r="Z1179" t="str">
        <f>HYPERLINK("Melting_Curves/meltCurve_sp_P42768_WASP_HUMAN_.pdf", "Melting_Curves/meltCurve_sp_P42768_WASP_HUMAN_.pdf")</f>
        <v>Melting_Curves/meltCurve_sp_P42768_WASP_HUMAN_.pdf</v>
      </c>
      <c r="AA1179" t="s">
        <v>15374</v>
      </c>
      <c r="AB1179" t="s">
        <v>20014</v>
      </c>
    </row>
    <row r="1180" spans="1:28" x14ac:dyDescent="0.25">
      <c r="A1180" t="s">
        <v>1184</v>
      </c>
      <c r="B1180">
        <v>0.99904790336628502</v>
      </c>
      <c r="C1180">
        <v>0.94785271066056198</v>
      </c>
      <c r="D1180">
        <v>0.90668618813364599</v>
      </c>
      <c r="E1180">
        <v>0.85570861604204396</v>
      </c>
      <c r="F1180">
        <v>0.92847749401986401</v>
      </c>
      <c r="G1180">
        <v>0.68087263299771705</v>
      </c>
      <c r="H1180">
        <v>0.57177577898529697</v>
      </c>
      <c r="I1180">
        <v>0.50636052027654099</v>
      </c>
      <c r="J1180">
        <v>0.50188939998632698</v>
      </c>
      <c r="K1180">
        <v>0.48214632435219601</v>
      </c>
      <c r="L1180">
        <v>645.70788375227698</v>
      </c>
      <c r="M1180">
        <v>11.293894601796501</v>
      </c>
      <c r="N1180">
        <v>66.266979381109707</v>
      </c>
      <c r="O1180">
        <v>55.468650827606702</v>
      </c>
      <c r="P1180">
        <v>-3.0863185059471099E-2</v>
      </c>
      <c r="Q1180">
        <v>0.39386092416306501</v>
      </c>
      <c r="R1180">
        <v>0.94983860312345403</v>
      </c>
      <c r="S1180" t="s">
        <v>5920</v>
      </c>
      <c r="T1180" t="s">
        <v>9478</v>
      </c>
      <c r="U1180" t="s">
        <v>9478</v>
      </c>
      <c r="V1180" t="s">
        <v>9478</v>
      </c>
      <c r="W1180">
        <v>5</v>
      </c>
      <c r="X1180" t="s">
        <v>10658</v>
      </c>
      <c r="Y1180">
        <v>0.75049354969487092</v>
      </c>
      <c r="Z1180" t="str">
        <f>HYPERLINK("Melting_Curves/meltCurve_sp_P42773_CDN2C_HUMAN_.pdf", "Melting_Curves/meltCurve_sp_P42773_CDN2C_HUMAN_.pdf")</f>
        <v>Melting_Curves/meltCurve_sp_P42773_CDN2C_HUMAN_.pdf</v>
      </c>
      <c r="AA1180" t="s">
        <v>15375</v>
      </c>
      <c r="AB1180" t="s">
        <v>20015</v>
      </c>
    </row>
    <row r="1181" spans="1:28" x14ac:dyDescent="0.25">
      <c r="A1181" t="s">
        <v>1185</v>
      </c>
      <c r="B1181">
        <v>0.99904790336628502</v>
      </c>
      <c r="C1181">
        <v>0.95910947197242702</v>
      </c>
      <c r="D1181">
        <v>0.97095182879948505</v>
      </c>
      <c r="E1181">
        <v>0.90357484022046597</v>
      </c>
      <c r="F1181">
        <v>0.73785340431833601</v>
      </c>
      <c r="G1181">
        <v>0.41926237119206999</v>
      </c>
      <c r="H1181">
        <v>0.13908392791126001</v>
      </c>
      <c r="I1181">
        <v>0.103519719862466</v>
      </c>
      <c r="J1181">
        <v>9.0234093496907697E-2</v>
      </c>
      <c r="K1181">
        <v>8.3583160975054999E-2</v>
      </c>
      <c r="L1181">
        <v>1172.1989776410701</v>
      </c>
      <c r="M1181">
        <v>21.148770050123201</v>
      </c>
      <c r="N1181">
        <v>55.745394076079997</v>
      </c>
      <c r="O1181">
        <v>54.937921267704397</v>
      </c>
      <c r="P1181">
        <v>-9.0755682768038998E-2</v>
      </c>
      <c r="Q1181">
        <v>5.7004560410470202E-2</v>
      </c>
      <c r="R1181">
        <v>0.99720203746887304</v>
      </c>
      <c r="S1181" t="s">
        <v>5921</v>
      </c>
      <c r="T1181" t="s">
        <v>9478</v>
      </c>
      <c r="U1181" t="s">
        <v>9478</v>
      </c>
      <c r="V1181" t="s">
        <v>9478</v>
      </c>
      <c r="W1181">
        <v>8</v>
      </c>
      <c r="X1181" t="s">
        <v>10659</v>
      </c>
      <c r="Y1181">
        <v>0.55332136942264343</v>
      </c>
      <c r="Z1181" t="str">
        <f>HYPERLINK("Melting_Curves/meltCurve_sp_P42785_PCP_HUMAN_.pdf", "Melting_Curves/meltCurve_sp_P42785_PCP_HUMAN_.pdf")</f>
        <v>Melting_Curves/meltCurve_sp_P42785_PCP_HUMAN_.pdf</v>
      </c>
      <c r="AA1181" t="s">
        <v>15376</v>
      </c>
      <c r="AB1181" t="s">
        <v>20016</v>
      </c>
    </row>
    <row r="1182" spans="1:28" x14ac:dyDescent="0.25">
      <c r="A1182" t="s">
        <v>1186</v>
      </c>
      <c r="B1182">
        <v>0.99904790336628502</v>
      </c>
      <c r="C1182">
        <v>1.0410355025472999</v>
      </c>
      <c r="D1182">
        <v>1.0738926151880901</v>
      </c>
      <c r="E1182">
        <v>0.70401672962774797</v>
      </c>
      <c r="F1182">
        <v>0.283227000310802</v>
      </c>
      <c r="G1182">
        <v>0.146180541328153</v>
      </c>
      <c r="H1182">
        <v>8.3152613364008199E-2</v>
      </c>
      <c r="I1182">
        <v>5.2369333773892801E-2</v>
      </c>
      <c r="J1182">
        <v>3.4143513859459802E-2</v>
      </c>
      <c r="K1182">
        <v>3.2016839495000803E-2</v>
      </c>
      <c r="L1182">
        <v>1757.26701305449</v>
      </c>
      <c r="M1182">
        <v>34.304275253850903</v>
      </c>
      <c r="N1182">
        <v>51.422568839053604</v>
      </c>
      <c r="O1182">
        <v>51.052748048454099</v>
      </c>
      <c r="P1182">
        <v>-0.15765715110859199</v>
      </c>
      <c r="Q1182">
        <v>6.1481408453601803E-2</v>
      </c>
      <c r="R1182">
        <v>0.99152867235514297</v>
      </c>
      <c r="S1182" t="s">
        <v>5922</v>
      </c>
      <c r="T1182" t="s">
        <v>9478</v>
      </c>
      <c r="U1182" t="s">
        <v>9478</v>
      </c>
      <c r="V1182" t="s">
        <v>9478</v>
      </c>
      <c r="W1182">
        <v>18</v>
      </c>
      <c r="X1182" t="s">
        <v>10660</v>
      </c>
      <c r="Y1182">
        <v>0.41719802205590589</v>
      </c>
      <c r="Z1182" t="str">
        <f>HYPERLINK("Melting_Curves/meltCurve_sp_P42858_HD_HUMAN_.pdf", "Melting_Curves/meltCurve_sp_P42858_HD_HUMAN_.pdf")</f>
        <v>Melting_Curves/meltCurve_sp_P42858_HD_HUMAN_.pdf</v>
      </c>
      <c r="AA1182" t="s">
        <v>15377</v>
      </c>
      <c r="AB1182" t="s">
        <v>20017</v>
      </c>
    </row>
    <row r="1183" spans="1:28" x14ac:dyDescent="0.25">
      <c r="A1183" t="s">
        <v>1187</v>
      </c>
      <c r="B1183">
        <v>0.99904790336628502</v>
      </c>
      <c r="C1183">
        <v>0.96702403402933002</v>
      </c>
      <c r="D1183">
        <v>0.95799097843463399</v>
      </c>
      <c r="E1183">
        <v>0.53129282410591205</v>
      </c>
      <c r="F1183">
        <v>0.246775411125634</v>
      </c>
      <c r="G1183">
        <v>0.16579628836065199</v>
      </c>
      <c r="H1183">
        <v>0.13392832426679799</v>
      </c>
      <c r="I1183">
        <v>7.7024127745114399E-2</v>
      </c>
      <c r="J1183">
        <v>5.6182950361254397E-2</v>
      </c>
      <c r="K1183">
        <v>4.90890539377817E-2</v>
      </c>
      <c r="L1183">
        <v>1352.7365785838599</v>
      </c>
      <c r="M1183">
        <v>27.037661851570501</v>
      </c>
      <c r="N1183">
        <v>50.3822628711645</v>
      </c>
      <c r="O1183">
        <v>49.760279461639897</v>
      </c>
      <c r="P1183">
        <v>-0.124189223687487</v>
      </c>
      <c r="Q1183">
        <v>8.5774549841375905E-2</v>
      </c>
      <c r="R1183">
        <v>0.994342903857523</v>
      </c>
      <c r="S1183" t="s">
        <v>5923</v>
      </c>
      <c r="T1183" t="s">
        <v>9478</v>
      </c>
      <c r="U1183" t="s">
        <v>9478</v>
      </c>
      <c r="V1183" t="s">
        <v>9478</v>
      </c>
      <c r="W1183">
        <v>2</v>
      </c>
      <c r="X1183" t="s">
        <v>10661</v>
      </c>
      <c r="Y1183">
        <v>0.39845872363093732</v>
      </c>
      <c r="Z1183" t="str">
        <f>HYPERLINK("Melting_Curves/meltCurve_sp_P42898_MTHR_HUMAN_.pdf", "Melting_Curves/meltCurve_sp_P42898_MTHR_HUMAN_.pdf")</f>
        <v>Melting_Curves/meltCurve_sp_P42898_MTHR_HUMAN_.pdf</v>
      </c>
      <c r="AA1183" t="s">
        <v>15378</v>
      </c>
      <c r="AB1183" t="s">
        <v>20018</v>
      </c>
    </row>
    <row r="1184" spans="1:28" x14ac:dyDescent="0.25">
      <c r="A1184" t="s">
        <v>1188</v>
      </c>
      <c r="B1184">
        <v>0.99904790336628502</v>
      </c>
      <c r="C1184">
        <v>0.99946668591275001</v>
      </c>
      <c r="D1184">
        <v>1.05009937332932</v>
      </c>
      <c r="E1184">
        <v>0.96212119931308304</v>
      </c>
      <c r="F1184">
        <v>0.94855846744106598</v>
      </c>
      <c r="G1184">
        <v>0.76826742409251303</v>
      </c>
      <c r="H1184">
        <v>0.455482498906845</v>
      </c>
      <c r="I1184">
        <v>0.23406044903346901</v>
      </c>
      <c r="J1184">
        <v>5.81377075572709E-2</v>
      </c>
      <c r="K1184">
        <v>4.1641111301711602E-2</v>
      </c>
      <c r="L1184">
        <v>1326.08904999416</v>
      </c>
      <c r="M1184">
        <v>21.987972176731599</v>
      </c>
      <c r="N1184">
        <v>60.309760137487402</v>
      </c>
      <c r="O1184">
        <v>59.817547967787696</v>
      </c>
      <c r="P1184">
        <v>-9.1898051129801706E-2</v>
      </c>
      <c r="Q1184">
        <v>0</v>
      </c>
      <c r="R1184">
        <v>0.99617990131632606</v>
      </c>
      <c r="S1184" t="s">
        <v>5924</v>
      </c>
      <c r="T1184" t="s">
        <v>9478</v>
      </c>
      <c r="U1184" t="s">
        <v>9478</v>
      </c>
      <c r="V1184" t="s">
        <v>9478</v>
      </c>
      <c r="W1184">
        <v>21</v>
      </c>
      <c r="X1184" t="s">
        <v>10662</v>
      </c>
      <c r="Y1184">
        <v>0.68461906602870926</v>
      </c>
      <c r="Z1184" t="str">
        <f>HYPERLINK("Melting_Curves/meltCurve_sp_P43034_LIS1_HUMAN_.pdf", "Melting_Curves/meltCurve_sp_P43034_LIS1_HUMAN_.pdf")</f>
        <v>Melting_Curves/meltCurve_sp_P43034_LIS1_HUMAN_.pdf</v>
      </c>
      <c r="AA1184" t="s">
        <v>15379</v>
      </c>
      <c r="AB1184" t="s">
        <v>20019</v>
      </c>
    </row>
    <row r="1185" spans="1:28" x14ac:dyDescent="0.25">
      <c r="A1185" t="s">
        <v>1189</v>
      </c>
      <c r="B1185">
        <v>0.99904790336628502</v>
      </c>
      <c r="C1185">
        <v>0.87127414406223003</v>
      </c>
      <c r="D1185">
        <v>0.71762578439726099</v>
      </c>
      <c r="E1185">
        <v>0.35495510571792799</v>
      </c>
      <c r="F1185">
        <v>0.23125497656577701</v>
      </c>
      <c r="G1185">
        <v>0.14944105360898599</v>
      </c>
      <c r="H1185">
        <v>9.0986584767230594E-2</v>
      </c>
      <c r="I1185">
        <v>6.4693346596750301E-2</v>
      </c>
      <c r="J1185">
        <v>4.5607376475351402E-2</v>
      </c>
      <c r="K1185">
        <v>3.4779783023663399E-2</v>
      </c>
      <c r="L1185">
        <v>790.23150660530996</v>
      </c>
      <c r="M1185">
        <v>16.4101093117226</v>
      </c>
      <c r="N1185">
        <v>48.4617240082111</v>
      </c>
      <c r="O1185">
        <v>47.457095469560997</v>
      </c>
      <c r="P1185">
        <v>-8.2190710037302106E-2</v>
      </c>
      <c r="Q1185">
        <v>4.9304217629726699E-2</v>
      </c>
      <c r="R1185">
        <v>0.99649877075410098</v>
      </c>
      <c r="S1185" t="s">
        <v>5925</v>
      </c>
      <c r="T1185" t="s">
        <v>9478</v>
      </c>
      <c r="U1185" t="s">
        <v>9478</v>
      </c>
      <c r="V1185" t="s">
        <v>9478</v>
      </c>
      <c r="W1185">
        <v>29</v>
      </c>
      <c r="X1185" t="s">
        <v>10663</v>
      </c>
      <c r="Y1185">
        <v>0.32804015616776638</v>
      </c>
      <c r="Z1185" t="str">
        <f>HYPERLINK("Melting_Curves/meltCurve_sp_P43155_2_CACP_HUMAN_.pdf", "Melting_Curves/meltCurve_sp_P43155_2_CACP_HUMAN_.pdf")</f>
        <v>Melting_Curves/meltCurve_sp_P43155_2_CACP_HUMAN_.pdf</v>
      </c>
      <c r="AA1185" t="s">
        <v>15380</v>
      </c>
      <c r="AB1185" t="s">
        <v>20020</v>
      </c>
    </row>
    <row r="1186" spans="1:28" x14ac:dyDescent="0.25">
      <c r="A1186" t="s">
        <v>1190</v>
      </c>
      <c r="B1186">
        <v>0.99904790336628502</v>
      </c>
      <c r="C1186">
        <v>0.76947259536868395</v>
      </c>
      <c r="D1186">
        <v>0.48553992472303598</v>
      </c>
      <c r="E1186">
        <v>0.21650599588261599</v>
      </c>
      <c r="F1186">
        <v>0.11052762085623501</v>
      </c>
      <c r="G1186">
        <v>8.5332431868462594E-2</v>
      </c>
      <c r="H1186">
        <v>4.3503813620666E-2</v>
      </c>
      <c r="I1186">
        <v>3.5449241396658802E-2</v>
      </c>
      <c r="J1186">
        <v>2.6454213838109201E-2</v>
      </c>
      <c r="K1186">
        <v>2.7982470150282001E-2</v>
      </c>
      <c r="L1186">
        <v>859.37672477235901</v>
      </c>
      <c r="M1186">
        <v>18.7681821607442</v>
      </c>
      <c r="N1186">
        <v>45.978788760620603</v>
      </c>
      <c r="O1186">
        <v>45.278686180641202</v>
      </c>
      <c r="P1186">
        <v>-9.9768105348906594E-2</v>
      </c>
      <c r="Q1186">
        <v>3.7268571836190201E-2</v>
      </c>
      <c r="R1186">
        <v>0.99539066970909196</v>
      </c>
      <c r="S1186" t="s">
        <v>5926</v>
      </c>
      <c r="T1186" t="s">
        <v>9478</v>
      </c>
      <c r="U1186" t="s">
        <v>9478</v>
      </c>
      <c r="V1186" t="s">
        <v>9478</v>
      </c>
      <c r="W1186">
        <v>8</v>
      </c>
      <c r="X1186" t="s">
        <v>10664</v>
      </c>
      <c r="Y1186">
        <v>0.24053194468861369</v>
      </c>
      <c r="Z1186" t="str">
        <f>HYPERLINK("Melting_Curves/meltCurve_sp_P43246_MSH2_HUMAN_.pdf", "Melting_Curves/meltCurve_sp_P43246_MSH2_HUMAN_.pdf")</f>
        <v>Melting_Curves/meltCurve_sp_P43246_MSH2_HUMAN_.pdf</v>
      </c>
      <c r="AA1186" t="s">
        <v>15381</v>
      </c>
      <c r="AB1186" t="s">
        <v>20021</v>
      </c>
    </row>
    <row r="1187" spans="1:28" x14ac:dyDescent="0.25">
      <c r="A1187" t="s">
        <v>1191</v>
      </c>
      <c r="B1187">
        <v>0.99904790336628502</v>
      </c>
      <c r="C1187">
        <v>0.97198253396944001</v>
      </c>
      <c r="D1187">
        <v>0.97978381190248698</v>
      </c>
      <c r="E1187">
        <v>0.939009649028691</v>
      </c>
      <c r="F1187">
        <v>0.99328251775608001</v>
      </c>
      <c r="G1187">
        <v>0.74527963435389699</v>
      </c>
      <c r="H1187">
        <v>0.70456423739975904</v>
      </c>
      <c r="I1187">
        <v>0.65190413524185598</v>
      </c>
      <c r="J1187">
        <v>0.72536528925431798</v>
      </c>
      <c r="K1187">
        <v>0.665810995219699</v>
      </c>
      <c r="L1187">
        <v>3678.3623824911601</v>
      </c>
      <c r="M1187">
        <v>65.982581686512702</v>
      </c>
      <c r="O1187">
        <v>55.696336125531403</v>
      </c>
      <c r="P1187">
        <v>-9.2856642680848395E-2</v>
      </c>
      <c r="Q1187">
        <v>0.68647645116420297</v>
      </c>
      <c r="R1187">
        <v>0.95867421672479303</v>
      </c>
      <c r="S1187" t="s">
        <v>5927</v>
      </c>
      <c r="T1187" t="s">
        <v>9478</v>
      </c>
      <c r="U1187" t="s">
        <v>9478</v>
      </c>
      <c r="V1187" t="s">
        <v>9478</v>
      </c>
      <c r="W1187">
        <v>10</v>
      </c>
      <c r="X1187" t="s">
        <v>10665</v>
      </c>
      <c r="Y1187">
        <v>0.8514915662240331</v>
      </c>
      <c r="Z1187" t="str">
        <f>HYPERLINK("Melting_Curves/meltCurve_sp_P43487_RANG_HUMAN_.pdf", "Melting_Curves/meltCurve_sp_P43487_RANG_HUMAN_.pdf")</f>
        <v>Melting_Curves/meltCurve_sp_P43487_RANG_HUMAN_.pdf</v>
      </c>
      <c r="AA1187" t="s">
        <v>15382</v>
      </c>
      <c r="AB1187" t="s">
        <v>20022</v>
      </c>
    </row>
    <row r="1188" spans="1:28" x14ac:dyDescent="0.25">
      <c r="A1188" t="s">
        <v>1192</v>
      </c>
      <c r="B1188">
        <v>0.99904790336628502</v>
      </c>
      <c r="C1188">
        <v>0.90625321931463498</v>
      </c>
      <c r="D1188">
        <v>1.0067818514504601</v>
      </c>
      <c r="E1188">
        <v>0.99915991253209002</v>
      </c>
      <c r="F1188">
        <v>0.93061639760929105</v>
      </c>
      <c r="G1188">
        <v>0.57385944454530402</v>
      </c>
      <c r="H1188">
        <v>0.145900589301315</v>
      </c>
      <c r="I1188">
        <v>9.4465831259506694E-2</v>
      </c>
      <c r="J1188">
        <v>5.4983796990747798E-2</v>
      </c>
      <c r="K1188">
        <v>3.0622264893681299E-2</v>
      </c>
      <c r="L1188">
        <v>1879.8860452101801</v>
      </c>
      <c r="M1188">
        <v>32.782114709193898</v>
      </c>
      <c r="N1188">
        <v>57.500245300490299</v>
      </c>
      <c r="O1188">
        <v>57.132739793068197</v>
      </c>
      <c r="P1188">
        <v>-0.137367510320998</v>
      </c>
      <c r="Q1188">
        <v>4.23868058667091E-2</v>
      </c>
      <c r="R1188">
        <v>0.99440710808575195</v>
      </c>
      <c r="S1188" t="s">
        <v>5928</v>
      </c>
      <c r="T1188" t="s">
        <v>9478</v>
      </c>
      <c r="U1188" t="s">
        <v>9478</v>
      </c>
      <c r="V1188" t="s">
        <v>9478</v>
      </c>
      <c r="W1188">
        <v>28</v>
      </c>
      <c r="X1188" t="s">
        <v>10666</v>
      </c>
      <c r="Y1188">
        <v>0.60148016137775207</v>
      </c>
      <c r="Z1188" t="str">
        <f>HYPERLINK("Melting_Curves/meltCurve_sp_P43490_NAMPT_HUMAN_.pdf", "Melting_Curves/meltCurve_sp_P43490_NAMPT_HUMAN_.pdf")</f>
        <v>Melting_Curves/meltCurve_sp_P43490_NAMPT_HUMAN_.pdf</v>
      </c>
      <c r="AA1188" t="s">
        <v>15383</v>
      </c>
      <c r="AB1188" t="s">
        <v>20023</v>
      </c>
    </row>
    <row r="1189" spans="1:28" x14ac:dyDescent="0.25">
      <c r="A1189" t="s">
        <v>1193</v>
      </c>
      <c r="B1189">
        <v>0.99904790336628502</v>
      </c>
      <c r="C1189">
        <v>0.98879311171946205</v>
      </c>
      <c r="D1189">
        <v>0.97630033930619198</v>
      </c>
      <c r="E1189">
        <v>0.94695249896387101</v>
      </c>
      <c r="F1189">
        <v>0.91240130494308203</v>
      </c>
      <c r="G1189">
        <v>0.71703020240078297</v>
      </c>
      <c r="H1189">
        <v>0.57175956374492798</v>
      </c>
      <c r="I1189">
        <v>0.54527504429783802</v>
      </c>
      <c r="J1189">
        <v>0.48375312660578301</v>
      </c>
      <c r="K1189">
        <v>0.33418025291980002</v>
      </c>
      <c r="L1189">
        <v>683.44796329624501</v>
      </c>
      <c r="M1189">
        <v>11.26924039501</v>
      </c>
      <c r="N1189">
        <v>64.384514718933801</v>
      </c>
      <c r="O1189">
        <v>58.831576207108</v>
      </c>
      <c r="P1189">
        <v>-3.6403170534378103E-2</v>
      </c>
      <c r="Q1189">
        <v>0.24005601868771001</v>
      </c>
      <c r="R1189">
        <v>0.98279416879152703</v>
      </c>
      <c r="S1189" t="s">
        <v>5929</v>
      </c>
      <c r="T1189" t="s">
        <v>9478</v>
      </c>
      <c r="U1189" t="s">
        <v>9478</v>
      </c>
      <c r="V1189" t="s">
        <v>9478</v>
      </c>
      <c r="W1189">
        <v>16</v>
      </c>
      <c r="X1189" t="s">
        <v>10667</v>
      </c>
      <c r="Y1189">
        <v>0.76007102258376313</v>
      </c>
      <c r="Z1189" t="str">
        <f>HYPERLINK("Melting_Curves/meltCurve_sp_P43652_AFAM_HUMAN_.pdf", "Melting_Curves/meltCurve_sp_P43652_AFAM_HUMAN_.pdf")</f>
        <v>Melting_Curves/meltCurve_sp_P43652_AFAM_HUMAN_.pdf</v>
      </c>
      <c r="AA1189" t="s">
        <v>15384</v>
      </c>
      <c r="AB1189" t="s">
        <v>20024</v>
      </c>
    </row>
    <row r="1190" spans="1:28" x14ac:dyDescent="0.25">
      <c r="A1190" t="s">
        <v>1194</v>
      </c>
      <c r="B1190">
        <v>0.99904790336628502</v>
      </c>
      <c r="C1190">
        <v>0.90659807034787199</v>
      </c>
      <c r="D1190">
        <v>0.71030435838742401</v>
      </c>
      <c r="E1190">
        <v>0.396352973166336</v>
      </c>
      <c r="F1190">
        <v>0.22919979733639301</v>
      </c>
      <c r="G1190">
        <v>0.12580213965223</v>
      </c>
      <c r="H1190">
        <v>8.8163813792307699E-2</v>
      </c>
      <c r="I1190">
        <v>7.7060781288792998E-2</v>
      </c>
      <c r="J1190">
        <v>7.5176259552449498E-2</v>
      </c>
      <c r="K1190">
        <v>6.9173198405454106E-2</v>
      </c>
      <c r="L1190">
        <v>843.93204803235597</v>
      </c>
      <c r="M1190">
        <v>17.4999428826243</v>
      </c>
      <c r="N1190">
        <v>48.621353112098198</v>
      </c>
      <c r="O1190">
        <v>47.608343104371102</v>
      </c>
      <c r="P1190">
        <v>-8.5789385448768199E-2</v>
      </c>
      <c r="Q1190">
        <v>6.6496308261184106E-2</v>
      </c>
      <c r="R1190">
        <v>0.99942897714912404</v>
      </c>
      <c r="S1190" t="s">
        <v>5930</v>
      </c>
      <c r="T1190" t="s">
        <v>9478</v>
      </c>
      <c r="U1190" t="s">
        <v>9478</v>
      </c>
      <c r="V1190" t="s">
        <v>9478</v>
      </c>
      <c r="W1190">
        <v>19</v>
      </c>
      <c r="X1190" t="s">
        <v>10668</v>
      </c>
      <c r="Y1190">
        <v>0.33986718143157402</v>
      </c>
      <c r="Z1190" t="str">
        <f>HYPERLINK("Melting_Curves/meltCurve_sp_P43686_PRS6B_HUMAN_.pdf", "Melting_Curves/meltCurve_sp_P43686_PRS6B_HUMAN_.pdf")</f>
        <v>Melting_Curves/meltCurve_sp_P43686_PRS6B_HUMAN_.pdf</v>
      </c>
      <c r="AA1190" t="s">
        <v>15385</v>
      </c>
      <c r="AB1190" t="s">
        <v>20025</v>
      </c>
    </row>
    <row r="1191" spans="1:28" x14ac:dyDescent="0.25">
      <c r="A1191" t="s">
        <v>1195</v>
      </c>
      <c r="B1191">
        <v>0.99904790336628502</v>
      </c>
      <c r="C1191">
        <v>1.0881321175294301</v>
      </c>
      <c r="D1191">
        <v>0.81188510395397195</v>
      </c>
      <c r="E1191">
        <v>1.07670308425648</v>
      </c>
      <c r="F1191">
        <v>1.02625542069786</v>
      </c>
      <c r="G1191">
        <v>0.76414324551871005</v>
      </c>
      <c r="H1191">
        <v>0.90017332799710803</v>
      </c>
      <c r="I1191">
        <v>0.76357061196571596</v>
      </c>
      <c r="J1191">
        <v>0.78351580877790294</v>
      </c>
      <c r="K1191">
        <v>0.89614569145399503</v>
      </c>
      <c r="L1191">
        <v>5107.6297800307002</v>
      </c>
      <c r="M1191">
        <v>93.274532206781103</v>
      </c>
      <c r="O1191">
        <v>54.733941142773197</v>
      </c>
      <c r="P1191">
        <v>-7.6165070465555998E-2</v>
      </c>
      <c r="Q1191">
        <v>0.82122388524540502</v>
      </c>
      <c r="R1191">
        <v>0.52819859298293304</v>
      </c>
      <c r="S1191" t="s">
        <v>5931</v>
      </c>
      <c r="T1191" t="s">
        <v>9478</v>
      </c>
      <c r="U1191" t="s">
        <v>9478</v>
      </c>
      <c r="V1191" t="s">
        <v>9478</v>
      </c>
      <c r="W1191">
        <v>2</v>
      </c>
      <c r="X1191" t="s">
        <v>10669</v>
      </c>
      <c r="Y1191">
        <v>0.90929998385035626</v>
      </c>
      <c r="Z1191" t="str">
        <f>HYPERLINK("Melting_Curves/meltCurve_sp_P43694_GATA4_HUMAN_.pdf", "Melting_Curves/meltCurve_sp_P43694_GATA4_HUMAN_.pdf")</f>
        <v>Melting_Curves/meltCurve_sp_P43694_GATA4_HUMAN_.pdf</v>
      </c>
      <c r="AA1191" t="s">
        <v>15386</v>
      </c>
      <c r="AB1191" t="s">
        <v>20026</v>
      </c>
    </row>
    <row r="1192" spans="1:28" x14ac:dyDescent="0.25">
      <c r="A1192" t="s">
        <v>1196</v>
      </c>
      <c r="B1192">
        <v>0.99904790336628502</v>
      </c>
      <c r="C1192">
        <v>0.829335083921523</v>
      </c>
      <c r="D1192">
        <v>0.39688553027784101</v>
      </c>
      <c r="E1192">
        <v>0.17933902455142001</v>
      </c>
      <c r="F1192">
        <v>8.4364192508095695E-2</v>
      </c>
      <c r="G1192">
        <v>5.0117402387254199E-2</v>
      </c>
      <c r="H1192">
        <v>3.4163135952814901E-2</v>
      </c>
      <c r="I1192">
        <v>2.4907261041500501E-2</v>
      </c>
      <c r="J1192">
        <v>2.2998693542182501E-2</v>
      </c>
      <c r="K1192">
        <v>1.57035209903294E-2</v>
      </c>
      <c r="L1192">
        <v>1107.3340631416299</v>
      </c>
      <c r="M1192">
        <v>24.419163412699099</v>
      </c>
      <c r="N1192">
        <v>45.491621547263399</v>
      </c>
      <c r="O1192">
        <v>45.046120170767502</v>
      </c>
      <c r="P1192">
        <v>-0.130461567032187</v>
      </c>
      <c r="Q1192">
        <v>3.7363016129700499E-2</v>
      </c>
      <c r="R1192">
        <v>0.99397731985105897</v>
      </c>
      <c r="S1192" t="s">
        <v>5932</v>
      </c>
      <c r="T1192" t="s">
        <v>9478</v>
      </c>
      <c r="U1192" t="s">
        <v>9478</v>
      </c>
      <c r="V1192" t="s">
        <v>9478</v>
      </c>
      <c r="W1192">
        <v>16</v>
      </c>
      <c r="X1192" t="s">
        <v>10670</v>
      </c>
      <c r="Y1192">
        <v>0.21875390169730419</v>
      </c>
      <c r="Z1192" t="str">
        <f>HYPERLINK("Melting_Curves/meltCurve_sp_P43897_EFTS_HUMAN_.pdf", "Melting_Curves/meltCurve_sp_P43897_EFTS_HUMAN_.pdf")</f>
        <v>Melting_Curves/meltCurve_sp_P43897_EFTS_HUMAN_.pdf</v>
      </c>
      <c r="AA1192" t="s">
        <v>15387</v>
      </c>
      <c r="AB1192" t="s">
        <v>20027</v>
      </c>
    </row>
    <row r="1193" spans="1:28" x14ac:dyDescent="0.25">
      <c r="A1193" t="s">
        <v>1197</v>
      </c>
      <c r="B1193">
        <v>0.99904790336628502</v>
      </c>
      <c r="C1193">
        <v>1.0007111034696099</v>
      </c>
      <c r="D1193">
        <v>1.0497282993721</v>
      </c>
      <c r="E1193">
        <v>0.95383560000053802</v>
      </c>
      <c r="F1193">
        <v>0.79769334642770795</v>
      </c>
      <c r="G1193">
        <v>0.358631785966533</v>
      </c>
      <c r="H1193">
        <v>0.13342133516094201</v>
      </c>
      <c r="I1193">
        <v>8.6502653039815497E-2</v>
      </c>
      <c r="J1193">
        <v>7.27172899505764E-2</v>
      </c>
      <c r="K1193">
        <v>6.8655299443351303E-2</v>
      </c>
      <c r="L1193">
        <v>1566.96041401093</v>
      </c>
      <c r="M1193">
        <v>28.277136049244501</v>
      </c>
      <c r="N1193">
        <v>55.695266172654598</v>
      </c>
      <c r="O1193">
        <v>55.139458329314401</v>
      </c>
      <c r="P1193">
        <v>-0.119688923415639</v>
      </c>
      <c r="Q1193">
        <v>6.64500387742325E-2</v>
      </c>
      <c r="R1193">
        <v>0.99841743683180795</v>
      </c>
      <c r="S1193" t="s">
        <v>5933</v>
      </c>
      <c r="T1193" t="s">
        <v>9478</v>
      </c>
      <c r="U1193" t="s">
        <v>9478</v>
      </c>
      <c r="V1193" t="s">
        <v>9478</v>
      </c>
      <c r="W1193">
        <v>8</v>
      </c>
      <c r="X1193" t="s">
        <v>10671</v>
      </c>
      <c r="Y1193">
        <v>0.55304726073517019</v>
      </c>
      <c r="Z1193" t="str">
        <f>HYPERLINK("Melting_Curves/meltCurve_sp_P45381_ACY2_HUMAN_.pdf", "Melting_Curves/meltCurve_sp_P45381_ACY2_HUMAN_.pdf")</f>
        <v>Melting_Curves/meltCurve_sp_P45381_ACY2_HUMAN_.pdf</v>
      </c>
      <c r="AA1193" t="s">
        <v>15388</v>
      </c>
      <c r="AB1193" t="s">
        <v>20028</v>
      </c>
    </row>
    <row r="1194" spans="1:28" x14ac:dyDescent="0.25">
      <c r="A1194" t="s">
        <v>1198</v>
      </c>
      <c r="B1194">
        <v>0.99904790336628502</v>
      </c>
      <c r="C1194">
        <v>1.0772232897337299</v>
      </c>
      <c r="D1194">
        <v>0.972275974303907</v>
      </c>
      <c r="E1194">
        <v>0.79895326969774005</v>
      </c>
      <c r="F1194">
        <v>0.327780442413938</v>
      </c>
      <c r="G1194">
        <v>0.173736136066061</v>
      </c>
      <c r="H1194">
        <v>0.116277201468798</v>
      </c>
      <c r="I1194">
        <v>5.7719206629216903E-2</v>
      </c>
      <c r="J1194">
        <v>6.0615907617451302E-2</v>
      </c>
      <c r="K1194">
        <v>2.5137431812174298E-2</v>
      </c>
      <c r="L1194">
        <v>1765.06561692589</v>
      </c>
      <c r="M1194">
        <v>34.133918408636603</v>
      </c>
      <c r="N1194">
        <v>51.9550047545032</v>
      </c>
      <c r="O1194">
        <v>51.5335110243538</v>
      </c>
      <c r="P1194">
        <v>-0.15328252805067999</v>
      </c>
      <c r="Q1194">
        <v>7.4333652914006704E-2</v>
      </c>
      <c r="R1194">
        <v>0.99124069203441201</v>
      </c>
      <c r="S1194" t="s">
        <v>5934</v>
      </c>
      <c r="T1194" t="s">
        <v>9478</v>
      </c>
      <c r="U1194" t="s">
        <v>9478</v>
      </c>
      <c r="V1194" t="s">
        <v>9478</v>
      </c>
      <c r="W1194">
        <v>1</v>
      </c>
      <c r="X1194" t="s">
        <v>10672</v>
      </c>
      <c r="Y1194">
        <v>0.44020156852283993</v>
      </c>
      <c r="Z1194" t="str">
        <f>HYPERLINK("Melting_Curves/meltCurve_sp_P45877_PPIC_HUMAN_.pdf", "Melting_Curves/meltCurve_sp_P45877_PPIC_HUMAN_.pdf")</f>
        <v>Melting_Curves/meltCurve_sp_P45877_PPIC_HUMAN_.pdf</v>
      </c>
      <c r="AA1194" t="s">
        <v>15389</v>
      </c>
      <c r="AB1194" t="s">
        <v>20029</v>
      </c>
    </row>
    <row r="1195" spans="1:28" x14ac:dyDescent="0.25">
      <c r="A1195" t="s">
        <v>1199</v>
      </c>
      <c r="B1195">
        <v>0.99904790336628502</v>
      </c>
      <c r="C1195">
        <v>1.0391979773081099</v>
      </c>
      <c r="D1195">
        <v>1.0053474636699899</v>
      </c>
      <c r="E1195">
        <v>0.61742915827423295</v>
      </c>
      <c r="F1195">
        <v>0.36374186279741499</v>
      </c>
      <c r="G1195">
        <v>0.213564826359527</v>
      </c>
      <c r="H1195">
        <v>0.113879005309744</v>
      </c>
      <c r="I1195">
        <v>5.2382060103024902E-2</v>
      </c>
      <c r="J1195">
        <v>2.7630343552253699E-2</v>
      </c>
      <c r="K1195">
        <v>2.0450865384009399E-2</v>
      </c>
      <c r="L1195">
        <v>1081.37124098454</v>
      </c>
      <c r="M1195">
        <v>21.036085063407299</v>
      </c>
      <c r="N1195">
        <v>51.649695355379798</v>
      </c>
      <c r="O1195">
        <v>50.947768294351398</v>
      </c>
      <c r="P1195">
        <v>-9.8341033347139395E-2</v>
      </c>
      <c r="Q1195">
        <v>4.7328233076692497E-2</v>
      </c>
      <c r="R1195">
        <v>0.98955764424042603</v>
      </c>
      <c r="S1195" t="s">
        <v>5935</v>
      </c>
      <c r="T1195" t="s">
        <v>9478</v>
      </c>
      <c r="U1195" t="s">
        <v>9478</v>
      </c>
      <c r="V1195" t="s">
        <v>9478</v>
      </c>
      <c r="W1195">
        <v>25</v>
      </c>
      <c r="X1195" t="s">
        <v>10673</v>
      </c>
      <c r="Y1195">
        <v>0.42154807256671128</v>
      </c>
      <c r="Z1195" t="str">
        <f>HYPERLINK("Melting_Curves/meltCurve_sp_P45954_ACDSB_HUMAN_.pdf", "Melting_Curves/meltCurve_sp_P45954_ACDSB_HUMAN_.pdf")</f>
        <v>Melting_Curves/meltCurve_sp_P45954_ACDSB_HUMAN_.pdf</v>
      </c>
      <c r="AA1195" t="s">
        <v>15390</v>
      </c>
      <c r="AB1195" t="s">
        <v>20030</v>
      </c>
    </row>
    <row r="1196" spans="1:28" x14ac:dyDescent="0.25">
      <c r="A1196" t="s">
        <v>1200</v>
      </c>
      <c r="B1196">
        <v>0.99904790336628502</v>
      </c>
      <c r="C1196">
        <v>0.95453931093883104</v>
      </c>
      <c r="D1196">
        <v>0.87635790666796498</v>
      </c>
      <c r="E1196">
        <v>0.91830976747721804</v>
      </c>
      <c r="F1196">
        <v>0.84708938055648297</v>
      </c>
      <c r="G1196">
        <v>0.68993904129349204</v>
      </c>
      <c r="H1196">
        <v>0.53050325791778097</v>
      </c>
      <c r="I1196">
        <v>0.39411989552245902</v>
      </c>
      <c r="J1196">
        <v>0.44795109789953602</v>
      </c>
      <c r="K1196">
        <v>0.28097613824101803</v>
      </c>
      <c r="L1196">
        <v>530.40725087231499</v>
      </c>
      <c r="M1196">
        <v>8.6202872105916697</v>
      </c>
      <c r="N1196">
        <v>62.451805117834397</v>
      </c>
      <c r="O1196">
        <v>58.487504824483302</v>
      </c>
      <c r="P1196">
        <v>-3.4675432335196897E-2</v>
      </c>
      <c r="Q1196">
        <v>5.9731031936381997E-2</v>
      </c>
      <c r="R1196">
        <v>0.96964924077509396</v>
      </c>
      <c r="S1196" t="s">
        <v>5936</v>
      </c>
      <c r="T1196" t="s">
        <v>9478</v>
      </c>
      <c r="U1196" t="s">
        <v>9478</v>
      </c>
      <c r="V1196" t="s">
        <v>9478</v>
      </c>
      <c r="W1196">
        <v>6</v>
      </c>
      <c r="X1196" t="s">
        <v>10674</v>
      </c>
      <c r="Y1196">
        <v>0.70997431164519931</v>
      </c>
      <c r="Z1196" t="str">
        <f>HYPERLINK("Melting_Curves/meltCurve_sp_P45973_CBX5_HUMAN_.pdf", "Melting_Curves/meltCurve_sp_P45973_CBX5_HUMAN_.pdf")</f>
        <v>Melting_Curves/meltCurve_sp_P45973_CBX5_HUMAN_.pdf</v>
      </c>
      <c r="AA1196" t="s">
        <v>15391</v>
      </c>
      <c r="AB1196" t="s">
        <v>20031</v>
      </c>
    </row>
    <row r="1197" spans="1:28" x14ac:dyDescent="0.25">
      <c r="A1197" t="s">
        <v>1201</v>
      </c>
      <c r="B1197">
        <v>0.99904790336628502</v>
      </c>
      <c r="C1197">
        <v>1.0095047888648701</v>
      </c>
      <c r="D1197">
        <v>1.05124268210789</v>
      </c>
      <c r="E1197">
        <v>1.0028134807969</v>
      </c>
      <c r="F1197">
        <v>0.94349657088193495</v>
      </c>
      <c r="G1197">
        <v>0.43693522435767701</v>
      </c>
      <c r="H1197">
        <v>0.10881420666580501</v>
      </c>
      <c r="I1197">
        <v>6.8466973475958398E-2</v>
      </c>
      <c r="J1197">
        <v>5.1010541104585201E-2</v>
      </c>
      <c r="K1197">
        <v>4.2726780367815499E-2</v>
      </c>
      <c r="L1197">
        <v>2277.79434361835</v>
      </c>
      <c r="M1197">
        <v>40.327979517300697</v>
      </c>
      <c r="N1197">
        <v>56.639805396763599</v>
      </c>
      <c r="O1197">
        <v>56.343387200085097</v>
      </c>
      <c r="P1197">
        <v>-0.16941472840014399</v>
      </c>
      <c r="Q1197">
        <v>5.3225020704291699E-2</v>
      </c>
      <c r="R1197">
        <v>0.99840931920207499</v>
      </c>
      <c r="S1197" t="s">
        <v>5937</v>
      </c>
      <c r="T1197" t="s">
        <v>9478</v>
      </c>
      <c r="U1197" t="s">
        <v>9478</v>
      </c>
      <c r="V1197" t="s">
        <v>9478</v>
      </c>
      <c r="W1197">
        <v>29</v>
      </c>
      <c r="X1197" t="s">
        <v>10675</v>
      </c>
      <c r="Y1197">
        <v>0.57698186950836683</v>
      </c>
      <c r="Z1197" t="str">
        <f>HYPERLINK("Melting_Curves/meltCurve_sp_P45974_2_UBP5_HUMAN_.pdf", "Melting_Curves/meltCurve_sp_P45974_2_UBP5_HUMAN_.pdf")</f>
        <v>Melting_Curves/meltCurve_sp_P45974_2_UBP5_HUMAN_.pdf</v>
      </c>
      <c r="AA1197" t="s">
        <v>15392</v>
      </c>
      <c r="AB1197" t="s">
        <v>20032</v>
      </c>
    </row>
    <row r="1198" spans="1:28" x14ac:dyDescent="0.25">
      <c r="A1198" t="s">
        <v>1202</v>
      </c>
      <c r="B1198">
        <v>0.99904790336628502</v>
      </c>
      <c r="C1198">
        <v>0.70158789758086704</v>
      </c>
      <c r="D1198">
        <v>0.65794721668589795</v>
      </c>
      <c r="E1198">
        <v>0.49450121482399201</v>
      </c>
      <c r="F1198">
        <v>0.36493501094522601</v>
      </c>
      <c r="G1198">
        <v>0.17454504611931701</v>
      </c>
      <c r="H1198">
        <v>9.7005208054468398E-2</v>
      </c>
      <c r="I1198">
        <v>6.7628113311784602E-2</v>
      </c>
      <c r="J1198">
        <v>7.3063541584136901E-2</v>
      </c>
      <c r="K1198">
        <v>5.5998223563650799E-2</v>
      </c>
      <c r="L1198">
        <v>487.96898480873801</v>
      </c>
      <c r="M1198">
        <v>9.9355588237667902</v>
      </c>
      <c r="N1198">
        <v>49.113390975851402</v>
      </c>
      <c r="O1198">
        <v>47.248045949049903</v>
      </c>
      <c r="P1198">
        <v>-5.2597491716593198E-2</v>
      </c>
      <c r="Q1198">
        <v>0</v>
      </c>
      <c r="R1198">
        <v>0.97454313478953403</v>
      </c>
      <c r="S1198" t="s">
        <v>5938</v>
      </c>
      <c r="T1198" t="s">
        <v>9478</v>
      </c>
      <c r="U1198" t="s">
        <v>9478</v>
      </c>
      <c r="V1198" t="s">
        <v>9478</v>
      </c>
      <c r="W1198">
        <v>4</v>
      </c>
      <c r="X1198" t="s">
        <v>10676</v>
      </c>
      <c r="Y1198">
        <v>0.35274983600284898</v>
      </c>
      <c r="Z1198" t="str">
        <f>HYPERLINK("Melting_Curves/meltCurve_sp_P45983_3_MK08_HUMAN_.pdf", "Melting_Curves/meltCurve_sp_P45983_3_MK08_HUMAN_.pdf")</f>
        <v>Melting_Curves/meltCurve_sp_P45983_3_MK08_HUMAN_.pdf</v>
      </c>
      <c r="AA1198" t="s">
        <v>15393</v>
      </c>
      <c r="AB1198" t="s">
        <v>20033</v>
      </c>
    </row>
    <row r="1199" spans="1:28" x14ac:dyDescent="0.25">
      <c r="A1199" t="s">
        <v>1203</v>
      </c>
      <c r="B1199">
        <v>0.99904790336628502</v>
      </c>
      <c r="C1199">
        <v>0.97009516663915896</v>
      </c>
      <c r="D1199">
        <v>0.91151783772745398</v>
      </c>
      <c r="E1199">
        <v>0.84589241808098903</v>
      </c>
      <c r="F1199">
        <v>0.67721747686496603</v>
      </c>
      <c r="G1199">
        <v>0.29568667420339101</v>
      </c>
      <c r="H1199">
        <v>0.14313878381905701</v>
      </c>
      <c r="I1199">
        <v>9.0337213039176106E-2</v>
      </c>
      <c r="J1199">
        <v>7.30830115916907E-2</v>
      </c>
      <c r="K1199">
        <v>4.8761209462000202E-2</v>
      </c>
      <c r="L1199">
        <v>1051.5417965008101</v>
      </c>
      <c r="M1199">
        <v>19.315052616839701</v>
      </c>
      <c r="N1199">
        <v>54.662453974363402</v>
      </c>
      <c r="O1199">
        <v>53.868098734373604</v>
      </c>
      <c r="P1199">
        <v>-8.6278596660946005E-2</v>
      </c>
      <c r="Q1199">
        <v>3.7540571731025998E-2</v>
      </c>
      <c r="R1199">
        <v>0.99571569313547803</v>
      </c>
      <c r="S1199" t="s">
        <v>5939</v>
      </c>
      <c r="T1199" t="s">
        <v>9478</v>
      </c>
      <c r="U1199" t="s">
        <v>9478</v>
      </c>
      <c r="V1199" t="s">
        <v>9478</v>
      </c>
      <c r="W1199">
        <v>8</v>
      </c>
      <c r="X1199" t="s">
        <v>10677</v>
      </c>
      <c r="Y1199">
        <v>0.51455027543472187</v>
      </c>
      <c r="Z1199" t="str">
        <f>HYPERLINK("Melting_Curves/meltCurve_sp_P45984_2_MK09_HUMAN_.pdf", "Melting_Curves/meltCurve_sp_P45984_2_MK09_HUMAN_.pdf")</f>
        <v>Melting_Curves/meltCurve_sp_P45984_2_MK09_HUMAN_.pdf</v>
      </c>
      <c r="AA1199" t="s">
        <v>15394</v>
      </c>
      <c r="AB1199" t="s">
        <v>20034</v>
      </c>
    </row>
    <row r="1200" spans="1:28" x14ac:dyDescent="0.25">
      <c r="A1200" t="s">
        <v>1204</v>
      </c>
      <c r="B1200">
        <v>0.99904790336628502</v>
      </c>
      <c r="C1200">
        <v>0.81541464846852096</v>
      </c>
      <c r="D1200">
        <v>0.57048452902928903</v>
      </c>
      <c r="E1200">
        <v>0.27324732538770502</v>
      </c>
      <c r="F1200">
        <v>0.15160975766510401</v>
      </c>
      <c r="G1200">
        <v>8.0985075050223496E-2</v>
      </c>
      <c r="H1200">
        <v>5.1563348186593201E-2</v>
      </c>
      <c r="I1200">
        <v>3.7302741887728599E-2</v>
      </c>
      <c r="J1200">
        <v>4.2156903253129901E-2</v>
      </c>
      <c r="K1200">
        <v>3.0233931955719599E-2</v>
      </c>
      <c r="L1200">
        <v>811.83370024052795</v>
      </c>
      <c r="M1200">
        <v>17.387244277746799</v>
      </c>
      <c r="N1200">
        <v>46.889486693411399</v>
      </c>
      <c r="O1200">
        <v>46.086848591224701</v>
      </c>
      <c r="P1200">
        <v>-9.0982158200656693E-2</v>
      </c>
      <c r="Q1200">
        <v>3.5420852533224599E-2</v>
      </c>
      <c r="R1200">
        <v>0.99748825128366503</v>
      </c>
      <c r="S1200" t="s">
        <v>5940</v>
      </c>
      <c r="T1200" t="s">
        <v>9478</v>
      </c>
      <c r="U1200" t="s">
        <v>9478</v>
      </c>
      <c r="V1200" t="s">
        <v>9478</v>
      </c>
      <c r="W1200">
        <v>7</v>
      </c>
      <c r="X1200" t="s">
        <v>10678</v>
      </c>
      <c r="Y1200">
        <v>0.27007988301807639</v>
      </c>
      <c r="Z1200" t="str">
        <f>HYPERLINK("Melting_Curves/meltCurve_sp_P45985_MP2K4_HUMAN_.pdf", "Melting_Curves/meltCurve_sp_P45985_MP2K4_HUMAN_.pdf")</f>
        <v>Melting_Curves/meltCurve_sp_P45985_MP2K4_HUMAN_.pdf</v>
      </c>
      <c r="AA1200" t="s">
        <v>15395</v>
      </c>
      <c r="AB1200" t="s">
        <v>20035</v>
      </c>
    </row>
    <row r="1201" spans="1:28" x14ac:dyDescent="0.25">
      <c r="A1201" t="s">
        <v>1205</v>
      </c>
      <c r="B1201">
        <v>0.99904790336628502</v>
      </c>
      <c r="C1201">
        <v>0.93367665720194204</v>
      </c>
      <c r="D1201">
        <v>0.918319919557535</v>
      </c>
      <c r="E1201">
        <v>0.85109719534915396</v>
      </c>
      <c r="F1201">
        <v>0.86707631488092296</v>
      </c>
      <c r="G1201">
        <v>0.60401347986506304</v>
      </c>
      <c r="H1201">
        <v>0.61258169677146501</v>
      </c>
      <c r="I1201">
        <v>0.58199557029638604</v>
      </c>
      <c r="J1201">
        <v>0.56822265057571697</v>
      </c>
      <c r="K1201">
        <v>0.62060938639492202</v>
      </c>
      <c r="L1201">
        <v>728.80054632580595</v>
      </c>
      <c r="M1201">
        <v>13.7799986333054</v>
      </c>
      <c r="O1201">
        <v>51.811794038740899</v>
      </c>
      <c r="P1201">
        <v>-2.93857608909458E-2</v>
      </c>
      <c r="Q1201">
        <v>0.55810890102417199</v>
      </c>
      <c r="R1201">
        <v>0.924913282188774</v>
      </c>
      <c r="S1201" t="s">
        <v>5941</v>
      </c>
      <c r="T1201" t="s">
        <v>9478</v>
      </c>
      <c r="U1201" t="s">
        <v>9478</v>
      </c>
      <c r="V1201" t="s">
        <v>9478</v>
      </c>
      <c r="W1201">
        <v>9</v>
      </c>
      <c r="X1201" t="s">
        <v>10679</v>
      </c>
      <c r="Y1201">
        <v>0.75866819269517194</v>
      </c>
      <c r="Z1201" t="str">
        <f>HYPERLINK("Melting_Curves/meltCurve_sp_P46013_2_KI67_HUMAN_.pdf", "Melting_Curves/meltCurve_sp_P46013_2_KI67_HUMAN_.pdf")</f>
        <v>Melting_Curves/meltCurve_sp_P46013_2_KI67_HUMAN_.pdf</v>
      </c>
      <c r="AA1201" t="s">
        <v>15396</v>
      </c>
      <c r="AB1201" t="s">
        <v>20036</v>
      </c>
    </row>
    <row r="1202" spans="1:28" x14ac:dyDescent="0.25">
      <c r="A1202" t="s">
        <v>1206</v>
      </c>
      <c r="B1202">
        <v>0.99904790336628502</v>
      </c>
      <c r="C1202">
        <v>1.0699398200794501</v>
      </c>
      <c r="D1202">
        <v>0.98767372806884102</v>
      </c>
      <c r="E1202">
        <v>0.50807732547691897</v>
      </c>
      <c r="F1202">
        <v>0.25523582757941898</v>
      </c>
      <c r="G1202">
        <v>0.14453127577282299</v>
      </c>
      <c r="H1202">
        <v>7.4287068658810906E-2</v>
      </c>
      <c r="I1202">
        <v>5.8088629462578603E-2</v>
      </c>
      <c r="J1202">
        <v>4.6422165508096698E-2</v>
      </c>
      <c r="K1202">
        <v>3.5615854707506299E-2</v>
      </c>
      <c r="L1202">
        <v>1447.11118292888</v>
      </c>
      <c r="M1202">
        <v>28.883391599740001</v>
      </c>
      <c r="N1202">
        <v>50.350128095061898</v>
      </c>
      <c r="O1202">
        <v>49.863517867680798</v>
      </c>
      <c r="P1202">
        <v>-0.135201346563011</v>
      </c>
      <c r="Q1202">
        <v>6.6374987099166602E-2</v>
      </c>
      <c r="R1202">
        <v>0.99116377578056503</v>
      </c>
      <c r="S1202" t="s">
        <v>5942</v>
      </c>
      <c r="T1202" t="s">
        <v>9478</v>
      </c>
      <c r="U1202" t="s">
        <v>9478</v>
      </c>
      <c r="V1202" t="s">
        <v>9478</v>
      </c>
      <c r="W1202">
        <v>14</v>
      </c>
      <c r="X1202" t="s">
        <v>10680</v>
      </c>
      <c r="Y1202">
        <v>0.38699774874058618</v>
      </c>
      <c r="Z1202" t="str">
        <f>HYPERLINK("Melting_Curves/meltCurve_sp_P46019_KPB2_HUMAN_.pdf", "Melting_Curves/meltCurve_sp_P46019_KPB2_HUMAN_.pdf")</f>
        <v>Melting_Curves/meltCurve_sp_P46019_KPB2_HUMAN_.pdf</v>
      </c>
      <c r="AA1202" t="s">
        <v>15397</v>
      </c>
      <c r="AB1202" t="s">
        <v>20037</v>
      </c>
    </row>
    <row r="1203" spans="1:28" x14ac:dyDescent="0.25">
      <c r="A1203" t="s">
        <v>1207</v>
      </c>
      <c r="B1203">
        <v>0.99904790336628502</v>
      </c>
      <c r="C1203">
        <v>1.00551148957798</v>
      </c>
      <c r="D1203">
        <v>1.01052183521621</v>
      </c>
      <c r="E1203">
        <v>0.91068860630208004</v>
      </c>
      <c r="F1203">
        <v>0.54453335725518204</v>
      </c>
      <c r="G1203">
        <v>0.13737116779705599</v>
      </c>
      <c r="H1203">
        <v>6.5735812378195105E-2</v>
      </c>
      <c r="I1203">
        <v>3.7457642016292099E-2</v>
      </c>
      <c r="J1203">
        <v>2.6160646988379901E-2</v>
      </c>
      <c r="K1203">
        <v>1.84790977398227E-2</v>
      </c>
      <c r="L1203">
        <v>1768.3027425457699</v>
      </c>
      <c r="M1203">
        <v>33.214218870393402</v>
      </c>
      <c r="N1203">
        <v>53.349393614533902</v>
      </c>
      <c r="O1203">
        <v>53.047444505933498</v>
      </c>
      <c r="P1203">
        <v>-0.15134789083326899</v>
      </c>
      <c r="Q1203">
        <v>3.31147380598837E-2</v>
      </c>
      <c r="R1203">
        <v>0.99939259291471505</v>
      </c>
      <c r="S1203" t="s">
        <v>5943</v>
      </c>
      <c r="T1203" t="s">
        <v>9478</v>
      </c>
      <c r="U1203" t="s">
        <v>9478</v>
      </c>
      <c r="V1203" t="s">
        <v>9478</v>
      </c>
      <c r="W1203">
        <v>15</v>
      </c>
      <c r="X1203" t="s">
        <v>10681</v>
      </c>
      <c r="Y1203">
        <v>0.46496106983911129</v>
      </c>
      <c r="Z1203" t="str">
        <f>HYPERLINK("Melting_Curves/meltCurve_sp_P46060_RAGP1_HUMAN_.pdf", "Melting_Curves/meltCurve_sp_P46060_RAGP1_HUMAN_.pdf")</f>
        <v>Melting_Curves/meltCurve_sp_P46060_RAGP1_HUMAN_.pdf</v>
      </c>
      <c r="AA1203" t="s">
        <v>15398</v>
      </c>
      <c r="AB1203" t="s">
        <v>20038</v>
      </c>
    </row>
    <row r="1204" spans="1:28" x14ac:dyDescent="0.25">
      <c r="A1204" t="s">
        <v>1208</v>
      </c>
      <c r="B1204">
        <v>0.99904790336628502</v>
      </c>
      <c r="C1204">
        <v>0.95863168742583305</v>
      </c>
      <c r="D1204">
        <v>0.97668256524732899</v>
      </c>
      <c r="E1204">
        <v>0.76403142801278201</v>
      </c>
      <c r="F1204">
        <v>0.35201289018381499</v>
      </c>
      <c r="G1204">
        <v>0.135611244984329</v>
      </c>
      <c r="H1204">
        <v>8.0224564249836094E-2</v>
      </c>
      <c r="I1204">
        <v>5.5041480355778001E-2</v>
      </c>
      <c r="J1204">
        <v>5.2686526614486001E-2</v>
      </c>
      <c r="K1204">
        <v>5.1636630802507702E-2</v>
      </c>
      <c r="L1204">
        <v>1560.5342203550899</v>
      </c>
      <c r="M1204">
        <v>30.172637627569401</v>
      </c>
      <c r="N1204">
        <v>51.939631529165702</v>
      </c>
      <c r="O1204">
        <v>51.4946081310339</v>
      </c>
      <c r="P1204">
        <v>-0.137719345818167</v>
      </c>
      <c r="Q1204">
        <v>5.9842835854022801E-2</v>
      </c>
      <c r="R1204">
        <v>0.99840534839987105</v>
      </c>
      <c r="S1204" t="s">
        <v>5944</v>
      </c>
      <c r="T1204" t="s">
        <v>9478</v>
      </c>
      <c r="U1204" t="s">
        <v>9478</v>
      </c>
      <c r="V1204" t="s">
        <v>9478</v>
      </c>
      <c r="W1204">
        <v>12</v>
      </c>
      <c r="X1204" t="s">
        <v>10682</v>
      </c>
      <c r="Y1204">
        <v>0.43304917885892469</v>
      </c>
      <c r="Z1204" t="str">
        <f>HYPERLINK("Melting_Curves/meltCurve_sp_P46063_RECQ1_HUMAN_.pdf", "Melting_Curves/meltCurve_sp_P46063_RECQ1_HUMAN_.pdf")</f>
        <v>Melting_Curves/meltCurve_sp_P46063_RECQ1_HUMAN_.pdf</v>
      </c>
      <c r="AA1204" t="s">
        <v>15399</v>
      </c>
      <c r="AB1204" t="s">
        <v>20039</v>
      </c>
    </row>
    <row r="1205" spans="1:28" x14ac:dyDescent="0.25">
      <c r="A1205" t="s">
        <v>1209</v>
      </c>
      <c r="B1205">
        <v>0.99904790336628502</v>
      </c>
      <c r="C1205">
        <v>0.96554049610516401</v>
      </c>
      <c r="D1205">
        <v>0.926294447758641</v>
      </c>
      <c r="E1205">
        <v>0.97712111524422596</v>
      </c>
      <c r="F1205">
        <v>1.09536870754396</v>
      </c>
      <c r="G1205">
        <v>1.0104586597368099</v>
      </c>
      <c r="H1205">
        <v>0.92635031137192403</v>
      </c>
      <c r="I1205">
        <v>0.91975181395626504</v>
      </c>
      <c r="J1205">
        <v>1.05591191614187</v>
      </c>
      <c r="K1205">
        <v>1.17784278971631</v>
      </c>
      <c r="L1205">
        <v>15000</v>
      </c>
      <c r="M1205">
        <v>223.10057655800901</v>
      </c>
      <c r="O1205">
        <v>67.228871753412605</v>
      </c>
      <c r="P1205">
        <v>0.14756621113785101</v>
      </c>
      <c r="Q1205">
        <v>1.17786966755642</v>
      </c>
      <c r="R1205">
        <v>0.54987560676329195</v>
      </c>
      <c r="S1205" t="s">
        <v>5945</v>
      </c>
      <c r="T1205" t="s">
        <v>9478</v>
      </c>
      <c r="U1205" t="s">
        <v>9478</v>
      </c>
      <c r="V1205" t="s">
        <v>9478</v>
      </c>
      <c r="W1205">
        <v>6</v>
      </c>
      <c r="X1205" t="s">
        <v>10683</v>
      </c>
      <c r="Y1205">
        <v>1.0163720344683931</v>
      </c>
      <c r="Z1205" t="str">
        <f>HYPERLINK("Melting_Curves/meltCurve_sp_P46087_2_NOP2_HUMAN_.pdf", "Melting_Curves/meltCurve_sp_P46087_2_NOP2_HUMAN_.pdf")</f>
        <v>Melting_Curves/meltCurve_sp_P46087_2_NOP2_HUMAN_.pdf</v>
      </c>
      <c r="AA1205" t="s">
        <v>15400</v>
      </c>
      <c r="AB1205" t="s">
        <v>20040</v>
      </c>
    </row>
    <row r="1206" spans="1:28" x14ac:dyDescent="0.25">
      <c r="A1206" t="s">
        <v>1210</v>
      </c>
      <c r="B1206">
        <v>0.99904790336628502</v>
      </c>
      <c r="C1206">
        <v>0.915970154566352</v>
      </c>
      <c r="D1206">
        <v>0.92762819280683995</v>
      </c>
      <c r="E1206">
        <v>0.892877526999999</v>
      </c>
      <c r="F1206">
        <v>0.88145307155158403</v>
      </c>
      <c r="G1206">
        <v>0.71426109178838004</v>
      </c>
      <c r="H1206">
        <v>0.62151964812331395</v>
      </c>
      <c r="I1206">
        <v>0.59468672282505897</v>
      </c>
      <c r="J1206">
        <v>0.55677228743567297</v>
      </c>
      <c r="K1206">
        <v>0.61995475564215397</v>
      </c>
      <c r="L1206">
        <v>648.89919708867501</v>
      </c>
      <c r="M1206">
        <v>11.745029301934499</v>
      </c>
      <c r="O1206">
        <v>53.720145494417402</v>
      </c>
      <c r="P1206">
        <v>-2.5578979885836201E-2</v>
      </c>
      <c r="Q1206">
        <v>0.532143649574078</v>
      </c>
      <c r="R1206">
        <v>0.94530259537652594</v>
      </c>
      <c r="S1206" t="s">
        <v>5946</v>
      </c>
      <c r="T1206" t="s">
        <v>9478</v>
      </c>
      <c r="U1206" t="s">
        <v>9478</v>
      </c>
      <c r="V1206" t="s">
        <v>9478</v>
      </c>
      <c r="W1206">
        <v>5</v>
      </c>
      <c r="X1206" t="s">
        <v>10684</v>
      </c>
      <c r="Y1206">
        <v>0.78072516555756644</v>
      </c>
      <c r="Z1206" t="str">
        <f>HYPERLINK("Melting_Curves/meltCurve_sp_P46100_2_ATRX_HUMAN_.pdf", "Melting_Curves/meltCurve_sp_P46100_2_ATRX_HUMAN_.pdf")</f>
        <v>Melting_Curves/meltCurve_sp_P46100_2_ATRX_HUMAN_.pdf</v>
      </c>
      <c r="AA1206" t="s">
        <v>15401</v>
      </c>
      <c r="AB1206" t="s">
        <v>20041</v>
      </c>
    </row>
    <row r="1207" spans="1:28" x14ac:dyDescent="0.25">
      <c r="A1207" t="s">
        <v>1211</v>
      </c>
      <c r="B1207">
        <v>0.99904790336628502</v>
      </c>
      <c r="C1207">
        <v>0.95583468927564497</v>
      </c>
      <c r="D1207">
        <v>0.90482520123963195</v>
      </c>
      <c r="E1207">
        <v>0.94394644041704501</v>
      </c>
      <c r="F1207">
        <v>0.86201996322669405</v>
      </c>
      <c r="G1207">
        <v>0.53779809417102997</v>
      </c>
      <c r="H1207">
        <v>0.191831697561061</v>
      </c>
      <c r="I1207">
        <v>0.12940138749618099</v>
      </c>
      <c r="J1207">
        <v>0.110352007624464</v>
      </c>
      <c r="K1207">
        <v>9.1436632799480805E-2</v>
      </c>
      <c r="L1207">
        <v>1394.58127220046</v>
      </c>
      <c r="M1207">
        <v>24.5549175909029</v>
      </c>
      <c r="N1207">
        <v>57.183346779734897</v>
      </c>
      <c r="O1207">
        <v>56.421704872617099</v>
      </c>
      <c r="P1207">
        <v>-0.100434283627014</v>
      </c>
      <c r="Q1207">
        <v>7.6911205402286104E-2</v>
      </c>
      <c r="R1207">
        <v>0.99142421310317697</v>
      </c>
      <c r="S1207" t="s">
        <v>5947</v>
      </c>
      <c r="T1207" t="s">
        <v>9478</v>
      </c>
      <c r="U1207" t="s">
        <v>9478</v>
      </c>
      <c r="V1207" t="s">
        <v>9478</v>
      </c>
      <c r="W1207">
        <v>15</v>
      </c>
      <c r="X1207" t="s">
        <v>10685</v>
      </c>
      <c r="Y1207">
        <v>0.60226263531357371</v>
      </c>
      <c r="Z1207" t="str">
        <f>HYPERLINK("Melting_Curves/meltCurve_sp_P46108_CRK_HUMAN_.pdf", "Melting_Curves/meltCurve_sp_P46108_CRK_HUMAN_.pdf")</f>
        <v>Melting_Curves/meltCurve_sp_P46108_CRK_HUMAN_.pdf</v>
      </c>
      <c r="AA1207" t="s">
        <v>15402</v>
      </c>
      <c r="AB1207" t="s">
        <v>20042</v>
      </c>
    </row>
    <row r="1208" spans="1:28" x14ac:dyDescent="0.25">
      <c r="A1208" t="s">
        <v>1212</v>
      </c>
      <c r="B1208">
        <v>0.99904790336628502</v>
      </c>
      <c r="C1208">
        <v>0.88938960427216296</v>
      </c>
      <c r="D1208">
        <v>0.86084158637953301</v>
      </c>
      <c r="E1208">
        <v>0.86747107139498902</v>
      </c>
      <c r="F1208">
        <v>0.75036233588819301</v>
      </c>
      <c r="G1208">
        <v>0.454728529532826</v>
      </c>
      <c r="H1208">
        <v>0.25236788728857801</v>
      </c>
      <c r="I1208">
        <v>0.18497361749230901</v>
      </c>
      <c r="J1208">
        <v>0.148027920472732</v>
      </c>
      <c r="K1208">
        <v>0.123208641686851</v>
      </c>
      <c r="L1208">
        <v>754.29807086523897</v>
      </c>
      <c r="M1208">
        <v>13.4570421375913</v>
      </c>
      <c r="N1208">
        <v>56.434240389431601</v>
      </c>
      <c r="O1208">
        <v>54.8579337815884</v>
      </c>
      <c r="P1208">
        <v>-5.8666557801270301E-2</v>
      </c>
      <c r="Q1208">
        <v>4.3525662454915202E-2</v>
      </c>
      <c r="R1208">
        <v>0.98013504169157795</v>
      </c>
      <c r="S1208" t="s">
        <v>5948</v>
      </c>
      <c r="T1208" t="s">
        <v>9478</v>
      </c>
      <c r="U1208" t="s">
        <v>9478</v>
      </c>
      <c r="V1208" t="s">
        <v>9478</v>
      </c>
      <c r="W1208">
        <v>10</v>
      </c>
      <c r="X1208" t="s">
        <v>10686</v>
      </c>
      <c r="Y1208">
        <v>0.57358072844651542</v>
      </c>
      <c r="Z1208" t="str">
        <f>HYPERLINK("Melting_Curves/meltCurve_sp_P46109_CRKL_HUMAN_.pdf", "Melting_Curves/meltCurve_sp_P46109_CRKL_HUMAN_.pdf")</f>
        <v>Melting_Curves/meltCurve_sp_P46109_CRKL_HUMAN_.pdf</v>
      </c>
      <c r="AA1208" t="s">
        <v>15403</v>
      </c>
      <c r="AB1208" t="s">
        <v>20043</v>
      </c>
    </row>
    <row r="1209" spans="1:28" x14ac:dyDescent="0.25">
      <c r="A1209" t="s">
        <v>1213</v>
      </c>
      <c r="B1209">
        <v>0.99904790336628502</v>
      </c>
      <c r="C1209">
        <v>0.92446035448572295</v>
      </c>
      <c r="D1209">
        <v>0.85922112118403604</v>
      </c>
      <c r="E1209">
        <v>0.59708231657928901</v>
      </c>
      <c r="F1209">
        <v>0.36262772335827498</v>
      </c>
      <c r="G1209">
        <v>0.190331308062576</v>
      </c>
      <c r="H1209">
        <v>0.11401779484148999</v>
      </c>
      <c r="I1209">
        <v>8.5883076786993098E-2</v>
      </c>
      <c r="J1209">
        <v>7.0485153578205506E-2</v>
      </c>
      <c r="K1209">
        <v>6.5930559926586293E-2</v>
      </c>
      <c r="L1209">
        <v>823.43974968825</v>
      </c>
      <c r="M1209">
        <v>16.212587066038399</v>
      </c>
      <c r="N1209">
        <v>51.144713573712302</v>
      </c>
      <c r="O1209">
        <v>50.0362884171291</v>
      </c>
      <c r="P1209">
        <v>-7.6704170828416393E-2</v>
      </c>
      <c r="Q1209">
        <v>5.31540746683168E-2</v>
      </c>
      <c r="R1209">
        <v>0.99904304940911604</v>
      </c>
      <c r="S1209" t="s">
        <v>5949</v>
      </c>
      <c r="T1209" t="s">
        <v>9478</v>
      </c>
      <c r="U1209" t="s">
        <v>9478</v>
      </c>
      <c r="V1209" t="s">
        <v>9478</v>
      </c>
      <c r="W1209">
        <v>8</v>
      </c>
      <c r="X1209" t="s">
        <v>10687</v>
      </c>
      <c r="Y1209">
        <v>0.41298429786148272</v>
      </c>
      <c r="Z1209" t="str">
        <f>HYPERLINK("Melting_Curves/meltCurve_sp_P46199_IF2M_HUMAN_.pdf", "Melting_Curves/meltCurve_sp_P46199_IF2M_HUMAN_.pdf")</f>
        <v>Melting_Curves/meltCurve_sp_P46199_IF2M_HUMAN_.pdf</v>
      </c>
      <c r="AA1209" t="s">
        <v>15404</v>
      </c>
      <c r="AB1209" t="s">
        <v>20044</v>
      </c>
    </row>
    <row r="1210" spans="1:28" x14ac:dyDescent="0.25">
      <c r="A1210" t="s">
        <v>1214</v>
      </c>
      <c r="B1210">
        <v>0.99904790336628502</v>
      </c>
      <c r="C1210">
        <v>0.97369778436465004</v>
      </c>
      <c r="D1210">
        <v>0.91467827422324399</v>
      </c>
      <c r="E1210">
        <v>0.84886467695471801</v>
      </c>
      <c r="F1210">
        <v>0.79664197146426197</v>
      </c>
      <c r="G1210">
        <v>0.53836545717930595</v>
      </c>
      <c r="H1210">
        <v>0.41020220682060099</v>
      </c>
      <c r="I1210">
        <v>0.36308771560197101</v>
      </c>
      <c r="J1210">
        <v>0.33018951473024599</v>
      </c>
      <c r="K1210">
        <v>0.31854129880094201</v>
      </c>
      <c r="L1210">
        <v>775.18190819721497</v>
      </c>
      <c r="M1210">
        <v>14.0163424383608</v>
      </c>
      <c r="N1210">
        <v>58.549567841104199</v>
      </c>
      <c r="O1210">
        <v>54.216300736661701</v>
      </c>
      <c r="P1210">
        <v>-4.7186339232887099E-2</v>
      </c>
      <c r="Q1210">
        <v>0.27001447194546002</v>
      </c>
      <c r="R1210">
        <v>0.99139478963052097</v>
      </c>
      <c r="S1210" t="s">
        <v>5950</v>
      </c>
      <c r="T1210" t="s">
        <v>9478</v>
      </c>
      <c r="U1210" t="s">
        <v>9478</v>
      </c>
      <c r="V1210" t="s">
        <v>9478</v>
      </c>
      <c r="W1210">
        <v>3</v>
      </c>
      <c r="X1210" t="s">
        <v>10688</v>
      </c>
      <c r="Y1210">
        <v>0.65711034421430858</v>
      </c>
      <c r="Z1210" t="str">
        <f>HYPERLINK("Melting_Curves/meltCurve_sp_P46527_CDN1B_HUMAN_.pdf", "Melting_Curves/meltCurve_sp_P46527_CDN1B_HUMAN_.pdf")</f>
        <v>Melting_Curves/meltCurve_sp_P46527_CDN1B_HUMAN_.pdf</v>
      </c>
      <c r="AA1210" t="s">
        <v>15405</v>
      </c>
      <c r="AB1210" t="s">
        <v>20045</v>
      </c>
    </row>
    <row r="1211" spans="1:28" x14ac:dyDescent="0.25">
      <c r="A1211" t="s">
        <v>1215</v>
      </c>
      <c r="B1211">
        <v>0.99904790336628502</v>
      </c>
      <c r="C1211">
        <v>0.62862754013101896</v>
      </c>
      <c r="D1211">
        <v>0.38998339256160303</v>
      </c>
      <c r="E1211">
        <v>0.210625528138112</v>
      </c>
      <c r="F1211">
        <v>0.10722344110234699</v>
      </c>
      <c r="G1211">
        <v>5.9275024602860701E-2</v>
      </c>
      <c r="H1211">
        <v>3.67625082714522E-2</v>
      </c>
      <c r="I1211">
        <v>3.10071327558997E-2</v>
      </c>
      <c r="J1211">
        <v>2.4525981245895799E-2</v>
      </c>
      <c r="K1211">
        <v>2.39367473239156E-2</v>
      </c>
      <c r="L1211">
        <v>797.46428771372905</v>
      </c>
      <c r="M1211">
        <v>17.832708918868999</v>
      </c>
      <c r="N1211">
        <v>44.906155348653002</v>
      </c>
      <c r="O1211">
        <v>44.168213258130798</v>
      </c>
      <c r="P1211">
        <v>-9.7329568516194703E-2</v>
      </c>
      <c r="Q1211">
        <v>3.5782480333165501E-2</v>
      </c>
      <c r="R1211">
        <v>0.98165781032436095</v>
      </c>
      <c r="S1211" t="s">
        <v>5951</v>
      </c>
      <c r="T1211" t="s">
        <v>9478</v>
      </c>
      <c r="U1211" t="s">
        <v>9478</v>
      </c>
      <c r="V1211" t="s">
        <v>9478</v>
      </c>
      <c r="W1211">
        <v>4</v>
      </c>
      <c r="X1211" t="s">
        <v>10689</v>
      </c>
      <c r="Y1211">
        <v>0.20941432277650451</v>
      </c>
      <c r="Z1211" t="str">
        <f>HYPERLINK("Melting_Curves/meltCurve_sp_P46734_2_MP2K3_HUMAN_.pdf", "Melting_Curves/meltCurve_sp_P46734_2_MP2K3_HUMAN_.pdf")</f>
        <v>Melting_Curves/meltCurve_sp_P46734_2_MP2K3_HUMAN_.pdf</v>
      </c>
      <c r="AA1211" t="s">
        <v>15406</v>
      </c>
      <c r="AB1211" t="s">
        <v>20046</v>
      </c>
    </row>
    <row r="1212" spans="1:28" x14ac:dyDescent="0.25">
      <c r="A1212" t="s">
        <v>1216</v>
      </c>
      <c r="B1212">
        <v>0.99904790336628502</v>
      </c>
      <c r="C1212">
        <v>0.97242390880900198</v>
      </c>
      <c r="D1212">
        <v>1.0845722249854399</v>
      </c>
      <c r="E1212">
        <v>0.94663841578216201</v>
      </c>
      <c r="F1212">
        <v>0.75068600955948706</v>
      </c>
      <c r="G1212">
        <v>0.47977692880901102</v>
      </c>
      <c r="H1212">
        <v>0.29117341716595102</v>
      </c>
      <c r="I1212">
        <v>0.15938320134699699</v>
      </c>
      <c r="J1212">
        <v>5.1530618163587602E-2</v>
      </c>
      <c r="K1212">
        <v>3.5875181957439599E-2</v>
      </c>
      <c r="L1212">
        <v>951.41796418143099</v>
      </c>
      <c r="M1212">
        <v>16.674574977415801</v>
      </c>
      <c r="N1212">
        <v>57.058004074521399</v>
      </c>
      <c r="O1212">
        <v>56.256302048901802</v>
      </c>
      <c r="P1212">
        <v>-7.4105861891573796E-2</v>
      </c>
      <c r="Q1212">
        <v>0</v>
      </c>
      <c r="R1212">
        <v>0.98982968360224199</v>
      </c>
      <c r="S1212" t="s">
        <v>5952</v>
      </c>
      <c r="T1212" t="s">
        <v>9478</v>
      </c>
      <c r="U1212" t="s">
        <v>9478</v>
      </c>
      <c r="V1212" t="s">
        <v>9478</v>
      </c>
      <c r="W1212">
        <v>6</v>
      </c>
      <c r="X1212" t="s">
        <v>10690</v>
      </c>
      <c r="Y1212">
        <v>0.5832088034733024</v>
      </c>
      <c r="Z1212" t="str">
        <f>HYPERLINK("Melting_Curves/meltCurve_sp_P46736_2_BRCC3_HUMAN_.pdf", "Melting_Curves/meltCurve_sp_P46736_2_BRCC3_HUMAN_.pdf")</f>
        <v>Melting_Curves/meltCurve_sp_P46736_2_BRCC3_HUMAN_.pdf</v>
      </c>
      <c r="AA1212" t="s">
        <v>15407</v>
      </c>
      <c r="AB1212" t="s">
        <v>20047</v>
      </c>
    </row>
    <row r="1213" spans="1:28" x14ac:dyDescent="0.25">
      <c r="A1213" t="s">
        <v>1217</v>
      </c>
      <c r="B1213">
        <v>0.99904790336628502</v>
      </c>
      <c r="C1213">
        <v>0.87323530509288805</v>
      </c>
      <c r="D1213">
        <v>0.85895189776827197</v>
      </c>
      <c r="E1213">
        <v>0.48680834951416302</v>
      </c>
      <c r="F1213">
        <v>0.19166619445840399</v>
      </c>
      <c r="G1213">
        <v>0.123052140714633</v>
      </c>
      <c r="H1213">
        <v>7.6140662405895204E-2</v>
      </c>
      <c r="I1213">
        <v>5.1059505238910598E-2</v>
      </c>
      <c r="J1213">
        <v>4.6045716358822597E-2</v>
      </c>
      <c r="K1213">
        <v>3.5895043815460999E-2</v>
      </c>
      <c r="L1213">
        <v>1016.36294627547</v>
      </c>
      <c r="M1213">
        <v>20.556041550603599</v>
      </c>
      <c r="N1213">
        <v>49.6604322892602</v>
      </c>
      <c r="O1213">
        <v>48.982718107053998</v>
      </c>
      <c r="P1213">
        <v>-0.100412867859918</v>
      </c>
      <c r="Q1213">
        <v>4.29379687800878E-2</v>
      </c>
      <c r="R1213">
        <v>0.99183268449018103</v>
      </c>
      <c r="S1213" t="s">
        <v>5953</v>
      </c>
      <c r="T1213" t="s">
        <v>9478</v>
      </c>
      <c r="U1213" t="s">
        <v>9478</v>
      </c>
      <c r="V1213" t="s">
        <v>9478</v>
      </c>
      <c r="W1213">
        <v>9</v>
      </c>
      <c r="X1213" t="s">
        <v>10691</v>
      </c>
      <c r="Y1213">
        <v>0.35685287421946033</v>
      </c>
      <c r="Z1213" t="str">
        <f>HYPERLINK("Melting_Curves/meltCurve_sp_P46777_RL5_HUMAN_.pdf", "Melting_Curves/meltCurve_sp_P46777_RL5_HUMAN_.pdf")</f>
        <v>Melting_Curves/meltCurve_sp_P46777_RL5_HUMAN_.pdf</v>
      </c>
      <c r="AA1213" t="s">
        <v>15408</v>
      </c>
      <c r="AB1213" t="s">
        <v>20048</v>
      </c>
    </row>
    <row r="1214" spans="1:28" x14ac:dyDescent="0.25">
      <c r="A1214" t="s">
        <v>1218</v>
      </c>
      <c r="B1214">
        <v>0.99904790336628502</v>
      </c>
      <c r="C1214">
        <v>1.19134272365838</v>
      </c>
      <c r="D1214">
        <v>1.28624781842157</v>
      </c>
      <c r="E1214">
        <v>0.67218905632109305</v>
      </c>
      <c r="F1214">
        <v>0.34560994797722899</v>
      </c>
      <c r="G1214">
        <v>0.162525649233737</v>
      </c>
      <c r="H1214">
        <v>7.4389070407586494E-2</v>
      </c>
      <c r="I1214">
        <v>3.8647604644410902E-2</v>
      </c>
      <c r="J1214">
        <v>2.2537096047020699E-2</v>
      </c>
      <c r="K1214">
        <v>1.3056952785596E-2</v>
      </c>
      <c r="L1214">
        <v>1656.58173200588</v>
      </c>
      <c r="M1214">
        <v>32.157877881042602</v>
      </c>
      <c r="N1214">
        <v>51.690785288159503</v>
      </c>
      <c r="O1214">
        <v>51.316047650698202</v>
      </c>
      <c r="P1214">
        <v>-0.14851024515351999</v>
      </c>
      <c r="Q1214">
        <v>5.2061739231555E-2</v>
      </c>
      <c r="R1214">
        <v>0.93938829151278402</v>
      </c>
      <c r="S1214" t="s">
        <v>5954</v>
      </c>
      <c r="T1214" t="s">
        <v>9478</v>
      </c>
      <c r="U1214" t="s">
        <v>9478</v>
      </c>
      <c r="V1214" t="s">
        <v>9478</v>
      </c>
      <c r="W1214">
        <v>1</v>
      </c>
      <c r="X1214" t="s">
        <v>10692</v>
      </c>
      <c r="Y1214">
        <v>0.42111270774356702</v>
      </c>
      <c r="Z1214" t="str">
        <f>HYPERLINK("Melting_Curves/meltCurve_sp_P46779_4_RL28_HUMAN_.pdf", "Melting_Curves/meltCurve_sp_P46779_4_RL28_HUMAN_.pdf")</f>
        <v>Melting_Curves/meltCurve_sp_P46779_4_RL28_HUMAN_.pdf</v>
      </c>
      <c r="AA1214" t="s">
        <v>15409</v>
      </c>
      <c r="AB1214" t="s">
        <v>20049</v>
      </c>
    </row>
    <row r="1215" spans="1:28" x14ac:dyDescent="0.25">
      <c r="A1215" t="s">
        <v>1219</v>
      </c>
      <c r="B1215">
        <v>0.99904790336628502</v>
      </c>
      <c r="C1215">
        <v>0.88655484843848797</v>
      </c>
      <c r="D1215">
        <v>0.84000927736984499</v>
      </c>
      <c r="E1215">
        <v>0.63575226717386002</v>
      </c>
      <c r="F1215">
        <v>0.41744120146818198</v>
      </c>
      <c r="G1215">
        <v>0.203813639950189</v>
      </c>
      <c r="H1215">
        <v>0.15097772158106099</v>
      </c>
      <c r="I1215">
        <v>8.3378134037933704E-2</v>
      </c>
      <c r="J1215">
        <v>6.13329932858152E-2</v>
      </c>
      <c r="K1215">
        <v>4.4298479290939802E-2</v>
      </c>
      <c r="L1215">
        <v>680.02068376640398</v>
      </c>
      <c r="M1215">
        <v>13.178735885236399</v>
      </c>
      <c r="N1215">
        <v>51.716354449148703</v>
      </c>
      <c r="O1215">
        <v>50.455136478281702</v>
      </c>
      <c r="P1215">
        <v>-6.4354917060526803E-2</v>
      </c>
      <c r="Q1215">
        <v>1.4627103150568E-2</v>
      </c>
      <c r="R1215">
        <v>0.99605466541045196</v>
      </c>
      <c r="S1215" t="s">
        <v>5955</v>
      </c>
      <c r="T1215" t="s">
        <v>9478</v>
      </c>
      <c r="U1215" t="s">
        <v>9478</v>
      </c>
      <c r="V1215" t="s">
        <v>9478</v>
      </c>
      <c r="W1215">
        <v>10</v>
      </c>
      <c r="X1215" t="s">
        <v>10693</v>
      </c>
      <c r="Y1215">
        <v>0.42279603488914469</v>
      </c>
      <c r="Z1215" t="str">
        <f>HYPERLINK("Melting_Curves/meltCurve_sp_P46781_RS9_HUMAN_.pdf", "Melting_Curves/meltCurve_sp_P46781_RS9_HUMAN_.pdf")</f>
        <v>Melting_Curves/meltCurve_sp_P46781_RS9_HUMAN_.pdf</v>
      </c>
      <c r="AA1215" t="s">
        <v>15410</v>
      </c>
      <c r="AB1215" t="s">
        <v>20050</v>
      </c>
    </row>
    <row r="1216" spans="1:28" x14ac:dyDescent="0.25">
      <c r="A1216" t="s">
        <v>1220</v>
      </c>
      <c r="B1216">
        <v>0.99904790336628502</v>
      </c>
      <c r="C1216">
        <v>0.94402256871908996</v>
      </c>
      <c r="D1216">
        <v>0.95956216691831198</v>
      </c>
      <c r="E1216">
        <v>0.98781935265894605</v>
      </c>
      <c r="F1216">
        <v>1.1040618166877301</v>
      </c>
      <c r="G1216">
        <v>1.02129613691551</v>
      </c>
      <c r="H1216">
        <v>1.0198621392867</v>
      </c>
      <c r="I1216">
        <v>0.96755675642133099</v>
      </c>
      <c r="J1216">
        <v>1.1052352909290899</v>
      </c>
      <c r="K1216">
        <v>1.22421214750903</v>
      </c>
      <c r="L1216">
        <v>15000</v>
      </c>
      <c r="M1216">
        <v>223.757658636196</v>
      </c>
      <c r="O1216">
        <v>67.031450958897395</v>
      </c>
      <c r="P1216">
        <v>0.187125594386192</v>
      </c>
      <c r="Q1216">
        <v>1.2242301104531801</v>
      </c>
      <c r="R1216">
        <v>0.74018968477541502</v>
      </c>
      <c r="S1216" t="s">
        <v>5956</v>
      </c>
      <c r="T1216" t="s">
        <v>9478</v>
      </c>
      <c r="U1216" t="s">
        <v>9478</v>
      </c>
      <c r="V1216" t="s">
        <v>9478</v>
      </c>
      <c r="W1216">
        <v>7</v>
      </c>
      <c r="X1216" t="s">
        <v>10694</v>
      </c>
      <c r="Y1216">
        <v>1.0221151258779551</v>
      </c>
      <c r="Z1216" t="str">
        <f>HYPERLINK("Melting_Curves/meltCurve_sp_P46783_RS10_HUMAN_.pdf", "Melting_Curves/meltCurve_sp_P46783_RS10_HUMAN_.pdf")</f>
        <v>Melting_Curves/meltCurve_sp_P46783_RS10_HUMAN_.pdf</v>
      </c>
      <c r="AA1216" t="s">
        <v>15411</v>
      </c>
      <c r="AB1216" t="s">
        <v>20051</v>
      </c>
    </row>
    <row r="1217" spans="1:28" x14ac:dyDescent="0.25">
      <c r="A1217" t="s">
        <v>1221</v>
      </c>
      <c r="B1217">
        <v>0.99904790336628502</v>
      </c>
      <c r="C1217">
        <v>1.0324269448839001</v>
      </c>
      <c r="D1217">
        <v>1.06470144094491</v>
      </c>
      <c r="E1217">
        <v>1.0630857321493401</v>
      </c>
      <c r="F1217">
        <v>0.97290663180071602</v>
      </c>
      <c r="G1217">
        <v>0.849965581209423</v>
      </c>
      <c r="H1217">
        <v>0.67751180320066695</v>
      </c>
      <c r="I1217">
        <v>0.64149047279984095</v>
      </c>
      <c r="J1217">
        <v>0.22854115066831099</v>
      </c>
      <c r="K1217">
        <v>7.2253185002869202E-2</v>
      </c>
      <c r="L1217">
        <v>1344.6700888985099</v>
      </c>
      <c r="M1217">
        <v>21.013182447443601</v>
      </c>
      <c r="N1217">
        <v>63.991739347515001</v>
      </c>
      <c r="O1217">
        <v>63.420629770428</v>
      </c>
      <c r="P1217">
        <v>-8.2834795542622602E-2</v>
      </c>
      <c r="Q1217">
        <v>0</v>
      </c>
      <c r="R1217">
        <v>0.95868370257746305</v>
      </c>
      <c r="S1217" t="s">
        <v>5957</v>
      </c>
      <c r="T1217" t="s">
        <v>9478</v>
      </c>
      <c r="U1217" t="s">
        <v>9478</v>
      </c>
      <c r="V1217" t="s">
        <v>9478</v>
      </c>
      <c r="W1217">
        <v>11</v>
      </c>
      <c r="X1217" t="s">
        <v>10695</v>
      </c>
      <c r="Y1217">
        <v>0.79522051900855617</v>
      </c>
      <c r="Z1217" t="str">
        <f>HYPERLINK("Melting_Curves/meltCurve_sp_P46926_GNPI1_HUMAN_.pdf", "Melting_Curves/meltCurve_sp_P46926_GNPI1_HUMAN_.pdf")</f>
        <v>Melting_Curves/meltCurve_sp_P46926_GNPI1_HUMAN_.pdf</v>
      </c>
      <c r="AA1217" t="s">
        <v>15412</v>
      </c>
      <c r="AB1217" t="s">
        <v>20052</v>
      </c>
    </row>
    <row r="1218" spans="1:28" x14ac:dyDescent="0.25">
      <c r="A1218" t="s">
        <v>1222</v>
      </c>
      <c r="B1218">
        <v>0.99904790336628502</v>
      </c>
      <c r="C1218">
        <v>0.99234699080341304</v>
      </c>
      <c r="D1218">
        <v>0.96220552517153402</v>
      </c>
      <c r="E1218">
        <v>0.79313449411144099</v>
      </c>
      <c r="F1218">
        <v>0.43255713861585399</v>
      </c>
      <c r="G1218">
        <v>0.22786325366461899</v>
      </c>
      <c r="H1218">
        <v>0.16315265923717301</v>
      </c>
      <c r="I1218">
        <v>0.122865209716802</v>
      </c>
      <c r="J1218">
        <v>9.1024811911220097E-2</v>
      </c>
      <c r="K1218">
        <v>8.0201745131856905E-2</v>
      </c>
      <c r="L1218">
        <v>1279.7117531966301</v>
      </c>
      <c r="M1218">
        <v>24.546126677891198</v>
      </c>
      <c r="N1218">
        <v>52.647457188642697</v>
      </c>
      <c r="O1218">
        <v>51.792657839084903</v>
      </c>
      <c r="P1218">
        <v>-0.10589315279917</v>
      </c>
      <c r="Q1218">
        <v>0.106269293376151</v>
      </c>
      <c r="R1218">
        <v>0.99693107601589503</v>
      </c>
      <c r="S1218" t="s">
        <v>5958</v>
      </c>
      <c r="T1218" t="s">
        <v>9478</v>
      </c>
      <c r="U1218" t="s">
        <v>9478</v>
      </c>
      <c r="V1218" t="s">
        <v>9478</v>
      </c>
      <c r="W1218">
        <v>6</v>
      </c>
      <c r="X1218" t="s">
        <v>10696</v>
      </c>
      <c r="Y1218">
        <v>0.47624380321567461</v>
      </c>
      <c r="Z1218" t="str">
        <f>HYPERLINK("Melting_Curves/meltCurve_sp_P46934_4_NEDD4_HUMAN_.pdf", "Melting_Curves/meltCurve_sp_P46934_4_NEDD4_HUMAN_.pdf")</f>
        <v>Melting_Curves/meltCurve_sp_P46934_4_NEDD4_HUMAN_.pdf</v>
      </c>
      <c r="AA1218" t="s">
        <v>15413</v>
      </c>
      <c r="AB1218" t="s">
        <v>20053</v>
      </c>
    </row>
    <row r="1219" spans="1:28" x14ac:dyDescent="0.25">
      <c r="A1219" t="s">
        <v>1223</v>
      </c>
      <c r="B1219">
        <v>0.99904790336628502</v>
      </c>
      <c r="C1219">
        <v>1.0527951782329199</v>
      </c>
      <c r="D1219">
        <v>0.98183480045252502</v>
      </c>
      <c r="E1219">
        <v>0.95870032225980995</v>
      </c>
      <c r="F1219">
        <v>0.90883431512357304</v>
      </c>
      <c r="G1219">
        <v>0.74681179840594203</v>
      </c>
      <c r="H1219">
        <v>0.68509271721959797</v>
      </c>
      <c r="I1219">
        <v>0.70070708632621503</v>
      </c>
      <c r="J1219">
        <v>0.797608742397245</v>
      </c>
      <c r="K1219">
        <v>0.78506216227105097</v>
      </c>
      <c r="L1219">
        <v>2410.70991650716</v>
      </c>
      <c r="M1219">
        <v>45.008237505599404</v>
      </c>
      <c r="O1219">
        <v>53.4561059254235</v>
      </c>
      <c r="P1219">
        <v>-5.4699029392234401E-2</v>
      </c>
      <c r="Q1219">
        <v>0.74013702356468702</v>
      </c>
      <c r="R1219">
        <v>0.91171710854473897</v>
      </c>
      <c r="S1219" t="s">
        <v>5959</v>
      </c>
      <c r="T1219" t="s">
        <v>9478</v>
      </c>
      <c r="U1219" t="s">
        <v>9478</v>
      </c>
      <c r="V1219" t="s">
        <v>9478</v>
      </c>
      <c r="W1219">
        <v>11</v>
      </c>
      <c r="X1219" t="s">
        <v>10697</v>
      </c>
      <c r="Y1219">
        <v>0.85836653280261854</v>
      </c>
      <c r="Z1219" t="str">
        <f>HYPERLINK("Melting_Curves/meltCurve_sp_P46937_YAP1_HUMAN_.pdf", "Melting_Curves/meltCurve_sp_P46937_YAP1_HUMAN_.pdf")</f>
        <v>Melting_Curves/meltCurve_sp_P46937_YAP1_HUMAN_.pdf</v>
      </c>
      <c r="AA1219" t="s">
        <v>15414</v>
      </c>
      <c r="AB1219" t="s">
        <v>20054</v>
      </c>
    </row>
    <row r="1220" spans="1:28" x14ac:dyDescent="0.25">
      <c r="A1220" t="s">
        <v>1224</v>
      </c>
      <c r="B1220">
        <v>0.99904790336628502</v>
      </c>
      <c r="C1220">
        <v>0.98764702096833001</v>
      </c>
      <c r="D1220">
        <v>1.00667414663942</v>
      </c>
      <c r="E1220">
        <v>0.77728357989528196</v>
      </c>
      <c r="F1220">
        <v>0.39433366599521102</v>
      </c>
      <c r="G1220">
        <v>0.208891685479624</v>
      </c>
      <c r="H1220">
        <v>0.12524716994998</v>
      </c>
      <c r="I1220">
        <v>9.2539234530525996E-2</v>
      </c>
      <c r="J1220">
        <v>8.3234785617704907E-2</v>
      </c>
      <c r="K1220">
        <v>7.1153833227509802E-2</v>
      </c>
      <c r="L1220">
        <v>1442.3216721690101</v>
      </c>
      <c r="M1220">
        <v>27.786963572110999</v>
      </c>
      <c r="N1220">
        <v>52.301060094049497</v>
      </c>
      <c r="O1220">
        <v>51.639809350523699</v>
      </c>
      <c r="P1220">
        <v>-0.12180164588879799</v>
      </c>
      <c r="Q1220">
        <v>9.4574234616925199E-2</v>
      </c>
      <c r="R1220">
        <v>0.99684938352322305</v>
      </c>
      <c r="S1220" t="s">
        <v>5960</v>
      </c>
      <c r="T1220" t="s">
        <v>9478</v>
      </c>
      <c r="U1220" t="s">
        <v>9478</v>
      </c>
      <c r="V1220" t="s">
        <v>9478</v>
      </c>
      <c r="W1220">
        <v>34</v>
      </c>
      <c r="X1220" t="s">
        <v>10698</v>
      </c>
      <c r="Y1220">
        <v>0.46064101713402178</v>
      </c>
      <c r="Z1220" t="str">
        <f>HYPERLINK("Melting_Curves/meltCurve_sp_P46939_UTRO_HUMAN_.pdf", "Melting_Curves/meltCurve_sp_P46939_UTRO_HUMAN_.pdf")</f>
        <v>Melting_Curves/meltCurve_sp_P46939_UTRO_HUMAN_.pdf</v>
      </c>
      <c r="AA1220" t="s">
        <v>15415</v>
      </c>
      <c r="AB1220" t="s">
        <v>20055</v>
      </c>
    </row>
    <row r="1221" spans="1:28" x14ac:dyDescent="0.25">
      <c r="A1221" t="s">
        <v>1225</v>
      </c>
      <c r="B1221">
        <v>0.99904790336628502</v>
      </c>
      <c r="C1221">
        <v>0.91659938262100804</v>
      </c>
      <c r="D1221">
        <v>0.94551155935341602</v>
      </c>
      <c r="E1221">
        <v>0.88609844483945999</v>
      </c>
      <c r="F1221">
        <v>0.533749759704648</v>
      </c>
      <c r="G1221">
        <v>0.20085142936042</v>
      </c>
      <c r="H1221">
        <v>0.104036435962715</v>
      </c>
      <c r="I1221">
        <v>7.0117518135773493E-2</v>
      </c>
      <c r="J1221">
        <v>5.2364683140358699E-2</v>
      </c>
      <c r="K1221">
        <v>4.1661224440136903E-2</v>
      </c>
      <c r="L1221">
        <v>1405.52073104788</v>
      </c>
      <c r="M1221">
        <v>26.411138788974299</v>
      </c>
      <c r="N1221">
        <v>53.452756108232002</v>
      </c>
      <c r="O1221">
        <v>52.914685170990303</v>
      </c>
      <c r="P1221">
        <v>-0.117921666588269</v>
      </c>
      <c r="Q1221">
        <v>5.4986507028248401E-2</v>
      </c>
      <c r="R1221">
        <v>0.99358451408372594</v>
      </c>
      <c r="S1221" t="s">
        <v>5961</v>
      </c>
      <c r="T1221" t="s">
        <v>9478</v>
      </c>
      <c r="U1221" t="s">
        <v>9478</v>
      </c>
      <c r="V1221" t="s">
        <v>9478</v>
      </c>
      <c r="W1221">
        <v>29</v>
      </c>
      <c r="X1221" t="s">
        <v>10699</v>
      </c>
      <c r="Y1221">
        <v>0.47918477923211172</v>
      </c>
      <c r="Z1221" t="str">
        <f>HYPERLINK("Melting_Curves/meltCurve_sp_P46940_IQGA1_HUMAN_.pdf", "Melting_Curves/meltCurve_sp_P46940_IQGA1_HUMAN_.pdf")</f>
        <v>Melting_Curves/meltCurve_sp_P46940_IQGA1_HUMAN_.pdf</v>
      </c>
      <c r="AA1221" t="s">
        <v>15416</v>
      </c>
      <c r="AB1221" t="s">
        <v>20056</v>
      </c>
    </row>
    <row r="1222" spans="1:28" x14ac:dyDescent="0.25">
      <c r="A1222" t="s">
        <v>1226</v>
      </c>
      <c r="B1222">
        <v>0.99904790336628502</v>
      </c>
      <c r="C1222">
        <v>0.99642066296001097</v>
      </c>
      <c r="D1222">
        <v>0.88012626092589297</v>
      </c>
      <c r="E1222">
        <v>0.92341561739261602</v>
      </c>
      <c r="F1222">
        <v>0.76032484530017197</v>
      </c>
      <c r="G1222">
        <v>0.32606168104772998</v>
      </c>
      <c r="H1222">
        <v>8.1935510841463305E-2</v>
      </c>
      <c r="I1222">
        <v>4.8822816796102203E-2</v>
      </c>
      <c r="J1222">
        <v>3.5422182045379599E-2</v>
      </c>
      <c r="K1222">
        <v>2.7069574024556699E-2</v>
      </c>
      <c r="L1222">
        <v>1387.7864979644801</v>
      </c>
      <c r="M1222">
        <v>25.125770031374302</v>
      </c>
      <c r="N1222">
        <v>55.307413496896501</v>
      </c>
      <c r="O1222">
        <v>54.887277135880602</v>
      </c>
      <c r="P1222">
        <v>-0.112557337799412</v>
      </c>
      <c r="Q1222">
        <v>1.6486364887062298E-2</v>
      </c>
      <c r="R1222">
        <v>0.99214704614091997</v>
      </c>
      <c r="S1222" t="s">
        <v>5962</v>
      </c>
      <c r="T1222" t="s">
        <v>9478</v>
      </c>
      <c r="U1222" t="s">
        <v>9478</v>
      </c>
      <c r="V1222" t="s">
        <v>9478</v>
      </c>
      <c r="W1222">
        <v>23</v>
      </c>
      <c r="X1222" t="s">
        <v>10700</v>
      </c>
      <c r="Y1222">
        <v>0.52491213929849867</v>
      </c>
      <c r="Z1222" t="str">
        <f>HYPERLINK("Melting_Curves/meltCurve_sp_P46952_3HAO_HUMAN_.pdf", "Melting_Curves/meltCurve_sp_P46952_3HAO_HUMAN_.pdf")</f>
        <v>Melting_Curves/meltCurve_sp_P46952_3HAO_HUMAN_.pdf</v>
      </c>
      <c r="AA1222" t="s">
        <v>15417</v>
      </c>
      <c r="AB1222" t="s">
        <v>20057</v>
      </c>
    </row>
    <row r="1223" spans="1:28" x14ac:dyDescent="0.25">
      <c r="A1223" t="s">
        <v>1227</v>
      </c>
      <c r="B1223">
        <v>0.99904790336628502</v>
      </c>
      <c r="C1223">
        <v>0.95213298255957102</v>
      </c>
      <c r="D1223">
        <v>0.99991290509004205</v>
      </c>
      <c r="E1223">
        <v>0.81270362822798703</v>
      </c>
      <c r="F1223">
        <v>0.689097292455495</v>
      </c>
      <c r="G1223">
        <v>0.46544277954055202</v>
      </c>
      <c r="H1223">
        <v>0.291334041905222</v>
      </c>
      <c r="I1223">
        <v>0.19842252749297301</v>
      </c>
      <c r="J1223">
        <v>0.169998575938236</v>
      </c>
      <c r="K1223">
        <v>0.104945429961655</v>
      </c>
      <c r="L1223">
        <v>743.86967027519199</v>
      </c>
      <c r="M1223">
        <v>13.333377663130101</v>
      </c>
      <c r="N1223">
        <v>56.334007932683498</v>
      </c>
      <c r="O1223">
        <v>54.579921704394501</v>
      </c>
      <c r="P1223">
        <v>-5.7392980594183997E-2</v>
      </c>
      <c r="Q1223">
        <v>6.0402579936389297E-2</v>
      </c>
      <c r="R1223">
        <v>0.99601600018147096</v>
      </c>
      <c r="S1223" t="s">
        <v>5963</v>
      </c>
      <c r="T1223" t="s">
        <v>9478</v>
      </c>
      <c r="U1223" t="s">
        <v>9478</v>
      </c>
      <c r="V1223" t="s">
        <v>9478</v>
      </c>
      <c r="W1223">
        <v>4</v>
      </c>
      <c r="X1223" t="s">
        <v>10701</v>
      </c>
      <c r="Y1223">
        <v>0.57359334135847462</v>
      </c>
      <c r="Z1223" t="str">
        <f>HYPERLINK("Melting_Curves/meltCurve_sp_P46976_2_GLYG_HUMAN_.pdf", "Melting_Curves/meltCurve_sp_P46976_2_GLYG_HUMAN_.pdf")</f>
        <v>Melting_Curves/meltCurve_sp_P46976_2_GLYG_HUMAN_.pdf</v>
      </c>
      <c r="AA1223" t="s">
        <v>15418</v>
      </c>
      <c r="AB1223" t="s">
        <v>20058</v>
      </c>
    </row>
    <row r="1224" spans="1:28" x14ac:dyDescent="0.25">
      <c r="A1224" t="s">
        <v>1228</v>
      </c>
      <c r="B1224">
        <v>0.99904790336628502</v>
      </c>
      <c r="C1224">
        <v>0.951903420685424</v>
      </c>
      <c r="D1224">
        <v>0.89871364384364705</v>
      </c>
      <c r="E1224">
        <v>0.79487792251285105</v>
      </c>
      <c r="F1224">
        <v>0.88230620864817</v>
      </c>
      <c r="G1224">
        <v>0.72631258144490296</v>
      </c>
      <c r="H1224">
        <v>0.63221913546958297</v>
      </c>
      <c r="I1224">
        <v>0.59814409388107403</v>
      </c>
      <c r="J1224">
        <v>0.50288718217060002</v>
      </c>
      <c r="K1224">
        <v>0.45525073099262597</v>
      </c>
      <c r="L1224">
        <v>349.45658940122098</v>
      </c>
      <c r="M1224">
        <v>5.1479954443414799</v>
      </c>
      <c r="N1224">
        <v>67.882082757144303</v>
      </c>
      <c r="O1224">
        <v>59.642190716753497</v>
      </c>
      <c r="P1224">
        <v>-2.16982855022857E-2</v>
      </c>
      <c r="Q1224">
        <v>0</v>
      </c>
      <c r="R1224">
        <v>0.96397141620139604</v>
      </c>
      <c r="S1224" t="s">
        <v>5964</v>
      </c>
      <c r="T1224" t="s">
        <v>9478</v>
      </c>
      <c r="U1224" t="s">
        <v>9478</v>
      </c>
      <c r="V1224" t="s">
        <v>9478</v>
      </c>
      <c r="W1224">
        <v>2</v>
      </c>
      <c r="X1224" t="s">
        <v>10702</v>
      </c>
      <c r="Y1224">
        <v>0.75108131415083101</v>
      </c>
      <c r="Z1224" t="str">
        <f>HYPERLINK("Melting_Curves/meltCurve_sp_P47224_MSS4_HUMAN_.pdf", "Melting_Curves/meltCurve_sp_P47224_MSS4_HUMAN_.pdf")</f>
        <v>Melting_Curves/meltCurve_sp_P47224_MSS4_HUMAN_.pdf</v>
      </c>
      <c r="AA1224" t="s">
        <v>15419</v>
      </c>
      <c r="AB1224" t="s">
        <v>20059</v>
      </c>
    </row>
    <row r="1225" spans="1:28" x14ac:dyDescent="0.25">
      <c r="A1225" t="s">
        <v>1229</v>
      </c>
      <c r="B1225">
        <v>0.99904790336628502</v>
      </c>
      <c r="C1225">
        <v>0.99898387004471401</v>
      </c>
      <c r="D1225">
        <v>0.993699698396312</v>
      </c>
      <c r="E1225">
        <v>0.92926578048625197</v>
      </c>
      <c r="F1225">
        <v>0.79106994613287895</v>
      </c>
      <c r="G1225">
        <v>0.48598725513244501</v>
      </c>
      <c r="H1225">
        <v>0.174396101881864</v>
      </c>
      <c r="I1225">
        <v>6.5370007317818599E-2</v>
      </c>
      <c r="J1225">
        <v>3.8412453768811597E-2</v>
      </c>
      <c r="K1225">
        <v>2.6166127791072899E-2</v>
      </c>
      <c r="L1225">
        <v>1171.9664083369901</v>
      </c>
      <c r="M1225">
        <v>20.7022794748694</v>
      </c>
      <c r="N1225">
        <v>56.610500658642202</v>
      </c>
      <c r="O1225">
        <v>56.0902260596852</v>
      </c>
      <c r="P1225">
        <v>-9.2274843747298205E-2</v>
      </c>
      <c r="Q1225">
        <v>0</v>
      </c>
      <c r="R1225">
        <v>0.99929563035490898</v>
      </c>
      <c r="S1225" t="s">
        <v>5965</v>
      </c>
      <c r="T1225" t="s">
        <v>9478</v>
      </c>
      <c r="U1225" t="s">
        <v>9478</v>
      </c>
      <c r="V1225" t="s">
        <v>9478</v>
      </c>
      <c r="W1225">
        <v>13</v>
      </c>
      <c r="X1225" t="s">
        <v>10703</v>
      </c>
      <c r="Y1225">
        <v>0.56565813427546585</v>
      </c>
      <c r="Z1225" t="str">
        <f>HYPERLINK("Melting_Curves/meltCurve_sp_P47755_CAZA2_HUMAN_.pdf", "Melting_Curves/meltCurve_sp_P47755_CAZA2_HUMAN_.pdf")</f>
        <v>Melting_Curves/meltCurve_sp_P47755_CAZA2_HUMAN_.pdf</v>
      </c>
      <c r="AA1225" t="s">
        <v>15420</v>
      </c>
      <c r="AB1225" t="s">
        <v>20060</v>
      </c>
    </row>
    <row r="1226" spans="1:28" x14ac:dyDescent="0.25">
      <c r="A1226" t="s">
        <v>1230</v>
      </c>
      <c r="B1226">
        <v>0.99904790336628502</v>
      </c>
      <c r="C1226">
        <v>0.93280164626154505</v>
      </c>
      <c r="D1226">
        <v>0.97570844200334605</v>
      </c>
      <c r="E1226">
        <v>0.946450643977508</v>
      </c>
      <c r="F1226">
        <v>0.95753989009875295</v>
      </c>
      <c r="G1226">
        <v>0.73016731350840403</v>
      </c>
      <c r="H1226">
        <v>0.59983384689645702</v>
      </c>
      <c r="I1226">
        <v>0.50086849170787495</v>
      </c>
      <c r="J1226">
        <v>0.44989552972381303</v>
      </c>
      <c r="K1226">
        <v>0.41893374967825098</v>
      </c>
      <c r="L1226">
        <v>1027.0874423308301</v>
      </c>
      <c r="M1226">
        <v>17.592902766311401</v>
      </c>
      <c r="N1226">
        <v>63.959451943481497</v>
      </c>
      <c r="O1226">
        <v>57.6421493059242</v>
      </c>
      <c r="P1226">
        <v>-4.6377730407498E-2</v>
      </c>
      <c r="Q1226">
        <v>0.39221679272932197</v>
      </c>
      <c r="R1226">
        <v>0.98367801563610602</v>
      </c>
      <c r="S1226" t="s">
        <v>5966</v>
      </c>
      <c r="T1226" t="s">
        <v>9478</v>
      </c>
      <c r="U1226" t="s">
        <v>9478</v>
      </c>
      <c r="V1226" t="s">
        <v>9478</v>
      </c>
      <c r="W1226">
        <v>6</v>
      </c>
      <c r="X1226" t="s">
        <v>10704</v>
      </c>
      <c r="Y1226">
        <v>0.77182931406775979</v>
      </c>
      <c r="Z1226" t="str">
        <f>HYPERLINK("Melting_Curves/meltCurve_sp_P47813_IF1AX_HUMAN_.pdf", "Melting_Curves/meltCurve_sp_P47813_IF1AX_HUMAN_.pdf")</f>
        <v>Melting_Curves/meltCurve_sp_P47813_IF1AX_HUMAN_.pdf</v>
      </c>
      <c r="AA1226" t="s">
        <v>15421</v>
      </c>
      <c r="AB1226" t="s">
        <v>20061</v>
      </c>
    </row>
    <row r="1227" spans="1:28" x14ac:dyDescent="0.25">
      <c r="A1227" t="s">
        <v>1231</v>
      </c>
      <c r="B1227">
        <v>0.99904790336628502</v>
      </c>
      <c r="C1227">
        <v>0.96208551916676999</v>
      </c>
      <c r="D1227">
        <v>0.70420855256737602</v>
      </c>
      <c r="E1227">
        <v>0.395464498043824</v>
      </c>
      <c r="F1227">
        <v>0.15077910662028601</v>
      </c>
      <c r="G1227">
        <v>6.0069668510111703E-2</v>
      </c>
      <c r="H1227">
        <v>4.5552497901477702E-2</v>
      </c>
      <c r="I1227">
        <v>2.6767875771377E-2</v>
      </c>
      <c r="J1227">
        <v>2.14220375208376E-2</v>
      </c>
      <c r="K1227">
        <v>1.90551488656861E-2</v>
      </c>
      <c r="L1227">
        <v>944.834636664144</v>
      </c>
      <c r="M1227">
        <v>19.509420664876899</v>
      </c>
      <c r="N1227">
        <v>48.518330503618003</v>
      </c>
      <c r="O1227">
        <v>47.929441035312799</v>
      </c>
      <c r="P1227">
        <v>-9.9982595090452195E-2</v>
      </c>
      <c r="Q1227">
        <v>1.7513043855782399E-2</v>
      </c>
      <c r="R1227">
        <v>0.99688190149149003</v>
      </c>
      <c r="S1227" t="s">
        <v>5967</v>
      </c>
      <c r="T1227" t="s">
        <v>9478</v>
      </c>
      <c r="U1227" t="s">
        <v>9478</v>
      </c>
      <c r="V1227" t="s">
        <v>9478</v>
      </c>
      <c r="W1227">
        <v>26</v>
      </c>
      <c r="X1227" t="s">
        <v>10705</v>
      </c>
      <c r="Y1227">
        <v>0.3081717920299924</v>
      </c>
      <c r="Z1227" t="str">
        <f>HYPERLINK("Melting_Curves/meltCurve_sp_P47897_SYQ_HUMAN_.pdf", "Melting_Curves/meltCurve_sp_P47897_SYQ_HUMAN_.pdf")</f>
        <v>Melting_Curves/meltCurve_sp_P47897_SYQ_HUMAN_.pdf</v>
      </c>
      <c r="AA1227" t="s">
        <v>15422</v>
      </c>
      <c r="AB1227" t="s">
        <v>20062</v>
      </c>
    </row>
    <row r="1228" spans="1:28" x14ac:dyDescent="0.25">
      <c r="A1228" t="s">
        <v>1232</v>
      </c>
      <c r="B1228">
        <v>0.99904790336628502</v>
      </c>
      <c r="C1228">
        <v>0.93929318794625405</v>
      </c>
      <c r="D1228">
        <v>1.10838412260078</v>
      </c>
      <c r="E1228">
        <v>0.93630180635068405</v>
      </c>
      <c r="F1228">
        <v>0.99711345502753801</v>
      </c>
      <c r="G1228">
        <v>0.76353560444749802</v>
      </c>
      <c r="H1228">
        <v>0.804992764886167</v>
      </c>
      <c r="I1228">
        <v>0.80585494063614105</v>
      </c>
      <c r="J1228">
        <v>0.922384733915941</v>
      </c>
      <c r="K1228">
        <v>1.0285560963873299</v>
      </c>
      <c r="L1228">
        <v>13452.553606527201</v>
      </c>
      <c r="M1228">
        <v>250</v>
      </c>
      <c r="O1228">
        <v>53.806771142065102</v>
      </c>
      <c r="P1228">
        <v>-0.15673580573214099</v>
      </c>
      <c r="Q1228">
        <v>0.86506483863095296</v>
      </c>
      <c r="R1228">
        <v>0.39009761098041901</v>
      </c>
      <c r="S1228" t="s">
        <v>5968</v>
      </c>
      <c r="T1228" t="s">
        <v>9478</v>
      </c>
      <c r="U1228" t="s">
        <v>9478</v>
      </c>
      <c r="V1228" t="s">
        <v>9478</v>
      </c>
      <c r="W1228">
        <v>3</v>
      </c>
      <c r="X1228" t="s">
        <v>10706</v>
      </c>
      <c r="Y1228">
        <v>0.92719369845077793</v>
      </c>
      <c r="Z1228" t="str">
        <f>HYPERLINK("Melting_Curves/meltCurve_sp_P47914_RL29_HUMAN_.pdf", "Melting_Curves/meltCurve_sp_P47914_RL29_HUMAN_.pdf")</f>
        <v>Melting_Curves/meltCurve_sp_P47914_RL29_HUMAN_.pdf</v>
      </c>
      <c r="AA1228" t="s">
        <v>15423</v>
      </c>
      <c r="AB1228" t="s">
        <v>20063</v>
      </c>
    </row>
    <row r="1229" spans="1:28" x14ac:dyDescent="0.25">
      <c r="A1229" t="s">
        <v>1233</v>
      </c>
      <c r="B1229">
        <v>0.99904790336628502</v>
      </c>
      <c r="C1229">
        <v>1.05320925019655</v>
      </c>
      <c r="D1229">
        <v>0.89368923870596895</v>
      </c>
      <c r="E1229">
        <v>0.69711635828409702</v>
      </c>
      <c r="F1229">
        <v>0.59858667593451997</v>
      </c>
      <c r="G1229">
        <v>0.35260969716204998</v>
      </c>
      <c r="H1229">
        <v>0.30616908292601103</v>
      </c>
      <c r="I1229">
        <v>0.241083526790005</v>
      </c>
      <c r="J1229">
        <v>0.279480765231502</v>
      </c>
      <c r="K1229">
        <v>0.20632887233073699</v>
      </c>
      <c r="L1229">
        <v>820.31223133372805</v>
      </c>
      <c r="M1229">
        <v>15.754325323359</v>
      </c>
      <c r="N1229">
        <v>54.051050764220101</v>
      </c>
      <c r="O1229">
        <v>51.251731183816702</v>
      </c>
      <c r="P1229">
        <v>-5.9991768574650002E-2</v>
      </c>
      <c r="Q1229">
        <v>0.219407827603471</v>
      </c>
      <c r="R1229">
        <v>0.98663076799528504</v>
      </c>
      <c r="S1229" t="s">
        <v>5969</v>
      </c>
      <c r="T1229" t="s">
        <v>9478</v>
      </c>
      <c r="U1229" t="s">
        <v>9478</v>
      </c>
      <c r="V1229" t="s">
        <v>9478</v>
      </c>
      <c r="W1229">
        <v>5</v>
      </c>
      <c r="X1229" t="s">
        <v>10707</v>
      </c>
      <c r="Y1229">
        <v>0.54957889097849388</v>
      </c>
      <c r="Z1229" t="str">
        <f>HYPERLINK("Melting_Curves/meltCurve_sp_P47985_UCRI_HUMAN_.pdf", "Melting_Curves/meltCurve_sp_P47985_UCRI_HUMAN_.pdf")</f>
        <v>Melting_Curves/meltCurve_sp_P47985_UCRI_HUMAN_.pdf</v>
      </c>
      <c r="AA1229" t="s">
        <v>15424</v>
      </c>
      <c r="AB1229" t="s">
        <v>20064</v>
      </c>
    </row>
    <row r="1230" spans="1:28" x14ac:dyDescent="0.25">
      <c r="A1230" t="s">
        <v>1234</v>
      </c>
      <c r="B1230">
        <v>0.99904790336628502</v>
      </c>
      <c r="C1230">
        <v>1.1214689767882799</v>
      </c>
      <c r="D1230">
        <v>1.1898547067234599</v>
      </c>
      <c r="E1230">
        <v>1.14768817540235</v>
      </c>
      <c r="F1230">
        <v>0.89538609507034095</v>
      </c>
      <c r="G1230">
        <v>0.81402767843380497</v>
      </c>
      <c r="H1230">
        <v>0.50474209073948695</v>
      </c>
      <c r="I1230">
        <v>0.34389383993285799</v>
      </c>
      <c r="J1230">
        <v>0.21012840687807599</v>
      </c>
      <c r="K1230">
        <v>0.10681449274311899</v>
      </c>
      <c r="L1230">
        <v>1206.3501005896601</v>
      </c>
      <c r="M1230">
        <v>19.793324447363901</v>
      </c>
      <c r="N1230">
        <v>61.339404531294399</v>
      </c>
      <c r="O1230">
        <v>60.335436534581902</v>
      </c>
      <c r="P1230">
        <v>-7.7142917896151603E-2</v>
      </c>
      <c r="Q1230">
        <v>5.94214759721595E-2</v>
      </c>
      <c r="R1230">
        <v>0.94549893298310606</v>
      </c>
      <c r="S1230" t="s">
        <v>5970</v>
      </c>
      <c r="T1230" t="s">
        <v>9478</v>
      </c>
      <c r="U1230" t="s">
        <v>9478</v>
      </c>
      <c r="V1230" t="s">
        <v>9478</v>
      </c>
      <c r="W1230">
        <v>59</v>
      </c>
      <c r="X1230" t="s">
        <v>10708</v>
      </c>
      <c r="Y1230">
        <v>0.72197067412567506</v>
      </c>
      <c r="Z1230" t="str">
        <f>HYPERLINK("Melting_Curves/meltCurve_sp_P47989_XDH_HUMAN_.pdf", "Melting_Curves/meltCurve_sp_P47989_XDH_HUMAN_.pdf")</f>
        <v>Melting_Curves/meltCurve_sp_P47989_XDH_HUMAN_.pdf</v>
      </c>
      <c r="AA1230" t="s">
        <v>15425</v>
      </c>
      <c r="AB1230" t="s">
        <v>20065</v>
      </c>
    </row>
    <row r="1231" spans="1:28" x14ac:dyDescent="0.25">
      <c r="A1231" t="s">
        <v>1235</v>
      </c>
      <c r="B1231">
        <v>0.99904790336628502</v>
      </c>
      <c r="C1231">
        <v>1.16501420630854</v>
      </c>
      <c r="D1231">
        <v>1.01720170271744</v>
      </c>
      <c r="E1231">
        <v>1.18616319331263</v>
      </c>
      <c r="F1231">
        <v>1.1711230157863399</v>
      </c>
      <c r="G1231">
        <v>1.0115757739067299</v>
      </c>
      <c r="H1231">
        <v>0.93065408703197605</v>
      </c>
      <c r="I1231">
        <v>0.99924493371124701</v>
      </c>
      <c r="J1231">
        <v>0.91539366022756397</v>
      </c>
      <c r="K1231">
        <v>0.72453253939719797</v>
      </c>
      <c r="L1231">
        <v>2205.8403565158201</v>
      </c>
      <c r="M1231">
        <v>30.5418211768039</v>
      </c>
      <c r="Q1231">
        <v>0</v>
      </c>
      <c r="R1231">
        <v>0.45913321184015998</v>
      </c>
      <c r="S1231" t="s">
        <v>5971</v>
      </c>
      <c r="T1231" t="s">
        <v>9478</v>
      </c>
      <c r="U1231" t="s">
        <v>9478</v>
      </c>
      <c r="V1231" t="s">
        <v>9478</v>
      </c>
      <c r="W1231">
        <v>1</v>
      </c>
      <c r="X1231" t="s">
        <v>10709</v>
      </c>
      <c r="Y1231">
        <v>0.97769584485990957</v>
      </c>
      <c r="Z1231" t="str">
        <f>HYPERLINK("Melting_Curves/meltCurve_sp_P48047_ATPO_HUMAN_.pdf", "Melting_Curves/meltCurve_sp_P48047_ATPO_HUMAN_.pdf")</f>
        <v>Melting_Curves/meltCurve_sp_P48047_ATPO_HUMAN_.pdf</v>
      </c>
      <c r="AA1231" t="s">
        <v>15426</v>
      </c>
      <c r="AB1231" t="s">
        <v>20066</v>
      </c>
    </row>
    <row r="1232" spans="1:28" x14ac:dyDescent="0.25">
      <c r="A1232" t="s">
        <v>1236</v>
      </c>
      <c r="B1232">
        <v>0.99904790336628502</v>
      </c>
      <c r="C1232">
        <v>1.0280636596370401</v>
      </c>
      <c r="D1232">
        <v>1.0692361257976299</v>
      </c>
      <c r="E1232">
        <v>0.97723151184881396</v>
      </c>
      <c r="F1232">
        <v>1.0602462862994699</v>
      </c>
      <c r="G1232">
        <v>0.87979292105811302</v>
      </c>
      <c r="H1232">
        <v>0.58337664688365198</v>
      </c>
      <c r="I1232">
        <v>0.45306365472211801</v>
      </c>
      <c r="J1232">
        <v>0.33954385136737603</v>
      </c>
      <c r="K1232">
        <v>0.226295063911333</v>
      </c>
      <c r="L1232">
        <v>1423.23747550383</v>
      </c>
      <c r="M1232">
        <v>23.279493644991899</v>
      </c>
      <c r="N1232">
        <v>62.704479993659803</v>
      </c>
      <c r="O1232">
        <v>60.691192950615303</v>
      </c>
      <c r="P1232">
        <v>-7.4740797400354997E-2</v>
      </c>
      <c r="Q1232">
        <v>0.22059703946334999</v>
      </c>
      <c r="R1232">
        <v>0.98257280429300498</v>
      </c>
      <c r="S1232" t="s">
        <v>5972</v>
      </c>
      <c r="T1232" t="s">
        <v>9478</v>
      </c>
      <c r="U1232" t="s">
        <v>9478</v>
      </c>
      <c r="V1232" t="s">
        <v>9478</v>
      </c>
      <c r="W1232">
        <v>12</v>
      </c>
      <c r="X1232" t="s">
        <v>10710</v>
      </c>
      <c r="Y1232">
        <v>0.77452571447081808</v>
      </c>
      <c r="Z1232" t="str">
        <f>HYPERLINK("Melting_Curves/meltCurve_sp_P48059_LIMS1_HUMAN_.pdf", "Melting_Curves/meltCurve_sp_P48059_LIMS1_HUMAN_.pdf")</f>
        <v>Melting_Curves/meltCurve_sp_P48059_LIMS1_HUMAN_.pdf</v>
      </c>
      <c r="AA1232" t="s">
        <v>15427</v>
      </c>
      <c r="AB1232" t="s">
        <v>20067</v>
      </c>
    </row>
    <row r="1233" spans="1:28" x14ac:dyDescent="0.25">
      <c r="A1233" t="s">
        <v>1237</v>
      </c>
      <c r="B1233">
        <v>0.99904790336628502</v>
      </c>
      <c r="C1233">
        <v>0.93663538510029498</v>
      </c>
      <c r="D1233">
        <v>0.95409356967794001</v>
      </c>
      <c r="E1233">
        <v>0.915085108194857</v>
      </c>
      <c r="F1233">
        <v>0.54157964425896499</v>
      </c>
      <c r="G1233">
        <v>0.16251572444090101</v>
      </c>
      <c r="H1233">
        <v>9.9868969842292696E-2</v>
      </c>
      <c r="I1233">
        <v>7.0344312406287995E-2</v>
      </c>
      <c r="J1233">
        <v>6.0877922176060098E-2</v>
      </c>
      <c r="K1233">
        <v>4.5221026787806602E-2</v>
      </c>
      <c r="L1233">
        <v>1750.6655606147101</v>
      </c>
      <c r="M1233">
        <v>32.947809730254001</v>
      </c>
      <c r="N1233">
        <v>53.361112574258797</v>
      </c>
      <c r="O1233">
        <v>52.939912377122099</v>
      </c>
      <c r="P1233">
        <v>-0.14543335806506999</v>
      </c>
      <c r="Q1233">
        <v>6.5286013063463003E-2</v>
      </c>
      <c r="R1233">
        <v>0.99577573517668805</v>
      </c>
      <c r="S1233" t="s">
        <v>5973</v>
      </c>
      <c r="T1233" t="s">
        <v>9478</v>
      </c>
      <c r="U1233" t="s">
        <v>9478</v>
      </c>
      <c r="V1233" t="s">
        <v>9478</v>
      </c>
      <c r="W1233">
        <v>25</v>
      </c>
      <c r="X1233" t="s">
        <v>10711</v>
      </c>
      <c r="Y1233">
        <v>0.47956909865979908</v>
      </c>
      <c r="Z1233" t="str">
        <f>HYPERLINK("Melting_Curves/meltCurve_sp_P48147_PPCE_HUMAN_.pdf", "Melting_Curves/meltCurve_sp_P48147_PPCE_HUMAN_.pdf")</f>
        <v>Melting_Curves/meltCurve_sp_P48147_PPCE_HUMAN_.pdf</v>
      </c>
      <c r="AA1233" t="s">
        <v>15428</v>
      </c>
      <c r="AB1233" t="s">
        <v>20068</v>
      </c>
    </row>
    <row r="1234" spans="1:28" x14ac:dyDescent="0.25">
      <c r="A1234" t="s">
        <v>1238</v>
      </c>
      <c r="B1234">
        <v>0.99904790336628502</v>
      </c>
      <c r="C1234">
        <v>0.96809747976680405</v>
      </c>
      <c r="D1234">
        <v>1.13249069101651</v>
      </c>
      <c r="E1234">
        <v>1.0687538233197</v>
      </c>
      <c r="F1234">
        <v>1.0277573420289301</v>
      </c>
      <c r="G1234">
        <v>0.54769151855987896</v>
      </c>
      <c r="H1234">
        <v>0.142156084316653</v>
      </c>
      <c r="I1234">
        <v>6.0939303201199897E-2</v>
      </c>
      <c r="J1234">
        <v>3.0636107551866801E-2</v>
      </c>
      <c r="K1234">
        <v>2.8815281467321398E-2</v>
      </c>
      <c r="L1234">
        <v>2502.8700446759699</v>
      </c>
      <c r="M1234">
        <v>43.740054567480101</v>
      </c>
      <c r="N1234">
        <v>57.3481195909972</v>
      </c>
      <c r="O1234">
        <v>57.102242912526201</v>
      </c>
      <c r="P1234">
        <v>-0.182682413210142</v>
      </c>
      <c r="Q1234">
        <v>4.6040430404570599E-2</v>
      </c>
      <c r="R1234">
        <v>0.98645289979657202</v>
      </c>
      <c r="S1234" t="s">
        <v>5974</v>
      </c>
      <c r="T1234" t="s">
        <v>9478</v>
      </c>
      <c r="U1234" t="s">
        <v>9478</v>
      </c>
      <c r="V1234" t="s">
        <v>9478</v>
      </c>
      <c r="W1234">
        <v>13</v>
      </c>
      <c r="X1234" t="s">
        <v>10712</v>
      </c>
      <c r="Y1234">
        <v>0.59678918828573146</v>
      </c>
      <c r="Z1234" t="str">
        <f>HYPERLINK("Melting_Curves/meltCurve_sp_P48163_MAOX_HUMAN_.pdf", "Melting_Curves/meltCurve_sp_P48163_MAOX_HUMAN_.pdf")</f>
        <v>Melting_Curves/meltCurve_sp_P48163_MAOX_HUMAN_.pdf</v>
      </c>
      <c r="AA1234" t="s">
        <v>15429</v>
      </c>
      <c r="AB1234" t="s">
        <v>20069</v>
      </c>
    </row>
    <row r="1235" spans="1:28" x14ac:dyDescent="0.25">
      <c r="A1235" t="s">
        <v>1239</v>
      </c>
      <c r="B1235">
        <v>0.99904790336628502</v>
      </c>
      <c r="C1235">
        <v>0.96957737281830103</v>
      </c>
      <c r="D1235">
        <v>0.86346663314516103</v>
      </c>
      <c r="E1235">
        <v>0.468095067341813</v>
      </c>
      <c r="F1235">
        <v>0.26275677205637998</v>
      </c>
      <c r="G1235">
        <v>0.198443515914874</v>
      </c>
      <c r="H1235">
        <v>0.13089521259971501</v>
      </c>
      <c r="I1235">
        <v>7.1856880329903006E-2</v>
      </c>
      <c r="J1235">
        <v>6.89650472048466E-2</v>
      </c>
      <c r="K1235">
        <v>6.73437420472804E-2</v>
      </c>
      <c r="L1235">
        <v>1021.9713422975</v>
      </c>
      <c r="M1235">
        <v>20.663828761842002</v>
      </c>
      <c r="N1235">
        <v>49.914364782640597</v>
      </c>
      <c r="O1235">
        <v>49.000810378140301</v>
      </c>
      <c r="P1235">
        <v>-9.6336214039033793E-2</v>
      </c>
      <c r="Q1235">
        <v>8.6245163824781895E-2</v>
      </c>
      <c r="R1235">
        <v>0.995187785048535</v>
      </c>
      <c r="S1235" t="s">
        <v>5975</v>
      </c>
      <c r="T1235" t="s">
        <v>9478</v>
      </c>
      <c r="U1235" t="s">
        <v>9478</v>
      </c>
      <c r="V1235" t="s">
        <v>9478</v>
      </c>
      <c r="W1235">
        <v>9</v>
      </c>
      <c r="X1235" t="s">
        <v>10713</v>
      </c>
      <c r="Y1235">
        <v>0.38624008884479072</v>
      </c>
      <c r="Z1235" t="str">
        <f>HYPERLINK("Melting_Curves/meltCurve_sp_P48200_IREB2_HUMAN_.pdf", "Melting_Curves/meltCurve_sp_P48200_IREB2_HUMAN_.pdf")</f>
        <v>Melting_Curves/meltCurve_sp_P48200_IREB2_HUMAN_.pdf</v>
      </c>
      <c r="AA1235" t="s">
        <v>15430</v>
      </c>
      <c r="AB1235" t="s">
        <v>20070</v>
      </c>
    </row>
    <row r="1236" spans="1:28" x14ac:dyDescent="0.25">
      <c r="A1236" t="s">
        <v>1240</v>
      </c>
      <c r="B1236">
        <v>0.99904790336628502</v>
      </c>
      <c r="C1236">
        <v>1.0447302363795401</v>
      </c>
      <c r="D1236">
        <v>1.03260071800703</v>
      </c>
      <c r="E1236">
        <v>1.0444818951272301</v>
      </c>
      <c r="F1236">
        <v>0.91992412418621705</v>
      </c>
      <c r="G1236">
        <v>0.61355055631272803</v>
      </c>
      <c r="H1236">
        <v>0.19324081664130399</v>
      </c>
      <c r="I1236">
        <v>9.8307897509364597E-2</v>
      </c>
      <c r="J1236">
        <v>7.7927132896557602E-2</v>
      </c>
      <c r="K1236">
        <v>7.4269097281876403E-2</v>
      </c>
      <c r="L1236">
        <v>1849.9443307035001</v>
      </c>
      <c r="M1236">
        <v>32.137600110937399</v>
      </c>
      <c r="N1236">
        <v>57.820604348162597</v>
      </c>
      <c r="O1236">
        <v>57.341732441901499</v>
      </c>
      <c r="P1236">
        <v>-0.130777146939764</v>
      </c>
      <c r="Q1236">
        <v>6.6644568260137399E-2</v>
      </c>
      <c r="R1236">
        <v>0.99642142679134404</v>
      </c>
      <c r="S1236" t="s">
        <v>5976</v>
      </c>
      <c r="T1236" t="s">
        <v>9478</v>
      </c>
      <c r="U1236" t="s">
        <v>9478</v>
      </c>
      <c r="V1236" t="s">
        <v>9478</v>
      </c>
      <c r="W1236">
        <v>33</v>
      </c>
      <c r="X1236" t="s">
        <v>10714</v>
      </c>
      <c r="Y1236">
        <v>0.61855669287071391</v>
      </c>
      <c r="Z1236" t="str">
        <f>HYPERLINK("Melting_Curves/meltCurve_sp_P48444_COPD_HUMAN_.pdf", "Melting_Curves/meltCurve_sp_P48444_COPD_HUMAN_.pdf")</f>
        <v>Melting_Curves/meltCurve_sp_P48444_COPD_HUMAN_.pdf</v>
      </c>
      <c r="AA1236" t="s">
        <v>15431</v>
      </c>
      <c r="AB1236" t="s">
        <v>20071</v>
      </c>
    </row>
    <row r="1237" spans="1:28" x14ac:dyDescent="0.25">
      <c r="A1237" t="s">
        <v>1241</v>
      </c>
      <c r="B1237">
        <v>0.99904790336628502</v>
      </c>
      <c r="C1237">
        <v>0.93550741782900404</v>
      </c>
      <c r="D1237">
        <v>0.85286673106829802</v>
      </c>
      <c r="E1237">
        <v>0.56640579544947001</v>
      </c>
      <c r="F1237">
        <v>0.26423145449893998</v>
      </c>
      <c r="G1237">
        <v>0.127951397837957</v>
      </c>
      <c r="H1237">
        <v>7.5706676580779897E-2</v>
      </c>
      <c r="I1237">
        <v>6.1111313571007499E-2</v>
      </c>
      <c r="J1237">
        <v>5.70334544485782E-2</v>
      </c>
      <c r="K1237">
        <v>5.8422457280644401E-2</v>
      </c>
      <c r="L1237">
        <v>996.02903589729203</v>
      </c>
      <c r="M1237">
        <v>19.867319963481499</v>
      </c>
      <c r="N1237">
        <v>50.393673835126002</v>
      </c>
      <c r="O1237">
        <v>49.6344142300741</v>
      </c>
      <c r="P1237">
        <v>-9.5203466428843295E-2</v>
      </c>
      <c r="Q1237">
        <v>4.8646923072547199E-2</v>
      </c>
      <c r="R1237">
        <v>0.99803790870368503</v>
      </c>
      <c r="S1237" t="s">
        <v>5977</v>
      </c>
      <c r="T1237" t="s">
        <v>9478</v>
      </c>
      <c r="U1237" t="s">
        <v>9478</v>
      </c>
      <c r="V1237" t="s">
        <v>9478</v>
      </c>
      <c r="W1237">
        <v>13</v>
      </c>
      <c r="X1237" t="s">
        <v>10715</v>
      </c>
      <c r="Y1237">
        <v>0.38342484152506601</v>
      </c>
      <c r="Z1237" t="str">
        <f>HYPERLINK("Melting_Curves/meltCurve_sp_P48449_3_ERG7_HUMAN_.pdf", "Melting_Curves/meltCurve_sp_P48449_3_ERG7_HUMAN_.pdf")</f>
        <v>Melting_Curves/meltCurve_sp_P48449_3_ERG7_HUMAN_.pdf</v>
      </c>
      <c r="AA1237" t="s">
        <v>15432</v>
      </c>
      <c r="AB1237" t="s">
        <v>20072</v>
      </c>
    </row>
    <row r="1238" spans="1:28" x14ac:dyDescent="0.25">
      <c r="A1238" t="s">
        <v>1242</v>
      </c>
      <c r="B1238">
        <v>0.99904790336628502</v>
      </c>
      <c r="C1238">
        <v>0.90479718439305901</v>
      </c>
      <c r="D1238">
        <v>0.95460025414271699</v>
      </c>
      <c r="E1238">
        <v>0.73338017421427204</v>
      </c>
      <c r="F1238">
        <v>0.36611241659177501</v>
      </c>
      <c r="G1238">
        <v>0.18200659802873501</v>
      </c>
      <c r="H1238">
        <v>8.8161612070202094E-2</v>
      </c>
      <c r="I1238">
        <v>4.7647999133387499E-2</v>
      </c>
      <c r="J1238">
        <v>3.33883239122107E-2</v>
      </c>
      <c r="K1238">
        <v>2.7709440559003901E-2</v>
      </c>
      <c r="L1238">
        <v>1138.2551921264901</v>
      </c>
      <c r="M1238">
        <v>21.951956457937399</v>
      </c>
      <c r="N1238">
        <v>52.0326948379562</v>
      </c>
      <c r="O1238">
        <v>51.4275537050681</v>
      </c>
      <c r="P1238">
        <v>-0.102801196716888</v>
      </c>
      <c r="Q1238">
        <v>3.6678900332812701E-2</v>
      </c>
      <c r="R1238">
        <v>0.99282338835977302</v>
      </c>
      <c r="S1238" t="s">
        <v>5978</v>
      </c>
      <c r="T1238" t="s">
        <v>9478</v>
      </c>
      <c r="U1238" t="s">
        <v>9478</v>
      </c>
      <c r="V1238" t="s">
        <v>9478</v>
      </c>
      <c r="W1238">
        <v>29</v>
      </c>
      <c r="X1238" t="s">
        <v>10716</v>
      </c>
      <c r="Y1238">
        <v>0.42850112170412757</v>
      </c>
      <c r="Z1238" t="str">
        <f>HYPERLINK("Melting_Curves/meltCurve_sp_P48506_GSH1_HUMAN_.pdf", "Melting_Curves/meltCurve_sp_P48506_GSH1_HUMAN_.pdf")</f>
        <v>Melting_Curves/meltCurve_sp_P48506_GSH1_HUMAN_.pdf</v>
      </c>
      <c r="AA1238" t="s">
        <v>15433</v>
      </c>
      <c r="AB1238" t="s">
        <v>20073</v>
      </c>
    </row>
    <row r="1239" spans="1:28" x14ac:dyDescent="0.25">
      <c r="A1239" t="s">
        <v>1243</v>
      </c>
      <c r="B1239">
        <v>0.99904790336628502</v>
      </c>
      <c r="C1239">
        <v>0.97396069508911198</v>
      </c>
      <c r="D1239">
        <v>0.97797560059373601</v>
      </c>
      <c r="E1239">
        <v>0.876860290701996</v>
      </c>
      <c r="F1239">
        <v>0.62822966082940601</v>
      </c>
      <c r="G1239">
        <v>0.309431128251972</v>
      </c>
      <c r="H1239">
        <v>0.17836171959431699</v>
      </c>
      <c r="I1239">
        <v>0.118095104971197</v>
      </c>
      <c r="J1239">
        <v>0.102007070650909</v>
      </c>
      <c r="K1239">
        <v>0.10079002680530499</v>
      </c>
      <c r="L1239">
        <v>1177.5359640769</v>
      </c>
      <c r="M1239">
        <v>21.8181706483075</v>
      </c>
      <c r="N1239">
        <v>54.497012765464099</v>
      </c>
      <c r="O1239">
        <v>53.523174152503401</v>
      </c>
      <c r="P1239">
        <v>-9.2226448783453693E-2</v>
      </c>
      <c r="Q1239">
        <v>9.5040824672606897E-2</v>
      </c>
      <c r="R1239">
        <v>0.99926426202502305</v>
      </c>
      <c r="S1239" t="s">
        <v>5979</v>
      </c>
      <c r="T1239" t="s">
        <v>9478</v>
      </c>
      <c r="U1239" t="s">
        <v>9478</v>
      </c>
      <c r="V1239" t="s">
        <v>9478</v>
      </c>
      <c r="W1239">
        <v>8</v>
      </c>
      <c r="X1239" t="s">
        <v>10717</v>
      </c>
      <c r="Y1239">
        <v>0.52711320457102961</v>
      </c>
      <c r="Z1239" t="str">
        <f>HYPERLINK("Melting_Curves/meltCurve_sp_P48507_GSH0_HUMAN_.pdf", "Melting_Curves/meltCurve_sp_P48507_GSH0_HUMAN_.pdf")</f>
        <v>Melting_Curves/meltCurve_sp_P48507_GSH0_HUMAN_.pdf</v>
      </c>
      <c r="AA1239" t="s">
        <v>15434</v>
      </c>
      <c r="AB1239" t="s">
        <v>20074</v>
      </c>
    </row>
    <row r="1240" spans="1:28" x14ac:dyDescent="0.25">
      <c r="A1240" t="s">
        <v>1244</v>
      </c>
      <c r="B1240">
        <v>0.99904790336628502</v>
      </c>
      <c r="C1240">
        <v>0.97233426677079304</v>
      </c>
      <c r="D1240">
        <v>1.0013138906190899</v>
      </c>
      <c r="E1240">
        <v>0.85010630928019504</v>
      </c>
      <c r="F1240">
        <v>0.44924634465449498</v>
      </c>
      <c r="G1240">
        <v>0.19033748896163299</v>
      </c>
      <c r="H1240">
        <v>9.1488450754756201E-2</v>
      </c>
      <c r="I1240">
        <v>6.5067834848941297E-2</v>
      </c>
      <c r="J1240">
        <v>6.4310918841271297E-2</v>
      </c>
      <c r="K1240">
        <v>5.8110651615427299E-2</v>
      </c>
      <c r="L1240">
        <v>1548.90825273767</v>
      </c>
      <c r="M1240">
        <v>29.4842359299356</v>
      </c>
      <c r="N1240">
        <v>52.803003923657997</v>
      </c>
      <c r="O1240">
        <v>52.293563877533202</v>
      </c>
      <c r="P1240">
        <v>-0.13110804202934701</v>
      </c>
      <c r="Q1240">
        <v>6.9868053263305904E-2</v>
      </c>
      <c r="R1240">
        <v>0.99780652683687099</v>
      </c>
      <c r="S1240" t="s">
        <v>5980</v>
      </c>
      <c r="T1240" t="s">
        <v>9478</v>
      </c>
      <c r="U1240" t="s">
        <v>9478</v>
      </c>
      <c r="V1240" t="s">
        <v>9478</v>
      </c>
      <c r="W1240">
        <v>3</v>
      </c>
      <c r="X1240" t="s">
        <v>10718</v>
      </c>
      <c r="Y1240">
        <v>0.46465919727487898</v>
      </c>
      <c r="Z1240" t="str">
        <f>HYPERLINK("Melting_Curves/meltCurve_sp_P48553_TPC10_HUMAN_.pdf", "Melting_Curves/meltCurve_sp_P48553_TPC10_HUMAN_.pdf")</f>
        <v>Melting_Curves/meltCurve_sp_P48553_TPC10_HUMAN_.pdf</v>
      </c>
      <c r="AA1240" t="s">
        <v>15435</v>
      </c>
      <c r="AB1240" t="s">
        <v>20075</v>
      </c>
    </row>
    <row r="1241" spans="1:28" x14ac:dyDescent="0.25">
      <c r="A1241" t="s">
        <v>1245</v>
      </c>
      <c r="B1241">
        <v>0.99904790336628502</v>
      </c>
      <c r="C1241">
        <v>0.96075809065793905</v>
      </c>
      <c r="D1241">
        <v>0.93626490707176002</v>
      </c>
      <c r="E1241">
        <v>0.92490282101347399</v>
      </c>
      <c r="F1241">
        <v>0.90280672459622202</v>
      </c>
      <c r="G1241">
        <v>0.69886149336842396</v>
      </c>
      <c r="H1241">
        <v>0.644614708822148</v>
      </c>
      <c r="I1241">
        <v>0.57625973269236697</v>
      </c>
      <c r="J1241">
        <v>0.641436838978242</v>
      </c>
      <c r="K1241">
        <v>0.69497148637846795</v>
      </c>
      <c r="L1241">
        <v>1473.9821363690901</v>
      </c>
      <c r="M1241">
        <v>27.1758557978985</v>
      </c>
      <c r="O1241">
        <v>53.9475230586552</v>
      </c>
      <c r="P1241">
        <v>-4.6290619620021699E-2</v>
      </c>
      <c r="Q1241">
        <v>0.63243252830026997</v>
      </c>
      <c r="R1241">
        <v>0.93186906629922595</v>
      </c>
      <c r="S1241" t="s">
        <v>5981</v>
      </c>
      <c r="T1241" t="s">
        <v>9478</v>
      </c>
      <c r="U1241" t="s">
        <v>9478</v>
      </c>
      <c r="V1241" t="s">
        <v>9478</v>
      </c>
      <c r="W1241">
        <v>24</v>
      </c>
      <c r="X1241" t="s">
        <v>10719</v>
      </c>
      <c r="Y1241">
        <v>0.80980766381362734</v>
      </c>
      <c r="Z1241" t="str">
        <f>HYPERLINK("Melting_Curves/meltCurve_sp_P48634_PRC2A_HUMAN_.pdf", "Melting_Curves/meltCurve_sp_P48634_PRC2A_HUMAN_.pdf")</f>
        <v>Melting_Curves/meltCurve_sp_P48634_PRC2A_HUMAN_.pdf</v>
      </c>
      <c r="AA1241" t="s">
        <v>15436</v>
      </c>
      <c r="AB1241" t="s">
        <v>20076</v>
      </c>
    </row>
    <row r="1242" spans="1:28" x14ac:dyDescent="0.25">
      <c r="A1242" t="s">
        <v>1246</v>
      </c>
      <c r="B1242">
        <v>0.99904790336628502</v>
      </c>
      <c r="C1242">
        <v>1.0591700683852101</v>
      </c>
      <c r="D1242">
        <v>1.0754116867758901</v>
      </c>
      <c r="E1242">
        <v>1.0826663378110799</v>
      </c>
      <c r="F1242">
        <v>0.91734987576670102</v>
      </c>
      <c r="G1242">
        <v>0.90833694782743202</v>
      </c>
      <c r="H1242">
        <v>0.45030707578546703</v>
      </c>
      <c r="I1242">
        <v>0.130518397873811</v>
      </c>
      <c r="J1242">
        <v>4.14764037533525E-2</v>
      </c>
      <c r="K1242">
        <v>4.0914856265975103E-2</v>
      </c>
      <c r="L1242">
        <v>2214.1311565301598</v>
      </c>
      <c r="M1242">
        <v>36.571284577018901</v>
      </c>
      <c r="N1242">
        <v>60.6143116685327</v>
      </c>
      <c r="O1242">
        <v>60.362737608975898</v>
      </c>
      <c r="P1242">
        <v>-0.148270874960404</v>
      </c>
      <c r="Q1242">
        <v>2.1089212239068601E-2</v>
      </c>
      <c r="R1242">
        <v>0.98782379488976702</v>
      </c>
      <c r="S1242" t="s">
        <v>5982</v>
      </c>
      <c r="T1242" t="s">
        <v>9478</v>
      </c>
      <c r="U1242" t="s">
        <v>9478</v>
      </c>
      <c r="V1242" t="s">
        <v>9478</v>
      </c>
      <c r="W1242">
        <v>35</v>
      </c>
      <c r="X1242" t="s">
        <v>10720</v>
      </c>
      <c r="Y1242">
        <v>0.69577131294630479</v>
      </c>
      <c r="Z1242" t="str">
        <f>HYPERLINK("Melting_Curves/meltCurve_sp_P48637_GSHB_HUMAN_.pdf", "Melting_Curves/meltCurve_sp_P48637_GSHB_HUMAN_.pdf")</f>
        <v>Melting_Curves/meltCurve_sp_P48637_GSHB_HUMAN_.pdf</v>
      </c>
      <c r="AA1242" t="s">
        <v>15437</v>
      </c>
      <c r="AB1242" t="s">
        <v>20077</v>
      </c>
    </row>
    <row r="1243" spans="1:28" x14ac:dyDescent="0.25">
      <c r="A1243" t="s">
        <v>1247</v>
      </c>
      <c r="B1243">
        <v>0.99904790336628502</v>
      </c>
      <c r="C1243">
        <v>1.0780651583044101</v>
      </c>
      <c r="D1243">
        <v>1.0835237490659</v>
      </c>
      <c r="E1243">
        <v>1.0000312938498801</v>
      </c>
      <c r="F1243">
        <v>0.72845848909521405</v>
      </c>
      <c r="G1243">
        <v>0.322964836083388</v>
      </c>
      <c r="H1243">
        <v>0.14766574165990801</v>
      </c>
      <c r="I1243">
        <v>7.5806209549768494E-2</v>
      </c>
      <c r="J1243">
        <v>5.0573430776322703E-2</v>
      </c>
      <c r="K1243">
        <v>6.50007140938757E-2</v>
      </c>
      <c r="L1243">
        <v>1543.4362430624799</v>
      </c>
      <c r="M1243">
        <v>28.0674301664931</v>
      </c>
      <c r="N1243">
        <v>55.259796029612303</v>
      </c>
      <c r="O1243">
        <v>54.7134198030828</v>
      </c>
      <c r="P1243">
        <v>-0.120045189190709</v>
      </c>
      <c r="Q1243">
        <v>6.3964628483493505E-2</v>
      </c>
      <c r="R1243">
        <v>0.99023015563170502</v>
      </c>
      <c r="S1243" t="s">
        <v>5983</v>
      </c>
      <c r="T1243" t="s">
        <v>9478</v>
      </c>
      <c r="U1243" t="s">
        <v>9478</v>
      </c>
      <c r="V1243" t="s">
        <v>9478</v>
      </c>
      <c r="W1243">
        <v>25</v>
      </c>
      <c r="X1243" t="s">
        <v>10721</v>
      </c>
      <c r="Y1243">
        <v>0.53871029203742704</v>
      </c>
      <c r="Z1243" t="str">
        <f>HYPERLINK("Melting_Curves/meltCurve_sp_P48643_TCPE_HUMAN_.pdf", "Melting_Curves/meltCurve_sp_P48643_TCPE_HUMAN_.pdf")</f>
        <v>Melting_Curves/meltCurve_sp_P48643_TCPE_HUMAN_.pdf</v>
      </c>
      <c r="AA1243" t="s">
        <v>15438</v>
      </c>
      <c r="AB1243" t="s">
        <v>20078</v>
      </c>
    </row>
    <row r="1244" spans="1:28" x14ac:dyDescent="0.25">
      <c r="A1244" t="s">
        <v>1248</v>
      </c>
      <c r="B1244">
        <v>0.99904790336628502</v>
      </c>
      <c r="C1244">
        <v>0.76588352305635898</v>
      </c>
      <c r="D1244">
        <v>1.0718860075358101</v>
      </c>
      <c r="E1244">
        <v>1.47031277251365</v>
      </c>
      <c r="F1244">
        <v>0</v>
      </c>
      <c r="G1244">
        <v>25.109657800919699</v>
      </c>
      <c r="H1244">
        <v>0</v>
      </c>
      <c r="I1244">
        <v>0.61923385176274803</v>
      </c>
      <c r="J1244">
        <v>2.15406578613702</v>
      </c>
      <c r="K1244">
        <v>0.67933692217167196</v>
      </c>
      <c r="S1244" t="s">
        <v>5984</v>
      </c>
      <c r="T1244" t="s">
        <v>9478</v>
      </c>
      <c r="U1244" t="s">
        <v>9479</v>
      </c>
      <c r="V1244" t="s">
        <v>9478</v>
      </c>
      <c r="W1244">
        <v>29</v>
      </c>
      <c r="X1244" t="s">
        <v>10722</v>
      </c>
      <c r="Z1244" t="str">
        <f>HYPERLINK("Melting_Curves/meltCurve_sp_P48668_K2C6C_HUMAN_.pdf", "Melting_Curves/meltCurve_sp_P48668_K2C6C_HUMAN_.pdf")</f>
        <v>Melting_Curves/meltCurve_sp_P48668_K2C6C_HUMAN_.pdf</v>
      </c>
      <c r="AA1244" t="s">
        <v>15439</v>
      </c>
      <c r="AB1244" t="s">
        <v>20079</v>
      </c>
    </row>
    <row r="1245" spans="1:28" x14ac:dyDescent="0.25">
      <c r="A1245" t="s">
        <v>1249</v>
      </c>
      <c r="B1245">
        <v>0.99904790336628502</v>
      </c>
      <c r="C1245">
        <v>0.89326277706499402</v>
      </c>
      <c r="D1245">
        <v>0.85317863355429502</v>
      </c>
      <c r="E1245">
        <v>0.63855420304251997</v>
      </c>
      <c r="F1245">
        <v>0.27742393652042802</v>
      </c>
      <c r="G1245">
        <v>0.10410462857396501</v>
      </c>
      <c r="H1245">
        <v>4.3799754034072297E-2</v>
      </c>
      <c r="I1245">
        <v>2.9541347089140201E-2</v>
      </c>
      <c r="J1245">
        <v>2.20942459643911E-2</v>
      </c>
      <c r="K1245">
        <v>1.8369684451427701E-2</v>
      </c>
      <c r="L1245">
        <v>963.45376852466302</v>
      </c>
      <c r="M1245">
        <v>18.961256765977001</v>
      </c>
      <c r="N1245">
        <v>50.837658562290201</v>
      </c>
      <c r="O1245">
        <v>50.256629898429203</v>
      </c>
      <c r="P1245">
        <v>-9.3871558504635397E-2</v>
      </c>
      <c r="Q1245">
        <v>4.8168393462022698E-3</v>
      </c>
      <c r="R1245">
        <v>0.991940419769342</v>
      </c>
      <c r="S1245" t="s">
        <v>5985</v>
      </c>
      <c r="T1245" t="s">
        <v>9478</v>
      </c>
      <c r="U1245" t="s">
        <v>9478</v>
      </c>
      <c r="V1245" t="s">
        <v>9478</v>
      </c>
      <c r="W1245">
        <v>21</v>
      </c>
      <c r="X1245" t="s">
        <v>10723</v>
      </c>
      <c r="Y1245">
        <v>0.37874278942153589</v>
      </c>
      <c r="Z1245" t="str">
        <f>HYPERLINK("Melting_Curves/meltCurve_sp_P48728_GCST_HUMAN_.pdf", "Melting_Curves/meltCurve_sp_P48728_GCST_HUMAN_.pdf")</f>
        <v>Melting_Curves/meltCurve_sp_P48728_GCST_HUMAN_.pdf</v>
      </c>
      <c r="AA1245" t="s">
        <v>15440</v>
      </c>
      <c r="AB1245" t="s">
        <v>20080</v>
      </c>
    </row>
    <row r="1246" spans="1:28" x14ac:dyDescent="0.25">
      <c r="A1246" t="s">
        <v>1250</v>
      </c>
      <c r="B1246">
        <v>0.99904790336628502</v>
      </c>
      <c r="C1246">
        <v>0.616106178874823</v>
      </c>
      <c r="D1246">
        <v>0.219772975903886</v>
      </c>
      <c r="E1246">
        <v>0.11500934511298599</v>
      </c>
      <c r="F1246">
        <v>5.7747096809372997E-2</v>
      </c>
      <c r="G1246">
        <v>3.9731249030311201E-2</v>
      </c>
      <c r="H1246">
        <v>2.6251884245436698E-2</v>
      </c>
      <c r="I1246">
        <v>1.78774555499129E-2</v>
      </c>
      <c r="J1246">
        <v>1.49180135600992E-2</v>
      </c>
      <c r="K1246">
        <v>1.1811600624894201E-2</v>
      </c>
      <c r="L1246">
        <v>1279.1619977513001</v>
      </c>
      <c r="M1246">
        <v>29.293435427978299</v>
      </c>
      <c r="N1246">
        <v>43.778523696595698</v>
      </c>
      <c r="O1246">
        <v>43.4652097003843</v>
      </c>
      <c r="P1246">
        <v>-0.16244119432430601</v>
      </c>
      <c r="Q1246">
        <v>3.5894672712355399E-2</v>
      </c>
      <c r="R1246">
        <v>0.99075706516533901</v>
      </c>
      <c r="S1246" t="s">
        <v>5986</v>
      </c>
      <c r="T1246" t="s">
        <v>9478</v>
      </c>
      <c r="U1246" t="s">
        <v>9478</v>
      </c>
      <c r="V1246" t="s">
        <v>9478</v>
      </c>
      <c r="W1246">
        <v>32</v>
      </c>
      <c r="X1246" t="s">
        <v>10724</v>
      </c>
      <c r="Y1246">
        <v>0.1617113656913868</v>
      </c>
      <c r="Z1246" t="str">
        <f>HYPERLINK("Melting_Curves/meltCurve_sp_P48735_IDHP_HUMAN_.pdf", "Melting_Curves/meltCurve_sp_P48735_IDHP_HUMAN_.pdf")</f>
        <v>Melting_Curves/meltCurve_sp_P48735_IDHP_HUMAN_.pdf</v>
      </c>
      <c r="AA1246" t="s">
        <v>15441</v>
      </c>
      <c r="AB1246" t="s">
        <v>20081</v>
      </c>
    </row>
    <row r="1247" spans="1:28" x14ac:dyDescent="0.25">
      <c r="A1247" t="s">
        <v>1251</v>
      </c>
      <c r="B1247">
        <v>0.99904790336628502</v>
      </c>
      <c r="C1247">
        <v>0.99512723618771104</v>
      </c>
      <c r="D1247">
        <v>0.97017690576686899</v>
      </c>
      <c r="E1247">
        <v>0.96503143696358695</v>
      </c>
      <c r="F1247">
        <v>0.91435041178145404</v>
      </c>
      <c r="G1247">
        <v>0.60469513239197303</v>
      </c>
      <c r="H1247">
        <v>0.156890664357166</v>
      </c>
      <c r="I1247">
        <v>8.3393524440216693E-2</v>
      </c>
      <c r="J1247">
        <v>5.8911102210527602E-2</v>
      </c>
      <c r="K1247">
        <v>4.2988398587764598E-2</v>
      </c>
      <c r="L1247">
        <v>1789.9035792888101</v>
      </c>
      <c r="M1247">
        <v>31.1138607067418</v>
      </c>
      <c r="N1247">
        <v>57.677685704509699</v>
      </c>
      <c r="O1247">
        <v>57.291455345505803</v>
      </c>
      <c r="P1247">
        <v>-0.130488918359106</v>
      </c>
      <c r="Q1247">
        <v>3.8903207158609003E-2</v>
      </c>
      <c r="R1247">
        <v>0.99832221287944001</v>
      </c>
      <c r="S1247" t="s">
        <v>5987</v>
      </c>
      <c r="T1247" t="s">
        <v>9478</v>
      </c>
      <c r="U1247" t="s">
        <v>9478</v>
      </c>
      <c r="V1247" t="s">
        <v>9478</v>
      </c>
      <c r="W1247">
        <v>23</v>
      </c>
      <c r="X1247" t="s">
        <v>10725</v>
      </c>
      <c r="Y1247">
        <v>0.60640767283049091</v>
      </c>
      <c r="Z1247" t="str">
        <f>HYPERLINK("Melting_Curves/meltCurve_sp_P48739_PIPNB_HUMAN_.pdf", "Melting_Curves/meltCurve_sp_P48739_PIPNB_HUMAN_.pdf")</f>
        <v>Melting_Curves/meltCurve_sp_P48739_PIPNB_HUMAN_.pdf</v>
      </c>
      <c r="AA1247" t="s">
        <v>15442</v>
      </c>
      <c r="AB1247" t="s">
        <v>20082</v>
      </c>
    </row>
    <row r="1248" spans="1:28" x14ac:dyDescent="0.25">
      <c r="A1248" t="s">
        <v>1252</v>
      </c>
      <c r="B1248">
        <v>0.99904790336628502</v>
      </c>
      <c r="C1248">
        <v>1.09960127357027</v>
      </c>
      <c r="D1248">
        <v>1.06322673160576</v>
      </c>
      <c r="E1248">
        <v>0.92377383662685797</v>
      </c>
      <c r="F1248">
        <v>0.71493878520222098</v>
      </c>
      <c r="G1248">
        <v>0.50057286768334297</v>
      </c>
      <c r="H1248">
        <v>0.33218233721752899</v>
      </c>
      <c r="I1248">
        <v>0.282877301693438</v>
      </c>
      <c r="J1248">
        <v>0.168512542433183</v>
      </c>
      <c r="K1248">
        <v>0.16179111885165001</v>
      </c>
      <c r="L1248">
        <v>966.79603120786703</v>
      </c>
      <c r="M1248">
        <v>17.3179567493966</v>
      </c>
      <c r="N1248">
        <v>57.048536022660102</v>
      </c>
      <c r="O1248">
        <v>55.097786892307603</v>
      </c>
      <c r="P1248">
        <v>-6.6402783924081901E-2</v>
      </c>
      <c r="Q1248">
        <v>0.15499585786839501</v>
      </c>
      <c r="R1248">
        <v>0.98147084755136005</v>
      </c>
      <c r="S1248" t="s">
        <v>5988</v>
      </c>
      <c r="T1248" t="s">
        <v>9478</v>
      </c>
      <c r="U1248" t="s">
        <v>9478</v>
      </c>
      <c r="V1248" t="s">
        <v>9478</v>
      </c>
      <c r="W1248">
        <v>3</v>
      </c>
      <c r="X1248" t="s">
        <v>10726</v>
      </c>
      <c r="Y1248">
        <v>0.61392911510168013</v>
      </c>
      <c r="Z1248" t="str">
        <f>HYPERLINK("Melting_Curves/meltCurve_sp_P48740_MASP1_HUMAN_.pdf", "Melting_Curves/meltCurve_sp_P48740_MASP1_HUMAN_.pdf")</f>
        <v>Melting_Curves/meltCurve_sp_P48740_MASP1_HUMAN_.pdf</v>
      </c>
      <c r="AA1248" t="s">
        <v>15443</v>
      </c>
      <c r="AB1248" t="s">
        <v>20083</v>
      </c>
    </row>
    <row r="1249" spans="1:28" x14ac:dyDescent="0.25">
      <c r="A1249" t="s">
        <v>1253</v>
      </c>
      <c r="B1249">
        <v>0.99904790336628502</v>
      </c>
      <c r="C1249">
        <v>1.21037312972274</v>
      </c>
      <c r="D1249">
        <v>1.1519064682387601</v>
      </c>
      <c r="E1249">
        <v>0.88410623261180699</v>
      </c>
      <c r="F1249">
        <v>0.44957249465945198</v>
      </c>
      <c r="G1249">
        <v>0.249440916181669</v>
      </c>
      <c r="H1249">
        <v>0.15866378305966999</v>
      </c>
      <c r="I1249">
        <v>0.12653361026573701</v>
      </c>
      <c r="J1249">
        <v>7.6194868241465902E-2</v>
      </c>
      <c r="K1249">
        <v>9.5276942666295494E-2</v>
      </c>
      <c r="L1249">
        <v>1887.0470970392</v>
      </c>
      <c r="M1249">
        <v>36.000846702675098</v>
      </c>
      <c r="N1249">
        <v>52.847014058221802</v>
      </c>
      <c r="O1249">
        <v>52.255796871029297</v>
      </c>
      <c r="P1249">
        <v>-0.15035515724731499</v>
      </c>
      <c r="Q1249">
        <v>0.12703122152277799</v>
      </c>
      <c r="R1249">
        <v>0.95926147912818005</v>
      </c>
      <c r="S1249" t="s">
        <v>5989</v>
      </c>
      <c r="T1249" t="s">
        <v>9478</v>
      </c>
      <c r="U1249" t="s">
        <v>9478</v>
      </c>
      <c r="V1249" t="s">
        <v>9478</v>
      </c>
      <c r="W1249">
        <v>2</v>
      </c>
      <c r="X1249" t="s">
        <v>10727</v>
      </c>
      <c r="Y1249">
        <v>0.49225015210773537</v>
      </c>
      <c r="Z1249" t="str">
        <f>HYPERLINK("Melting_Curves/meltCurve_sp_P48775_T23O_HUMAN_.pdf", "Melting_Curves/meltCurve_sp_P48775_T23O_HUMAN_.pdf")</f>
        <v>Melting_Curves/meltCurve_sp_P48775_T23O_HUMAN_.pdf</v>
      </c>
      <c r="AA1249" t="s">
        <v>15444</v>
      </c>
      <c r="AB1249" t="s">
        <v>20084</v>
      </c>
    </row>
    <row r="1250" spans="1:28" x14ac:dyDescent="0.25">
      <c r="A1250" t="s">
        <v>1254</v>
      </c>
      <c r="B1250">
        <v>0.99904790336628502</v>
      </c>
      <c r="C1250">
        <v>1.01530541313537</v>
      </c>
      <c r="D1250">
        <v>0.84516303831088102</v>
      </c>
      <c r="E1250">
        <v>0.70595044568645304</v>
      </c>
      <c r="F1250">
        <v>0.61681921516194904</v>
      </c>
      <c r="G1250">
        <v>0.50850850670758896</v>
      </c>
      <c r="H1250">
        <v>0.32449458925102198</v>
      </c>
      <c r="I1250">
        <v>0.19602946379090699</v>
      </c>
      <c r="J1250">
        <v>0.104564328106239</v>
      </c>
      <c r="K1250">
        <v>9.3273816688917197E-2</v>
      </c>
      <c r="L1250">
        <v>555.830544375915</v>
      </c>
      <c r="M1250">
        <v>9.9894096783913504</v>
      </c>
      <c r="N1250">
        <v>55.641981083186998</v>
      </c>
      <c r="O1250">
        <v>53.550004135176799</v>
      </c>
      <c r="P1250">
        <v>-4.6658682944172102E-2</v>
      </c>
      <c r="Q1250">
        <v>0</v>
      </c>
      <c r="R1250">
        <v>0.98405291988361498</v>
      </c>
      <c r="S1250" t="s">
        <v>5990</v>
      </c>
      <c r="T1250" t="s">
        <v>9478</v>
      </c>
      <c r="U1250" t="s">
        <v>9478</v>
      </c>
      <c r="V1250" t="s">
        <v>9478</v>
      </c>
      <c r="W1250">
        <v>5</v>
      </c>
      <c r="X1250" t="s">
        <v>10728</v>
      </c>
      <c r="Y1250">
        <v>0.54426581077646119</v>
      </c>
      <c r="Z1250" t="str">
        <f>HYPERLINK("Melting_Curves/meltCurve_sp_P49005_DPOD2_HUMAN_.pdf", "Melting_Curves/meltCurve_sp_P49005_DPOD2_HUMAN_.pdf")</f>
        <v>Melting_Curves/meltCurve_sp_P49005_DPOD2_HUMAN_.pdf</v>
      </c>
      <c r="AA1250" t="s">
        <v>15445</v>
      </c>
      <c r="AB1250" t="s">
        <v>20085</v>
      </c>
    </row>
    <row r="1251" spans="1:28" x14ac:dyDescent="0.25">
      <c r="A1251" t="s">
        <v>1255</v>
      </c>
      <c r="B1251">
        <v>0.99904790336628502</v>
      </c>
      <c r="C1251">
        <v>0.84074985614221798</v>
      </c>
      <c r="D1251">
        <v>0.93755446857471902</v>
      </c>
      <c r="E1251">
        <v>0.88003370531334002</v>
      </c>
      <c r="F1251">
        <v>0.99153675251859597</v>
      </c>
      <c r="G1251">
        <v>0.77052278693582399</v>
      </c>
      <c r="H1251">
        <v>0.89581032690158102</v>
      </c>
      <c r="I1251">
        <v>0.97074233685367695</v>
      </c>
      <c r="J1251">
        <v>0.92165485069571695</v>
      </c>
      <c r="K1251">
        <v>1.32274455822653</v>
      </c>
      <c r="L1251">
        <v>10158.894901977899</v>
      </c>
      <c r="M1251">
        <v>250</v>
      </c>
      <c r="O1251">
        <v>40.632979321514199</v>
      </c>
      <c r="P1251">
        <v>-8.0095390826390001E-2</v>
      </c>
      <c r="Q1251">
        <v>0.947927770469152</v>
      </c>
      <c r="R1251">
        <v>1.1978514808717E-2</v>
      </c>
      <c r="S1251" t="s">
        <v>5991</v>
      </c>
      <c r="T1251" t="s">
        <v>9478</v>
      </c>
      <c r="U1251" t="s">
        <v>9478</v>
      </c>
      <c r="V1251" t="s">
        <v>9478</v>
      </c>
      <c r="W1251">
        <v>1</v>
      </c>
      <c r="X1251" t="s">
        <v>10729</v>
      </c>
      <c r="Y1251">
        <v>0.94903974512494194</v>
      </c>
      <c r="Z1251" t="str">
        <f>HYPERLINK("Melting_Curves/meltCurve_sp_P49006_MRP_HUMAN_.pdf", "Melting_Curves/meltCurve_sp_P49006_MRP_HUMAN_.pdf")</f>
        <v>Melting_Curves/meltCurve_sp_P49006_MRP_HUMAN_.pdf</v>
      </c>
      <c r="AA1251" t="s">
        <v>15446</v>
      </c>
      <c r="AB1251" t="s">
        <v>20086</v>
      </c>
    </row>
    <row r="1252" spans="1:28" x14ac:dyDescent="0.25">
      <c r="A1252" t="s">
        <v>1256</v>
      </c>
      <c r="B1252">
        <v>0.99904790336628502</v>
      </c>
      <c r="C1252">
        <v>1.0418876642436801</v>
      </c>
      <c r="D1252">
        <v>0.97106111949764295</v>
      </c>
      <c r="E1252">
        <v>0.88725682045507803</v>
      </c>
      <c r="F1252">
        <v>0.78943300359852098</v>
      </c>
      <c r="G1252">
        <v>0.58449795349963096</v>
      </c>
      <c r="H1252">
        <v>0.50244107192832399</v>
      </c>
      <c r="I1252">
        <v>0.49067054446313202</v>
      </c>
      <c r="J1252">
        <v>0.546468851182346</v>
      </c>
      <c r="K1252">
        <v>0.48123036626242899</v>
      </c>
      <c r="L1252">
        <v>1189.0794561492801</v>
      </c>
      <c r="M1252">
        <v>22.2731002295859</v>
      </c>
      <c r="N1252">
        <v>66.042070352795903</v>
      </c>
      <c r="O1252">
        <v>52.9615878873581</v>
      </c>
      <c r="P1252">
        <v>-5.3306447261485299E-2</v>
      </c>
      <c r="Q1252">
        <v>0.492996660721288</v>
      </c>
      <c r="R1252">
        <v>0.98691379131984303</v>
      </c>
      <c r="S1252" t="s">
        <v>5992</v>
      </c>
      <c r="T1252" t="s">
        <v>9478</v>
      </c>
      <c r="U1252" t="s">
        <v>9478</v>
      </c>
      <c r="V1252" t="s">
        <v>9478</v>
      </c>
      <c r="W1252">
        <v>10</v>
      </c>
      <c r="X1252" t="s">
        <v>10730</v>
      </c>
      <c r="Y1252">
        <v>0.72499878187119049</v>
      </c>
      <c r="Z1252" t="str">
        <f>HYPERLINK("Melting_Curves/meltCurve_sp_P49023_2_PAXI_HUMAN_.pdf", "Melting_Curves/meltCurve_sp_P49023_2_PAXI_HUMAN_.pdf")</f>
        <v>Melting_Curves/meltCurve_sp_P49023_2_PAXI_HUMAN_.pdf</v>
      </c>
      <c r="AA1252" t="s">
        <v>15447</v>
      </c>
      <c r="AB1252" t="s">
        <v>20087</v>
      </c>
    </row>
    <row r="1253" spans="1:28" x14ac:dyDescent="0.25">
      <c r="A1253" t="s">
        <v>1257</v>
      </c>
      <c r="B1253">
        <v>0.99904790336628502</v>
      </c>
      <c r="C1253">
        <v>0.93869512316787596</v>
      </c>
      <c r="D1253">
        <v>0.93401694637741295</v>
      </c>
      <c r="E1253">
        <v>0.80293567892138795</v>
      </c>
      <c r="F1253">
        <v>0.80043923812798401</v>
      </c>
      <c r="G1253">
        <v>0.57753032865071596</v>
      </c>
      <c r="H1253">
        <v>0.478981891053396</v>
      </c>
      <c r="I1253">
        <v>0.38715836071528797</v>
      </c>
      <c r="J1253">
        <v>0.31528327526883099</v>
      </c>
      <c r="K1253">
        <v>0.40447715258731398</v>
      </c>
      <c r="L1253">
        <v>630.70995075902101</v>
      </c>
      <c r="M1253">
        <v>11.3397829686881</v>
      </c>
      <c r="N1253">
        <v>59.911733272631103</v>
      </c>
      <c r="O1253">
        <v>53.973768297497699</v>
      </c>
      <c r="P1253">
        <v>-3.7927881185922802E-2</v>
      </c>
      <c r="Q1253">
        <v>0.27811787097108098</v>
      </c>
      <c r="R1253">
        <v>0.97589840539206496</v>
      </c>
      <c r="S1253" t="s">
        <v>5993</v>
      </c>
      <c r="T1253" t="s">
        <v>9478</v>
      </c>
      <c r="U1253" t="s">
        <v>9478</v>
      </c>
      <c r="V1253" t="s">
        <v>9478</v>
      </c>
      <c r="W1253">
        <v>2</v>
      </c>
      <c r="X1253" t="s">
        <v>10731</v>
      </c>
      <c r="Y1253">
        <v>0.66996617114591395</v>
      </c>
      <c r="Z1253" t="str">
        <f>HYPERLINK("Melting_Curves/meltCurve_sp_P49116_NR2C2_HUMAN_.pdf", "Melting_Curves/meltCurve_sp_P49116_NR2C2_HUMAN_.pdf")</f>
        <v>Melting_Curves/meltCurve_sp_P49116_NR2C2_HUMAN_.pdf</v>
      </c>
      <c r="AA1253" t="s">
        <v>15448</v>
      </c>
      <c r="AB1253" t="s">
        <v>20088</v>
      </c>
    </row>
    <row r="1254" spans="1:28" x14ac:dyDescent="0.25">
      <c r="A1254" t="s">
        <v>1258</v>
      </c>
      <c r="B1254">
        <v>0.99904790336628502</v>
      </c>
      <c r="C1254">
        <v>0.89164399253226401</v>
      </c>
      <c r="D1254">
        <v>1.1511269435989699</v>
      </c>
      <c r="E1254">
        <v>0.90269634278823396</v>
      </c>
      <c r="F1254">
        <v>0.55537311534066502</v>
      </c>
      <c r="G1254">
        <v>0.19665342934750199</v>
      </c>
      <c r="H1254">
        <v>6.5006421070846407E-2</v>
      </c>
      <c r="I1254">
        <v>3.7118337795438799E-2</v>
      </c>
      <c r="J1254">
        <v>2.5960381928476599E-2</v>
      </c>
      <c r="K1254">
        <v>2.2706628742479699E-2</v>
      </c>
      <c r="L1254">
        <v>1577.6956592777501</v>
      </c>
      <c r="M1254">
        <v>29.5022673156632</v>
      </c>
      <c r="N1254">
        <v>53.601138142550298</v>
      </c>
      <c r="O1254">
        <v>53.2332238610554</v>
      </c>
      <c r="P1254">
        <v>-0.133981159524455</v>
      </c>
      <c r="Q1254">
        <v>3.2996848007684501E-2</v>
      </c>
      <c r="R1254">
        <v>0.97996361347751004</v>
      </c>
      <c r="S1254" t="s">
        <v>5994</v>
      </c>
      <c r="T1254" t="s">
        <v>9478</v>
      </c>
      <c r="U1254" t="s">
        <v>9478</v>
      </c>
      <c r="V1254" t="s">
        <v>9478</v>
      </c>
      <c r="W1254">
        <v>33</v>
      </c>
      <c r="X1254" t="s">
        <v>10732</v>
      </c>
      <c r="Y1254">
        <v>0.47393001965602821</v>
      </c>
      <c r="Z1254" t="str">
        <f>HYPERLINK("Melting_Curves/meltCurve_sp_P49189_AL9A1_HUMAN_.pdf", "Melting_Curves/meltCurve_sp_P49189_AL9A1_HUMAN_.pdf")</f>
        <v>Melting_Curves/meltCurve_sp_P49189_AL9A1_HUMAN_.pdf</v>
      </c>
      <c r="AA1254" t="s">
        <v>15449</v>
      </c>
      <c r="AB1254" t="s">
        <v>20089</v>
      </c>
    </row>
    <row r="1255" spans="1:28" x14ac:dyDescent="0.25">
      <c r="A1255" t="s">
        <v>1259</v>
      </c>
      <c r="B1255">
        <v>0.99904790336628502</v>
      </c>
      <c r="C1255">
        <v>0.933183805757689</v>
      </c>
      <c r="D1255">
        <v>0.91996132557930099</v>
      </c>
      <c r="E1255">
        <v>0.84830334721988898</v>
      </c>
      <c r="F1255">
        <v>0.66145391585072799</v>
      </c>
      <c r="G1255">
        <v>0.67001968402606804</v>
      </c>
      <c r="H1255">
        <v>0.35714239639012102</v>
      </c>
      <c r="I1255">
        <v>0.30937253414987098</v>
      </c>
      <c r="J1255">
        <v>0.25939456661196603</v>
      </c>
      <c r="K1255">
        <v>0.18194900975522199</v>
      </c>
      <c r="L1255">
        <v>532.32681009600606</v>
      </c>
      <c r="M1255">
        <v>9.0719321670011901</v>
      </c>
      <c r="N1255">
        <v>58.678437911363602</v>
      </c>
      <c r="O1255">
        <v>56.0379195681993</v>
      </c>
      <c r="P1255">
        <v>-4.0500812437067303E-2</v>
      </c>
      <c r="Q1255">
        <v>0</v>
      </c>
      <c r="R1255">
        <v>0.97699538978804501</v>
      </c>
      <c r="S1255" t="s">
        <v>5995</v>
      </c>
      <c r="T1255" t="s">
        <v>9478</v>
      </c>
      <c r="U1255" t="s">
        <v>9478</v>
      </c>
      <c r="V1255" t="s">
        <v>9478</v>
      </c>
      <c r="W1255">
        <v>4</v>
      </c>
      <c r="X1255" t="s">
        <v>10733</v>
      </c>
      <c r="Y1255">
        <v>0.62506775761387601</v>
      </c>
      <c r="Z1255" t="str">
        <f>HYPERLINK("Melting_Curves/meltCurve_sp_P49247_RPIA_HUMAN_.pdf", "Melting_Curves/meltCurve_sp_P49247_RPIA_HUMAN_.pdf")</f>
        <v>Melting_Curves/meltCurve_sp_P49247_RPIA_HUMAN_.pdf</v>
      </c>
      <c r="AA1255" t="s">
        <v>15450</v>
      </c>
      <c r="AB1255" t="s">
        <v>20090</v>
      </c>
    </row>
    <row r="1256" spans="1:28" x14ac:dyDescent="0.25">
      <c r="A1256" t="s">
        <v>1260</v>
      </c>
      <c r="B1256">
        <v>0.99904790336628502</v>
      </c>
      <c r="C1256">
        <v>1.0022237998952499</v>
      </c>
      <c r="D1256">
        <v>0.94497733297407005</v>
      </c>
      <c r="E1256">
        <v>0.57914698835385403</v>
      </c>
      <c r="F1256">
        <v>0.433217526586334</v>
      </c>
      <c r="G1256">
        <v>0.26709964355869598</v>
      </c>
      <c r="H1256">
        <v>0.18430062624051299</v>
      </c>
      <c r="I1256">
        <v>0.134777230601096</v>
      </c>
      <c r="J1256">
        <v>8.6826609057173307E-2</v>
      </c>
      <c r="K1256">
        <v>3.4669772652822298E-2</v>
      </c>
      <c r="L1256">
        <v>822.12484691919701</v>
      </c>
      <c r="M1256">
        <v>15.9698104818914</v>
      </c>
      <c r="N1256">
        <v>52.011869357706601</v>
      </c>
      <c r="O1256">
        <v>50.693019783813597</v>
      </c>
      <c r="P1256">
        <v>-7.2829451631978195E-2</v>
      </c>
      <c r="Q1256">
        <v>7.5342213267996505E-2</v>
      </c>
      <c r="R1256">
        <v>0.98841666171789599</v>
      </c>
      <c r="S1256" t="s">
        <v>5996</v>
      </c>
      <c r="T1256" t="s">
        <v>9478</v>
      </c>
      <c r="U1256" t="s">
        <v>9478</v>
      </c>
      <c r="V1256" t="s">
        <v>9478</v>
      </c>
      <c r="W1256">
        <v>1</v>
      </c>
      <c r="X1256" t="s">
        <v>10734</v>
      </c>
      <c r="Y1256">
        <v>0.44817792656317751</v>
      </c>
      <c r="Z1256" t="str">
        <f>HYPERLINK("Melting_Curves/meltCurve_sp_P49257_LMAN1_HUMAN_.pdf", "Melting_Curves/meltCurve_sp_P49257_LMAN1_HUMAN_.pdf")</f>
        <v>Melting_Curves/meltCurve_sp_P49257_LMAN1_HUMAN_.pdf</v>
      </c>
      <c r="AA1256" t="s">
        <v>15451</v>
      </c>
      <c r="AB1256" t="s">
        <v>20091</v>
      </c>
    </row>
    <row r="1257" spans="1:28" x14ac:dyDescent="0.25">
      <c r="A1257" t="s">
        <v>1261</v>
      </c>
      <c r="B1257">
        <v>0.99904790336628502</v>
      </c>
      <c r="C1257">
        <v>0.93787095259890296</v>
      </c>
      <c r="D1257">
        <v>0.919242456256948</v>
      </c>
      <c r="E1257">
        <v>0.93534171906859997</v>
      </c>
      <c r="F1257">
        <v>0.925546414115753</v>
      </c>
      <c r="G1257">
        <v>0.73873317028080299</v>
      </c>
      <c r="H1257">
        <v>0.66908351852667802</v>
      </c>
      <c r="I1257">
        <v>0.65095087821342901</v>
      </c>
      <c r="J1257">
        <v>0.65519329428592799</v>
      </c>
      <c r="K1257">
        <v>0.57966146351567704</v>
      </c>
      <c r="L1257">
        <v>633.41181955236095</v>
      </c>
      <c r="M1257">
        <v>11.0972070974899</v>
      </c>
      <c r="O1257">
        <v>55.319006430527203</v>
      </c>
      <c r="P1257">
        <v>-2.28763521740547E-2</v>
      </c>
      <c r="Q1257">
        <v>0.543998964953885</v>
      </c>
      <c r="R1257">
        <v>0.94203851829557494</v>
      </c>
      <c r="S1257" t="s">
        <v>5997</v>
      </c>
      <c r="T1257" t="s">
        <v>9478</v>
      </c>
      <c r="U1257" t="s">
        <v>9478</v>
      </c>
      <c r="V1257" t="s">
        <v>9478</v>
      </c>
      <c r="W1257">
        <v>18</v>
      </c>
      <c r="X1257" t="s">
        <v>10735</v>
      </c>
      <c r="Y1257">
        <v>0.81100714841406252</v>
      </c>
      <c r="Z1257" t="str">
        <f>HYPERLINK("Melting_Curves/meltCurve_sp_P49321_NASP_HUMAN_.pdf", "Melting_Curves/meltCurve_sp_P49321_NASP_HUMAN_.pdf")</f>
        <v>Melting_Curves/meltCurve_sp_P49321_NASP_HUMAN_.pdf</v>
      </c>
      <c r="AA1257" t="s">
        <v>15452</v>
      </c>
      <c r="AB1257" t="s">
        <v>20092</v>
      </c>
    </row>
    <row r="1258" spans="1:28" x14ac:dyDescent="0.25">
      <c r="A1258" t="s">
        <v>1262</v>
      </c>
      <c r="B1258">
        <v>0.99904790336628502</v>
      </c>
      <c r="C1258">
        <v>1.0587422324059199</v>
      </c>
      <c r="D1258">
        <v>0.72658982802417404</v>
      </c>
      <c r="E1258">
        <v>0.34456734995819899</v>
      </c>
      <c r="F1258">
        <v>0.174761140721688</v>
      </c>
      <c r="G1258">
        <v>8.76106241143743E-2</v>
      </c>
      <c r="H1258">
        <v>7.0712019143046298E-2</v>
      </c>
      <c r="I1258">
        <v>5.1072010586180903E-2</v>
      </c>
      <c r="J1258">
        <v>4.2588525013990797E-2</v>
      </c>
      <c r="K1258">
        <v>2.9759567565027099E-2</v>
      </c>
      <c r="L1258">
        <v>1133.9899011236</v>
      </c>
      <c r="M1258">
        <v>23.5043337688242</v>
      </c>
      <c r="N1258">
        <v>48.472271156123</v>
      </c>
      <c r="O1258">
        <v>47.900828353738099</v>
      </c>
      <c r="P1258">
        <v>-0.11629994769719</v>
      </c>
      <c r="Q1258">
        <v>5.1958980985618602E-2</v>
      </c>
      <c r="R1258">
        <v>0.99031463382733298</v>
      </c>
      <c r="S1258" t="s">
        <v>5998</v>
      </c>
      <c r="T1258" t="s">
        <v>9478</v>
      </c>
      <c r="U1258" t="s">
        <v>9478</v>
      </c>
      <c r="V1258" t="s">
        <v>9478</v>
      </c>
      <c r="W1258">
        <v>4</v>
      </c>
      <c r="X1258" t="s">
        <v>10736</v>
      </c>
      <c r="Y1258">
        <v>0.32208523913545389</v>
      </c>
      <c r="Z1258" t="str">
        <f>HYPERLINK("Melting_Curves/meltCurve_sp_P49326_FMO5_HUMAN_.pdf", "Melting_Curves/meltCurve_sp_P49326_FMO5_HUMAN_.pdf")</f>
        <v>Melting_Curves/meltCurve_sp_P49326_FMO5_HUMAN_.pdf</v>
      </c>
      <c r="AA1258" t="s">
        <v>15453</v>
      </c>
      <c r="AB1258" t="s">
        <v>20093</v>
      </c>
    </row>
    <row r="1259" spans="1:28" x14ac:dyDescent="0.25">
      <c r="A1259" t="s">
        <v>1263</v>
      </c>
      <c r="B1259">
        <v>0.99904790336628502</v>
      </c>
      <c r="C1259">
        <v>1.0624622365263601</v>
      </c>
      <c r="D1259">
        <v>1.1259016062595899</v>
      </c>
      <c r="E1259">
        <v>0.72647976004716697</v>
      </c>
      <c r="F1259">
        <v>0.18615629080267701</v>
      </c>
      <c r="G1259">
        <v>0.114560031986173</v>
      </c>
      <c r="H1259">
        <v>6.73356435041257E-2</v>
      </c>
      <c r="I1259">
        <v>4.8062696028037102E-2</v>
      </c>
      <c r="J1259">
        <v>3.7686077140916797E-2</v>
      </c>
      <c r="K1259">
        <v>3.1461527882230098E-2</v>
      </c>
      <c r="L1259">
        <v>2491.8456894646702</v>
      </c>
      <c r="M1259">
        <v>48.9090555814224</v>
      </c>
      <c r="N1259">
        <v>51.079890619388202</v>
      </c>
      <c r="O1259">
        <v>50.863596500599698</v>
      </c>
      <c r="P1259">
        <v>-0.22619077736929</v>
      </c>
      <c r="Q1259">
        <v>5.9080932715808103E-2</v>
      </c>
      <c r="R1259">
        <v>0.98776511515272902</v>
      </c>
      <c r="S1259" t="s">
        <v>5999</v>
      </c>
      <c r="T1259" t="s">
        <v>9478</v>
      </c>
      <c r="U1259" t="s">
        <v>9478</v>
      </c>
      <c r="V1259" t="s">
        <v>9478</v>
      </c>
      <c r="W1259">
        <v>107</v>
      </c>
      <c r="X1259" t="s">
        <v>10737</v>
      </c>
      <c r="Y1259">
        <v>0.40468151670156688</v>
      </c>
      <c r="Z1259" t="str">
        <f>HYPERLINK("Melting_Curves/meltCurve_sp_P49327_FAS_HUMAN_.pdf", "Melting_Curves/meltCurve_sp_P49327_FAS_HUMAN_.pdf")</f>
        <v>Melting_Curves/meltCurve_sp_P49327_FAS_HUMAN_.pdf</v>
      </c>
      <c r="AA1259" t="s">
        <v>15454</v>
      </c>
      <c r="AB1259" t="s">
        <v>20094</v>
      </c>
    </row>
    <row r="1260" spans="1:28" x14ac:dyDescent="0.25">
      <c r="A1260" t="s">
        <v>1264</v>
      </c>
      <c r="B1260">
        <v>0.99904790336628502</v>
      </c>
      <c r="C1260">
        <v>0.86704052813200405</v>
      </c>
      <c r="D1260">
        <v>0.94385948914253004</v>
      </c>
      <c r="E1260">
        <v>0.82587855943241595</v>
      </c>
      <c r="F1260">
        <v>0.60040183450553297</v>
      </c>
      <c r="G1260">
        <v>0.29496787441611799</v>
      </c>
      <c r="H1260">
        <v>0.10482435477522099</v>
      </c>
      <c r="I1260">
        <v>5.6983842274556301E-2</v>
      </c>
      <c r="J1260">
        <v>3.9272405265906002E-2</v>
      </c>
      <c r="K1260">
        <v>1.9073449295332199E-2</v>
      </c>
      <c r="L1260">
        <v>952.57810930016103</v>
      </c>
      <c r="M1260">
        <v>17.589133388493298</v>
      </c>
      <c r="N1260">
        <v>54.157194173065498</v>
      </c>
      <c r="O1260">
        <v>53.471702895488598</v>
      </c>
      <c r="P1260">
        <v>-8.2240142237681294E-2</v>
      </c>
      <c r="Q1260">
        <v>0</v>
      </c>
      <c r="R1260">
        <v>0.98956475135124</v>
      </c>
      <c r="S1260" t="s">
        <v>6000</v>
      </c>
      <c r="T1260" t="s">
        <v>9478</v>
      </c>
      <c r="U1260" t="s">
        <v>9478</v>
      </c>
      <c r="V1260" t="s">
        <v>9478</v>
      </c>
      <c r="W1260">
        <v>9</v>
      </c>
      <c r="X1260" t="s">
        <v>10738</v>
      </c>
      <c r="Y1260">
        <v>0.48837676710251582</v>
      </c>
      <c r="Z1260" t="str">
        <f>HYPERLINK("Melting_Curves/meltCurve_sp_P49354_FNTA_HUMAN_.pdf", "Melting_Curves/meltCurve_sp_P49354_FNTA_HUMAN_.pdf")</f>
        <v>Melting_Curves/meltCurve_sp_P49354_FNTA_HUMAN_.pdf</v>
      </c>
      <c r="AA1260" t="s">
        <v>15455</v>
      </c>
      <c r="AB1260" t="s">
        <v>20095</v>
      </c>
    </row>
    <row r="1261" spans="1:28" x14ac:dyDescent="0.25">
      <c r="A1261" t="s">
        <v>1265</v>
      </c>
      <c r="B1261">
        <v>0.99904790336628502</v>
      </c>
      <c r="C1261">
        <v>0.88182980393723498</v>
      </c>
      <c r="D1261">
        <v>0.89253754383174</v>
      </c>
      <c r="E1261">
        <v>0.87619603911191901</v>
      </c>
      <c r="F1261">
        <v>0.62481773426741105</v>
      </c>
      <c r="G1261">
        <v>0.23487414439663301</v>
      </c>
      <c r="H1261">
        <v>7.4073812843499995E-2</v>
      </c>
      <c r="I1261">
        <v>3.5074990083157599E-2</v>
      </c>
      <c r="J1261">
        <v>1.53030804097497E-2</v>
      </c>
      <c r="K1261">
        <v>3.1185379233941199E-2</v>
      </c>
      <c r="L1261">
        <v>1197.3477022782099</v>
      </c>
      <c r="M1261">
        <v>22.143753886477</v>
      </c>
      <c r="N1261">
        <v>54.103643551701502</v>
      </c>
      <c r="O1261">
        <v>53.636397824017202</v>
      </c>
      <c r="P1261">
        <v>-0.102541724622721</v>
      </c>
      <c r="Q1261">
        <v>6.5192041972825399E-3</v>
      </c>
      <c r="R1261">
        <v>0.98646316468371398</v>
      </c>
      <c r="S1261" t="s">
        <v>6001</v>
      </c>
      <c r="T1261" t="s">
        <v>9478</v>
      </c>
      <c r="U1261" t="s">
        <v>9478</v>
      </c>
      <c r="V1261" t="s">
        <v>9478</v>
      </c>
      <c r="W1261">
        <v>3</v>
      </c>
      <c r="X1261" t="s">
        <v>10739</v>
      </c>
      <c r="Y1261">
        <v>0.4839058957998929</v>
      </c>
      <c r="Z1261" t="str">
        <f>HYPERLINK("Melting_Curves/meltCurve_sp_P49356_FNTB_HUMAN_.pdf", "Melting_Curves/meltCurve_sp_P49356_FNTB_HUMAN_.pdf")</f>
        <v>Melting_Curves/meltCurve_sp_P49356_FNTB_HUMAN_.pdf</v>
      </c>
      <c r="AA1261" t="s">
        <v>15456</v>
      </c>
      <c r="AB1261" t="s">
        <v>20096</v>
      </c>
    </row>
    <row r="1262" spans="1:28" x14ac:dyDescent="0.25">
      <c r="A1262" t="s">
        <v>1266</v>
      </c>
      <c r="B1262">
        <v>0.99904790336628502</v>
      </c>
      <c r="C1262">
        <v>0.97611762000186397</v>
      </c>
      <c r="D1262">
        <v>0.96580832269164796</v>
      </c>
      <c r="E1262">
        <v>0.89052998934365801</v>
      </c>
      <c r="F1262">
        <v>0.79651669994407504</v>
      </c>
      <c r="G1262">
        <v>0.50266316414288303</v>
      </c>
      <c r="H1262">
        <v>0.31740894621258797</v>
      </c>
      <c r="I1262">
        <v>0.16656498890339999</v>
      </c>
      <c r="J1262">
        <v>9.5390022157239102E-2</v>
      </c>
      <c r="K1262">
        <v>7.5382526339367595E-2</v>
      </c>
      <c r="L1262">
        <v>852.18050103148005</v>
      </c>
      <c r="M1262">
        <v>14.8509111186218</v>
      </c>
      <c r="N1262">
        <v>57.389056169355001</v>
      </c>
      <c r="O1262">
        <v>56.372057517475298</v>
      </c>
      <c r="P1262">
        <v>-6.5811136531548894E-2</v>
      </c>
      <c r="Q1262">
        <v>8.6414155079294003E-4</v>
      </c>
      <c r="R1262">
        <v>0.99820880514849997</v>
      </c>
      <c r="S1262" t="s">
        <v>6002</v>
      </c>
      <c r="T1262" t="s">
        <v>9478</v>
      </c>
      <c r="U1262" t="s">
        <v>9478</v>
      </c>
      <c r="V1262" t="s">
        <v>9478</v>
      </c>
      <c r="W1262">
        <v>6</v>
      </c>
      <c r="X1262" t="s">
        <v>10740</v>
      </c>
      <c r="Y1262">
        <v>0.5947927661467155</v>
      </c>
      <c r="Z1262" t="str">
        <f>HYPERLINK("Melting_Curves/meltCurve_sp_P49366_DHYS_HUMAN_.pdf", "Melting_Curves/meltCurve_sp_P49366_DHYS_HUMAN_.pdf")</f>
        <v>Melting_Curves/meltCurve_sp_P49366_DHYS_HUMAN_.pdf</v>
      </c>
      <c r="AA1262" t="s">
        <v>15457</v>
      </c>
      <c r="AB1262" t="s">
        <v>20097</v>
      </c>
    </row>
    <row r="1263" spans="1:28" x14ac:dyDescent="0.25">
      <c r="A1263" t="s">
        <v>1267</v>
      </c>
      <c r="B1263">
        <v>0.99904790336628502</v>
      </c>
      <c r="C1263">
        <v>1.1099972892916801</v>
      </c>
      <c r="D1263">
        <v>1.1375847948710001</v>
      </c>
      <c r="E1263">
        <v>1.0238143329209199</v>
      </c>
      <c r="F1263">
        <v>0.78998333167782497</v>
      </c>
      <c r="G1263">
        <v>0.27436076780872498</v>
      </c>
      <c r="H1263">
        <v>8.4753840187158799E-2</v>
      </c>
      <c r="I1263">
        <v>5.7113489267681901E-2</v>
      </c>
      <c r="J1263">
        <v>4.68444705735519E-2</v>
      </c>
      <c r="K1263">
        <v>4.6345611202428499E-2</v>
      </c>
      <c r="L1263">
        <v>1947.73295481368</v>
      </c>
      <c r="M1263">
        <v>35.382550945443903</v>
      </c>
      <c r="N1263">
        <v>55.212114610400498</v>
      </c>
      <c r="O1263">
        <v>54.872887327110597</v>
      </c>
      <c r="P1263">
        <v>-0.153148921240019</v>
      </c>
      <c r="Q1263">
        <v>4.9961646148097401E-2</v>
      </c>
      <c r="R1263">
        <v>0.98435578389418399</v>
      </c>
      <c r="S1263" t="s">
        <v>6003</v>
      </c>
      <c r="T1263" t="s">
        <v>9478</v>
      </c>
      <c r="U1263" t="s">
        <v>9478</v>
      </c>
      <c r="V1263" t="s">
        <v>9478</v>
      </c>
      <c r="W1263">
        <v>24</v>
      </c>
      <c r="X1263" t="s">
        <v>10741</v>
      </c>
      <c r="Y1263">
        <v>0.53108375278408282</v>
      </c>
      <c r="Z1263" t="str">
        <f>HYPERLINK("Melting_Curves/meltCurve_sp_P49368_TCPG_HUMAN_.pdf", "Melting_Curves/meltCurve_sp_P49368_TCPG_HUMAN_.pdf")</f>
        <v>Melting_Curves/meltCurve_sp_P49368_TCPG_HUMAN_.pdf</v>
      </c>
      <c r="AA1263" t="s">
        <v>15458</v>
      </c>
      <c r="AB1263" t="s">
        <v>20098</v>
      </c>
    </row>
    <row r="1264" spans="1:28" x14ac:dyDescent="0.25">
      <c r="A1264" t="s">
        <v>1268</v>
      </c>
      <c r="B1264">
        <v>0.99904790336628502</v>
      </c>
      <c r="C1264">
        <v>0.96664980828859703</v>
      </c>
      <c r="D1264">
        <v>0.931830657963308</v>
      </c>
      <c r="E1264">
        <v>0.93689312205266395</v>
      </c>
      <c r="F1264">
        <v>0.81689071676716996</v>
      </c>
      <c r="G1264">
        <v>0.37890855563100601</v>
      </c>
      <c r="H1264">
        <v>0.14898016613196499</v>
      </c>
      <c r="I1264">
        <v>9.5465560131288804E-2</v>
      </c>
      <c r="J1264">
        <v>7.8451691880019103E-2</v>
      </c>
      <c r="K1264">
        <v>5.5103151080491297E-2</v>
      </c>
      <c r="L1264">
        <v>1459.86803838077</v>
      </c>
      <c r="M1264">
        <v>26.236687514000799</v>
      </c>
      <c r="N1264">
        <v>55.919425577487402</v>
      </c>
      <c r="O1264">
        <v>55.321986236592302</v>
      </c>
      <c r="P1264">
        <v>-0.11133529015834499</v>
      </c>
      <c r="Q1264">
        <v>6.0975489639130499E-2</v>
      </c>
      <c r="R1264">
        <v>0.99622367004491597</v>
      </c>
      <c r="S1264" t="s">
        <v>6004</v>
      </c>
      <c r="T1264" t="s">
        <v>9478</v>
      </c>
      <c r="U1264" t="s">
        <v>9478</v>
      </c>
      <c r="V1264" t="s">
        <v>9478</v>
      </c>
      <c r="W1264">
        <v>12</v>
      </c>
      <c r="X1264" t="s">
        <v>10742</v>
      </c>
      <c r="Y1264">
        <v>0.55855366931367556</v>
      </c>
      <c r="Z1264" t="str">
        <f>HYPERLINK("Melting_Curves/meltCurve_sp_P49407_2_ARRB1_HUMAN_.pdf", "Melting_Curves/meltCurve_sp_P49407_2_ARRB1_HUMAN_.pdf")</f>
        <v>Melting_Curves/meltCurve_sp_P49407_2_ARRB1_HUMAN_.pdf</v>
      </c>
      <c r="AA1264" t="s">
        <v>15459</v>
      </c>
      <c r="AB1264" t="s">
        <v>20099</v>
      </c>
    </row>
    <row r="1265" spans="1:28" x14ac:dyDescent="0.25">
      <c r="A1265" t="s">
        <v>1269</v>
      </c>
      <c r="B1265">
        <v>0.99904790336628502</v>
      </c>
      <c r="C1265">
        <v>0.84882675613542502</v>
      </c>
      <c r="D1265">
        <v>0.511697026184463</v>
      </c>
      <c r="E1265">
        <v>0.29514567195193298</v>
      </c>
      <c r="F1265">
        <v>0.16311581554465601</v>
      </c>
      <c r="G1265">
        <v>8.7163811010833897E-2</v>
      </c>
      <c r="H1265">
        <v>5.4544947057890598E-2</v>
      </c>
      <c r="I1265">
        <v>4.6049421651572699E-2</v>
      </c>
      <c r="J1265">
        <v>4.2990630782721299E-2</v>
      </c>
      <c r="K1265">
        <v>4.4866033596507301E-2</v>
      </c>
      <c r="L1265">
        <v>821.33793402991</v>
      </c>
      <c r="M1265">
        <v>17.6674686155012</v>
      </c>
      <c r="N1265">
        <v>46.751956133024201</v>
      </c>
      <c r="O1265">
        <v>45.905397175282502</v>
      </c>
      <c r="P1265">
        <v>-9.1666222776530998E-2</v>
      </c>
      <c r="Q1265">
        <v>4.73450289621557E-2</v>
      </c>
      <c r="R1265">
        <v>0.99294816684897902</v>
      </c>
      <c r="S1265" t="s">
        <v>6005</v>
      </c>
      <c r="T1265" t="s">
        <v>9478</v>
      </c>
      <c r="U1265" t="s">
        <v>9478</v>
      </c>
      <c r="V1265" t="s">
        <v>9478</v>
      </c>
      <c r="W1265">
        <v>24</v>
      </c>
      <c r="X1265" t="s">
        <v>10743</v>
      </c>
      <c r="Y1265">
        <v>0.2722368490179064</v>
      </c>
      <c r="Z1265" t="str">
        <f>HYPERLINK("Melting_Curves/meltCurve_sp_P49411_EFTU_HUMAN_.pdf", "Melting_Curves/meltCurve_sp_P49411_EFTU_HUMAN_.pdf")</f>
        <v>Melting_Curves/meltCurve_sp_P49411_EFTU_HUMAN_.pdf</v>
      </c>
      <c r="AA1265" t="s">
        <v>15460</v>
      </c>
      <c r="AB1265" t="s">
        <v>20100</v>
      </c>
    </row>
    <row r="1266" spans="1:28" x14ac:dyDescent="0.25">
      <c r="A1266" t="s">
        <v>1270</v>
      </c>
      <c r="B1266">
        <v>0.99904790336628502</v>
      </c>
      <c r="C1266">
        <v>0.97655850547950995</v>
      </c>
      <c r="D1266">
        <v>1.0380163323129401</v>
      </c>
      <c r="E1266">
        <v>0.76662638057175403</v>
      </c>
      <c r="F1266">
        <v>0.32252639768393998</v>
      </c>
      <c r="G1266">
        <v>9.1546765337151198E-2</v>
      </c>
      <c r="H1266">
        <v>4.14234540393194E-2</v>
      </c>
      <c r="I1266">
        <v>2.71039754017601E-2</v>
      </c>
      <c r="J1266">
        <v>2.11647924667588E-2</v>
      </c>
      <c r="K1266">
        <v>1.7370047994600801E-2</v>
      </c>
      <c r="L1266">
        <v>1757.7258891126901</v>
      </c>
      <c r="M1266">
        <v>33.9817759554521</v>
      </c>
      <c r="N1266">
        <v>51.817912283756797</v>
      </c>
      <c r="O1266">
        <v>51.547401267467002</v>
      </c>
      <c r="P1266">
        <v>-0.15996568366630001</v>
      </c>
      <c r="Q1266">
        <v>2.9387713031092201E-2</v>
      </c>
      <c r="R1266">
        <v>0.99787150583323903</v>
      </c>
      <c r="S1266" t="s">
        <v>6006</v>
      </c>
      <c r="T1266" t="s">
        <v>9478</v>
      </c>
      <c r="U1266" t="s">
        <v>9478</v>
      </c>
      <c r="V1266" t="s">
        <v>9478</v>
      </c>
      <c r="W1266">
        <v>36</v>
      </c>
      <c r="X1266" t="s">
        <v>10744</v>
      </c>
      <c r="Y1266">
        <v>0.41356696041028568</v>
      </c>
      <c r="Z1266" t="str">
        <f>HYPERLINK("Melting_Curves/meltCurve_sp_P49419_2_AL7A1_HUMAN_.pdf", "Melting_Curves/meltCurve_sp_P49419_2_AL7A1_HUMAN_.pdf")</f>
        <v>Melting_Curves/meltCurve_sp_P49419_2_AL7A1_HUMAN_.pdf</v>
      </c>
      <c r="AA1266" t="s">
        <v>15461</v>
      </c>
      <c r="AB1266" t="s">
        <v>20101</v>
      </c>
    </row>
    <row r="1267" spans="1:28" x14ac:dyDescent="0.25">
      <c r="A1267" t="s">
        <v>1271</v>
      </c>
      <c r="B1267">
        <v>0.99904790336628502</v>
      </c>
      <c r="C1267">
        <v>0.832337443058208</v>
      </c>
      <c r="D1267">
        <v>0.75267159235258096</v>
      </c>
      <c r="E1267">
        <v>0.66512586256316197</v>
      </c>
      <c r="F1267">
        <v>0.39474048494695702</v>
      </c>
      <c r="G1267">
        <v>0.30307623271799999</v>
      </c>
      <c r="H1267">
        <v>0.21035472143220299</v>
      </c>
      <c r="I1267">
        <v>0.13799638427156799</v>
      </c>
      <c r="J1267">
        <v>4.7057725390540102E-2</v>
      </c>
      <c r="K1267">
        <v>4.3436365439284898E-2</v>
      </c>
      <c r="L1267">
        <v>519.87279007521704</v>
      </c>
      <c r="M1267">
        <v>10.0288556781808</v>
      </c>
      <c r="N1267">
        <v>51.837688748013001</v>
      </c>
      <c r="O1267">
        <v>49.903105561217203</v>
      </c>
      <c r="P1267">
        <v>-5.0265810108284098E-2</v>
      </c>
      <c r="Q1267">
        <v>0</v>
      </c>
      <c r="R1267">
        <v>0.98311163380436495</v>
      </c>
      <c r="S1267" t="s">
        <v>6007</v>
      </c>
      <c r="T1267" t="s">
        <v>9478</v>
      </c>
      <c r="U1267" t="s">
        <v>9478</v>
      </c>
      <c r="V1267" t="s">
        <v>9478</v>
      </c>
      <c r="W1267">
        <v>7</v>
      </c>
      <c r="X1267" t="s">
        <v>10745</v>
      </c>
      <c r="Y1267">
        <v>0.43302752411935402</v>
      </c>
      <c r="Z1267" t="str">
        <f>HYPERLINK("Melting_Curves/meltCurve_sp_P49427_UB2R1_HUMAN_.pdf", "Melting_Curves/meltCurve_sp_P49427_UB2R1_HUMAN_.pdf")</f>
        <v>Melting_Curves/meltCurve_sp_P49427_UB2R1_HUMAN_.pdf</v>
      </c>
      <c r="AA1267" t="s">
        <v>15462</v>
      </c>
      <c r="AB1267" t="s">
        <v>20102</v>
      </c>
    </row>
    <row r="1268" spans="1:28" x14ac:dyDescent="0.25">
      <c r="A1268" t="s">
        <v>1272</v>
      </c>
      <c r="B1268">
        <v>0.99904790336628502</v>
      </c>
      <c r="C1268">
        <v>0.97898719465995898</v>
      </c>
      <c r="D1268">
        <v>0.96253910045790003</v>
      </c>
      <c r="E1268">
        <v>0.78610139893667097</v>
      </c>
      <c r="F1268">
        <v>0.31912001307472398</v>
      </c>
      <c r="G1268">
        <v>0.122849920975887</v>
      </c>
      <c r="H1268">
        <v>5.5067837507681301E-2</v>
      </c>
      <c r="I1268">
        <v>3.2107613132153399E-2</v>
      </c>
      <c r="J1268">
        <v>2.2145501068690399E-2</v>
      </c>
      <c r="K1268">
        <v>1.6372063670721099E-2</v>
      </c>
      <c r="L1268">
        <v>1696.3476341165999</v>
      </c>
      <c r="M1268">
        <v>32.7764139077889</v>
      </c>
      <c r="N1268">
        <v>51.874117633987403</v>
      </c>
      <c r="O1268">
        <v>51.5636171586807</v>
      </c>
      <c r="P1268">
        <v>-0.15315870257636799</v>
      </c>
      <c r="Q1268">
        <v>3.6211793053628399E-2</v>
      </c>
      <c r="R1268">
        <v>0.99763419388580299</v>
      </c>
      <c r="S1268" t="s">
        <v>6008</v>
      </c>
      <c r="T1268" t="s">
        <v>9478</v>
      </c>
      <c r="U1268" t="s">
        <v>9478</v>
      </c>
      <c r="V1268" t="s">
        <v>9478</v>
      </c>
      <c r="W1268">
        <v>8</v>
      </c>
      <c r="X1268" t="s">
        <v>10746</v>
      </c>
      <c r="Y1268">
        <v>0.41900176085884933</v>
      </c>
      <c r="Z1268" t="str">
        <f>HYPERLINK("Melting_Curves/meltCurve_sp_P49441_INPP_HUMAN_.pdf", "Melting_Curves/meltCurve_sp_P49441_INPP_HUMAN_.pdf")</f>
        <v>Melting_Curves/meltCurve_sp_P49441_INPP_HUMAN_.pdf</v>
      </c>
      <c r="AA1268" t="s">
        <v>15463</v>
      </c>
      <c r="AB1268" t="s">
        <v>20103</v>
      </c>
    </row>
    <row r="1269" spans="1:28" x14ac:dyDescent="0.25">
      <c r="A1269" t="s">
        <v>1273</v>
      </c>
      <c r="B1269">
        <v>0.99904790336628502</v>
      </c>
      <c r="C1269">
        <v>1.05300112507552</v>
      </c>
      <c r="D1269">
        <v>1.0678349294441001</v>
      </c>
      <c r="E1269">
        <v>0.79996378807250401</v>
      </c>
      <c r="F1269">
        <v>0.14149336331259099</v>
      </c>
      <c r="G1269">
        <v>6.5601659968168205E-2</v>
      </c>
      <c r="H1269">
        <v>2.21899253254246E-2</v>
      </c>
      <c r="I1269">
        <v>1.6932395521216101E-2</v>
      </c>
      <c r="J1269">
        <v>1.4889432659156401E-2</v>
      </c>
      <c r="K1269">
        <v>1.0980743236733001E-2</v>
      </c>
      <c r="L1269">
        <v>2963.9015851261302</v>
      </c>
      <c r="M1269">
        <v>57.918620027397203</v>
      </c>
      <c r="N1269">
        <v>51.219746202024403</v>
      </c>
      <c r="O1269">
        <v>51.1126549597479</v>
      </c>
      <c r="P1269">
        <v>-0.27608037104117</v>
      </c>
      <c r="Q1269">
        <v>2.5446808959595401E-2</v>
      </c>
      <c r="R1269">
        <v>0.99562655676717304</v>
      </c>
      <c r="S1269" t="s">
        <v>6009</v>
      </c>
      <c r="T1269" t="s">
        <v>9478</v>
      </c>
      <c r="U1269" t="s">
        <v>9478</v>
      </c>
      <c r="V1269" t="s">
        <v>9478</v>
      </c>
      <c r="W1269">
        <v>31</v>
      </c>
      <c r="X1269" t="s">
        <v>10747</v>
      </c>
      <c r="Y1269">
        <v>0.39005796156956812</v>
      </c>
      <c r="Z1269" t="str">
        <f>HYPERLINK("Melting_Curves/meltCurve_sp_P49448_DHE4_HUMAN_.pdf", "Melting_Curves/meltCurve_sp_P49448_DHE4_HUMAN_.pdf")</f>
        <v>Melting_Curves/meltCurve_sp_P49448_DHE4_HUMAN_.pdf</v>
      </c>
      <c r="AA1269" t="s">
        <v>15464</v>
      </c>
      <c r="AB1269" t="s">
        <v>20104</v>
      </c>
    </row>
    <row r="1270" spans="1:28" x14ac:dyDescent="0.25">
      <c r="A1270" t="s">
        <v>1274</v>
      </c>
      <c r="B1270">
        <v>0.99904790336628502</v>
      </c>
      <c r="C1270">
        <v>0.86186295272726898</v>
      </c>
      <c r="D1270">
        <v>0.91543639661903697</v>
      </c>
      <c r="E1270">
        <v>0.87653505814080002</v>
      </c>
      <c r="F1270">
        <v>0.88679656027558396</v>
      </c>
      <c r="G1270">
        <v>0.730764012689052</v>
      </c>
      <c r="H1270">
        <v>0.45291259139885198</v>
      </c>
      <c r="I1270">
        <v>0.26289981818680502</v>
      </c>
      <c r="J1270">
        <v>0.17553952499156</v>
      </c>
      <c r="K1270">
        <v>0.133212223521603</v>
      </c>
      <c r="L1270">
        <v>855.54472040936105</v>
      </c>
      <c r="M1270">
        <v>14.2296830020352</v>
      </c>
      <c r="N1270">
        <v>60.1239481284275</v>
      </c>
      <c r="O1270">
        <v>58.973898957414399</v>
      </c>
      <c r="P1270">
        <v>-6.0329442828471899E-2</v>
      </c>
      <c r="Q1270">
        <v>0</v>
      </c>
      <c r="R1270">
        <v>0.96870571347702805</v>
      </c>
      <c r="S1270" t="s">
        <v>6010</v>
      </c>
      <c r="T1270" t="s">
        <v>9478</v>
      </c>
      <c r="U1270" t="s">
        <v>9478</v>
      </c>
      <c r="V1270" t="s">
        <v>9478</v>
      </c>
      <c r="W1270">
        <v>7</v>
      </c>
      <c r="X1270" t="s">
        <v>10748</v>
      </c>
      <c r="Y1270">
        <v>0.67635599865080931</v>
      </c>
      <c r="Z1270" t="str">
        <f>HYPERLINK("Melting_Curves/meltCurve_sp_P49458_SRP09_HUMAN_.pdf", "Melting_Curves/meltCurve_sp_P49458_SRP09_HUMAN_.pdf")</f>
        <v>Melting_Curves/meltCurve_sp_P49458_SRP09_HUMAN_.pdf</v>
      </c>
      <c r="AA1270" t="s">
        <v>15465</v>
      </c>
      <c r="AB1270" t="s">
        <v>20105</v>
      </c>
    </row>
    <row r="1271" spans="1:28" x14ac:dyDescent="0.25">
      <c r="A1271" t="s">
        <v>1275</v>
      </c>
      <c r="B1271">
        <v>0.99904790336628502</v>
      </c>
      <c r="C1271">
        <v>2.6064255493003898</v>
      </c>
      <c r="D1271">
        <v>0.92317222287510203</v>
      </c>
      <c r="E1271">
        <v>1.7469597471100899</v>
      </c>
      <c r="F1271">
        <v>1.52264927406469</v>
      </c>
      <c r="G1271">
        <v>1.34822771348864</v>
      </c>
      <c r="H1271">
        <v>0.818589726012105</v>
      </c>
      <c r="I1271">
        <v>0.40958599452868999</v>
      </c>
      <c r="J1271">
        <v>0.194554865806116</v>
      </c>
      <c r="K1271">
        <v>0.15309852286765999</v>
      </c>
      <c r="L1271">
        <v>3216.75096536603</v>
      </c>
      <c r="M1271">
        <v>51.193441995660997</v>
      </c>
      <c r="N1271">
        <v>63.3041366689841</v>
      </c>
      <c r="O1271">
        <v>62.739555434966903</v>
      </c>
      <c r="P1271">
        <v>-0.171802398663915</v>
      </c>
      <c r="Q1271">
        <v>0.157798550632026</v>
      </c>
      <c r="R1271">
        <v>0.32302496518238899</v>
      </c>
      <c r="S1271" t="s">
        <v>6011</v>
      </c>
      <c r="T1271" t="s">
        <v>9478</v>
      </c>
      <c r="U1271" t="s">
        <v>9478</v>
      </c>
      <c r="V1271" t="s">
        <v>9478</v>
      </c>
      <c r="W1271">
        <v>1</v>
      </c>
      <c r="X1271" t="s">
        <v>10749</v>
      </c>
      <c r="Y1271">
        <v>0.800849796258295</v>
      </c>
      <c r="Z1271" t="str">
        <f>HYPERLINK("Melting_Curves/meltCurve_sp_P49459_UBE2A_HUMAN_.pdf", "Melting_Curves/meltCurve_sp_P49459_UBE2A_HUMAN_.pdf")</f>
        <v>Melting_Curves/meltCurve_sp_P49459_UBE2A_HUMAN_.pdf</v>
      </c>
      <c r="AA1271" t="s">
        <v>15466</v>
      </c>
      <c r="AB1271" t="s">
        <v>20106</v>
      </c>
    </row>
    <row r="1272" spans="1:28" x14ac:dyDescent="0.25">
      <c r="A1272" t="s">
        <v>1276</v>
      </c>
      <c r="B1272">
        <v>0.99904790336628502</v>
      </c>
      <c r="C1272">
        <v>0.93417429266241603</v>
      </c>
      <c r="D1272">
        <v>0.96499407479484201</v>
      </c>
      <c r="E1272">
        <v>0.87183711164584698</v>
      </c>
      <c r="F1272">
        <v>0.98927551104904798</v>
      </c>
      <c r="G1272">
        <v>0.64009231412402301</v>
      </c>
      <c r="H1272">
        <v>0.55558641847752299</v>
      </c>
      <c r="I1272">
        <v>0.45209626715993201</v>
      </c>
      <c r="J1272">
        <v>0.38481859850037098</v>
      </c>
      <c r="K1272">
        <v>0.262787519392367</v>
      </c>
      <c r="L1272">
        <v>681.91004848126602</v>
      </c>
      <c r="M1272">
        <v>11.2098191919734</v>
      </c>
      <c r="N1272">
        <v>62.400771353137998</v>
      </c>
      <c r="O1272">
        <v>58.991947927106203</v>
      </c>
      <c r="P1272">
        <v>-4.1683783938404897E-2</v>
      </c>
      <c r="Q1272">
        <v>0.12282742556755399</v>
      </c>
      <c r="R1272">
        <v>0.95517930604085899</v>
      </c>
      <c r="S1272" t="s">
        <v>6012</v>
      </c>
      <c r="T1272" t="s">
        <v>9478</v>
      </c>
      <c r="U1272" t="s">
        <v>9478</v>
      </c>
      <c r="V1272" t="s">
        <v>9478</v>
      </c>
      <c r="W1272">
        <v>7</v>
      </c>
      <c r="X1272" t="s">
        <v>10750</v>
      </c>
      <c r="Y1272">
        <v>0.72709411707268834</v>
      </c>
      <c r="Z1272" t="str">
        <f>HYPERLINK("Melting_Curves/meltCurve_sp_P49585_PCY1A_HUMAN_.pdf", "Melting_Curves/meltCurve_sp_P49585_PCY1A_HUMAN_.pdf")</f>
        <v>Melting_Curves/meltCurve_sp_P49585_PCY1A_HUMAN_.pdf</v>
      </c>
      <c r="AA1272" t="s">
        <v>15467</v>
      </c>
      <c r="AB1272" t="s">
        <v>20107</v>
      </c>
    </row>
    <row r="1273" spans="1:28" x14ac:dyDescent="0.25">
      <c r="A1273" t="s">
        <v>1277</v>
      </c>
      <c r="B1273">
        <v>0.99904790336628502</v>
      </c>
      <c r="C1273">
        <v>1.00966725935499</v>
      </c>
      <c r="D1273">
        <v>1.02158591332251</v>
      </c>
      <c r="E1273">
        <v>0.60635696003934203</v>
      </c>
      <c r="F1273">
        <v>0.219674401197264</v>
      </c>
      <c r="G1273">
        <v>0.108670638172505</v>
      </c>
      <c r="H1273">
        <v>5.5861955900107597E-2</v>
      </c>
      <c r="I1273">
        <v>4.24220569465504E-2</v>
      </c>
      <c r="J1273">
        <v>3.3073257919229201E-2</v>
      </c>
      <c r="K1273">
        <v>2.6783069716448098E-2</v>
      </c>
      <c r="L1273">
        <v>1731.8283607456799</v>
      </c>
      <c r="M1273">
        <v>34.230376328039398</v>
      </c>
      <c r="N1273">
        <v>50.744861088016201</v>
      </c>
      <c r="O1273">
        <v>50.421594005967798</v>
      </c>
      <c r="P1273">
        <v>-0.16147617932071201</v>
      </c>
      <c r="Q1273">
        <v>4.85815566578085E-2</v>
      </c>
      <c r="R1273">
        <v>0.99697518197190504</v>
      </c>
      <c r="S1273" t="s">
        <v>6013</v>
      </c>
      <c r="T1273" t="s">
        <v>9478</v>
      </c>
      <c r="U1273" t="s">
        <v>9478</v>
      </c>
      <c r="V1273" t="s">
        <v>9478</v>
      </c>
      <c r="W1273">
        <v>45</v>
      </c>
      <c r="X1273" t="s">
        <v>10751</v>
      </c>
      <c r="Y1273">
        <v>0.38909301965440962</v>
      </c>
      <c r="Z1273" t="str">
        <f>HYPERLINK("Melting_Curves/meltCurve_sp_P49588_SYAC_HUMAN_.pdf", "Melting_Curves/meltCurve_sp_P49588_SYAC_HUMAN_.pdf")</f>
        <v>Melting_Curves/meltCurve_sp_P49588_SYAC_HUMAN_.pdf</v>
      </c>
      <c r="AA1273" t="s">
        <v>15468</v>
      </c>
      <c r="AB1273" t="s">
        <v>20108</v>
      </c>
    </row>
    <row r="1274" spans="1:28" x14ac:dyDescent="0.25">
      <c r="A1274" t="s">
        <v>1278</v>
      </c>
      <c r="B1274">
        <v>0.99904790336628502</v>
      </c>
      <c r="C1274">
        <v>1.0354605000575601</v>
      </c>
      <c r="D1274">
        <v>1.0757521892526201</v>
      </c>
      <c r="E1274">
        <v>0.86712697246551895</v>
      </c>
      <c r="F1274">
        <v>0.33682560603807199</v>
      </c>
      <c r="G1274">
        <v>0.146867663621054</v>
      </c>
      <c r="H1274">
        <v>7.3550326101109703E-2</v>
      </c>
      <c r="I1274">
        <v>5.10003565689294E-2</v>
      </c>
      <c r="J1274">
        <v>4.3450772674662803E-2</v>
      </c>
      <c r="K1274">
        <v>4.0358614220204203E-2</v>
      </c>
      <c r="L1274">
        <v>2277.2337548094501</v>
      </c>
      <c r="M1274">
        <v>43.802256308750003</v>
      </c>
      <c r="N1274">
        <v>52.155429996722503</v>
      </c>
      <c r="O1274">
        <v>51.880948481963003</v>
      </c>
      <c r="P1274">
        <v>-0.19730288665114001</v>
      </c>
      <c r="Q1274">
        <v>6.5231163904352296E-2</v>
      </c>
      <c r="R1274">
        <v>0.99338649102711496</v>
      </c>
      <c r="S1274" t="s">
        <v>6014</v>
      </c>
      <c r="T1274" t="s">
        <v>9478</v>
      </c>
      <c r="U1274" t="s">
        <v>9478</v>
      </c>
      <c r="V1274" t="s">
        <v>9478</v>
      </c>
      <c r="W1274">
        <v>26</v>
      </c>
      <c r="X1274" t="s">
        <v>10752</v>
      </c>
      <c r="Y1274">
        <v>0.44159183842845318</v>
      </c>
      <c r="Z1274" t="str">
        <f>HYPERLINK("Melting_Curves/meltCurve_sp_P49589_3_SYCC_HUMAN_.pdf", "Melting_Curves/meltCurve_sp_P49589_3_SYCC_HUMAN_.pdf")</f>
        <v>Melting_Curves/meltCurve_sp_P49589_3_SYCC_HUMAN_.pdf</v>
      </c>
      <c r="AA1274" t="s">
        <v>15469</v>
      </c>
      <c r="AB1274" t="s">
        <v>20109</v>
      </c>
    </row>
    <row r="1275" spans="1:28" x14ac:dyDescent="0.25">
      <c r="A1275" t="s">
        <v>1279</v>
      </c>
      <c r="B1275">
        <v>0.99904790336628502</v>
      </c>
      <c r="C1275">
        <v>0.88600876741365697</v>
      </c>
      <c r="D1275">
        <v>0.74067312398407503</v>
      </c>
      <c r="E1275">
        <v>0.32712647386056498</v>
      </c>
      <c r="F1275">
        <v>0.198143480395674</v>
      </c>
      <c r="G1275">
        <v>0.13930670719079899</v>
      </c>
      <c r="H1275">
        <v>9.1494120743043805E-2</v>
      </c>
      <c r="I1275">
        <v>6.6692988798403199E-2</v>
      </c>
      <c r="J1275">
        <v>5.9597078868347399E-2</v>
      </c>
      <c r="K1275">
        <v>4.9133615564270199E-2</v>
      </c>
      <c r="L1275">
        <v>931.94234988262997</v>
      </c>
      <c r="M1275">
        <v>19.442406670598501</v>
      </c>
      <c r="N1275">
        <v>48.284512114187002</v>
      </c>
      <c r="O1275">
        <v>47.435031800220301</v>
      </c>
      <c r="P1275">
        <v>-9.5718767760498202E-2</v>
      </c>
      <c r="Q1275">
        <v>6.5906272862261597E-2</v>
      </c>
      <c r="R1275">
        <v>0.99655168314306197</v>
      </c>
      <c r="S1275" t="s">
        <v>6015</v>
      </c>
      <c r="T1275" t="s">
        <v>9478</v>
      </c>
      <c r="U1275" t="s">
        <v>9478</v>
      </c>
      <c r="V1275" t="s">
        <v>9478</v>
      </c>
      <c r="W1275">
        <v>13</v>
      </c>
      <c r="X1275" t="s">
        <v>10753</v>
      </c>
      <c r="Y1275">
        <v>0.32704302537543778</v>
      </c>
      <c r="Z1275" t="str">
        <f>HYPERLINK("Melting_Curves/meltCurve_sp_P49590_SYHM_HUMAN_.pdf", "Melting_Curves/meltCurve_sp_P49590_SYHM_HUMAN_.pdf")</f>
        <v>Melting_Curves/meltCurve_sp_P49590_SYHM_HUMAN_.pdf</v>
      </c>
      <c r="AA1275" t="s">
        <v>15470</v>
      </c>
      <c r="AB1275" t="s">
        <v>20110</v>
      </c>
    </row>
    <row r="1276" spans="1:28" x14ac:dyDescent="0.25">
      <c r="A1276" t="s">
        <v>1280</v>
      </c>
      <c r="B1276">
        <v>0.99904790336628502</v>
      </c>
      <c r="C1276">
        <v>0.96772174145216106</v>
      </c>
      <c r="D1276">
        <v>0.98713623819940199</v>
      </c>
      <c r="E1276">
        <v>0.77568631281563605</v>
      </c>
      <c r="F1276">
        <v>0.40314560190618398</v>
      </c>
      <c r="G1276">
        <v>0.121770934258336</v>
      </c>
      <c r="H1276">
        <v>5.4742007346492302E-2</v>
      </c>
      <c r="I1276">
        <v>3.6540633862740098E-2</v>
      </c>
      <c r="J1276">
        <v>2.7947901583543901E-2</v>
      </c>
      <c r="K1276">
        <v>2.2914505087209599E-2</v>
      </c>
      <c r="L1276">
        <v>1437.2687116110201</v>
      </c>
      <c r="M1276">
        <v>27.561670902719499</v>
      </c>
      <c r="N1276">
        <v>52.2641827861164</v>
      </c>
      <c r="O1276">
        <v>51.875170362533602</v>
      </c>
      <c r="P1276">
        <v>-0.12885969841905601</v>
      </c>
      <c r="Q1276">
        <v>2.9876268009998201E-2</v>
      </c>
      <c r="R1276">
        <v>0.99929917595450002</v>
      </c>
      <c r="S1276" t="s">
        <v>6016</v>
      </c>
      <c r="T1276" t="s">
        <v>9478</v>
      </c>
      <c r="U1276" t="s">
        <v>9478</v>
      </c>
      <c r="V1276" t="s">
        <v>9478</v>
      </c>
      <c r="W1276">
        <v>25</v>
      </c>
      <c r="X1276" t="s">
        <v>10754</v>
      </c>
      <c r="Y1276">
        <v>0.43003229870671461</v>
      </c>
      <c r="Z1276" t="str">
        <f>HYPERLINK("Melting_Curves/meltCurve_sp_P49591_SYSC_HUMAN_.pdf", "Melting_Curves/meltCurve_sp_P49591_SYSC_HUMAN_.pdf")</f>
        <v>Melting_Curves/meltCurve_sp_P49591_SYSC_HUMAN_.pdf</v>
      </c>
      <c r="AA1276" t="s">
        <v>15471</v>
      </c>
      <c r="AB1276" t="s">
        <v>20111</v>
      </c>
    </row>
    <row r="1277" spans="1:28" x14ac:dyDescent="0.25">
      <c r="A1277" t="s">
        <v>1281</v>
      </c>
      <c r="B1277">
        <v>0.99904790336628502</v>
      </c>
      <c r="C1277">
        <v>0.93279864618988495</v>
      </c>
      <c r="D1277">
        <v>0.88527094782472004</v>
      </c>
      <c r="E1277">
        <v>0.852376924379734</v>
      </c>
      <c r="F1277">
        <v>0.81566040840293297</v>
      </c>
      <c r="G1277">
        <v>0.38009070497014802</v>
      </c>
      <c r="H1277">
        <v>0.11399987243453701</v>
      </c>
      <c r="I1277">
        <v>6.9564778920289297E-2</v>
      </c>
      <c r="J1277">
        <v>5.5375306954930599E-2</v>
      </c>
      <c r="K1277">
        <v>3.9701906420529703E-2</v>
      </c>
      <c r="L1277">
        <v>1220.25976365922</v>
      </c>
      <c r="M1277">
        <v>21.912903454400599</v>
      </c>
      <c r="N1277">
        <v>55.7776811120549</v>
      </c>
      <c r="O1277">
        <v>55.229269082271401</v>
      </c>
      <c r="P1277">
        <v>-9.7453218807418904E-2</v>
      </c>
      <c r="Q1277">
        <v>1.75382048918989E-2</v>
      </c>
      <c r="R1277">
        <v>0.98375138290970099</v>
      </c>
      <c r="S1277" t="s">
        <v>6017</v>
      </c>
      <c r="T1277" t="s">
        <v>9478</v>
      </c>
      <c r="U1277" t="s">
        <v>9478</v>
      </c>
      <c r="V1277" t="s">
        <v>9478</v>
      </c>
      <c r="W1277">
        <v>12</v>
      </c>
      <c r="X1277" t="s">
        <v>10755</v>
      </c>
      <c r="Y1277">
        <v>0.54245921154658705</v>
      </c>
      <c r="Z1277" t="str">
        <f>HYPERLINK("Melting_Curves/meltCurve_sp_P49638_TTPA_HUMAN_.pdf", "Melting_Curves/meltCurve_sp_P49638_TTPA_HUMAN_.pdf")</f>
        <v>Melting_Curves/meltCurve_sp_P49638_TTPA_HUMAN_.pdf</v>
      </c>
      <c r="AA1277" t="s">
        <v>15472</v>
      </c>
      <c r="AB1277" t="s">
        <v>20112</v>
      </c>
    </row>
    <row r="1278" spans="1:28" x14ac:dyDescent="0.25">
      <c r="A1278" t="s">
        <v>1282</v>
      </c>
      <c r="B1278">
        <v>0.99904790336628502</v>
      </c>
      <c r="C1278">
        <v>0.98251200987724396</v>
      </c>
      <c r="D1278">
        <v>0.9356296449732</v>
      </c>
      <c r="E1278">
        <v>0.86109655512498595</v>
      </c>
      <c r="F1278">
        <v>0.70115552107244095</v>
      </c>
      <c r="G1278">
        <v>0.17216625141472899</v>
      </c>
      <c r="H1278">
        <v>7.6513226117661703E-2</v>
      </c>
      <c r="I1278">
        <v>6.5683908103434996E-2</v>
      </c>
      <c r="J1278">
        <v>6.5593305845959904E-2</v>
      </c>
      <c r="K1278">
        <v>4.0725145672670403E-2</v>
      </c>
      <c r="L1278">
        <v>1646.4427555310101</v>
      </c>
      <c r="M1278">
        <v>30.481515092104999</v>
      </c>
      <c r="N1278">
        <v>54.1908075052201</v>
      </c>
      <c r="O1278">
        <v>53.783576920133498</v>
      </c>
      <c r="P1278">
        <v>-0.13499714563581999</v>
      </c>
      <c r="Q1278">
        <v>4.7214614413079101E-2</v>
      </c>
      <c r="R1278">
        <v>0.99341522660812498</v>
      </c>
      <c r="S1278" t="s">
        <v>6018</v>
      </c>
      <c r="T1278" t="s">
        <v>9478</v>
      </c>
      <c r="U1278" t="s">
        <v>9478</v>
      </c>
      <c r="V1278" t="s">
        <v>9478</v>
      </c>
      <c r="W1278">
        <v>4</v>
      </c>
      <c r="X1278" t="s">
        <v>10756</v>
      </c>
      <c r="Y1278">
        <v>0.49837728733283898</v>
      </c>
      <c r="Z1278" t="str">
        <f>HYPERLINK("Melting_Curves/meltCurve_sp_P49662_2_CASP4_HUMAN_.pdf", "Melting_Curves/meltCurve_sp_P49662_2_CASP4_HUMAN_.pdf")</f>
        <v>Melting_Curves/meltCurve_sp_P49662_2_CASP4_HUMAN_.pdf</v>
      </c>
      <c r="AA1278" t="s">
        <v>15473</v>
      </c>
      <c r="AB1278" t="s">
        <v>20113</v>
      </c>
    </row>
    <row r="1279" spans="1:28" x14ac:dyDescent="0.25">
      <c r="A1279" t="s">
        <v>1283</v>
      </c>
      <c r="B1279">
        <v>0.99904790336628502</v>
      </c>
      <c r="C1279">
        <v>1.2607755545255099</v>
      </c>
      <c r="D1279">
        <v>1.5495924776827601</v>
      </c>
      <c r="E1279">
        <v>1.2483505325219899</v>
      </c>
      <c r="F1279">
        <v>1.25497251641753</v>
      </c>
      <c r="G1279">
        <v>0.86585200398786799</v>
      </c>
      <c r="H1279">
        <v>0.837466186961905</v>
      </c>
      <c r="I1279">
        <v>0.92363061883883901</v>
      </c>
      <c r="J1279">
        <v>0.85941064137981005</v>
      </c>
      <c r="K1279">
        <v>0.817480445767372</v>
      </c>
      <c r="L1279">
        <v>14076.179596677501</v>
      </c>
      <c r="M1279">
        <v>250</v>
      </c>
      <c r="O1279">
        <v>56.301115391071697</v>
      </c>
      <c r="P1279">
        <v>-0.15597301265726901</v>
      </c>
      <c r="Q1279">
        <v>0.85949672716012304</v>
      </c>
      <c r="R1279">
        <v>0.104871173401408</v>
      </c>
      <c r="S1279" t="s">
        <v>6019</v>
      </c>
      <c r="T1279" t="s">
        <v>9478</v>
      </c>
      <c r="U1279" t="s">
        <v>9478</v>
      </c>
      <c r="V1279" t="s">
        <v>9478</v>
      </c>
      <c r="W1279">
        <v>1</v>
      </c>
      <c r="X1279" t="s">
        <v>10757</v>
      </c>
      <c r="Y1279">
        <v>0.93587282070594613</v>
      </c>
      <c r="Z1279" t="str">
        <f>HYPERLINK("Melting_Curves/meltCurve_sp_P49674_KC1E_HUMAN_.pdf", "Melting_Curves/meltCurve_sp_P49674_KC1E_HUMAN_.pdf")</f>
        <v>Melting_Curves/meltCurve_sp_P49674_KC1E_HUMAN_.pdf</v>
      </c>
      <c r="AA1279" t="s">
        <v>15474</v>
      </c>
      <c r="AB1279" t="s">
        <v>20114</v>
      </c>
    </row>
    <row r="1280" spans="1:28" x14ac:dyDescent="0.25">
      <c r="A1280" t="s">
        <v>1284</v>
      </c>
      <c r="B1280">
        <v>0.99904790336628502</v>
      </c>
      <c r="C1280">
        <v>0.956505953592934</v>
      </c>
      <c r="D1280">
        <v>0.97661409633646801</v>
      </c>
      <c r="E1280">
        <v>1.02723724421574</v>
      </c>
      <c r="F1280">
        <v>0.85156136948283201</v>
      </c>
      <c r="G1280">
        <v>0.89594298615951795</v>
      </c>
      <c r="H1280">
        <v>0.67365112973614205</v>
      </c>
      <c r="I1280">
        <v>0.64568052035179602</v>
      </c>
      <c r="J1280">
        <v>0.49795470596404201</v>
      </c>
      <c r="K1280">
        <v>0.364685226232766</v>
      </c>
      <c r="L1280">
        <v>670.35856206493997</v>
      </c>
      <c r="M1280">
        <v>10.044207843813</v>
      </c>
      <c r="N1280">
        <v>66.740807597217795</v>
      </c>
      <c r="O1280">
        <v>64.257180595931402</v>
      </c>
      <c r="P1280">
        <v>-3.9096845525942302E-2</v>
      </c>
      <c r="Q1280">
        <v>0</v>
      </c>
      <c r="R1280">
        <v>0.96169994472962705</v>
      </c>
      <c r="S1280" t="s">
        <v>6020</v>
      </c>
      <c r="T1280" t="s">
        <v>9478</v>
      </c>
      <c r="U1280" t="s">
        <v>9478</v>
      </c>
      <c r="V1280" t="s">
        <v>9478</v>
      </c>
      <c r="W1280">
        <v>11</v>
      </c>
      <c r="X1280" t="s">
        <v>10758</v>
      </c>
      <c r="Y1280">
        <v>0.81359916656837927</v>
      </c>
      <c r="Z1280" t="str">
        <f>HYPERLINK("Melting_Curves/meltCurve_sp_P49720_PSB3_HUMAN_.pdf", "Melting_Curves/meltCurve_sp_P49720_PSB3_HUMAN_.pdf")</f>
        <v>Melting_Curves/meltCurve_sp_P49720_PSB3_HUMAN_.pdf</v>
      </c>
      <c r="AA1280" t="s">
        <v>15475</v>
      </c>
      <c r="AB1280" t="s">
        <v>20115</v>
      </c>
    </row>
    <row r="1281" spans="1:28" x14ac:dyDescent="0.25">
      <c r="A1281" t="s">
        <v>1285</v>
      </c>
      <c r="B1281">
        <v>0.99904790336628502</v>
      </c>
      <c r="C1281">
        <v>1.11818500484134</v>
      </c>
      <c r="D1281">
        <v>1.17457824806199</v>
      </c>
      <c r="E1281">
        <v>1.16662601698972</v>
      </c>
      <c r="F1281">
        <v>0.92899694130326604</v>
      </c>
      <c r="G1281">
        <v>0.86578488019994304</v>
      </c>
      <c r="H1281">
        <v>0.72109486810691303</v>
      </c>
      <c r="I1281">
        <v>0.72846461769400295</v>
      </c>
      <c r="J1281">
        <v>0.57197004642239702</v>
      </c>
      <c r="K1281">
        <v>0.39828281038282898</v>
      </c>
      <c r="L1281">
        <v>799.62954385333603</v>
      </c>
      <c r="M1281">
        <v>11.813297070165801</v>
      </c>
      <c r="N1281">
        <v>68.055571824981897</v>
      </c>
      <c r="O1281">
        <v>65.836653953059198</v>
      </c>
      <c r="P1281">
        <v>-4.3486550648372001E-2</v>
      </c>
      <c r="Q1281">
        <v>3.0829151822182699E-2</v>
      </c>
      <c r="R1281">
        <v>0.85252027132133901</v>
      </c>
      <c r="S1281" t="s">
        <v>6021</v>
      </c>
      <c r="T1281" t="s">
        <v>9478</v>
      </c>
      <c r="U1281" t="s">
        <v>9478</v>
      </c>
      <c r="V1281" t="s">
        <v>9478</v>
      </c>
      <c r="W1281">
        <v>16</v>
      </c>
      <c r="X1281" t="s">
        <v>10759</v>
      </c>
      <c r="Y1281">
        <v>0.85112953550399895</v>
      </c>
      <c r="Z1281" t="str">
        <f>HYPERLINK("Melting_Curves/meltCurve_sp_P49721_PSB2_HUMAN_.pdf", "Melting_Curves/meltCurve_sp_P49721_PSB2_HUMAN_.pdf")</f>
        <v>Melting_Curves/meltCurve_sp_P49721_PSB2_HUMAN_.pdf</v>
      </c>
      <c r="AA1281" t="s">
        <v>15476</v>
      </c>
      <c r="AB1281" t="s">
        <v>20116</v>
      </c>
    </row>
    <row r="1282" spans="1:28" x14ac:dyDescent="0.25">
      <c r="A1282" t="s">
        <v>1286</v>
      </c>
      <c r="B1282">
        <v>0.99904790336628502</v>
      </c>
      <c r="C1282">
        <v>1.03285668113331</v>
      </c>
      <c r="D1282">
        <v>1.0312374869805001</v>
      </c>
      <c r="E1282">
        <v>0.433934578949975</v>
      </c>
      <c r="F1282">
        <v>0.20500988769651199</v>
      </c>
      <c r="G1282">
        <v>0.104571326043046</v>
      </c>
      <c r="H1282">
        <v>6.3331745848806201E-2</v>
      </c>
      <c r="I1282">
        <v>4.9660804600656201E-2</v>
      </c>
      <c r="J1282">
        <v>4.32579585114315E-2</v>
      </c>
      <c r="K1282">
        <v>3.9269426544273497E-2</v>
      </c>
      <c r="L1282">
        <v>1921.40375591937</v>
      </c>
      <c r="M1282">
        <v>38.716068535075003</v>
      </c>
      <c r="N1282">
        <v>49.814198358314499</v>
      </c>
      <c r="O1282">
        <v>49.496228062902198</v>
      </c>
      <c r="P1282">
        <v>-0.18238226930100801</v>
      </c>
      <c r="Q1282">
        <v>6.7342111110941696E-2</v>
      </c>
      <c r="R1282">
        <v>0.99183431619783502</v>
      </c>
      <c r="S1282" t="s">
        <v>6022</v>
      </c>
      <c r="T1282" t="s">
        <v>9478</v>
      </c>
      <c r="U1282" t="s">
        <v>9478</v>
      </c>
      <c r="V1282" t="s">
        <v>9478</v>
      </c>
      <c r="W1282">
        <v>21</v>
      </c>
      <c r="X1282" t="s">
        <v>10760</v>
      </c>
      <c r="Y1282">
        <v>0.37008460835963669</v>
      </c>
      <c r="Z1282" t="str">
        <f>HYPERLINK("Melting_Curves/meltCurve_sp_P49736_MCM2_HUMAN_.pdf", "Melting_Curves/meltCurve_sp_P49736_MCM2_HUMAN_.pdf")</f>
        <v>Melting_Curves/meltCurve_sp_P49736_MCM2_HUMAN_.pdf</v>
      </c>
      <c r="AA1282" t="s">
        <v>15477</v>
      </c>
      <c r="AB1282" t="s">
        <v>20117</v>
      </c>
    </row>
    <row r="1283" spans="1:28" x14ac:dyDescent="0.25">
      <c r="A1283" t="s">
        <v>1287</v>
      </c>
      <c r="B1283">
        <v>0.99904790336628502</v>
      </c>
      <c r="C1283">
        <v>1.06148029455606</v>
      </c>
      <c r="D1283">
        <v>1.12651172319962</v>
      </c>
      <c r="E1283">
        <v>1.05871284053384</v>
      </c>
      <c r="F1283">
        <v>0.88557182353340602</v>
      </c>
      <c r="G1283">
        <v>0.55666362796889302</v>
      </c>
      <c r="H1283">
        <v>0.31011036069401299</v>
      </c>
      <c r="I1283">
        <v>0.149098358567606</v>
      </c>
      <c r="J1283">
        <v>7.5621226819195406E-2</v>
      </c>
      <c r="K1283">
        <v>5.0796820963528E-2</v>
      </c>
      <c r="L1283">
        <v>1293.9513357502899</v>
      </c>
      <c r="M1283">
        <v>22.386189991465201</v>
      </c>
      <c r="N1283">
        <v>58.041427966537597</v>
      </c>
      <c r="O1283">
        <v>57.346007583861798</v>
      </c>
      <c r="P1283">
        <v>-9.3278895876017703E-2</v>
      </c>
      <c r="Q1283">
        <v>4.4221310435349402E-2</v>
      </c>
      <c r="R1283">
        <v>0.98237671158284101</v>
      </c>
      <c r="S1283" t="s">
        <v>6023</v>
      </c>
      <c r="T1283" t="s">
        <v>9478</v>
      </c>
      <c r="U1283" t="s">
        <v>9478</v>
      </c>
      <c r="V1283" t="s">
        <v>9478</v>
      </c>
      <c r="W1283">
        <v>34</v>
      </c>
      <c r="X1283" t="s">
        <v>10761</v>
      </c>
      <c r="Y1283">
        <v>0.62107314032549232</v>
      </c>
      <c r="Z1283" t="str">
        <f>HYPERLINK("Melting_Curves/meltCurve_sp_P49748_ACADV_HUMAN_.pdf", "Melting_Curves/meltCurve_sp_P49748_ACADV_HUMAN_.pdf")</f>
        <v>Melting_Curves/meltCurve_sp_P49748_ACADV_HUMAN_.pdf</v>
      </c>
      <c r="AA1283" t="s">
        <v>15478</v>
      </c>
      <c r="AB1283" t="s">
        <v>20118</v>
      </c>
    </row>
    <row r="1284" spans="1:28" x14ac:dyDescent="0.25">
      <c r="A1284" t="s">
        <v>1288</v>
      </c>
      <c r="B1284">
        <v>0.99904790336628502</v>
      </c>
      <c r="C1284">
        <v>1.2258697067526501</v>
      </c>
      <c r="D1284">
        <v>1.23991142275203</v>
      </c>
      <c r="E1284">
        <v>1.0767905228577599</v>
      </c>
      <c r="F1284">
        <v>0.94252371593113904</v>
      </c>
      <c r="G1284">
        <v>0.67583159082661004</v>
      </c>
      <c r="H1284">
        <v>0.60748629257105602</v>
      </c>
      <c r="I1284">
        <v>0.55499875295309398</v>
      </c>
      <c r="J1284">
        <v>0.58137877607475896</v>
      </c>
      <c r="K1284">
        <v>0.59672266050356204</v>
      </c>
      <c r="L1284">
        <v>2512.0125355964601</v>
      </c>
      <c r="M1284">
        <v>45.341440184981799</v>
      </c>
      <c r="O1284">
        <v>55.294688052800304</v>
      </c>
      <c r="P1284">
        <v>-8.5419861929801305E-2</v>
      </c>
      <c r="Q1284">
        <v>0.58331639755663101</v>
      </c>
      <c r="R1284">
        <v>0.83076338805389904</v>
      </c>
      <c r="S1284" t="s">
        <v>6024</v>
      </c>
      <c r="T1284" t="s">
        <v>9478</v>
      </c>
      <c r="U1284" t="s">
        <v>9478</v>
      </c>
      <c r="V1284" t="s">
        <v>9478</v>
      </c>
      <c r="W1284">
        <v>24</v>
      </c>
      <c r="X1284" t="s">
        <v>10762</v>
      </c>
      <c r="Y1284">
        <v>0.79848117488124948</v>
      </c>
      <c r="Z1284" t="str">
        <f>HYPERLINK("Melting_Curves/meltCurve_sp_P49750_4_YLPM1_HUMAN_.pdf", "Melting_Curves/meltCurve_sp_P49750_4_YLPM1_HUMAN_.pdf")</f>
        <v>Melting_Curves/meltCurve_sp_P49750_4_YLPM1_HUMAN_.pdf</v>
      </c>
      <c r="AA1284" t="s">
        <v>15479</v>
      </c>
      <c r="AB1284" t="s">
        <v>20119</v>
      </c>
    </row>
    <row r="1285" spans="1:28" x14ac:dyDescent="0.25">
      <c r="A1285" t="s">
        <v>1289</v>
      </c>
      <c r="B1285">
        <v>0.99904790336628502</v>
      </c>
      <c r="C1285">
        <v>0.84553666247164705</v>
      </c>
      <c r="D1285">
        <v>0.59762931788406803</v>
      </c>
      <c r="E1285">
        <v>0.72118622896332796</v>
      </c>
      <c r="F1285">
        <v>0.52335848701201904</v>
      </c>
      <c r="G1285">
        <v>0.363322588267668</v>
      </c>
      <c r="H1285">
        <v>0.16898221264168201</v>
      </c>
      <c r="I1285">
        <v>3.5096728302221297E-2</v>
      </c>
      <c r="J1285">
        <v>4.1862051676455E-2</v>
      </c>
      <c r="K1285">
        <v>0</v>
      </c>
      <c r="L1285">
        <v>520.78390214236595</v>
      </c>
      <c r="M1285">
        <v>9.9987740802864309</v>
      </c>
      <c r="N1285">
        <v>52.084768906117603</v>
      </c>
      <c r="O1285">
        <v>50.129985244671303</v>
      </c>
      <c r="P1285">
        <v>-4.9888520347267498E-2</v>
      </c>
      <c r="Q1285">
        <v>0</v>
      </c>
      <c r="R1285">
        <v>0.93002535993775004</v>
      </c>
      <c r="S1285" t="s">
        <v>6025</v>
      </c>
      <c r="T1285" t="s">
        <v>9478</v>
      </c>
      <c r="U1285" t="s">
        <v>9478</v>
      </c>
      <c r="V1285" t="s">
        <v>9478</v>
      </c>
      <c r="W1285">
        <v>23</v>
      </c>
      <c r="X1285" t="s">
        <v>10763</v>
      </c>
      <c r="Y1285">
        <v>0.44048556782406462</v>
      </c>
      <c r="Z1285" t="str">
        <f>HYPERLINK("Melting_Curves/meltCurve_sp_P49753_ACOT2_HUMAN_.pdf", "Melting_Curves/meltCurve_sp_P49753_ACOT2_HUMAN_.pdf")</f>
        <v>Melting_Curves/meltCurve_sp_P49753_ACOT2_HUMAN_.pdf</v>
      </c>
      <c r="AA1285" t="s">
        <v>15480</v>
      </c>
      <c r="AB1285" t="s">
        <v>20120</v>
      </c>
    </row>
    <row r="1286" spans="1:28" x14ac:dyDescent="0.25">
      <c r="A1286" t="s">
        <v>1290</v>
      </c>
      <c r="B1286">
        <v>0.99904790336628502</v>
      </c>
      <c r="C1286">
        <v>1.03419572113744</v>
      </c>
      <c r="D1286">
        <v>0.76587159319027398</v>
      </c>
      <c r="E1286">
        <v>0.44290959589239798</v>
      </c>
      <c r="F1286">
        <v>0.22626928366475901</v>
      </c>
      <c r="G1286">
        <v>0.13002481635291999</v>
      </c>
      <c r="H1286">
        <v>6.7869367132042405E-2</v>
      </c>
      <c r="I1286">
        <v>4.0970859299699201E-2</v>
      </c>
      <c r="J1286">
        <v>2.82767618626831E-2</v>
      </c>
      <c r="K1286">
        <v>1.79634170823166E-2</v>
      </c>
      <c r="L1286">
        <v>958.07445397014999</v>
      </c>
      <c r="M1286">
        <v>19.4670498932539</v>
      </c>
      <c r="N1286">
        <v>49.398599256101797</v>
      </c>
      <c r="O1286">
        <v>48.704673661788497</v>
      </c>
      <c r="P1286">
        <v>-9.6443586393593794E-2</v>
      </c>
      <c r="Q1286">
        <v>3.4864900774079201E-2</v>
      </c>
      <c r="R1286">
        <v>0.99300489511992196</v>
      </c>
      <c r="S1286" t="s">
        <v>6026</v>
      </c>
      <c r="T1286" t="s">
        <v>9478</v>
      </c>
      <c r="U1286" t="s">
        <v>9478</v>
      </c>
      <c r="V1286" t="s">
        <v>9478</v>
      </c>
      <c r="W1286">
        <v>2</v>
      </c>
      <c r="X1286" t="s">
        <v>10764</v>
      </c>
      <c r="Y1286">
        <v>0.34557576575867699</v>
      </c>
      <c r="Z1286" t="str">
        <f>HYPERLINK("Melting_Curves/meltCurve_sp_P49755_TMEDA_HUMAN_.pdf", "Melting_Curves/meltCurve_sp_P49755_TMEDA_HUMAN_.pdf")</f>
        <v>Melting_Curves/meltCurve_sp_P49755_TMEDA_HUMAN_.pdf</v>
      </c>
      <c r="AA1286" t="s">
        <v>15481</v>
      </c>
      <c r="AB1286" t="s">
        <v>20121</v>
      </c>
    </row>
    <row r="1287" spans="1:28" x14ac:dyDescent="0.25">
      <c r="A1287" t="s">
        <v>1291</v>
      </c>
      <c r="B1287">
        <v>0.99904790336628502</v>
      </c>
      <c r="C1287">
        <v>0.90154449931152203</v>
      </c>
      <c r="D1287">
        <v>0.87414171443335897</v>
      </c>
      <c r="E1287">
        <v>0.82869337776767005</v>
      </c>
      <c r="F1287">
        <v>0.76755327094668802</v>
      </c>
      <c r="G1287">
        <v>0.41947053020237801</v>
      </c>
      <c r="H1287">
        <v>0.216545078274263</v>
      </c>
      <c r="I1287">
        <v>0.119031698506432</v>
      </c>
      <c r="J1287">
        <v>7.9242154624527605E-2</v>
      </c>
      <c r="K1287">
        <v>5.8439563591613598E-2</v>
      </c>
      <c r="L1287">
        <v>820.46496370246905</v>
      </c>
      <c r="M1287">
        <v>14.6571838390204</v>
      </c>
      <c r="N1287">
        <v>55.976988641151202</v>
      </c>
      <c r="O1287">
        <v>54.965973064347502</v>
      </c>
      <c r="P1287">
        <v>-6.6672180369320294E-2</v>
      </c>
      <c r="Q1287">
        <v>0</v>
      </c>
      <c r="R1287">
        <v>0.98370333406935095</v>
      </c>
      <c r="S1287" t="s">
        <v>6027</v>
      </c>
      <c r="T1287" t="s">
        <v>9478</v>
      </c>
      <c r="U1287" t="s">
        <v>9478</v>
      </c>
      <c r="V1287" t="s">
        <v>9478</v>
      </c>
      <c r="W1287">
        <v>5</v>
      </c>
      <c r="X1287" t="s">
        <v>10765</v>
      </c>
      <c r="Y1287">
        <v>0.5506927088101331</v>
      </c>
      <c r="Z1287" t="str">
        <f>HYPERLINK("Melting_Curves/meltCurve_sp_P49756_RBM25_HUMAN_.pdf", "Melting_Curves/meltCurve_sp_P49756_RBM25_HUMAN_.pdf")</f>
        <v>Melting_Curves/meltCurve_sp_P49756_RBM25_HUMAN_.pdf</v>
      </c>
      <c r="AA1287" t="s">
        <v>15482</v>
      </c>
      <c r="AB1287" t="s">
        <v>20122</v>
      </c>
    </row>
    <row r="1288" spans="1:28" x14ac:dyDescent="0.25">
      <c r="A1288" t="s">
        <v>1292</v>
      </c>
      <c r="B1288">
        <v>0.99904790336628502</v>
      </c>
      <c r="C1288">
        <v>1.03595529430963</v>
      </c>
      <c r="D1288">
        <v>0.95993938942164103</v>
      </c>
      <c r="E1288">
        <v>0.914569782407327</v>
      </c>
      <c r="F1288">
        <v>0.81923678600050698</v>
      </c>
      <c r="G1288">
        <v>0.58881876649319498</v>
      </c>
      <c r="H1288">
        <v>0.48715389337510101</v>
      </c>
      <c r="I1288">
        <v>0.43081490742949402</v>
      </c>
      <c r="J1288">
        <v>0.46022819591772401</v>
      </c>
      <c r="K1288">
        <v>0.45192352598938501</v>
      </c>
      <c r="L1288">
        <v>1185.92806042956</v>
      </c>
      <c r="M1288">
        <v>21.7545666612099</v>
      </c>
      <c r="N1288">
        <v>60.205474079133602</v>
      </c>
      <c r="O1288">
        <v>54.0596349572943</v>
      </c>
      <c r="P1288">
        <v>-5.6736922195090099E-2</v>
      </c>
      <c r="Q1288">
        <v>0.43605317046618203</v>
      </c>
      <c r="R1288">
        <v>0.99320275783775902</v>
      </c>
      <c r="S1288" t="s">
        <v>6028</v>
      </c>
      <c r="T1288" t="s">
        <v>9478</v>
      </c>
      <c r="U1288" t="s">
        <v>9478</v>
      </c>
      <c r="V1288" t="s">
        <v>9478</v>
      </c>
      <c r="W1288">
        <v>13</v>
      </c>
      <c r="X1288" t="s">
        <v>10766</v>
      </c>
      <c r="Y1288">
        <v>0.71552590434699503</v>
      </c>
      <c r="Z1288" t="str">
        <f>HYPERLINK("Melting_Curves/meltCurve_sp_P49757_3_NUMB_HUMAN_.pdf", "Melting_Curves/meltCurve_sp_P49757_3_NUMB_HUMAN_.pdf")</f>
        <v>Melting_Curves/meltCurve_sp_P49757_3_NUMB_HUMAN_.pdf</v>
      </c>
      <c r="AA1288" t="s">
        <v>15483</v>
      </c>
      <c r="AB1288" t="s">
        <v>20123</v>
      </c>
    </row>
    <row r="1289" spans="1:28" x14ac:dyDescent="0.25">
      <c r="A1289" t="s">
        <v>1293</v>
      </c>
      <c r="B1289">
        <v>0.99904790336628502</v>
      </c>
      <c r="C1289">
        <v>0.92552607846499602</v>
      </c>
      <c r="D1289">
        <v>0.91501911483509202</v>
      </c>
      <c r="E1289">
        <v>0.74590917743943697</v>
      </c>
      <c r="F1289">
        <v>0.57493839918188705</v>
      </c>
      <c r="G1289">
        <v>0.22577849513495199</v>
      </c>
      <c r="H1289">
        <v>0.127331395536844</v>
      </c>
      <c r="I1289">
        <v>8.8617556787051605E-2</v>
      </c>
      <c r="J1289">
        <v>7.6725361252380497E-2</v>
      </c>
      <c r="K1289">
        <v>4.6637890980578703E-2</v>
      </c>
      <c r="L1289">
        <v>890.84608601152797</v>
      </c>
      <c r="M1289">
        <v>16.747205945924101</v>
      </c>
      <c r="N1289">
        <v>53.393355062424803</v>
      </c>
      <c r="O1289">
        <v>52.452627334326003</v>
      </c>
      <c r="P1289">
        <v>-7.7403370052904805E-2</v>
      </c>
      <c r="Q1289">
        <v>3.03471486601237E-2</v>
      </c>
      <c r="R1289">
        <v>0.994455787360354</v>
      </c>
      <c r="S1289" t="s">
        <v>6029</v>
      </c>
      <c r="T1289" t="s">
        <v>9478</v>
      </c>
      <c r="U1289" t="s">
        <v>9478</v>
      </c>
      <c r="V1289" t="s">
        <v>9478</v>
      </c>
      <c r="W1289">
        <v>8</v>
      </c>
      <c r="X1289" t="s">
        <v>10767</v>
      </c>
      <c r="Y1289">
        <v>0.47446457353914989</v>
      </c>
      <c r="Z1289" t="str">
        <f>HYPERLINK("Melting_Curves/meltCurve_sp_P49770_EI2BB_HUMAN_.pdf", "Melting_Curves/meltCurve_sp_P49770_EI2BB_HUMAN_.pdf")</f>
        <v>Melting_Curves/meltCurve_sp_P49770_EI2BB_HUMAN_.pdf</v>
      </c>
      <c r="AA1289" t="s">
        <v>15484</v>
      </c>
      <c r="AB1289" t="s">
        <v>20124</v>
      </c>
    </row>
    <row r="1290" spans="1:28" x14ac:dyDescent="0.25">
      <c r="A1290" t="s">
        <v>1294</v>
      </c>
      <c r="B1290">
        <v>0.99904790336628502</v>
      </c>
      <c r="C1290">
        <v>0.92860571220778099</v>
      </c>
      <c r="D1290">
        <v>0.90299088633560398</v>
      </c>
      <c r="E1290">
        <v>0.926275737226124</v>
      </c>
      <c r="F1290">
        <v>0.91868921367021705</v>
      </c>
      <c r="G1290">
        <v>0.72429381212266197</v>
      </c>
      <c r="H1290">
        <v>0.53283915943178595</v>
      </c>
      <c r="I1290">
        <v>0.44441553848915299</v>
      </c>
      <c r="J1290">
        <v>0.44935722173529302</v>
      </c>
      <c r="K1290">
        <v>0.36714830848168201</v>
      </c>
      <c r="L1290">
        <v>884.68091808124802</v>
      </c>
      <c r="M1290">
        <v>15.2046872463253</v>
      </c>
      <c r="N1290">
        <v>62.656401264404302</v>
      </c>
      <c r="O1290">
        <v>57.206116719904003</v>
      </c>
      <c r="P1290">
        <v>-4.4452575237238397E-2</v>
      </c>
      <c r="Q1290">
        <v>0.33107059188680099</v>
      </c>
      <c r="R1290">
        <v>0.96934410935514204</v>
      </c>
      <c r="S1290" t="s">
        <v>6030</v>
      </c>
      <c r="T1290" t="s">
        <v>9478</v>
      </c>
      <c r="U1290" t="s">
        <v>9478</v>
      </c>
      <c r="V1290" t="s">
        <v>9478</v>
      </c>
      <c r="W1290">
        <v>9</v>
      </c>
      <c r="X1290" t="s">
        <v>10768</v>
      </c>
      <c r="Y1290">
        <v>0.74518573760096263</v>
      </c>
      <c r="Z1290" t="str">
        <f>HYPERLINK("Melting_Curves/meltCurve_sp_P49773_HINT1_HUMAN_.pdf", "Melting_Curves/meltCurve_sp_P49773_HINT1_HUMAN_.pdf")</f>
        <v>Melting_Curves/meltCurve_sp_P49773_HINT1_HUMAN_.pdf</v>
      </c>
      <c r="AA1290" t="s">
        <v>15485</v>
      </c>
      <c r="AB1290" t="s">
        <v>20125</v>
      </c>
    </row>
    <row r="1291" spans="1:28" x14ac:dyDescent="0.25">
      <c r="A1291" t="s">
        <v>1295</v>
      </c>
      <c r="B1291">
        <v>0.99904790336628502</v>
      </c>
      <c r="C1291">
        <v>0.96426121176042201</v>
      </c>
      <c r="D1291">
        <v>0.94332428764470999</v>
      </c>
      <c r="E1291">
        <v>0.908147713047886</v>
      </c>
      <c r="F1291">
        <v>0.93616100682453196</v>
      </c>
      <c r="G1291">
        <v>0.81813111112005499</v>
      </c>
      <c r="H1291">
        <v>0.63437304512290804</v>
      </c>
      <c r="I1291">
        <v>0.492149387406142</v>
      </c>
      <c r="J1291">
        <v>0.348982285434418</v>
      </c>
      <c r="K1291">
        <v>0.20800940420227901</v>
      </c>
      <c r="L1291">
        <v>807.14048610203804</v>
      </c>
      <c r="M1291">
        <v>12.698811927299399</v>
      </c>
      <c r="N1291">
        <v>63.5603149972045</v>
      </c>
      <c r="O1291">
        <v>62.045924161940597</v>
      </c>
      <c r="P1291">
        <v>-5.1176871741785798E-2</v>
      </c>
      <c r="Q1291">
        <v>0</v>
      </c>
      <c r="R1291">
        <v>0.98852539358531299</v>
      </c>
      <c r="S1291" t="s">
        <v>6031</v>
      </c>
      <c r="T1291" t="s">
        <v>9478</v>
      </c>
      <c r="U1291" t="s">
        <v>9478</v>
      </c>
      <c r="V1291" t="s">
        <v>9478</v>
      </c>
      <c r="W1291">
        <v>3</v>
      </c>
      <c r="X1291" t="s">
        <v>10769</v>
      </c>
      <c r="Y1291">
        <v>0.76378970989613215</v>
      </c>
      <c r="Z1291" t="str">
        <f>HYPERLINK("Melting_Curves/meltCurve_sp_P49789_FHIT_HUMAN_.pdf", "Melting_Curves/meltCurve_sp_P49789_FHIT_HUMAN_.pdf")</f>
        <v>Melting_Curves/meltCurve_sp_P49789_FHIT_HUMAN_.pdf</v>
      </c>
      <c r="AA1291" t="s">
        <v>15486</v>
      </c>
      <c r="AB1291" t="s">
        <v>20126</v>
      </c>
    </row>
    <row r="1292" spans="1:28" x14ac:dyDescent="0.25">
      <c r="A1292" t="s">
        <v>1296</v>
      </c>
      <c r="B1292">
        <v>0.99904790336628502</v>
      </c>
      <c r="C1292">
        <v>0.98437456679311397</v>
      </c>
      <c r="D1292">
        <v>0.95525397311289895</v>
      </c>
      <c r="E1292">
        <v>0.90087290513189</v>
      </c>
      <c r="F1292">
        <v>0.83027197041392897</v>
      </c>
      <c r="G1292">
        <v>0.59195819867037203</v>
      </c>
      <c r="H1292">
        <v>0.51243334086068004</v>
      </c>
      <c r="I1292">
        <v>0.47185839068625102</v>
      </c>
      <c r="J1292">
        <v>0.50396291990749298</v>
      </c>
      <c r="K1292">
        <v>0.52147319230119704</v>
      </c>
      <c r="L1292">
        <v>1247.0775212133201</v>
      </c>
      <c r="M1292">
        <v>23.0959537325224</v>
      </c>
      <c r="N1292">
        <v>64.460594157154802</v>
      </c>
      <c r="O1292">
        <v>53.595596738881099</v>
      </c>
      <c r="P1292">
        <v>-5.5134596763709999E-2</v>
      </c>
      <c r="Q1292">
        <v>0.48823646183296898</v>
      </c>
      <c r="R1292">
        <v>0.98784638756340604</v>
      </c>
      <c r="S1292" t="s">
        <v>6032</v>
      </c>
      <c r="T1292" t="s">
        <v>9478</v>
      </c>
      <c r="U1292" t="s">
        <v>9478</v>
      </c>
      <c r="V1292" t="s">
        <v>9478</v>
      </c>
      <c r="W1292">
        <v>18</v>
      </c>
      <c r="X1292" t="s">
        <v>10770</v>
      </c>
      <c r="Y1292">
        <v>0.73243968410138671</v>
      </c>
      <c r="Z1292" t="str">
        <f>HYPERLINK("Melting_Curves/meltCurve_sp_P49790_NU153_HUMAN_.pdf", "Melting_Curves/meltCurve_sp_P49790_NU153_HUMAN_.pdf")</f>
        <v>Melting_Curves/meltCurve_sp_P49790_NU153_HUMAN_.pdf</v>
      </c>
      <c r="AA1292" t="s">
        <v>15487</v>
      </c>
      <c r="AB1292" t="s">
        <v>20127</v>
      </c>
    </row>
    <row r="1293" spans="1:28" x14ac:dyDescent="0.25">
      <c r="A1293" t="s">
        <v>1297</v>
      </c>
      <c r="B1293">
        <v>0.99904790336628502</v>
      </c>
      <c r="C1293">
        <v>0.98805091561611602</v>
      </c>
      <c r="D1293">
        <v>0.97293394085609697</v>
      </c>
      <c r="E1293">
        <v>0.85725908069833601</v>
      </c>
      <c r="F1293">
        <v>0.71109143704670696</v>
      </c>
      <c r="G1293">
        <v>0.45468504762269502</v>
      </c>
      <c r="H1293">
        <v>0.37673924629512201</v>
      </c>
      <c r="I1293">
        <v>0.30469809892757999</v>
      </c>
      <c r="J1293">
        <v>0.31888878990546399</v>
      </c>
      <c r="K1293">
        <v>0.29713093144559299</v>
      </c>
      <c r="L1293">
        <v>1034.3586649186</v>
      </c>
      <c r="M1293">
        <v>19.228021440675501</v>
      </c>
      <c r="N1293">
        <v>56.361286868497899</v>
      </c>
      <c r="O1293">
        <v>53.222614321001501</v>
      </c>
      <c r="P1293">
        <v>-6.3973342233540606E-2</v>
      </c>
      <c r="Q1293">
        <v>0.29172142078622998</v>
      </c>
      <c r="R1293">
        <v>0.99829513293387195</v>
      </c>
      <c r="S1293" t="s">
        <v>6033</v>
      </c>
      <c r="T1293" t="s">
        <v>9478</v>
      </c>
      <c r="U1293" t="s">
        <v>9478</v>
      </c>
      <c r="V1293" t="s">
        <v>9478</v>
      </c>
      <c r="W1293">
        <v>50</v>
      </c>
      <c r="X1293" t="s">
        <v>10771</v>
      </c>
      <c r="Y1293">
        <v>0.62768330574792164</v>
      </c>
      <c r="Z1293" t="str">
        <f>HYPERLINK("Melting_Curves/meltCurve_sp_P49792_RBP2_HUMAN_.pdf", "Melting_Curves/meltCurve_sp_P49792_RBP2_HUMAN_.pdf")</f>
        <v>Melting_Curves/meltCurve_sp_P49792_RBP2_HUMAN_.pdf</v>
      </c>
      <c r="AA1293" t="s">
        <v>15488</v>
      </c>
      <c r="AB1293" t="s">
        <v>20128</v>
      </c>
    </row>
    <row r="1294" spans="1:28" x14ac:dyDescent="0.25">
      <c r="A1294" t="s">
        <v>1298</v>
      </c>
      <c r="B1294">
        <v>0.99904790336628502</v>
      </c>
      <c r="C1294">
        <v>0.88225050484780099</v>
      </c>
      <c r="D1294">
        <v>0.72372548433304495</v>
      </c>
      <c r="E1294">
        <v>0.38276370157999101</v>
      </c>
      <c r="F1294">
        <v>0.16803865649070401</v>
      </c>
      <c r="G1294">
        <v>8.7398435384974396E-2</v>
      </c>
      <c r="H1294">
        <v>5.3749066491995103E-2</v>
      </c>
      <c r="I1294">
        <v>3.6173865178673499E-2</v>
      </c>
      <c r="J1294">
        <v>2.98202438901644E-2</v>
      </c>
      <c r="K1294">
        <v>2.5614132165369102E-2</v>
      </c>
      <c r="L1294">
        <v>863.60863051167496</v>
      </c>
      <c r="M1294">
        <v>17.874216876155302</v>
      </c>
      <c r="N1294">
        <v>48.445637181058402</v>
      </c>
      <c r="O1294">
        <v>47.7232921158081</v>
      </c>
      <c r="P1294">
        <v>-9.1451049217069202E-2</v>
      </c>
      <c r="Q1294">
        <v>2.3369995970681502E-2</v>
      </c>
      <c r="R1294">
        <v>0.99856969739631796</v>
      </c>
      <c r="S1294" t="s">
        <v>6034</v>
      </c>
      <c r="T1294" t="s">
        <v>9478</v>
      </c>
      <c r="U1294" t="s">
        <v>9478</v>
      </c>
      <c r="V1294" t="s">
        <v>9478</v>
      </c>
      <c r="W1294">
        <v>15</v>
      </c>
      <c r="X1294" t="s">
        <v>10772</v>
      </c>
      <c r="Y1294">
        <v>0.31151242148006542</v>
      </c>
      <c r="Z1294" t="str">
        <f>HYPERLINK("Melting_Curves/meltCurve_sp_P49821_2_NDUV1_HUMAN_.pdf", "Melting_Curves/meltCurve_sp_P49821_2_NDUV1_HUMAN_.pdf")</f>
        <v>Melting_Curves/meltCurve_sp_P49821_2_NDUV1_HUMAN_.pdf</v>
      </c>
      <c r="AA1294" t="s">
        <v>15489</v>
      </c>
      <c r="AB1294" t="s">
        <v>20129</v>
      </c>
    </row>
    <row r="1295" spans="1:28" x14ac:dyDescent="0.25">
      <c r="A1295" t="s">
        <v>1299</v>
      </c>
      <c r="B1295">
        <v>0.99904790336628502</v>
      </c>
      <c r="C1295">
        <v>0.95912626926136002</v>
      </c>
      <c r="D1295">
        <v>0.87229771381672905</v>
      </c>
      <c r="E1295">
        <v>0.67686896787657902</v>
      </c>
      <c r="F1295">
        <v>0.335726838178316</v>
      </c>
      <c r="G1295">
        <v>0.18199650471394499</v>
      </c>
      <c r="H1295">
        <v>8.14704582703452E-2</v>
      </c>
      <c r="I1295">
        <v>6.8127092508110706E-2</v>
      </c>
      <c r="J1295">
        <v>7.4454234227598795E-2</v>
      </c>
      <c r="K1295">
        <v>3.5442743179304501E-2</v>
      </c>
      <c r="L1295">
        <v>978.879234414807</v>
      </c>
      <c r="M1295">
        <v>19.1083940468972</v>
      </c>
      <c r="N1295">
        <v>51.4845875876345</v>
      </c>
      <c r="O1295">
        <v>50.6765451463611</v>
      </c>
      <c r="P1295">
        <v>-8.9983875160000698E-2</v>
      </c>
      <c r="Q1295">
        <v>4.5467831596879497E-2</v>
      </c>
      <c r="R1295">
        <v>0.99614587494507101</v>
      </c>
      <c r="S1295" t="s">
        <v>6035</v>
      </c>
      <c r="T1295" t="s">
        <v>9478</v>
      </c>
      <c r="U1295" t="s">
        <v>9478</v>
      </c>
      <c r="V1295" t="s">
        <v>9478</v>
      </c>
      <c r="W1295">
        <v>7</v>
      </c>
      <c r="X1295" t="s">
        <v>10773</v>
      </c>
      <c r="Y1295">
        <v>0.41710970440594691</v>
      </c>
      <c r="Z1295" t="str">
        <f>HYPERLINK("Melting_Curves/meltCurve_sp_P49840_GSK3A_HUMAN_.pdf", "Melting_Curves/meltCurve_sp_P49840_GSK3A_HUMAN_.pdf")</f>
        <v>Melting_Curves/meltCurve_sp_P49840_GSK3A_HUMAN_.pdf</v>
      </c>
      <c r="AA1295" t="s">
        <v>15490</v>
      </c>
      <c r="AB1295" t="s">
        <v>20130</v>
      </c>
    </row>
    <row r="1296" spans="1:28" x14ac:dyDescent="0.25">
      <c r="A1296" t="s">
        <v>1300</v>
      </c>
      <c r="B1296">
        <v>0.99904790336628502</v>
      </c>
      <c r="C1296">
        <v>0.97435117261015802</v>
      </c>
      <c r="D1296">
        <v>0.92369693242778605</v>
      </c>
      <c r="E1296">
        <v>0.68929183232942803</v>
      </c>
      <c r="F1296">
        <v>0.38028885176552801</v>
      </c>
      <c r="G1296">
        <v>0.15277284968916099</v>
      </c>
      <c r="H1296">
        <v>8.0195301418777898E-2</v>
      </c>
      <c r="I1296">
        <v>6.3985724136531794E-2</v>
      </c>
      <c r="J1296">
        <v>5.84336028366726E-2</v>
      </c>
      <c r="K1296">
        <v>4.4917254404611903E-2</v>
      </c>
      <c r="L1296">
        <v>1115.42948364054</v>
      </c>
      <c r="M1296">
        <v>21.6355922779343</v>
      </c>
      <c r="N1296">
        <v>51.7925634093437</v>
      </c>
      <c r="O1296">
        <v>51.1209262249779</v>
      </c>
      <c r="P1296">
        <v>-0.100816504013842</v>
      </c>
      <c r="Q1296">
        <v>4.7179320286854197E-2</v>
      </c>
      <c r="R1296">
        <v>0.99964725962728995</v>
      </c>
      <c r="S1296" t="s">
        <v>6036</v>
      </c>
      <c r="T1296" t="s">
        <v>9478</v>
      </c>
      <c r="U1296" t="s">
        <v>9478</v>
      </c>
      <c r="V1296" t="s">
        <v>9478</v>
      </c>
      <c r="W1296">
        <v>5</v>
      </c>
      <c r="X1296" t="s">
        <v>10774</v>
      </c>
      <c r="Y1296">
        <v>0.42560035722288952</v>
      </c>
      <c r="Z1296" t="str">
        <f>HYPERLINK("Melting_Curves/meltCurve_sp_P49841_GSK3B_HUMAN_.pdf", "Melting_Curves/meltCurve_sp_P49841_GSK3B_HUMAN_.pdf")</f>
        <v>Melting_Curves/meltCurve_sp_P49841_GSK3B_HUMAN_.pdf</v>
      </c>
      <c r="AA1296" t="s">
        <v>15491</v>
      </c>
      <c r="AB1296" t="s">
        <v>20131</v>
      </c>
    </row>
    <row r="1297" spans="1:28" x14ac:dyDescent="0.25">
      <c r="A1297" t="s">
        <v>1301</v>
      </c>
      <c r="B1297">
        <v>0.99904790336628502</v>
      </c>
      <c r="C1297">
        <v>0.86268760217623797</v>
      </c>
      <c r="D1297">
        <v>0.82610466122209103</v>
      </c>
      <c r="E1297">
        <v>0.65228444097315796</v>
      </c>
      <c r="F1297">
        <v>0.48251761306705199</v>
      </c>
      <c r="G1297">
        <v>0.13858409112247</v>
      </c>
      <c r="H1297">
        <v>8.6851283371951596E-2</v>
      </c>
      <c r="I1297">
        <v>5.4165682700787698E-2</v>
      </c>
      <c r="J1297">
        <v>4.7413194455131702E-2</v>
      </c>
      <c r="K1297">
        <v>3.8339872904487399E-2</v>
      </c>
      <c r="L1297">
        <v>733.515861997667</v>
      </c>
      <c r="M1297">
        <v>14.164889019944299</v>
      </c>
      <c r="N1297">
        <v>51.784086110904703</v>
      </c>
      <c r="O1297">
        <v>50.784770009547898</v>
      </c>
      <c r="P1297">
        <v>-6.9738818166073399E-2</v>
      </c>
      <c r="Q1297">
        <v>0</v>
      </c>
      <c r="R1297">
        <v>0.98539303529899103</v>
      </c>
      <c r="S1297" t="s">
        <v>6037</v>
      </c>
      <c r="T1297" t="s">
        <v>9478</v>
      </c>
      <c r="U1297" t="s">
        <v>9478</v>
      </c>
      <c r="V1297" t="s">
        <v>9478</v>
      </c>
      <c r="W1297">
        <v>15</v>
      </c>
      <c r="X1297" t="s">
        <v>10775</v>
      </c>
      <c r="Y1297">
        <v>0.41738413599355839</v>
      </c>
      <c r="Z1297" t="str">
        <f>HYPERLINK("Melting_Curves/meltCurve_sp_P49888_ST1E1_HUMAN_.pdf", "Melting_Curves/meltCurve_sp_P49888_ST1E1_HUMAN_.pdf")</f>
        <v>Melting_Curves/meltCurve_sp_P49888_ST1E1_HUMAN_.pdf</v>
      </c>
      <c r="AA1297" t="s">
        <v>15492</v>
      </c>
      <c r="AB1297" t="s">
        <v>20132</v>
      </c>
    </row>
    <row r="1298" spans="1:28" x14ac:dyDescent="0.25">
      <c r="A1298" t="s">
        <v>1302</v>
      </c>
      <c r="B1298">
        <v>0.99904790336628502</v>
      </c>
      <c r="C1298">
        <v>0.91877517197769298</v>
      </c>
      <c r="D1298">
        <v>0.950820730848142</v>
      </c>
      <c r="E1298">
        <v>0.84366732294110303</v>
      </c>
      <c r="F1298">
        <v>0.62768156136339304</v>
      </c>
      <c r="G1298">
        <v>0.36712519351753098</v>
      </c>
      <c r="H1298">
        <v>7.7445462490172007E-2</v>
      </c>
      <c r="I1298">
        <v>5.3441648298743899E-2</v>
      </c>
      <c r="J1298">
        <v>3.9592466508821103E-2</v>
      </c>
      <c r="K1298">
        <v>2.7630819647208298E-2</v>
      </c>
      <c r="L1298">
        <v>987.58915718024605</v>
      </c>
      <c r="M1298">
        <v>18.071344648963599</v>
      </c>
      <c r="N1298">
        <v>54.649458391275999</v>
      </c>
      <c r="O1298">
        <v>53.993438684699797</v>
      </c>
      <c r="P1298">
        <v>-8.3677863290464796E-2</v>
      </c>
      <c r="Q1298">
        <v>0</v>
      </c>
      <c r="R1298">
        <v>0.99296197115901097</v>
      </c>
      <c r="S1298" t="s">
        <v>6038</v>
      </c>
      <c r="T1298" t="s">
        <v>9478</v>
      </c>
      <c r="U1298" t="s">
        <v>9478</v>
      </c>
      <c r="V1298" t="s">
        <v>9478</v>
      </c>
      <c r="W1298">
        <v>7</v>
      </c>
      <c r="X1298" t="s">
        <v>10776</v>
      </c>
      <c r="Y1298">
        <v>0.50390525617603565</v>
      </c>
      <c r="Z1298" t="str">
        <f>HYPERLINK("Melting_Curves/meltCurve_sp_P49902_5NTC_HUMAN_.pdf", "Melting_Curves/meltCurve_sp_P49902_5NTC_HUMAN_.pdf")</f>
        <v>Melting_Curves/meltCurve_sp_P49902_5NTC_HUMAN_.pdf</v>
      </c>
      <c r="AA1298" t="s">
        <v>15493</v>
      </c>
      <c r="AB1298" t="s">
        <v>20133</v>
      </c>
    </row>
    <row r="1299" spans="1:28" x14ac:dyDescent="0.25">
      <c r="A1299" t="s">
        <v>1303</v>
      </c>
      <c r="B1299">
        <v>0.99904790336628502</v>
      </c>
      <c r="C1299">
        <v>0.94985706473065201</v>
      </c>
      <c r="D1299">
        <v>1.00508571440254</v>
      </c>
      <c r="E1299">
        <v>0.93393790039189295</v>
      </c>
      <c r="F1299">
        <v>0.88642099653992701</v>
      </c>
      <c r="G1299">
        <v>0.66746404311975205</v>
      </c>
      <c r="H1299">
        <v>0.56168246215453599</v>
      </c>
      <c r="I1299">
        <v>0.48563493783818601</v>
      </c>
      <c r="J1299">
        <v>0.41666254055338298</v>
      </c>
      <c r="K1299">
        <v>0.269888361685381</v>
      </c>
      <c r="L1299">
        <v>630.70313778709601</v>
      </c>
      <c r="M1299">
        <v>10.278111057019199</v>
      </c>
      <c r="N1299">
        <v>62.91423277997</v>
      </c>
      <c r="O1299">
        <v>59.176946144319899</v>
      </c>
      <c r="P1299">
        <v>-3.8579843828385099E-2</v>
      </c>
      <c r="Q1299">
        <v>0.111884271818735</v>
      </c>
      <c r="R1299">
        <v>0.98409728169454302</v>
      </c>
      <c r="S1299" t="s">
        <v>6039</v>
      </c>
      <c r="T1299" t="s">
        <v>9478</v>
      </c>
      <c r="U1299" t="s">
        <v>9478</v>
      </c>
      <c r="V1299" t="s">
        <v>9478</v>
      </c>
      <c r="W1299">
        <v>12</v>
      </c>
      <c r="X1299" t="s">
        <v>10777</v>
      </c>
      <c r="Y1299">
        <v>0.73203072214266718</v>
      </c>
      <c r="Z1299" t="str">
        <f>HYPERLINK("Melting_Curves/meltCurve_sp_P49903_SPS1_HUMAN_.pdf", "Melting_Curves/meltCurve_sp_P49903_SPS1_HUMAN_.pdf")</f>
        <v>Melting_Curves/meltCurve_sp_P49903_SPS1_HUMAN_.pdf</v>
      </c>
      <c r="AA1299" t="s">
        <v>15494</v>
      </c>
      <c r="AB1299" t="s">
        <v>20134</v>
      </c>
    </row>
    <row r="1300" spans="1:28" x14ac:dyDescent="0.25">
      <c r="A1300" t="s">
        <v>1304</v>
      </c>
      <c r="B1300">
        <v>0.99904790336628502</v>
      </c>
      <c r="C1300">
        <v>0.71185281507661102</v>
      </c>
      <c r="D1300">
        <v>0.60784325898707303</v>
      </c>
      <c r="E1300">
        <v>0.34805476550650699</v>
      </c>
      <c r="F1300">
        <v>0.107914292097488</v>
      </c>
      <c r="G1300">
        <v>7.0334426372958905E-2</v>
      </c>
      <c r="H1300">
        <v>5.8375258781342698E-2</v>
      </c>
      <c r="I1300">
        <v>4.2090530888968698E-2</v>
      </c>
      <c r="J1300">
        <v>3.7579794406631097E-2</v>
      </c>
      <c r="K1300">
        <v>3.3681975316512701E-2</v>
      </c>
      <c r="L1300">
        <v>688.65027813097402</v>
      </c>
      <c r="M1300">
        <v>14.6922390937561</v>
      </c>
      <c r="N1300">
        <v>46.988611005369201</v>
      </c>
      <c r="O1300">
        <v>46.029060128240602</v>
      </c>
      <c r="P1300">
        <v>-7.8374923924239906E-2</v>
      </c>
      <c r="Q1300">
        <v>1.7949896702754001E-2</v>
      </c>
      <c r="R1300">
        <v>0.98143857370348597</v>
      </c>
      <c r="S1300" t="s">
        <v>6040</v>
      </c>
      <c r="T1300" t="s">
        <v>9478</v>
      </c>
      <c r="U1300" t="s">
        <v>9478</v>
      </c>
      <c r="V1300" t="s">
        <v>9478</v>
      </c>
      <c r="W1300">
        <v>9</v>
      </c>
      <c r="X1300" t="s">
        <v>10778</v>
      </c>
      <c r="Y1300">
        <v>0.27096722850098492</v>
      </c>
      <c r="Z1300" t="str">
        <f>HYPERLINK("Melting_Curves/meltCurve_sp_P49914_MTHFS_HUMAN_.pdf", "Melting_Curves/meltCurve_sp_P49914_MTHFS_HUMAN_.pdf")</f>
        <v>Melting_Curves/meltCurve_sp_P49914_MTHFS_HUMAN_.pdf</v>
      </c>
      <c r="AA1300" t="s">
        <v>15495</v>
      </c>
      <c r="AB1300" t="s">
        <v>20135</v>
      </c>
    </row>
    <row r="1301" spans="1:28" x14ac:dyDescent="0.25">
      <c r="A1301" t="s">
        <v>1305</v>
      </c>
      <c r="B1301">
        <v>0.99904790336628502</v>
      </c>
      <c r="C1301">
        <v>1.0652304211960999</v>
      </c>
      <c r="D1301">
        <v>1.0810342702401099</v>
      </c>
      <c r="E1301">
        <v>0.88315236534442398</v>
      </c>
      <c r="F1301">
        <v>0.67084652915229903</v>
      </c>
      <c r="G1301">
        <v>0.37732844055687997</v>
      </c>
      <c r="H1301">
        <v>0.19911303283575099</v>
      </c>
      <c r="I1301">
        <v>0.101794601333243</v>
      </c>
      <c r="J1301">
        <v>4.7907483587768702E-2</v>
      </c>
      <c r="K1301">
        <v>4.17324645055972E-2</v>
      </c>
      <c r="L1301">
        <v>1051.5601657198799</v>
      </c>
      <c r="M1301">
        <v>19.046134917848399</v>
      </c>
      <c r="N1301">
        <v>55.4058517341821</v>
      </c>
      <c r="O1301">
        <v>54.613368808910103</v>
      </c>
      <c r="P1301">
        <v>-8.4368079926991094E-2</v>
      </c>
      <c r="Q1301">
        <v>3.2361541845987198E-2</v>
      </c>
      <c r="R1301">
        <v>0.99006851261964701</v>
      </c>
      <c r="S1301" t="s">
        <v>6041</v>
      </c>
      <c r="T1301" t="s">
        <v>9478</v>
      </c>
      <c r="U1301" t="s">
        <v>9478</v>
      </c>
      <c r="V1301" t="s">
        <v>9478</v>
      </c>
      <c r="W1301">
        <v>19</v>
      </c>
      <c r="X1301" t="s">
        <v>10779</v>
      </c>
      <c r="Y1301">
        <v>0.53673372899168847</v>
      </c>
      <c r="Z1301" t="str">
        <f>HYPERLINK("Melting_Curves/meltCurve_sp_P49959_MRE11_HUMAN_.pdf", "Melting_Curves/meltCurve_sp_P49959_MRE11_HUMAN_.pdf")</f>
        <v>Melting_Curves/meltCurve_sp_P49959_MRE11_HUMAN_.pdf</v>
      </c>
      <c r="AA1301" t="s">
        <v>15496</v>
      </c>
      <c r="AB1301" t="s">
        <v>20136</v>
      </c>
    </row>
    <row r="1302" spans="1:28" x14ac:dyDescent="0.25">
      <c r="A1302" t="s">
        <v>1306</v>
      </c>
      <c r="B1302">
        <v>0.99904790336628502</v>
      </c>
      <c r="C1302">
        <v>1.0639951470936799</v>
      </c>
      <c r="D1302">
        <v>1.0495102771693501</v>
      </c>
      <c r="E1302">
        <v>1.0427905926891801</v>
      </c>
      <c r="F1302">
        <v>0.98934544934909496</v>
      </c>
      <c r="G1302">
        <v>0.76069903277345596</v>
      </c>
      <c r="H1302">
        <v>0.42554722637030701</v>
      </c>
      <c r="I1302">
        <v>0.22291197543126601</v>
      </c>
      <c r="J1302">
        <v>8.2523672345424307E-2</v>
      </c>
      <c r="K1302">
        <v>4.8563198817129602E-2</v>
      </c>
      <c r="L1302">
        <v>1396.0437329288</v>
      </c>
      <c r="M1302">
        <v>23.222655650983</v>
      </c>
      <c r="N1302">
        <v>60.1798663300209</v>
      </c>
      <c r="O1302">
        <v>59.675122398079402</v>
      </c>
      <c r="P1302">
        <v>-9.6098172472148496E-2</v>
      </c>
      <c r="Q1302">
        <v>1.22458099637661E-2</v>
      </c>
      <c r="R1302">
        <v>0.99317309299259904</v>
      </c>
      <c r="S1302" t="s">
        <v>6042</v>
      </c>
      <c r="T1302" t="s">
        <v>9478</v>
      </c>
      <c r="U1302" t="s">
        <v>9478</v>
      </c>
      <c r="V1302" t="s">
        <v>9478</v>
      </c>
      <c r="W1302">
        <v>22</v>
      </c>
      <c r="X1302" t="s">
        <v>10780</v>
      </c>
      <c r="Y1302">
        <v>0.68217100669878572</v>
      </c>
      <c r="Z1302" t="str">
        <f>HYPERLINK("Melting_Curves/meltCurve_sp_P50053_2_KHK_HUMAN_.pdf", "Melting_Curves/meltCurve_sp_P50053_2_KHK_HUMAN_.pdf")</f>
        <v>Melting_Curves/meltCurve_sp_P50053_2_KHK_HUMAN_.pdf</v>
      </c>
      <c r="AA1302" t="s">
        <v>15497</v>
      </c>
      <c r="AB1302" t="s">
        <v>20137</v>
      </c>
    </row>
    <row r="1303" spans="1:28" x14ac:dyDescent="0.25">
      <c r="A1303" t="s">
        <v>1307</v>
      </c>
      <c r="B1303">
        <v>0.99904790336628502</v>
      </c>
      <c r="C1303">
        <v>0.95282298659612996</v>
      </c>
      <c r="D1303">
        <v>1.00587435028064</v>
      </c>
      <c r="E1303">
        <v>0.99036361342059998</v>
      </c>
      <c r="F1303">
        <v>0.96596162403367802</v>
      </c>
      <c r="G1303">
        <v>0.84244854078942799</v>
      </c>
      <c r="H1303">
        <v>0.641200963989352</v>
      </c>
      <c r="I1303">
        <v>0.45433940336772699</v>
      </c>
      <c r="J1303">
        <v>0.198438720581187</v>
      </c>
      <c r="K1303">
        <v>3.5550873881094597E-2</v>
      </c>
      <c r="L1303">
        <v>1299.2977460040499</v>
      </c>
      <c r="M1303">
        <v>20.714921351414699</v>
      </c>
      <c r="N1303">
        <v>62.722806014208501</v>
      </c>
      <c r="O1303">
        <v>62.147029009658702</v>
      </c>
      <c r="P1303">
        <v>-8.3332645682541701E-2</v>
      </c>
      <c r="Q1303">
        <v>0</v>
      </c>
      <c r="R1303">
        <v>0.98932224124631496</v>
      </c>
      <c r="S1303" t="s">
        <v>6043</v>
      </c>
      <c r="T1303" t="s">
        <v>9478</v>
      </c>
      <c r="U1303" t="s">
        <v>9478</v>
      </c>
      <c r="V1303" t="s">
        <v>9478</v>
      </c>
      <c r="W1303">
        <v>19</v>
      </c>
      <c r="X1303" t="s">
        <v>10781</v>
      </c>
      <c r="Y1303">
        <v>0.75835464861563162</v>
      </c>
      <c r="Z1303" t="str">
        <f>HYPERLINK("Melting_Curves/meltCurve_sp_P50053_KHK_HUMAN_.pdf", "Melting_Curves/meltCurve_sp_P50053_KHK_HUMAN_.pdf")</f>
        <v>Melting_Curves/meltCurve_sp_P50053_KHK_HUMAN_.pdf</v>
      </c>
      <c r="AA1303" t="s">
        <v>15497</v>
      </c>
      <c r="AB1303" t="s">
        <v>20138</v>
      </c>
    </row>
    <row r="1304" spans="1:28" x14ac:dyDescent="0.25">
      <c r="A1304" t="s">
        <v>1308</v>
      </c>
      <c r="B1304">
        <v>0.99904790336628502</v>
      </c>
      <c r="C1304">
        <v>1.04061403050974</v>
      </c>
      <c r="D1304">
        <v>0.97927704993306197</v>
      </c>
      <c r="E1304">
        <v>0.99663705624024201</v>
      </c>
      <c r="F1304">
        <v>0.87514125542782994</v>
      </c>
      <c r="G1304">
        <v>0.190908480942382</v>
      </c>
      <c r="H1304">
        <v>6.7493463882309604E-2</v>
      </c>
      <c r="I1304">
        <v>3.5085550286779198E-2</v>
      </c>
      <c r="J1304">
        <v>2.3196606034703599E-2</v>
      </c>
      <c r="K1304">
        <v>1.7819056633232199E-2</v>
      </c>
      <c r="L1304">
        <v>2647.12273604551</v>
      </c>
      <c r="M1304">
        <v>48.049274672231398</v>
      </c>
      <c r="N1304">
        <v>55.169285127097602</v>
      </c>
      <c r="O1304">
        <v>54.996665771017703</v>
      </c>
      <c r="P1304">
        <v>-0.21129566016821599</v>
      </c>
      <c r="Q1304">
        <v>3.2614395532317098E-2</v>
      </c>
      <c r="R1304">
        <v>0.99854163645011296</v>
      </c>
      <c r="S1304" t="s">
        <v>6044</v>
      </c>
      <c r="T1304" t="s">
        <v>9478</v>
      </c>
      <c r="U1304" t="s">
        <v>9478</v>
      </c>
      <c r="V1304" t="s">
        <v>9478</v>
      </c>
      <c r="W1304">
        <v>11</v>
      </c>
      <c r="X1304" t="s">
        <v>10782</v>
      </c>
      <c r="Y1304">
        <v>0.52181308968228768</v>
      </c>
      <c r="Z1304" t="str">
        <f>HYPERLINK("Melting_Curves/meltCurve_sp_P50135_HNMT_HUMAN_.pdf", "Melting_Curves/meltCurve_sp_P50135_HNMT_HUMAN_.pdf")</f>
        <v>Melting_Curves/meltCurve_sp_P50135_HNMT_HUMAN_.pdf</v>
      </c>
      <c r="AA1304" t="s">
        <v>15498</v>
      </c>
      <c r="AB1304" t="s">
        <v>20139</v>
      </c>
    </row>
    <row r="1305" spans="1:28" x14ac:dyDescent="0.25">
      <c r="A1305" t="s">
        <v>1309</v>
      </c>
      <c r="B1305">
        <v>0.99904790336628502</v>
      </c>
      <c r="C1305">
        <v>1.1761014167416199</v>
      </c>
      <c r="D1305">
        <v>1.0503850430255799</v>
      </c>
      <c r="E1305">
        <v>0.669409741389283</v>
      </c>
      <c r="F1305">
        <v>0.50340243615526004</v>
      </c>
      <c r="G1305">
        <v>0.36258377241053302</v>
      </c>
      <c r="H1305">
        <v>0.20661541380558501</v>
      </c>
      <c r="I1305">
        <v>0.20444657860002599</v>
      </c>
      <c r="J1305">
        <v>0.21877167366348599</v>
      </c>
      <c r="K1305">
        <v>0.139111908400365</v>
      </c>
      <c r="L1305">
        <v>1108.6280579704401</v>
      </c>
      <c r="M1305">
        <v>21.4027947699939</v>
      </c>
      <c r="N1305">
        <v>52.992694829192999</v>
      </c>
      <c r="O1305">
        <v>51.352450905408602</v>
      </c>
      <c r="P1305">
        <v>-8.4259825048777395E-2</v>
      </c>
      <c r="Q1305">
        <v>0.191350314895504</v>
      </c>
      <c r="R1305">
        <v>0.95815678323915598</v>
      </c>
      <c r="S1305" t="s">
        <v>6045</v>
      </c>
      <c r="T1305" t="s">
        <v>9478</v>
      </c>
      <c r="U1305" t="s">
        <v>9478</v>
      </c>
      <c r="V1305" t="s">
        <v>9478</v>
      </c>
      <c r="W1305">
        <v>1</v>
      </c>
      <c r="X1305" t="s">
        <v>10783</v>
      </c>
      <c r="Y1305">
        <v>0.51926467742209803</v>
      </c>
      <c r="Z1305" t="str">
        <f>HYPERLINK("Melting_Curves/meltCurve_sp_P50151_GBG10_HUMAN_.pdf", "Melting_Curves/meltCurve_sp_P50151_GBG10_HUMAN_.pdf")</f>
        <v>Melting_Curves/meltCurve_sp_P50151_GBG10_HUMAN_.pdf</v>
      </c>
      <c r="AA1305" t="s">
        <v>15499</v>
      </c>
      <c r="AB1305" t="s">
        <v>20140</v>
      </c>
    </row>
    <row r="1306" spans="1:28" x14ac:dyDescent="0.25">
      <c r="A1306" t="s">
        <v>1310</v>
      </c>
      <c r="B1306">
        <v>0.99904790336628502</v>
      </c>
      <c r="C1306">
        <v>0.98349202723660101</v>
      </c>
      <c r="D1306">
        <v>0.89442972296438294</v>
      </c>
      <c r="E1306">
        <v>0.61999894848849102</v>
      </c>
      <c r="F1306">
        <v>0.38182997346575498</v>
      </c>
      <c r="G1306">
        <v>0.19151288035434</v>
      </c>
      <c r="H1306">
        <v>8.4958643392955405E-2</v>
      </c>
      <c r="I1306">
        <v>5.0525576906999901E-2</v>
      </c>
      <c r="J1306">
        <v>3.9768470800555199E-2</v>
      </c>
      <c r="K1306">
        <v>2.8732824606462901E-2</v>
      </c>
      <c r="L1306">
        <v>887.88423186956095</v>
      </c>
      <c r="M1306">
        <v>17.271334288538998</v>
      </c>
      <c r="N1306">
        <v>51.550768981297502</v>
      </c>
      <c r="O1306">
        <v>50.733641757272302</v>
      </c>
      <c r="P1306">
        <v>-8.3124761876864905E-2</v>
      </c>
      <c r="Q1306">
        <v>2.3358135102373799E-2</v>
      </c>
      <c r="R1306">
        <v>0.99952631563647698</v>
      </c>
      <c r="S1306" t="s">
        <v>6046</v>
      </c>
      <c r="T1306" t="s">
        <v>9478</v>
      </c>
      <c r="U1306" t="s">
        <v>9478</v>
      </c>
      <c r="V1306" t="s">
        <v>9478</v>
      </c>
      <c r="W1306">
        <v>16</v>
      </c>
      <c r="X1306" t="s">
        <v>10784</v>
      </c>
      <c r="Y1306">
        <v>0.41234441792022691</v>
      </c>
      <c r="Z1306" t="str">
        <f>HYPERLINK("Melting_Curves/meltCurve_sp_P50213_IDH3A_HUMAN_.pdf", "Melting_Curves/meltCurve_sp_P50213_IDH3A_HUMAN_.pdf")</f>
        <v>Melting_Curves/meltCurve_sp_P50213_IDH3A_HUMAN_.pdf</v>
      </c>
      <c r="AA1306" t="s">
        <v>15500</v>
      </c>
      <c r="AB1306" t="s">
        <v>20141</v>
      </c>
    </row>
    <row r="1307" spans="1:28" x14ac:dyDescent="0.25">
      <c r="A1307" t="s">
        <v>1311</v>
      </c>
      <c r="B1307">
        <v>0.99904790336628502</v>
      </c>
      <c r="C1307">
        <v>0.80782611134939197</v>
      </c>
      <c r="D1307">
        <v>0.70501272062196996</v>
      </c>
      <c r="E1307">
        <v>0.554238385977318</v>
      </c>
      <c r="F1307">
        <v>0.367738627048525</v>
      </c>
      <c r="G1307">
        <v>0.197748553079584</v>
      </c>
      <c r="H1307">
        <v>0.141031732366243</v>
      </c>
      <c r="I1307">
        <v>8.4532961358898595E-2</v>
      </c>
      <c r="J1307">
        <v>7.3868213071414404E-2</v>
      </c>
      <c r="K1307">
        <v>5.4140505006126001E-2</v>
      </c>
      <c r="L1307">
        <v>528.16975930937701</v>
      </c>
      <c r="M1307">
        <v>10.5112710929064</v>
      </c>
      <c r="N1307">
        <v>50.247943813561598</v>
      </c>
      <c r="O1307">
        <v>48.531459851074899</v>
      </c>
      <c r="P1307">
        <v>-5.4168444879101503E-2</v>
      </c>
      <c r="Q1307">
        <v>0</v>
      </c>
      <c r="R1307">
        <v>0.99125838078419204</v>
      </c>
      <c r="S1307" t="s">
        <v>6047</v>
      </c>
      <c r="T1307" t="s">
        <v>9478</v>
      </c>
      <c r="U1307" t="s">
        <v>9478</v>
      </c>
      <c r="V1307" t="s">
        <v>9478</v>
      </c>
      <c r="W1307">
        <v>14</v>
      </c>
      <c r="X1307" t="s">
        <v>10785</v>
      </c>
      <c r="Y1307">
        <v>0.38299267666637499</v>
      </c>
      <c r="Z1307" t="str">
        <f>HYPERLINK("Melting_Curves/meltCurve_sp_P50224_ST1A3_HUMAN_.pdf", "Melting_Curves/meltCurve_sp_P50224_ST1A3_HUMAN_.pdf")</f>
        <v>Melting_Curves/meltCurve_sp_P50224_ST1A3_HUMAN_.pdf</v>
      </c>
      <c r="AA1307" t="s">
        <v>15501</v>
      </c>
      <c r="AB1307" t="s">
        <v>20142</v>
      </c>
    </row>
    <row r="1308" spans="1:28" x14ac:dyDescent="0.25">
      <c r="A1308" t="s">
        <v>1312</v>
      </c>
      <c r="B1308">
        <v>0.99904790336628502</v>
      </c>
      <c r="C1308">
        <v>0.94341150387808204</v>
      </c>
      <c r="D1308">
        <v>0.95856580374642697</v>
      </c>
      <c r="E1308">
        <v>0.63464429937426803</v>
      </c>
      <c r="F1308">
        <v>0.171900192497008</v>
      </c>
      <c r="G1308">
        <v>8.2672027196366696E-2</v>
      </c>
      <c r="H1308">
        <v>3.9212003369274197E-2</v>
      </c>
      <c r="I1308">
        <v>2.4857310402119599E-2</v>
      </c>
      <c r="J1308">
        <v>2.0444557823449401E-2</v>
      </c>
      <c r="K1308">
        <v>1.5682461853979101E-2</v>
      </c>
      <c r="L1308">
        <v>1863.07911768028</v>
      </c>
      <c r="M1308">
        <v>36.796918759295401</v>
      </c>
      <c r="N1308">
        <v>50.718940522054702</v>
      </c>
      <c r="O1308">
        <v>50.4825494594647</v>
      </c>
      <c r="P1308">
        <v>-0.176620269819216</v>
      </c>
      <c r="Q1308">
        <v>3.0765002253699499E-2</v>
      </c>
      <c r="R1308">
        <v>0.99685929523050798</v>
      </c>
      <c r="S1308" t="s">
        <v>6048</v>
      </c>
      <c r="T1308" t="s">
        <v>9478</v>
      </c>
      <c r="U1308" t="s">
        <v>9478</v>
      </c>
      <c r="V1308" t="s">
        <v>9478</v>
      </c>
      <c r="W1308">
        <v>16</v>
      </c>
      <c r="X1308" t="s">
        <v>10786</v>
      </c>
      <c r="Y1308">
        <v>0.37825621200340143</v>
      </c>
      <c r="Z1308" t="str">
        <f>HYPERLINK("Melting_Curves/meltCurve_sp_P50225_ST1A1_HUMAN_.pdf", "Melting_Curves/meltCurve_sp_P50225_ST1A1_HUMAN_.pdf")</f>
        <v>Melting_Curves/meltCurve_sp_P50225_ST1A1_HUMAN_.pdf</v>
      </c>
      <c r="AA1308" t="s">
        <v>15502</v>
      </c>
      <c r="AB1308" t="s">
        <v>20143</v>
      </c>
    </row>
    <row r="1309" spans="1:28" x14ac:dyDescent="0.25">
      <c r="A1309" t="s">
        <v>1313</v>
      </c>
      <c r="B1309">
        <v>0.99904790336628502</v>
      </c>
      <c r="C1309">
        <v>0.93306926040986704</v>
      </c>
      <c r="D1309">
        <v>0.90834244365633698</v>
      </c>
      <c r="E1309">
        <v>0.62512297251592597</v>
      </c>
      <c r="F1309">
        <v>0.17607577097513999</v>
      </c>
      <c r="G1309">
        <v>8.9152609736760896E-2</v>
      </c>
      <c r="H1309">
        <v>4.2691024893275802E-2</v>
      </c>
      <c r="I1309">
        <v>2.60405129619618E-2</v>
      </c>
      <c r="J1309">
        <v>2.09570128099003E-2</v>
      </c>
      <c r="K1309">
        <v>1.5355757952921699E-2</v>
      </c>
      <c r="L1309">
        <v>1559.3021490255501</v>
      </c>
      <c r="M1309">
        <v>30.8499312951534</v>
      </c>
      <c r="N1309">
        <v>50.636689989923902</v>
      </c>
      <c r="O1309">
        <v>50.333797024375798</v>
      </c>
      <c r="P1309">
        <v>-0.149054540561076</v>
      </c>
      <c r="Q1309">
        <v>2.72345693748876E-2</v>
      </c>
      <c r="R1309">
        <v>0.99389462110511495</v>
      </c>
      <c r="S1309" t="s">
        <v>6049</v>
      </c>
      <c r="T1309" t="s">
        <v>9478</v>
      </c>
      <c r="U1309" t="s">
        <v>9478</v>
      </c>
      <c r="V1309" t="s">
        <v>9478</v>
      </c>
      <c r="W1309">
        <v>13</v>
      </c>
      <c r="X1309" t="s">
        <v>10787</v>
      </c>
      <c r="Y1309">
        <v>0.37489220529008882</v>
      </c>
      <c r="Z1309" t="str">
        <f>HYPERLINK("Melting_Curves/meltCurve_sp_P50226_ST1A2_HUMAN_.pdf", "Melting_Curves/meltCurve_sp_P50226_ST1A2_HUMAN_.pdf")</f>
        <v>Melting_Curves/meltCurve_sp_P50226_ST1A2_HUMAN_.pdf</v>
      </c>
      <c r="AA1309" t="s">
        <v>15503</v>
      </c>
      <c r="AB1309" t="s">
        <v>20144</v>
      </c>
    </row>
    <row r="1310" spans="1:28" x14ac:dyDescent="0.25">
      <c r="A1310" t="s">
        <v>1314</v>
      </c>
      <c r="B1310">
        <v>0.99904790336628502</v>
      </c>
      <c r="C1310">
        <v>0.97385685195050797</v>
      </c>
      <c r="D1310">
        <v>0.90923408677303297</v>
      </c>
      <c r="E1310">
        <v>0.64297028971649295</v>
      </c>
      <c r="F1310">
        <v>0.38134191257331601</v>
      </c>
      <c r="G1310">
        <v>0.213915280712828</v>
      </c>
      <c r="H1310">
        <v>0.145575172803104</v>
      </c>
      <c r="I1310">
        <v>0.111389569738437</v>
      </c>
      <c r="J1310">
        <v>6.1174035901785002E-2</v>
      </c>
      <c r="K1310">
        <v>4.5409298289782199E-2</v>
      </c>
      <c r="L1310">
        <v>911.77376143384697</v>
      </c>
      <c r="M1310">
        <v>17.7644271899416</v>
      </c>
      <c r="N1310">
        <v>51.729246150389102</v>
      </c>
      <c r="O1310">
        <v>50.688666694666303</v>
      </c>
      <c r="P1310">
        <v>-8.1952142975493497E-2</v>
      </c>
      <c r="Q1310">
        <v>6.4686085337878105E-2</v>
      </c>
      <c r="R1310">
        <v>0.99770785913389903</v>
      </c>
      <c r="S1310" t="s">
        <v>6050</v>
      </c>
      <c r="T1310" t="s">
        <v>9478</v>
      </c>
      <c r="U1310" t="s">
        <v>9478</v>
      </c>
      <c r="V1310" t="s">
        <v>9478</v>
      </c>
      <c r="W1310">
        <v>4</v>
      </c>
      <c r="X1310" t="s">
        <v>10788</v>
      </c>
      <c r="Y1310">
        <v>0.43386133248058939</v>
      </c>
      <c r="Z1310" t="str">
        <f>HYPERLINK("Melting_Curves/meltCurve_sp_P50336_PPOX_HUMAN_.pdf", "Melting_Curves/meltCurve_sp_P50336_PPOX_HUMAN_.pdf")</f>
        <v>Melting_Curves/meltCurve_sp_P50336_PPOX_HUMAN_.pdf</v>
      </c>
      <c r="AA1310" t="s">
        <v>15504</v>
      </c>
      <c r="AB1310" t="s">
        <v>20145</v>
      </c>
    </row>
    <row r="1311" spans="1:28" x14ac:dyDescent="0.25">
      <c r="A1311" t="s">
        <v>1315</v>
      </c>
      <c r="B1311">
        <v>0.99904790336628502</v>
      </c>
      <c r="C1311">
        <v>0.93653863986322805</v>
      </c>
      <c r="D1311">
        <v>0.98366401880334298</v>
      </c>
      <c r="E1311">
        <v>0.96160282047035694</v>
      </c>
      <c r="F1311">
        <v>0.84084904595575305</v>
      </c>
      <c r="G1311">
        <v>0.28848310429387902</v>
      </c>
      <c r="H1311">
        <v>8.7900230045560995E-2</v>
      </c>
      <c r="I1311">
        <v>5.6083043985031299E-2</v>
      </c>
      <c r="J1311">
        <v>3.9575563082647099E-2</v>
      </c>
      <c r="K1311">
        <v>3.2097879461000497E-2</v>
      </c>
      <c r="L1311">
        <v>1949.2859016697801</v>
      </c>
      <c r="M1311">
        <v>35.2228717774167</v>
      </c>
      <c r="N1311">
        <v>55.477713644689302</v>
      </c>
      <c r="O1311">
        <v>55.164005563382801</v>
      </c>
      <c r="P1311">
        <v>-0.15301483183185299</v>
      </c>
      <c r="Q1311">
        <v>4.1431683453276101E-2</v>
      </c>
      <c r="R1311">
        <v>0.99732279981820904</v>
      </c>
      <c r="S1311" t="s">
        <v>6051</v>
      </c>
      <c r="T1311" t="s">
        <v>9478</v>
      </c>
      <c r="U1311" t="s">
        <v>9478</v>
      </c>
      <c r="V1311" t="s">
        <v>9478</v>
      </c>
      <c r="W1311">
        <v>38</v>
      </c>
      <c r="X1311" t="s">
        <v>10789</v>
      </c>
      <c r="Y1311">
        <v>0.53631525356988463</v>
      </c>
      <c r="Z1311" t="str">
        <f>HYPERLINK("Melting_Curves/meltCurve_sp_P50395_GDIB_HUMAN_.pdf", "Melting_Curves/meltCurve_sp_P50395_GDIB_HUMAN_.pdf")</f>
        <v>Melting_Curves/meltCurve_sp_P50395_GDIB_HUMAN_.pdf</v>
      </c>
      <c r="AA1311" t="s">
        <v>15505</v>
      </c>
      <c r="AB1311" t="s">
        <v>20146</v>
      </c>
    </row>
    <row r="1312" spans="1:28" x14ac:dyDescent="0.25">
      <c r="A1312" t="s">
        <v>1316</v>
      </c>
      <c r="B1312">
        <v>0.99904790336628502</v>
      </c>
      <c r="C1312">
        <v>0.93101067010900795</v>
      </c>
      <c r="D1312">
        <v>0.88067413334845401</v>
      </c>
      <c r="E1312">
        <v>0.80717554356849897</v>
      </c>
      <c r="F1312">
        <v>0.81504700630774096</v>
      </c>
      <c r="G1312">
        <v>0.65448126654629502</v>
      </c>
      <c r="H1312">
        <v>0.55390185090659105</v>
      </c>
      <c r="I1312">
        <v>0.55759791879123799</v>
      </c>
      <c r="J1312">
        <v>0.57532791081631496</v>
      </c>
      <c r="K1312">
        <v>0.56360321696869298</v>
      </c>
      <c r="L1312">
        <v>512.10946101773698</v>
      </c>
      <c r="M1312">
        <v>9.6753838315684693</v>
      </c>
      <c r="O1312">
        <v>50.816408442298197</v>
      </c>
      <c r="P1312">
        <v>-2.3960416107101298E-2</v>
      </c>
      <c r="Q1312">
        <v>0.49690432731138401</v>
      </c>
      <c r="R1312">
        <v>0.96103842162638897</v>
      </c>
      <c r="S1312" t="s">
        <v>6052</v>
      </c>
      <c r="T1312" t="s">
        <v>9478</v>
      </c>
      <c r="U1312" t="s">
        <v>9478</v>
      </c>
      <c r="V1312" t="s">
        <v>9478</v>
      </c>
      <c r="W1312">
        <v>9</v>
      </c>
      <c r="X1312" t="s">
        <v>10790</v>
      </c>
      <c r="Y1312">
        <v>0.73159229731600939</v>
      </c>
      <c r="Z1312" t="str">
        <f>HYPERLINK("Melting_Curves/meltCurve_sp_P50402_EMD_HUMAN_.pdf", "Melting_Curves/meltCurve_sp_P50402_EMD_HUMAN_.pdf")</f>
        <v>Melting_Curves/meltCurve_sp_P50402_EMD_HUMAN_.pdf</v>
      </c>
      <c r="AA1312" t="s">
        <v>15506</v>
      </c>
      <c r="AB1312" t="s">
        <v>20147</v>
      </c>
    </row>
    <row r="1313" spans="1:28" x14ac:dyDescent="0.25">
      <c r="A1313" t="s">
        <v>1317</v>
      </c>
      <c r="B1313">
        <v>0.99904790336628502</v>
      </c>
      <c r="C1313">
        <v>0.97462934868550599</v>
      </c>
      <c r="D1313">
        <v>1.0340887759111199</v>
      </c>
      <c r="E1313">
        <v>1.0015504722342901</v>
      </c>
      <c r="F1313">
        <v>0.81157226187986997</v>
      </c>
      <c r="G1313">
        <v>0.46470945601004998</v>
      </c>
      <c r="H1313">
        <v>0.31701600570565203</v>
      </c>
      <c r="I1313">
        <v>0.237224830739936</v>
      </c>
      <c r="J1313">
        <v>0.13913831218146999</v>
      </c>
      <c r="K1313">
        <v>5.2639692898187498E-2</v>
      </c>
      <c r="L1313">
        <v>1079.6942576684801</v>
      </c>
      <c r="M1313">
        <v>19.025539544207</v>
      </c>
      <c r="N1313">
        <v>57.329431066611399</v>
      </c>
      <c r="O1313">
        <v>56.1339411819445</v>
      </c>
      <c r="P1313">
        <v>-7.7321430087791895E-2</v>
      </c>
      <c r="Q1313">
        <v>8.7503806778604004E-2</v>
      </c>
      <c r="R1313">
        <v>0.98708313255111402</v>
      </c>
      <c r="S1313" t="s">
        <v>6053</v>
      </c>
      <c r="T1313" t="s">
        <v>9478</v>
      </c>
      <c r="U1313" t="s">
        <v>9478</v>
      </c>
      <c r="V1313" t="s">
        <v>9478</v>
      </c>
      <c r="W1313">
        <v>40</v>
      </c>
      <c r="X1313" t="s">
        <v>10791</v>
      </c>
      <c r="Y1313">
        <v>0.60900253876220156</v>
      </c>
      <c r="Z1313" t="str">
        <f>HYPERLINK("Melting_Curves/meltCurve_sp_P50440_2_GATM_HUMAN_.pdf", "Melting_Curves/meltCurve_sp_P50440_2_GATM_HUMAN_.pdf")</f>
        <v>Melting_Curves/meltCurve_sp_P50440_2_GATM_HUMAN_.pdf</v>
      </c>
      <c r="AA1313" t="s">
        <v>15507</v>
      </c>
      <c r="AB1313" t="s">
        <v>20148</v>
      </c>
    </row>
    <row r="1314" spans="1:28" x14ac:dyDescent="0.25">
      <c r="A1314" t="s">
        <v>1318</v>
      </c>
      <c r="B1314">
        <v>0.99904790336628502</v>
      </c>
      <c r="C1314">
        <v>0.89082066997140796</v>
      </c>
      <c r="D1314">
        <v>0.913965412716367</v>
      </c>
      <c r="E1314">
        <v>1.0019237302163699</v>
      </c>
      <c r="F1314">
        <v>0.95812454312276396</v>
      </c>
      <c r="G1314">
        <v>0.83354857252451697</v>
      </c>
      <c r="H1314">
        <v>0.58095221706296496</v>
      </c>
      <c r="I1314">
        <v>0.41193859040298098</v>
      </c>
      <c r="J1314">
        <v>0.34697933909788897</v>
      </c>
      <c r="K1314">
        <v>0.27678590386665602</v>
      </c>
      <c r="L1314">
        <v>1260.8993975277499</v>
      </c>
      <c r="M1314">
        <v>20.8898715183497</v>
      </c>
      <c r="N1314">
        <v>62.373910383602301</v>
      </c>
      <c r="O1314">
        <v>59.814407224528203</v>
      </c>
      <c r="P1314">
        <v>-6.5891742381499002E-2</v>
      </c>
      <c r="Q1314">
        <v>0.24534384913607901</v>
      </c>
      <c r="R1314">
        <v>0.97347218267915803</v>
      </c>
      <c r="S1314" t="s">
        <v>6054</v>
      </c>
      <c r="T1314" t="s">
        <v>9478</v>
      </c>
      <c r="U1314" t="s">
        <v>9478</v>
      </c>
      <c r="V1314" t="s">
        <v>9478</v>
      </c>
      <c r="W1314">
        <v>7</v>
      </c>
      <c r="X1314" t="s">
        <v>10792</v>
      </c>
      <c r="Y1314">
        <v>0.76323727522166118</v>
      </c>
      <c r="Z1314" t="str">
        <f>HYPERLINK("Melting_Curves/meltCurve_sp_P50452_SPB8_HUMAN_.pdf", "Melting_Curves/meltCurve_sp_P50452_SPB8_HUMAN_.pdf")</f>
        <v>Melting_Curves/meltCurve_sp_P50452_SPB8_HUMAN_.pdf</v>
      </c>
      <c r="AA1314" t="s">
        <v>15508</v>
      </c>
      <c r="AB1314" t="s">
        <v>20149</v>
      </c>
    </row>
    <row r="1315" spans="1:28" x14ac:dyDescent="0.25">
      <c r="A1315" t="s">
        <v>1319</v>
      </c>
      <c r="B1315">
        <v>0.99904790336628502</v>
      </c>
      <c r="C1315">
        <v>0.97473337437949803</v>
      </c>
      <c r="D1315">
        <v>0.95067590247606604</v>
      </c>
      <c r="E1315">
        <v>0.94848573109842604</v>
      </c>
      <c r="F1315">
        <v>0.89193829749025</v>
      </c>
      <c r="G1315">
        <v>0.58430173850608702</v>
      </c>
      <c r="H1315">
        <v>0.20035841191633699</v>
      </c>
      <c r="I1315">
        <v>0.14893799595958901</v>
      </c>
      <c r="J1315">
        <v>0.101502380848758</v>
      </c>
      <c r="K1315">
        <v>6.8719903689982695E-2</v>
      </c>
      <c r="L1315">
        <v>1466.1294657466799</v>
      </c>
      <c r="M1315">
        <v>25.584655218401601</v>
      </c>
      <c r="N1315">
        <v>57.640165510215198</v>
      </c>
      <c r="O1315">
        <v>56.958374560561303</v>
      </c>
      <c r="P1315">
        <v>-0.10453580976499301</v>
      </c>
      <c r="Q1315">
        <v>6.9111275449920101E-2</v>
      </c>
      <c r="R1315">
        <v>0.99624016726726194</v>
      </c>
      <c r="S1315" t="s">
        <v>6055</v>
      </c>
      <c r="T1315" t="s">
        <v>9478</v>
      </c>
      <c r="U1315" t="s">
        <v>9478</v>
      </c>
      <c r="V1315" t="s">
        <v>9478</v>
      </c>
      <c r="W1315">
        <v>8</v>
      </c>
      <c r="X1315" t="s">
        <v>10793</v>
      </c>
      <c r="Y1315">
        <v>0.61410647618609959</v>
      </c>
      <c r="Z1315" t="str">
        <f>HYPERLINK("Melting_Curves/meltCurve_sp_P50453_SPB9_HUMAN_.pdf", "Melting_Curves/meltCurve_sp_P50453_SPB9_HUMAN_.pdf")</f>
        <v>Melting_Curves/meltCurve_sp_P50453_SPB9_HUMAN_.pdf</v>
      </c>
      <c r="AA1315" t="s">
        <v>15509</v>
      </c>
      <c r="AB1315" t="s">
        <v>20150</v>
      </c>
    </row>
    <row r="1316" spans="1:28" x14ac:dyDescent="0.25">
      <c r="A1316" t="s">
        <v>1320</v>
      </c>
      <c r="B1316">
        <v>0.99904790336628502</v>
      </c>
      <c r="C1316">
        <v>0.84163575334067697</v>
      </c>
      <c r="D1316">
        <v>0.79583383264706797</v>
      </c>
      <c r="E1316">
        <v>0.69186071030695895</v>
      </c>
      <c r="F1316">
        <v>0.52736064223235102</v>
      </c>
      <c r="G1316">
        <v>0.15451348339885801</v>
      </c>
      <c r="H1316">
        <v>7.8184414367665003E-2</v>
      </c>
      <c r="I1316">
        <v>4.8817000163515298E-2</v>
      </c>
      <c r="J1316">
        <v>4.3595878421271203E-2</v>
      </c>
      <c r="K1316">
        <v>1.28957128137107E-2</v>
      </c>
      <c r="L1316">
        <v>733.86696861546397</v>
      </c>
      <c r="M1316">
        <v>14.079047398129299</v>
      </c>
      <c r="N1316">
        <v>52.124741351771199</v>
      </c>
      <c r="O1316">
        <v>51.106961795786802</v>
      </c>
      <c r="P1316">
        <v>-6.8879412234542997E-2</v>
      </c>
      <c r="Q1316">
        <v>0</v>
      </c>
      <c r="R1316">
        <v>0.97454942446422899</v>
      </c>
      <c r="S1316" t="s">
        <v>6056</v>
      </c>
      <c r="T1316" t="s">
        <v>9478</v>
      </c>
      <c r="U1316" t="s">
        <v>9478</v>
      </c>
      <c r="V1316" t="s">
        <v>9478</v>
      </c>
      <c r="W1316">
        <v>5</v>
      </c>
      <c r="X1316" t="s">
        <v>10794</v>
      </c>
      <c r="Y1316">
        <v>0.42860175247016402</v>
      </c>
      <c r="Z1316" t="str">
        <f>HYPERLINK("Melting_Curves/meltCurve_sp_P50454_SERPH_HUMAN_.pdf", "Melting_Curves/meltCurve_sp_P50454_SERPH_HUMAN_.pdf")</f>
        <v>Melting_Curves/meltCurve_sp_P50454_SERPH_HUMAN_.pdf</v>
      </c>
      <c r="AA1316" t="s">
        <v>15510</v>
      </c>
      <c r="AB1316" t="s">
        <v>20151</v>
      </c>
    </row>
    <row r="1317" spans="1:28" x14ac:dyDescent="0.25">
      <c r="A1317" t="s">
        <v>1321</v>
      </c>
      <c r="B1317">
        <v>0.99904790336628502</v>
      </c>
      <c r="C1317">
        <v>1.02391523118326</v>
      </c>
      <c r="D1317">
        <v>1.02139448967669</v>
      </c>
      <c r="E1317">
        <v>1.01827748965472</v>
      </c>
      <c r="F1317">
        <v>0.98104191650835504</v>
      </c>
      <c r="G1317">
        <v>0.71244850813112703</v>
      </c>
      <c r="H1317">
        <v>0.468263799184305</v>
      </c>
      <c r="I1317">
        <v>0.42166082472966299</v>
      </c>
      <c r="J1317">
        <v>0.445850284002828</v>
      </c>
      <c r="K1317">
        <v>0.38891533095930197</v>
      </c>
      <c r="L1317">
        <v>2246.1024197803699</v>
      </c>
      <c r="M1317">
        <v>39.352497647394799</v>
      </c>
      <c r="N1317">
        <v>59.812525387660301</v>
      </c>
      <c r="O1317">
        <v>56.929695518801203</v>
      </c>
      <c r="P1317">
        <v>-0.100687200498772</v>
      </c>
      <c r="Q1317">
        <v>0.41736059028057199</v>
      </c>
      <c r="R1317">
        <v>0.995773737799447</v>
      </c>
      <c r="S1317" t="s">
        <v>6057</v>
      </c>
      <c r="T1317" t="s">
        <v>9478</v>
      </c>
      <c r="U1317" t="s">
        <v>9478</v>
      </c>
      <c r="V1317" t="s">
        <v>9478</v>
      </c>
      <c r="W1317">
        <v>17</v>
      </c>
      <c r="X1317" t="s">
        <v>10795</v>
      </c>
      <c r="Y1317">
        <v>0.75135312044720726</v>
      </c>
      <c r="Z1317" t="str">
        <f>HYPERLINK("Melting_Curves/meltCurve_sp_P50502_F10A1_HUMAN_.pdf", "Melting_Curves/meltCurve_sp_P50502_F10A1_HUMAN_.pdf")</f>
        <v>Melting_Curves/meltCurve_sp_P50502_F10A1_HUMAN_.pdf</v>
      </c>
      <c r="AA1317" t="s">
        <v>15511</v>
      </c>
      <c r="AB1317" t="s">
        <v>20152</v>
      </c>
    </row>
    <row r="1318" spans="1:28" x14ac:dyDescent="0.25">
      <c r="A1318" t="s">
        <v>1322</v>
      </c>
      <c r="B1318">
        <v>0.99904790336628502</v>
      </c>
      <c r="C1318">
        <v>0.95332624710074299</v>
      </c>
      <c r="D1318">
        <v>0.97700791430380796</v>
      </c>
      <c r="E1318">
        <v>0.87110056138310599</v>
      </c>
      <c r="F1318">
        <v>0.56177635289455896</v>
      </c>
      <c r="G1318">
        <v>0.184776686212069</v>
      </c>
      <c r="H1318">
        <v>0.18866473089166</v>
      </c>
      <c r="I1318">
        <v>6.9815708899354803E-2</v>
      </c>
      <c r="J1318">
        <v>6.5442406914838894E-2</v>
      </c>
      <c r="K1318">
        <v>4.41922943632281E-2</v>
      </c>
      <c r="L1318">
        <v>1407.55652015126</v>
      </c>
      <c r="M1318">
        <v>26.441718046205501</v>
      </c>
      <c r="N1318">
        <v>53.557364245081303</v>
      </c>
      <c r="O1318">
        <v>52.930727387158697</v>
      </c>
      <c r="P1318">
        <v>-0.11563390619870299</v>
      </c>
      <c r="Q1318">
        <v>7.4111260546479096E-2</v>
      </c>
      <c r="R1318">
        <v>0.992891885232419</v>
      </c>
      <c r="S1318" t="s">
        <v>6058</v>
      </c>
      <c r="T1318" t="s">
        <v>9478</v>
      </c>
      <c r="U1318" t="s">
        <v>9478</v>
      </c>
      <c r="V1318" t="s">
        <v>9478</v>
      </c>
      <c r="W1318">
        <v>3</v>
      </c>
      <c r="X1318" t="s">
        <v>10796</v>
      </c>
      <c r="Y1318">
        <v>0.49018572401263583</v>
      </c>
      <c r="Z1318" t="str">
        <f>HYPERLINK("Melting_Curves/meltCurve_sp_P50542_2_PEX5_HUMAN_.pdf", "Melting_Curves/meltCurve_sp_P50542_2_PEX5_HUMAN_.pdf")</f>
        <v>Melting_Curves/meltCurve_sp_P50542_2_PEX5_HUMAN_.pdf</v>
      </c>
      <c r="AA1318" t="s">
        <v>15512</v>
      </c>
      <c r="AB1318" t="s">
        <v>20153</v>
      </c>
    </row>
    <row r="1319" spans="1:28" x14ac:dyDescent="0.25">
      <c r="A1319" t="s">
        <v>1323</v>
      </c>
      <c r="B1319">
        <v>0.99904790336628502</v>
      </c>
      <c r="C1319">
        <v>0.97346630684309599</v>
      </c>
      <c r="D1319">
        <v>0.99254105352964295</v>
      </c>
      <c r="E1319">
        <v>0.92239656245145096</v>
      </c>
      <c r="F1319">
        <v>0.83748405374966794</v>
      </c>
      <c r="G1319">
        <v>0.49064397360659601</v>
      </c>
      <c r="H1319">
        <v>0.33133711424065199</v>
      </c>
      <c r="I1319">
        <v>0.328759630069827</v>
      </c>
      <c r="J1319">
        <v>0.31163157238697198</v>
      </c>
      <c r="K1319">
        <v>0.29828555207235502</v>
      </c>
      <c r="L1319">
        <v>1512.7290444599601</v>
      </c>
      <c r="M1319">
        <v>27.4913461145794</v>
      </c>
      <c r="N1319">
        <v>56.933099075894603</v>
      </c>
      <c r="O1319">
        <v>54.736975806751502</v>
      </c>
      <c r="P1319">
        <v>-8.7774393838458406E-2</v>
      </c>
      <c r="Q1319">
        <v>0.300949593008764</v>
      </c>
      <c r="R1319">
        <v>0.99695378196294804</v>
      </c>
      <c r="S1319" t="s">
        <v>6059</v>
      </c>
      <c r="T1319" t="s">
        <v>9478</v>
      </c>
      <c r="U1319" t="s">
        <v>9478</v>
      </c>
      <c r="V1319" t="s">
        <v>9478</v>
      </c>
      <c r="W1319">
        <v>15</v>
      </c>
      <c r="X1319" t="s">
        <v>10797</v>
      </c>
      <c r="Y1319">
        <v>0.65652777266159312</v>
      </c>
      <c r="Z1319" t="str">
        <f>HYPERLINK("Melting_Curves/meltCurve_sp_P50552_VASP_HUMAN_.pdf", "Melting_Curves/meltCurve_sp_P50552_VASP_HUMAN_.pdf")</f>
        <v>Melting_Curves/meltCurve_sp_P50552_VASP_HUMAN_.pdf</v>
      </c>
      <c r="AA1319" t="s">
        <v>15513</v>
      </c>
      <c r="AB1319" t="s">
        <v>20154</v>
      </c>
    </row>
    <row r="1320" spans="1:28" x14ac:dyDescent="0.25">
      <c r="A1320" t="s">
        <v>1324</v>
      </c>
      <c r="B1320">
        <v>0.99904790336628502</v>
      </c>
      <c r="C1320">
        <v>0.94598484049423404</v>
      </c>
      <c r="D1320">
        <v>0.94958070287146101</v>
      </c>
      <c r="E1320">
        <v>0.60124169037965702</v>
      </c>
      <c r="F1320">
        <v>0.193920232715459</v>
      </c>
      <c r="G1320">
        <v>0.11517479517552399</v>
      </c>
      <c r="H1320">
        <v>6.9514178546237093E-2</v>
      </c>
      <c r="I1320">
        <v>5.5809800680603698E-2</v>
      </c>
      <c r="J1320">
        <v>4.5028910008824703E-2</v>
      </c>
      <c r="K1320">
        <v>3.5350450965724103E-2</v>
      </c>
      <c r="L1320">
        <v>1640.3015305374799</v>
      </c>
      <c r="M1320">
        <v>32.5419743446515</v>
      </c>
      <c r="N1320">
        <v>50.5905736202659</v>
      </c>
      <c r="O1320">
        <v>50.2165222325062</v>
      </c>
      <c r="P1320">
        <v>-0.15292787093188201</v>
      </c>
      <c r="Q1320">
        <v>5.60538047635167E-2</v>
      </c>
      <c r="R1320">
        <v>0.99665852302758495</v>
      </c>
      <c r="S1320" t="s">
        <v>6060</v>
      </c>
      <c r="T1320" t="s">
        <v>9478</v>
      </c>
      <c r="U1320" t="s">
        <v>9478</v>
      </c>
      <c r="V1320" t="s">
        <v>9478</v>
      </c>
      <c r="W1320">
        <v>22</v>
      </c>
      <c r="X1320" t="s">
        <v>10798</v>
      </c>
      <c r="Y1320">
        <v>0.38845654759213361</v>
      </c>
      <c r="Z1320" t="str">
        <f>HYPERLINK("Melting_Curves/meltCurve_sp_P50570_DYN2_HUMAN_.pdf", "Melting_Curves/meltCurve_sp_P50570_DYN2_HUMAN_.pdf")</f>
        <v>Melting_Curves/meltCurve_sp_P50570_DYN2_HUMAN_.pdf</v>
      </c>
      <c r="AA1320" t="s">
        <v>15514</v>
      </c>
      <c r="AB1320" t="s">
        <v>20155</v>
      </c>
    </row>
    <row r="1321" spans="1:28" x14ac:dyDescent="0.25">
      <c r="A1321" t="s">
        <v>1325</v>
      </c>
      <c r="B1321">
        <v>0.99904790336628502</v>
      </c>
      <c r="C1321">
        <v>0.98803963576603704</v>
      </c>
      <c r="D1321">
        <v>0.98030341374979801</v>
      </c>
      <c r="E1321">
        <v>0.869545094003212</v>
      </c>
      <c r="F1321">
        <v>0.835197073803982</v>
      </c>
      <c r="G1321">
        <v>0.63062977617849503</v>
      </c>
      <c r="H1321">
        <v>0.50197614971682902</v>
      </c>
      <c r="I1321">
        <v>0.36664085908185601</v>
      </c>
      <c r="J1321">
        <v>0.229157310608955</v>
      </c>
      <c r="K1321">
        <v>0.125740805899341</v>
      </c>
      <c r="L1321">
        <v>680.04278512781696</v>
      </c>
      <c r="M1321">
        <v>11.291713096468101</v>
      </c>
      <c r="N1321">
        <v>60.2249436929811</v>
      </c>
      <c r="O1321">
        <v>58.428763478116899</v>
      </c>
      <c r="P1321">
        <v>-4.8328745756516897E-2</v>
      </c>
      <c r="Q1321">
        <v>0</v>
      </c>
      <c r="R1321">
        <v>0.99304842575145902</v>
      </c>
      <c r="S1321" t="s">
        <v>6061</v>
      </c>
      <c r="T1321" t="s">
        <v>9478</v>
      </c>
      <c r="U1321" t="s">
        <v>9478</v>
      </c>
      <c r="V1321" t="s">
        <v>9478</v>
      </c>
      <c r="W1321">
        <v>13</v>
      </c>
      <c r="X1321" t="s">
        <v>10799</v>
      </c>
      <c r="Y1321">
        <v>0.67320034373083459</v>
      </c>
      <c r="Z1321" t="str">
        <f>HYPERLINK("Melting_Curves/meltCurve_sp_P50579_AMPM2_HUMAN_.pdf", "Melting_Curves/meltCurve_sp_P50579_AMPM2_HUMAN_.pdf")</f>
        <v>Melting_Curves/meltCurve_sp_P50579_AMPM2_HUMAN_.pdf</v>
      </c>
      <c r="AA1321" t="s">
        <v>15515</v>
      </c>
      <c r="AB1321" t="s">
        <v>20156</v>
      </c>
    </row>
    <row r="1322" spans="1:28" x14ac:dyDescent="0.25">
      <c r="A1322" t="s">
        <v>1326</v>
      </c>
      <c r="B1322">
        <v>0.99904790336628502</v>
      </c>
      <c r="C1322">
        <v>0.897962691803186</v>
      </c>
      <c r="D1322">
        <v>0.82102711793640404</v>
      </c>
      <c r="E1322">
        <v>0.60826650791840198</v>
      </c>
      <c r="F1322">
        <v>0.26903672850295501</v>
      </c>
      <c r="G1322">
        <v>0.22016913487950199</v>
      </c>
      <c r="H1322">
        <v>0.13195698611496601</v>
      </c>
      <c r="I1322">
        <v>0.109017683126385</v>
      </c>
      <c r="J1322">
        <v>0.113741291468051</v>
      </c>
      <c r="K1322">
        <v>0.14476353023586799</v>
      </c>
      <c r="L1322">
        <v>879.06066942565201</v>
      </c>
      <c r="M1322">
        <v>17.633903737298599</v>
      </c>
      <c r="N1322">
        <v>50.547000944666202</v>
      </c>
      <c r="O1322">
        <v>49.222757654048699</v>
      </c>
      <c r="P1322">
        <v>-7.9907369902801603E-2</v>
      </c>
      <c r="Q1322">
        <v>0.10784345049394201</v>
      </c>
      <c r="R1322">
        <v>0.98766119494683602</v>
      </c>
      <c r="S1322" t="s">
        <v>6062</v>
      </c>
      <c r="T1322" t="s">
        <v>9478</v>
      </c>
      <c r="U1322" t="s">
        <v>9478</v>
      </c>
      <c r="V1322" t="s">
        <v>9478</v>
      </c>
      <c r="W1322">
        <v>4</v>
      </c>
      <c r="X1322" t="s">
        <v>10800</v>
      </c>
      <c r="Y1322">
        <v>0.41664011836265108</v>
      </c>
      <c r="Z1322" t="str">
        <f>HYPERLINK("Melting_Curves/meltCurve_sp_P50583_AP4A_HUMAN_.pdf", "Melting_Curves/meltCurve_sp_P50583_AP4A_HUMAN_.pdf")</f>
        <v>Melting_Curves/meltCurve_sp_P50583_AP4A_HUMAN_.pdf</v>
      </c>
      <c r="AA1322" t="s">
        <v>15516</v>
      </c>
      <c r="AB1322" t="s">
        <v>20157</v>
      </c>
    </row>
    <row r="1323" spans="1:28" x14ac:dyDescent="0.25">
      <c r="A1323" t="s">
        <v>1327</v>
      </c>
      <c r="B1323">
        <v>0.99904790336628502</v>
      </c>
      <c r="C1323">
        <v>1.03796989158862</v>
      </c>
      <c r="D1323">
        <v>0.96647252809138595</v>
      </c>
      <c r="E1323">
        <v>0.69144301640967099</v>
      </c>
      <c r="F1323">
        <v>0.41125713191723801</v>
      </c>
      <c r="G1323">
        <v>0.20456180305455901</v>
      </c>
      <c r="H1323">
        <v>0.12205987445678899</v>
      </c>
      <c r="I1323">
        <v>9.1902996734142303E-2</v>
      </c>
      <c r="J1323">
        <v>8.0623710807366702E-2</v>
      </c>
      <c r="K1323">
        <v>8.4089107011718997E-2</v>
      </c>
      <c r="L1323">
        <v>1156.35395876438</v>
      </c>
      <c r="M1323">
        <v>22.3906982343794</v>
      </c>
      <c r="N1323">
        <v>52.081446173053799</v>
      </c>
      <c r="O1323">
        <v>51.237739789531297</v>
      </c>
      <c r="P1323">
        <v>-9.9894355855301001E-2</v>
      </c>
      <c r="Q1323">
        <v>8.56463146806003E-2</v>
      </c>
      <c r="R1323">
        <v>0.99773276088319995</v>
      </c>
      <c r="S1323" t="s">
        <v>6063</v>
      </c>
      <c r="T1323" t="s">
        <v>9478</v>
      </c>
      <c r="U1323" t="s">
        <v>9478</v>
      </c>
      <c r="V1323" t="s">
        <v>9478</v>
      </c>
      <c r="W1323">
        <v>6</v>
      </c>
      <c r="X1323" t="s">
        <v>10801</v>
      </c>
      <c r="Y1323">
        <v>0.45082305211159979</v>
      </c>
      <c r="Z1323" t="str">
        <f>HYPERLINK("Melting_Curves/meltCurve_sp_P50747_BPL1_HUMAN_.pdf", "Melting_Curves/meltCurve_sp_P50747_BPL1_HUMAN_.pdf")</f>
        <v>Melting_Curves/meltCurve_sp_P50747_BPL1_HUMAN_.pdf</v>
      </c>
      <c r="AA1323" t="s">
        <v>15517</v>
      </c>
      <c r="AB1323" t="s">
        <v>20158</v>
      </c>
    </row>
    <row r="1324" spans="1:28" x14ac:dyDescent="0.25">
      <c r="A1324" t="s">
        <v>1328</v>
      </c>
      <c r="B1324">
        <v>0.99904790336628502</v>
      </c>
      <c r="C1324">
        <v>1.08625691259489</v>
      </c>
      <c r="D1324">
        <v>0.917746278254709</v>
      </c>
      <c r="E1324">
        <v>0.54547592688213598</v>
      </c>
      <c r="F1324">
        <v>0.32098994839174799</v>
      </c>
      <c r="G1324">
        <v>0.14596666236073699</v>
      </c>
      <c r="H1324">
        <v>0.10296566866989899</v>
      </c>
      <c r="I1324">
        <v>5.3470434816131597E-2</v>
      </c>
      <c r="J1324">
        <v>2.6263444924076298E-2</v>
      </c>
      <c r="K1324">
        <v>1.5783149902651498E-2</v>
      </c>
      <c r="L1324">
        <v>1091.10767762552</v>
      </c>
      <c r="M1324">
        <v>21.565956107799298</v>
      </c>
      <c r="N1324">
        <v>50.8129924597486</v>
      </c>
      <c r="O1324">
        <v>50.1649896505835</v>
      </c>
      <c r="P1324">
        <v>-0.102707802333456</v>
      </c>
      <c r="Q1324">
        <v>4.4380628160719603E-2</v>
      </c>
      <c r="R1324">
        <v>0.990219246803967</v>
      </c>
      <c r="S1324" t="s">
        <v>6064</v>
      </c>
      <c r="T1324" t="s">
        <v>9478</v>
      </c>
      <c r="U1324" t="s">
        <v>9478</v>
      </c>
      <c r="V1324" t="s">
        <v>9478</v>
      </c>
      <c r="W1324">
        <v>3</v>
      </c>
      <c r="X1324" t="s">
        <v>10802</v>
      </c>
      <c r="Y1324">
        <v>0.39332941077413092</v>
      </c>
      <c r="Z1324" t="str">
        <f>HYPERLINK("Melting_Curves/meltCurve_sp_P50748_KNTC1_HUMAN_.pdf", "Melting_Curves/meltCurve_sp_P50748_KNTC1_HUMAN_.pdf")</f>
        <v>Melting_Curves/meltCurve_sp_P50748_KNTC1_HUMAN_.pdf</v>
      </c>
      <c r="AA1324" t="s">
        <v>15518</v>
      </c>
      <c r="AB1324" t="s">
        <v>20159</v>
      </c>
    </row>
    <row r="1325" spans="1:28" x14ac:dyDescent="0.25">
      <c r="A1325" t="s">
        <v>1329</v>
      </c>
      <c r="B1325">
        <v>0.99904790336628502</v>
      </c>
      <c r="C1325">
        <v>0.97493853965813704</v>
      </c>
      <c r="D1325">
        <v>0.928758609932402</v>
      </c>
      <c r="E1325">
        <v>0.73411988833575503</v>
      </c>
      <c r="F1325">
        <v>0.57524575064044503</v>
      </c>
      <c r="G1325">
        <v>0.346751422866519</v>
      </c>
      <c r="H1325">
        <v>0.25085160592758099</v>
      </c>
      <c r="I1325">
        <v>0.22908380879853599</v>
      </c>
      <c r="J1325">
        <v>0.17059047512014899</v>
      </c>
      <c r="K1325">
        <v>0.22736781116284499</v>
      </c>
      <c r="L1325">
        <v>865.15287587453201</v>
      </c>
      <c r="M1325">
        <v>16.495493464824801</v>
      </c>
      <c r="N1325">
        <v>53.932113813990703</v>
      </c>
      <c r="O1325">
        <v>51.695200608238402</v>
      </c>
      <c r="P1325">
        <v>-6.5222715857845504E-2</v>
      </c>
      <c r="Q1325">
        <v>0.18245142337589301</v>
      </c>
      <c r="R1325">
        <v>0.997192234720499</v>
      </c>
      <c r="S1325" t="s">
        <v>6065</v>
      </c>
      <c r="T1325" t="s">
        <v>9478</v>
      </c>
      <c r="U1325" t="s">
        <v>9478</v>
      </c>
      <c r="V1325" t="s">
        <v>9478</v>
      </c>
      <c r="W1325">
        <v>3</v>
      </c>
      <c r="X1325" t="s">
        <v>10803</v>
      </c>
      <c r="Y1325">
        <v>0.53723847006431791</v>
      </c>
      <c r="Z1325" t="str">
        <f>HYPERLINK("Melting_Curves/meltCurve_sp_P50750_CDK9_HUMAN_.pdf", "Melting_Curves/meltCurve_sp_P50750_CDK9_HUMAN_.pdf")</f>
        <v>Melting_Curves/meltCurve_sp_P50750_CDK9_HUMAN_.pdf</v>
      </c>
      <c r="AA1325" t="s">
        <v>15519</v>
      </c>
      <c r="AB1325" t="s">
        <v>20160</v>
      </c>
    </row>
    <row r="1326" spans="1:28" x14ac:dyDescent="0.25">
      <c r="A1326" t="s">
        <v>1330</v>
      </c>
      <c r="B1326">
        <v>0.99904790336628502</v>
      </c>
      <c r="C1326">
        <v>1.2527566925429701</v>
      </c>
      <c r="D1326">
        <v>1.3735161869739301</v>
      </c>
      <c r="E1326">
        <v>1.37617285088056</v>
      </c>
      <c r="F1326">
        <v>1.50220033503579</v>
      </c>
      <c r="G1326">
        <v>0.65230175193518203</v>
      </c>
      <c r="H1326">
        <v>0.78400840913343794</v>
      </c>
      <c r="I1326">
        <v>1.05925439500826</v>
      </c>
      <c r="J1326">
        <v>1.00503140190077</v>
      </c>
      <c r="K1326">
        <v>0.83331336466897299</v>
      </c>
      <c r="L1326">
        <v>878.81041121698195</v>
      </c>
      <c r="M1326">
        <v>10.6101958363961</v>
      </c>
      <c r="Q1326">
        <v>0</v>
      </c>
      <c r="R1326">
        <v>-6.3669464963416397E-2</v>
      </c>
      <c r="S1326" t="s">
        <v>6066</v>
      </c>
      <c r="T1326" t="s">
        <v>9478</v>
      </c>
      <c r="U1326" t="s">
        <v>9478</v>
      </c>
      <c r="V1326" t="s">
        <v>9478</v>
      </c>
      <c r="W1326">
        <v>3</v>
      </c>
      <c r="X1326" t="s">
        <v>10804</v>
      </c>
      <c r="Y1326">
        <v>0.97847500464332038</v>
      </c>
      <c r="Z1326" t="str">
        <f>HYPERLINK("Melting_Curves/meltCurve_sp_P50895_BCAM_HUMAN_.pdf", "Melting_Curves/meltCurve_sp_P50895_BCAM_HUMAN_.pdf")</f>
        <v>Melting_Curves/meltCurve_sp_P50895_BCAM_HUMAN_.pdf</v>
      </c>
      <c r="AA1326" t="s">
        <v>15520</v>
      </c>
      <c r="AB1326" t="s">
        <v>20161</v>
      </c>
    </row>
    <row r="1327" spans="1:28" x14ac:dyDescent="0.25">
      <c r="A1327" t="s">
        <v>1331</v>
      </c>
      <c r="B1327">
        <v>0.99904790336628502</v>
      </c>
      <c r="C1327">
        <v>0.80587406166577602</v>
      </c>
      <c r="D1327">
        <v>0.58017294616435</v>
      </c>
      <c r="E1327">
        <v>0.22529946487657601</v>
      </c>
      <c r="F1327">
        <v>6.6559077304166506E-2</v>
      </c>
      <c r="G1327">
        <v>3.4397378492416003E-2</v>
      </c>
      <c r="H1327">
        <v>2.4037041420952001E-2</v>
      </c>
      <c r="I1327">
        <v>1.5955830460398401E-2</v>
      </c>
      <c r="J1327">
        <v>1.1864018238902299E-2</v>
      </c>
      <c r="K1327">
        <v>7.0028097788234897E-3</v>
      </c>
      <c r="L1327">
        <v>901.81982590079201</v>
      </c>
      <c r="M1327">
        <v>19.355945297041099</v>
      </c>
      <c r="N1327">
        <v>46.621405954638199</v>
      </c>
      <c r="O1327">
        <v>46.102599154861998</v>
      </c>
      <c r="P1327">
        <v>-0.104314532159011</v>
      </c>
      <c r="Q1327">
        <v>6.1982844366280498E-3</v>
      </c>
      <c r="R1327">
        <v>0.99692243619695098</v>
      </c>
      <c r="S1327" t="s">
        <v>6067</v>
      </c>
      <c r="T1327" t="s">
        <v>9478</v>
      </c>
      <c r="U1327" t="s">
        <v>9478</v>
      </c>
      <c r="V1327" t="s">
        <v>9478</v>
      </c>
      <c r="W1327">
        <v>3</v>
      </c>
      <c r="X1327" t="s">
        <v>10805</v>
      </c>
      <c r="Y1327">
        <v>0.24049899817903941</v>
      </c>
      <c r="Z1327" t="str">
        <f>HYPERLINK("Melting_Curves/meltCurve_sp_P50897_PPT1_HUMAN_.pdf", "Melting_Curves/meltCurve_sp_P50897_PPT1_HUMAN_.pdf")</f>
        <v>Melting_Curves/meltCurve_sp_P50897_PPT1_HUMAN_.pdf</v>
      </c>
      <c r="AA1327" t="s">
        <v>15521</v>
      </c>
      <c r="AB1327" t="s">
        <v>20162</v>
      </c>
    </row>
    <row r="1328" spans="1:28" x14ac:dyDescent="0.25">
      <c r="A1328" t="s">
        <v>1332</v>
      </c>
      <c r="B1328">
        <v>0.99904790336628502</v>
      </c>
      <c r="C1328">
        <v>1.1241798685265201</v>
      </c>
      <c r="D1328">
        <v>1.10386673912621</v>
      </c>
      <c r="E1328">
        <v>0.97220089325049097</v>
      </c>
      <c r="F1328">
        <v>0.76429932421242397</v>
      </c>
      <c r="G1328">
        <v>0.24989862132627599</v>
      </c>
      <c r="H1328">
        <v>7.3032299575834098E-2</v>
      </c>
      <c r="I1328">
        <v>5.0399022224822801E-2</v>
      </c>
      <c r="J1328">
        <v>3.9520525123980202E-2</v>
      </c>
      <c r="K1328">
        <v>3.3750776630037498E-2</v>
      </c>
      <c r="L1328">
        <v>1843.29057324633</v>
      </c>
      <c r="M1328">
        <v>33.6232393684787</v>
      </c>
      <c r="N1328">
        <v>54.9549983639046</v>
      </c>
      <c r="O1328">
        <v>54.6290873096806</v>
      </c>
      <c r="P1328">
        <v>-0.14785535170890901</v>
      </c>
      <c r="Q1328">
        <v>3.9096816787980201E-2</v>
      </c>
      <c r="R1328">
        <v>0.98760625880031905</v>
      </c>
      <c r="S1328" t="s">
        <v>6068</v>
      </c>
      <c r="T1328" t="s">
        <v>9478</v>
      </c>
      <c r="U1328" t="s">
        <v>9478</v>
      </c>
      <c r="V1328" t="s">
        <v>9478</v>
      </c>
      <c r="W1328">
        <v>26</v>
      </c>
      <c r="X1328" t="s">
        <v>10806</v>
      </c>
      <c r="Y1328">
        <v>0.51895573736053147</v>
      </c>
      <c r="Z1328" t="str">
        <f>HYPERLINK("Melting_Curves/meltCurve_sp_P50991_TCPD_HUMAN_.pdf", "Melting_Curves/meltCurve_sp_P50991_TCPD_HUMAN_.pdf")</f>
        <v>Melting_Curves/meltCurve_sp_P50991_TCPD_HUMAN_.pdf</v>
      </c>
      <c r="AA1328" t="s">
        <v>15522</v>
      </c>
      <c r="AB1328" t="s">
        <v>20163</v>
      </c>
    </row>
    <row r="1329" spans="1:28" x14ac:dyDescent="0.25">
      <c r="A1329" t="s">
        <v>1333</v>
      </c>
      <c r="B1329">
        <v>0.99904790336628502</v>
      </c>
      <c r="C1329">
        <v>0.94059919626091504</v>
      </c>
      <c r="D1329">
        <v>0.97504438322989795</v>
      </c>
      <c r="E1329">
        <v>0.72290439116599303</v>
      </c>
      <c r="F1329">
        <v>0.26866367365923999</v>
      </c>
      <c r="G1329">
        <v>0.12683053681617601</v>
      </c>
      <c r="H1329">
        <v>7.2174624612318702E-2</v>
      </c>
      <c r="I1329">
        <v>6.1860482100570401E-2</v>
      </c>
      <c r="J1329">
        <v>4.9261597339735598E-2</v>
      </c>
      <c r="K1329">
        <v>4.5742951399364899E-2</v>
      </c>
      <c r="L1329">
        <v>1767.44049156649</v>
      </c>
      <c r="M1329">
        <v>34.524737429679199</v>
      </c>
      <c r="N1329">
        <v>51.393151789974098</v>
      </c>
      <c r="O1329">
        <v>51.022612118608102</v>
      </c>
      <c r="P1329">
        <v>-0.158545714783379</v>
      </c>
      <c r="Q1329">
        <v>6.2772175330259999E-2</v>
      </c>
      <c r="R1329">
        <v>0.99657604030217195</v>
      </c>
      <c r="S1329" t="s">
        <v>6069</v>
      </c>
      <c r="T1329" t="s">
        <v>9478</v>
      </c>
      <c r="U1329" t="s">
        <v>9478</v>
      </c>
      <c r="V1329" t="s">
        <v>9478</v>
      </c>
      <c r="W1329">
        <v>9</v>
      </c>
      <c r="X1329" t="s">
        <v>10807</v>
      </c>
      <c r="Y1329">
        <v>0.41692569896048981</v>
      </c>
      <c r="Z1329" t="str">
        <f>HYPERLINK("Melting_Curves/meltCurve_sp_P51003_PAPOA_HUMAN_.pdf", "Melting_Curves/meltCurve_sp_P51003_PAPOA_HUMAN_.pdf")</f>
        <v>Melting_Curves/meltCurve_sp_P51003_PAPOA_HUMAN_.pdf</v>
      </c>
      <c r="AA1329" t="s">
        <v>15523</v>
      </c>
      <c r="AB1329" t="s">
        <v>20164</v>
      </c>
    </row>
    <row r="1330" spans="1:28" x14ac:dyDescent="0.25">
      <c r="A1330" t="s">
        <v>1334</v>
      </c>
      <c r="B1330">
        <v>0.99904790336628502</v>
      </c>
      <c r="C1330">
        <v>1.00316799369662</v>
      </c>
      <c r="D1330">
        <v>0.96142750498969998</v>
      </c>
      <c r="E1330">
        <v>0.77015580781373205</v>
      </c>
      <c r="F1330">
        <v>0.54200748454672698</v>
      </c>
      <c r="G1330">
        <v>0.30510676305167</v>
      </c>
      <c r="H1330">
        <v>0.225859427094659</v>
      </c>
      <c r="I1330">
        <v>0.1955801461328</v>
      </c>
      <c r="J1330">
        <v>0.18548263746594601</v>
      </c>
      <c r="K1330">
        <v>0.153207872580541</v>
      </c>
      <c r="L1330">
        <v>1049.8428313480299</v>
      </c>
      <c r="M1330">
        <v>20.008962842028701</v>
      </c>
      <c r="N1330">
        <v>53.560805742183902</v>
      </c>
      <c r="O1330">
        <v>51.9529980304332</v>
      </c>
      <c r="P1330">
        <v>-8.0157704330812596E-2</v>
      </c>
      <c r="Q1330">
        <v>0.16751386282099801</v>
      </c>
      <c r="R1330">
        <v>0.99929069841872797</v>
      </c>
      <c r="S1330" t="s">
        <v>6070</v>
      </c>
      <c r="T1330" t="s">
        <v>9478</v>
      </c>
      <c r="U1330" t="s">
        <v>9478</v>
      </c>
      <c r="V1330" t="s">
        <v>9478</v>
      </c>
      <c r="W1330">
        <v>9</v>
      </c>
      <c r="X1330" t="s">
        <v>10808</v>
      </c>
      <c r="Y1330">
        <v>0.52499712535025223</v>
      </c>
      <c r="Z1330" t="str">
        <f>HYPERLINK("Melting_Curves/meltCurve_sp_P51116_FXR2_HUMAN_.pdf", "Melting_Curves/meltCurve_sp_P51116_FXR2_HUMAN_.pdf")</f>
        <v>Melting_Curves/meltCurve_sp_P51116_FXR2_HUMAN_.pdf</v>
      </c>
      <c r="AA1330" t="s">
        <v>15524</v>
      </c>
      <c r="AB1330" t="s">
        <v>20165</v>
      </c>
    </row>
    <row r="1331" spans="1:28" x14ac:dyDescent="0.25">
      <c r="A1331" t="s">
        <v>1335</v>
      </c>
      <c r="B1331">
        <v>0.99904790336628502</v>
      </c>
      <c r="C1331">
        <v>1.0354103387462099</v>
      </c>
      <c r="D1331">
        <v>0.99603763909291898</v>
      </c>
      <c r="E1331">
        <v>0.82310531424153899</v>
      </c>
      <c r="F1331">
        <v>0.53500836917935601</v>
      </c>
      <c r="G1331">
        <v>0.162231607434491</v>
      </c>
      <c r="H1331">
        <v>5.98674226786561E-2</v>
      </c>
      <c r="I1331">
        <v>3.6228854000035803E-2</v>
      </c>
      <c r="J1331">
        <v>2.5353311446418801E-2</v>
      </c>
      <c r="K1331">
        <v>1.9169562454124101E-2</v>
      </c>
      <c r="L1331">
        <v>1350.6224658076801</v>
      </c>
      <c r="M1331">
        <v>25.414973152148502</v>
      </c>
      <c r="N1331">
        <v>53.229349553063003</v>
      </c>
      <c r="O1331">
        <v>52.817044430446202</v>
      </c>
      <c r="P1331">
        <v>-0.117863365556363</v>
      </c>
      <c r="Q1331">
        <v>2.02442993222842E-2</v>
      </c>
      <c r="R1331">
        <v>0.99896422794562401</v>
      </c>
      <c r="S1331" t="s">
        <v>6071</v>
      </c>
      <c r="T1331" t="s">
        <v>9478</v>
      </c>
      <c r="U1331" t="s">
        <v>9478</v>
      </c>
      <c r="V1331" t="s">
        <v>9478</v>
      </c>
      <c r="W1331">
        <v>6</v>
      </c>
      <c r="X1331" t="s">
        <v>10809</v>
      </c>
      <c r="Y1331">
        <v>0.45822335894358862</v>
      </c>
      <c r="Z1331" t="str">
        <f>HYPERLINK("Melting_Curves/meltCurve_sp_P51148_RAB5C_HUMAN_.pdf", "Melting_Curves/meltCurve_sp_P51148_RAB5C_HUMAN_.pdf")</f>
        <v>Melting_Curves/meltCurve_sp_P51148_RAB5C_HUMAN_.pdf</v>
      </c>
      <c r="AA1331" t="s">
        <v>15525</v>
      </c>
      <c r="AB1331" t="s">
        <v>20166</v>
      </c>
    </row>
    <row r="1332" spans="1:28" x14ac:dyDescent="0.25">
      <c r="A1332" t="s">
        <v>1336</v>
      </c>
      <c r="B1332">
        <v>0.99904790336628502</v>
      </c>
      <c r="C1332">
        <v>1.0199707227258701</v>
      </c>
      <c r="D1332">
        <v>0.92250881174191501</v>
      </c>
      <c r="E1332">
        <v>0.695304009190015</v>
      </c>
      <c r="F1332">
        <v>0.46486058850057099</v>
      </c>
      <c r="G1332">
        <v>0.22702514364422399</v>
      </c>
      <c r="H1332">
        <v>0.10761674317448799</v>
      </c>
      <c r="I1332">
        <v>7.3082983745416705E-2</v>
      </c>
      <c r="J1332">
        <v>5.0089671886347498E-2</v>
      </c>
      <c r="K1332">
        <v>3.1533299287520501E-2</v>
      </c>
      <c r="L1332">
        <v>910.75871611896798</v>
      </c>
      <c r="M1332">
        <v>17.384715263920899</v>
      </c>
      <c r="N1332">
        <v>52.567851031186599</v>
      </c>
      <c r="O1332">
        <v>51.710027815098599</v>
      </c>
      <c r="P1332">
        <v>-8.1633442929862701E-2</v>
      </c>
      <c r="Q1332">
        <v>2.8795423924293399E-2</v>
      </c>
      <c r="R1332">
        <v>0.99877494672695599</v>
      </c>
      <c r="S1332" t="s">
        <v>6072</v>
      </c>
      <c r="T1332" t="s">
        <v>9478</v>
      </c>
      <c r="U1332" t="s">
        <v>9478</v>
      </c>
      <c r="V1332" t="s">
        <v>9478</v>
      </c>
      <c r="W1332">
        <v>11</v>
      </c>
      <c r="X1332" t="s">
        <v>10810</v>
      </c>
      <c r="Y1332">
        <v>0.4468727353944339</v>
      </c>
      <c r="Z1332" t="str">
        <f>HYPERLINK("Melting_Curves/meltCurve_sp_P51149_RAB7A_HUMAN_.pdf", "Melting_Curves/meltCurve_sp_P51149_RAB7A_HUMAN_.pdf")</f>
        <v>Melting_Curves/meltCurve_sp_P51149_RAB7A_HUMAN_.pdf</v>
      </c>
      <c r="AA1332" t="s">
        <v>15526</v>
      </c>
      <c r="AB1332" t="s">
        <v>20167</v>
      </c>
    </row>
    <row r="1333" spans="1:28" x14ac:dyDescent="0.25">
      <c r="A1333" t="s">
        <v>1337</v>
      </c>
      <c r="B1333">
        <v>0.99904790336628502</v>
      </c>
      <c r="C1333">
        <v>0.87570832401051502</v>
      </c>
      <c r="D1333">
        <v>0.69363340552687203</v>
      </c>
      <c r="E1333">
        <v>0.48704026577586901</v>
      </c>
      <c r="F1333">
        <v>0.32033181814423001</v>
      </c>
      <c r="G1333">
        <v>0.16444528506963699</v>
      </c>
      <c r="H1333">
        <v>9.2714566236603596E-2</v>
      </c>
      <c r="I1333">
        <v>8.0623414147658001E-2</v>
      </c>
      <c r="J1333">
        <v>6.8049770101480903E-2</v>
      </c>
      <c r="K1333">
        <v>4.68361239856648E-2</v>
      </c>
      <c r="L1333">
        <v>636.97511633122303</v>
      </c>
      <c r="M1333">
        <v>12.9176613038957</v>
      </c>
      <c r="N1333">
        <v>49.538079079494302</v>
      </c>
      <c r="O1333">
        <v>48.173507312185897</v>
      </c>
      <c r="P1333">
        <v>-6.5116898197917203E-2</v>
      </c>
      <c r="Q1333">
        <v>2.88203642539188E-2</v>
      </c>
      <c r="R1333">
        <v>0.99685972161483005</v>
      </c>
      <c r="S1333" t="s">
        <v>6073</v>
      </c>
      <c r="T1333" t="s">
        <v>9478</v>
      </c>
      <c r="U1333" t="s">
        <v>9478</v>
      </c>
      <c r="V1333" t="s">
        <v>9478</v>
      </c>
      <c r="W1333">
        <v>7</v>
      </c>
      <c r="X1333" t="s">
        <v>10811</v>
      </c>
      <c r="Y1333">
        <v>0.36116685264757348</v>
      </c>
      <c r="Z1333" t="str">
        <f>HYPERLINK("Melting_Curves/meltCurve_sp_P51153_RAB13_HUMAN_.pdf", "Melting_Curves/meltCurve_sp_P51153_RAB13_HUMAN_.pdf")</f>
        <v>Melting_Curves/meltCurve_sp_P51153_RAB13_HUMAN_.pdf</v>
      </c>
      <c r="AA1333" t="s">
        <v>15527</v>
      </c>
      <c r="AB1333" t="s">
        <v>20168</v>
      </c>
    </row>
    <row r="1334" spans="1:28" x14ac:dyDescent="0.25">
      <c r="A1334" t="s">
        <v>1338</v>
      </c>
      <c r="B1334">
        <v>0.99904790336628502</v>
      </c>
      <c r="C1334">
        <v>0.95078276766786296</v>
      </c>
      <c r="D1334">
        <v>0.91704753256177796</v>
      </c>
      <c r="E1334">
        <v>0.43445724798407298</v>
      </c>
      <c r="F1334">
        <v>0.17644842710478001</v>
      </c>
      <c r="G1334">
        <v>0.107740412874875</v>
      </c>
      <c r="H1334">
        <v>6.8275281262030599E-2</v>
      </c>
      <c r="I1334">
        <v>6.1743398981851501E-2</v>
      </c>
      <c r="J1334">
        <v>5.0411964624173203E-2</v>
      </c>
      <c r="K1334">
        <v>2.9957044118192101E-2</v>
      </c>
      <c r="L1334">
        <v>1412.5539483048799</v>
      </c>
      <c r="M1334">
        <v>28.613792616275799</v>
      </c>
      <c r="N1334">
        <v>49.579384644213398</v>
      </c>
      <c r="O1334">
        <v>49.126941865488099</v>
      </c>
      <c r="P1334">
        <v>-0.137183770967435</v>
      </c>
      <c r="Q1334">
        <v>5.7885345290971002E-2</v>
      </c>
      <c r="R1334">
        <v>0.99762689379881797</v>
      </c>
      <c r="S1334" t="s">
        <v>6074</v>
      </c>
      <c r="T1334" t="s">
        <v>9478</v>
      </c>
      <c r="U1334" t="s">
        <v>9478</v>
      </c>
      <c r="V1334" t="s">
        <v>9478</v>
      </c>
      <c r="W1334">
        <v>2</v>
      </c>
      <c r="X1334" t="s">
        <v>10812</v>
      </c>
      <c r="Y1334">
        <v>0.35837330647660309</v>
      </c>
      <c r="Z1334" t="str">
        <f>HYPERLINK("Melting_Curves/meltCurve_sp_P51178_2_PLCD1_HUMAN_.pdf", "Melting_Curves/meltCurve_sp_P51178_2_PLCD1_HUMAN_.pdf")</f>
        <v>Melting_Curves/meltCurve_sp_P51178_2_PLCD1_HUMAN_.pdf</v>
      </c>
      <c r="AA1334" t="s">
        <v>15528</v>
      </c>
      <c r="AB1334" t="s">
        <v>20169</v>
      </c>
    </row>
    <row r="1335" spans="1:28" x14ac:dyDescent="0.25">
      <c r="A1335" t="s">
        <v>1339</v>
      </c>
      <c r="B1335">
        <v>0.99904790336628502</v>
      </c>
      <c r="C1335">
        <v>1.0599915805667099</v>
      </c>
      <c r="D1335">
        <v>0.98070716377758105</v>
      </c>
      <c r="E1335">
        <v>0.51696026140399198</v>
      </c>
      <c r="F1335">
        <v>0.25862242560538701</v>
      </c>
      <c r="G1335">
        <v>0.27431887688416401</v>
      </c>
      <c r="H1335">
        <v>0.191246856816465</v>
      </c>
      <c r="I1335">
        <v>6.6446546531973294E-2</v>
      </c>
      <c r="J1335">
        <v>6.2989150280161305E-2</v>
      </c>
      <c r="K1335">
        <v>3.6997510522137997E-2</v>
      </c>
      <c r="L1335">
        <v>1389.7921090063201</v>
      </c>
      <c r="M1335">
        <v>27.825552872253301</v>
      </c>
      <c r="N1335">
        <v>50.420833856095598</v>
      </c>
      <c r="O1335">
        <v>49.690777770513698</v>
      </c>
      <c r="P1335">
        <v>-0.123876854509068</v>
      </c>
      <c r="Q1335">
        <v>0.115132314446639</v>
      </c>
      <c r="R1335">
        <v>0.97256439211730605</v>
      </c>
      <c r="S1335" t="s">
        <v>6075</v>
      </c>
      <c r="T1335" t="s">
        <v>9478</v>
      </c>
      <c r="U1335" t="s">
        <v>9478</v>
      </c>
      <c r="V1335" t="s">
        <v>9478</v>
      </c>
      <c r="W1335">
        <v>1</v>
      </c>
      <c r="X1335" t="s">
        <v>10813</v>
      </c>
      <c r="Y1335">
        <v>0.41488137883015541</v>
      </c>
      <c r="Z1335" t="str">
        <f>HYPERLINK("Melting_Curves/meltCurve_sp_P51398_2_RT29_HUMAN_.pdf", "Melting_Curves/meltCurve_sp_P51398_2_RT29_HUMAN_.pdf")</f>
        <v>Melting_Curves/meltCurve_sp_P51398_2_RT29_HUMAN_.pdf</v>
      </c>
      <c r="AA1335" t="s">
        <v>15529</v>
      </c>
      <c r="AB1335" t="s">
        <v>20170</v>
      </c>
    </row>
    <row r="1336" spans="1:28" x14ac:dyDescent="0.25">
      <c r="A1336" t="s">
        <v>1340</v>
      </c>
      <c r="B1336">
        <v>0.99904790336628502</v>
      </c>
      <c r="C1336">
        <v>0.93483382324931097</v>
      </c>
      <c r="D1336">
        <v>0.88998083976682896</v>
      </c>
      <c r="E1336">
        <v>0.86381442941405395</v>
      </c>
      <c r="F1336">
        <v>0.77003387522921496</v>
      </c>
      <c r="G1336">
        <v>0.41267273029055901</v>
      </c>
      <c r="H1336">
        <v>0.126226581737545</v>
      </c>
      <c r="I1336">
        <v>6.5250689610030999E-2</v>
      </c>
      <c r="J1336">
        <v>3.89818727219556E-2</v>
      </c>
      <c r="K1336">
        <v>2.4869759197757701E-2</v>
      </c>
      <c r="L1336">
        <v>1078.4377067932201</v>
      </c>
      <c r="M1336">
        <v>19.3326063637844</v>
      </c>
      <c r="N1336">
        <v>55.7833539453868</v>
      </c>
      <c r="O1336">
        <v>55.1967803773451</v>
      </c>
      <c r="P1336">
        <v>-8.75654608968853E-2</v>
      </c>
      <c r="Q1336">
        <v>0</v>
      </c>
      <c r="R1336">
        <v>0.98908897423595399</v>
      </c>
      <c r="S1336" t="s">
        <v>6076</v>
      </c>
      <c r="T1336" t="s">
        <v>9478</v>
      </c>
      <c r="U1336" t="s">
        <v>9478</v>
      </c>
      <c r="V1336" t="s">
        <v>9478</v>
      </c>
      <c r="W1336">
        <v>6</v>
      </c>
      <c r="X1336" t="s">
        <v>10814</v>
      </c>
      <c r="Y1336">
        <v>0.53971916679828991</v>
      </c>
      <c r="Z1336" t="str">
        <f>HYPERLINK("Melting_Curves/meltCurve_sp_P51452_DUS3_HUMAN_.pdf", "Melting_Curves/meltCurve_sp_P51452_DUS3_HUMAN_.pdf")</f>
        <v>Melting_Curves/meltCurve_sp_P51452_DUS3_HUMAN_.pdf</v>
      </c>
      <c r="AA1336" t="s">
        <v>15530</v>
      </c>
      <c r="AB1336" t="s">
        <v>20171</v>
      </c>
    </row>
    <row r="1337" spans="1:28" x14ac:dyDescent="0.25">
      <c r="A1337" t="s">
        <v>1341</v>
      </c>
      <c r="B1337">
        <v>0.99904790336628502</v>
      </c>
      <c r="C1337">
        <v>1.0418001787309901</v>
      </c>
      <c r="D1337">
        <v>1.0002138361325701</v>
      </c>
      <c r="E1337">
        <v>0.59626893178783802</v>
      </c>
      <c r="F1337">
        <v>0.43266003986051199</v>
      </c>
      <c r="G1337">
        <v>0.269226679073784</v>
      </c>
      <c r="H1337">
        <v>0.201754377676024</v>
      </c>
      <c r="I1337">
        <v>0.145373717895182</v>
      </c>
      <c r="J1337">
        <v>0.16471680845335299</v>
      </c>
      <c r="K1337">
        <v>0.13075247496631201</v>
      </c>
      <c r="L1337">
        <v>1116.45899625731</v>
      </c>
      <c r="M1337">
        <v>21.941331118146799</v>
      </c>
      <c r="N1337">
        <v>51.791964822713801</v>
      </c>
      <c r="O1337">
        <v>50.466799583226603</v>
      </c>
      <c r="P1337">
        <v>-9.1337905443979794E-2</v>
      </c>
      <c r="Q1337">
        <v>0.15968103398959799</v>
      </c>
      <c r="R1337">
        <v>0.98733842320040199</v>
      </c>
      <c r="S1337" t="s">
        <v>6077</v>
      </c>
      <c r="T1337" t="s">
        <v>9478</v>
      </c>
      <c r="U1337" t="s">
        <v>9478</v>
      </c>
      <c r="V1337" t="s">
        <v>9478</v>
      </c>
      <c r="W1337">
        <v>7</v>
      </c>
      <c r="X1337" t="s">
        <v>10815</v>
      </c>
      <c r="Y1337">
        <v>0.47432471706095353</v>
      </c>
      <c r="Z1337" t="str">
        <f>HYPERLINK("Melting_Curves/meltCurve_sp_P51531_2_SMCA2_HUMAN_.pdf", "Melting_Curves/meltCurve_sp_P51531_2_SMCA2_HUMAN_.pdf")</f>
        <v>Melting_Curves/meltCurve_sp_P51531_2_SMCA2_HUMAN_.pdf</v>
      </c>
      <c r="AA1337" t="s">
        <v>15531</v>
      </c>
      <c r="AB1337" t="s">
        <v>20172</v>
      </c>
    </row>
    <row r="1338" spans="1:28" x14ac:dyDescent="0.25">
      <c r="A1338" t="s">
        <v>1342</v>
      </c>
      <c r="B1338">
        <v>0.99904790336628502</v>
      </c>
      <c r="C1338">
        <v>0.84660081872749604</v>
      </c>
      <c r="D1338">
        <v>0.89471955956841098</v>
      </c>
      <c r="E1338">
        <v>0.70558084241479502</v>
      </c>
      <c r="F1338">
        <v>0.68570426820885899</v>
      </c>
      <c r="G1338">
        <v>0.41738466008231401</v>
      </c>
      <c r="H1338">
        <v>0.34567373439634602</v>
      </c>
      <c r="I1338">
        <v>0.33120143549103898</v>
      </c>
      <c r="J1338">
        <v>0.316187068863582</v>
      </c>
      <c r="K1338">
        <v>0.290288283363419</v>
      </c>
      <c r="L1338">
        <v>549.43272156018702</v>
      </c>
      <c r="M1338">
        <v>10.3849481289409</v>
      </c>
      <c r="N1338">
        <v>56.029542435971301</v>
      </c>
      <c r="O1338">
        <v>51.057630197573602</v>
      </c>
      <c r="P1338">
        <v>-3.96932566517696E-2</v>
      </c>
      <c r="Q1338">
        <v>0.21972032464695199</v>
      </c>
      <c r="R1338">
        <v>0.96923515828140805</v>
      </c>
      <c r="S1338" t="s">
        <v>6078</v>
      </c>
      <c r="T1338" t="s">
        <v>9478</v>
      </c>
      <c r="U1338" t="s">
        <v>9478</v>
      </c>
      <c r="V1338" t="s">
        <v>9478</v>
      </c>
      <c r="W1338">
        <v>6</v>
      </c>
      <c r="X1338" t="s">
        <v>10816</v>
      </c>
      <c r="Y1338">
        <v>0.5814454994891225</v>
      </c>
      <c r="Z1338" t="str">
        <f>HYPERLINK("Melting_Curves/meltCurve_sp_P51532_5_SMCA4_HUMAN_.pdf", "Melting_Curves/meltCurve_sp_P51532_5_SMCA4_HUMAN_.pdf")</f>
        <v>Melting_Curves/meltCurve_sp_P51532_5_SMCA4_HUMAN_.pdf</v>
      </c>
      <c r="AA1338" t="s">
        <v>15532</v>
      </c>
      <c r="AB1338" t="s">
        <v>20173</v>
      </c>
    </row>
    <row r="1339" spans="1:28" x14ac:dyDescent="0.25">
      <c r="A1339" t="s">
        <v>1343</v>
      </c>
      <c r="B1339">
        <v>0.99904790336628502</v>
      </c>
      <c r="C1339">
        <v>0.78260045824714397</v>
      </c>
      <c r="D1339">
        <v>0.69492475807115495</v>
      </c>
      <c r="E1339">
        <v>0.60394491266176797</v>
      </c>
      <c r="F1339">
        <v>0.430166836745141</v>
      </c>
      <c r="G1339">
        <v>0.227467810713087</v>
      </c>
      <c r="H1339">
        <v>9.4360529500708695E-2</v>
      </c>
      <c r="I1339">
        <v>4.3799452404038999E-2</v>
      </c>
      <c r="J1339">
        <v>3.0939847561949101E-2</v>
      </c>
      <c r="K1339">
        <v>2.6427101053607401E-2</v>
      </c>
      <c r="L1339">
        <v>550.54126285850498</v>
      </c>
      <c r="M1339">
        <v>10.879091427885401</v>
      </c>
      <c r="N1339">
        <v>50.605444977981897</v>
      </c>
      <c r="O1339">
        <v>48.985637168195701</v>
      </c>
      <c r="P1339">
        <v>-5.5541389753328903E-2</v>
      </c>
      <c r="Q1339">
        <v>0</v>
      </c>
      <c r="R1339">
        <v>0.976241507613406</v>
      </c>
      <c r="S1339" t="s">
        <v>6079</v>
      </c>
      <c r="T1339" t="s">
        <v>9478</v>
      </c>
      <c r="U1339" t="s">
        <v>9478</v>
      </c>
      <c r="V1339" t="s">
        <v>9478</v>
      </c>
      <c r="W1339">
        <v>10</v>
      </c>
      <c r="X1339" t="s">
        <v>10817</v>
      </c>
      <c r="Y1339">
        <v>0.3919509342457097</v>
      </c>
      <c r="Z1339" t="str">
        <f>HYPERLINK("Melting_Curves/meltCurve_sp_P51553_IDH3G_HUMAN_.pdf", "Melting_Curves/meltCurve_sp_P51553_IDH3G_HUMAN_.pdf")</f>
        <v>Melting_Curves/meltCurve_sp_P51553_IDH3G_HUMAN_.pdf</v>
      </c>
      <c r="AA1339" t="s">
        <v>15533</v>
      </c>
      <c r="AB1339" t="s">
        <v>20174</v>
      </c>
    </row>
    <row r="1340" spans="1:28" x14ac:dyDescent="0.25">
      <c r="A1340" t="s">
        <v>1344</v>
      </c>
      <c r="B1340">
        <v>0.99904790336628502</v>
      </c>
      <c r="C1340">
        <v>0.82261798988198997</v>
      </c>
      <c r="D1340">
        <v>0.65543188138455699</v>
      </c>
      <c r="E1340">
        <v>0.35707620636446702</v>
      </c>
      <c r="F1340">
        <v>0.13257835340918001</v>
      </c>
      <c r="G1340">
        <v>8.1655384233394801E-2</v>
      </c>
      <c r="H1340">
        <v>5.1040834669882199E-2</v>
      </c>
      <c r="I1340">
        <v>3.3799824075434401E-2</v>
      </c>
      <c r="J1340">
        <v>2.8978386605214099E-2</v>
      </c>
      <c r="K1340">
        <v>2.40503993575799E-2</v>
      </c>
      <c r="L1340">
        <v>783.81209018793402</v>
      </c>
      <c r="M1340">
        <v>16.4568507755809</v>
      </c>
      <c r="N1340">
        <v>47.7335428171275</v>
      </c>
      <c r="O1340">
        <v>46.941712328472001</v>
      </c>
      <c r="P1340">
        <v>-8.6089942515724993E-2</v>
      </c>
      <c r="Q1340">
        <v>1.78132536039604E-2</v>
      </c>
      <c r="R1340">
        <v>0.99524868216350904</v>
      </c>
      <c r="S1340" t="s">
        <v>6080</v>
      </c>
      <c r="T1340" t="s">
        <v>9478</v>
      </c>
      <c r="U1340" t="s">
        <v>9478</v>
      </c>
      <c r="V1340" t="s">
        <v>9478</v>
      </c>
      <c r="W1340">
        <v>27</v>
      </c>
      <c r="X1340" t="s">
        <v>10818</v>
      </c>
      <c r="Y1340">
        <v>0.28886008867877089</v>
      </c>
      <c r="Z1340" t="str">
        <f>HYPERLINK("Melting_Curves/meltCurve_sp_P51570_GALK1_HUMAN_.pdf", "Melting_Curves/meltCurve_sp_P51570_GALK1_HUMAN_.pdf")</f>
        <v>Melting_Curves/meltCurve_sp_P51570_GALK1_HUMAN_.pdf</v>
      </c>
      <c r="AA1340" t="s">
        <v>15534</v>
      </c>
      <c r="AB1340" t="s">
        <v>20175</v>
      </c>
    </row>
    <row r="1341" spans="1:28" x14ac:dyDescent="0.25">
      <c r="A1341" t="s">
        <v>1345</v>
      </c>
      <c r="B1341">
        <v>0.99904790336628502</v>
      </c>
      <c r="C1341">
        <v>0.93247034790333505</v>
      </c>
      <c r="D1341">
        <v>0.78383492120559695</v>
      </c>
      <c r="E1341">
        <v>0.45707172965241799</v>
      </c>
      <c r="F1341">
        <v>0.28425889096387902</v>
      </c>
      <c r="G1341">
        <v>0.159782019000211</v>
      </c>
      <c r="H1341">
        <v>9.6405549189047104E-2</v>
      </c>
      <c r="I1341">
        <v>8.6446681983501597E-2</v>
      </c>
      <c r="J1341">
        <v>8.0826811359834994E-2</v>
      </c>
      <c r="K1341">
        <v>8.30976504410426E-2</v>
      </c>
      <c r="L1341">
        <v>855.89645670691505</v>
      </c>
      <c r="M1341">
        <v>17.425194786743202</v>
      </c>
      <c r="N1341">
        <v>49.575985631560101</v>
      </c>
      <c r="O1341">
        <v>48.485127010958401</v>
      </c>
      <c r="P1341">
        <v>-8.3177644695561506E-2</v>
      </c>
      <c r="Q1341">
        <v>7.4293954735660001E-2</v>
      </c>
      <c r="R1341">
        <v>0.99952464457953705</v>
      </c>
      <c r="S1341" t="s">
        <v>6081</v>
      </c>
      <c r="T1341" t="s">
        <v>9478</v>
      </c>
      <c r="U1341" t="s">
        <v>9478</v>
      </c>
      <c r="V1341" t="s">
        <v>9478</v>
      </c>
      <c r="W1341">
        <v>4</v>
      </c>
      <c r="X1341" t="s">
        <v>10819</v>
      </c>
      <c r="Y1341">
        <v>0.37271512642471688</v>
      </c>
      <c r="Z1341" t="str">
        <f>HYPERLINK("Melting_Curves/meltCurve_sp_P51572_BAP31_HUMAN_.pdf", "Melting_Curves/meltCurve_sp_P51572_BAP31_HUMAN_.pdf")</f>
        <v>Melting_Curves/meltCurve_sp_P51572_BAP31_HUMAN_.pdf</v>
      </c>
      <c r="AA1341" t="s">
        <v>15535</v>
      </c>
      <c r="AB1341" t="s">
        <v>20176</v>
      </c>
    </row>
    <row r="1342" spans="1:28" x14ac:dyDescent="0.25">
      <c r="A1342" t="s">
        <v>1346</v>
      </c>
      <c r="B1342">
        <v>0.99904790336628502</v>
      </c>
      <c r="C1342">
        <v>0.981607955345289</v>
      </c>
      <c r="D1342">
        <v>0.96416407498578405</v>
      </c>
      <c r="E1342">
        <v>0.93583427403914099</v>
      </c>
      <c r="F1342">
        <v>0.89093052341776702</v>
      </c>
      <c r="G1342">
        <v>0.47739929875974502</v>
      </c>
      <c r="H1342">
        <v>0.11264707364274699</v>
      </c>
      <c r="I1342">
        <v>4.9544688851051802E-2</v>
      </c>
      <c r="J1342">
        <v>3.8087781070666599E-2</v>
      </c>
      <c r="K1342">
        <v>2.99759784090224E-2</v>
      </c>
      <c r="L1342">
        <v>1665.48707023014</v>
      </c>
      <c r="M1342">
        <v>29.387148057313301</v>
      </c>
      <c r="N1342">
        <v>56.753680226648903</v>
      </c>
      <c r="O1342">
        <v>56.413503777297301</v>
      </c>
      <c r="P1342">
        <v>-0.127599956769923</v>
      </c>
      <c r="Q1342">
        <v>2.0209832269779002E-2</v>
      </c>
      <c r="R1342">
        <v>0.99776649754039304</v>
      </c>
      <c r="S1342" t="s">
        <v>6082</v>
      </c>
      <c r="T1342" t="s">
        <v>9478</v>
      </c>
      <c r="U1342" t="s">
        <v>9478</v>
      </c>
      <c r="V1342" t="s">
        <v>9478</v>
      </c>
      <c r="W1342">
        <v>10</v>
      </c>
      <c r="X1342" t="s">
        <v>10820</v>
      </c>
      <c r="Y1342">
        <v>0.57155427456688779</v>
      </c>
      <c r="Z1342" t="str">
        <f>HYPERLINK("Melting_Curves/meltCurve_sp_P51580_TPMT_HUMAN_.pdf", "Melting_Curves/meltCurve_sp_P51580_TPMT_HUMAN_.pdf")</f>
        <v>Melting_Curves/meltCurve_sp_P51580_TPMT_HUMAN_.pdf</v>
      </c>
      <c r="AA1342" t="s">
        <v>15536</v>
      </c>
      <c r="AB1342" t="s">
        <v>20177</v>
      </c>
    </row>
    <row r="1343" spans="1:28" x14ac:dyDescent="0.25">
      <c r="A1343" t="s">
        <v>1347</v>
      </c>
      <c r="B1343">
        <v>0.99904790336628502</v>
      </c>
      <c r="C1343">
        <v>1.0971248827401301</v>
      </c>
      <c r="D1343">
        <v>0.80623600602759404</v>
      </c>
      <c r="E1343">
        <v>0.474976143075794</v>
      </c>
      <c r="F1343">
        <v>0.231556593183532</v>
      </c>
      <c r="G1343">
        <v>7.7782636955174497E-2</v>
      </c>
      <c r="H1343">
        <v>4.5537476865037202E-2</v>
      </c>
      <c r="I1343">
        <v>3.2526318948892102E-2</v>
      </c>
      <c r="J1343">
        <v>4.1277435786838797E-2</v>
      </c>
      <c r="K1343">
        <v>3.3501870668226602E-2</v>
      </c>
      <c r="L1343">
        <v>1105.60035214104</v>
      </c>
      <c r="M1343">
        <v>22.2977699584651</v>
      </c>
      <c r="N1343">
        <v>49.734879147219502</v>
      </c>
      <c r="O1343">
        <v>49.189794090521701</v>
      </c>
      <c r="P1343">
        <v>-0.10960828242274601</v>
      </c>
      <c r="Q1343">
        <v>3.2818748810277701E-2</v>
      </c>
      <c r="R1343">
        <v>0.98883551617032095</v>
      </c>
      <c r="S1343" t="s">
        <v>6083</v>
      </c>
      <c r="T1343" t="s">
        <v>9478</v>
      </c>
      <c r="U1343" t="s">
        <v>9478</v>
      </c>
      <c r="V1343" t="s">
        <v>9478</v>
      </c>
      <c r="W1343">
        <v>1</v>
      </c>
      <c r="X1343" t="s">
        <v>10821</v>
      </c>
      <c r="Y1343">
        <v>0.35263558025891362</v>
      </c>
      <c r="Z1343" t="str">
        <f>HYPERLINK("Melting_Curves/meltCurve_sp_P51589_CP2J2_HUMAN_.pdf", "Melting_Curves/meltCurve_sp_P51589_CP2J2_HUMAN_.pdf")</f>
        <v>Melting_Curves/meltCurve_sp_P51589_CP2J2_HUMAN_.pdf</v>
      </c>
      <c r="AA1343" t="s">
        <v>15537</v>
      </c>
      <c r="AB1343" t="s">
        <v>20178</v>
      </c>
    </row>
    <row r="1344" spans="1:28" x14ac:dyDescent="0.25">
      <c r="A1344" t="s">
        <v>1348</v>
      </c>
      <c r="B1344">
        <v>0.99904790336628502</v>
      </c>
      <c r="C1344">
        <v>1.05839109891232</v>
      </c>
      <c r="D1344">
        <v>1.0070522159897599</v>
      </c>
      <c r="E1344">
        <v>1.0984517185957301</v>
      </c>
      <c r="F1344">
        <v>1.13691737546605</v>
      </c>
      <c r="G1344">
        <v>0.96924391977041302</v>
      </c>
      <c r="H1344">
        <v>0.89502130889631903</v>
      </c>
      <c r="I1344">
        <v>0.90428888951750297</v>
      </c>
      <c r="J1344">
        <v>0.942066922088729</v>
      </c>
      <c r="K1344">
        <v>0.96831116402821305</v>
      </c>
      <c r="L1344">
        <v>14267.5178460308</v>
      </c>
      <c r="M1344">
        <v>250</v>
      </c>
      <c r="O1344">
        <v>57.066419269610499</v>
      </c>
      <c r="P1344">
        <v>-7.9488438221759203E-2</v>
      </c>
      <c r="Q1344">
        <v>0.92742207139189303</v>
      </c>
      <c r="R1344">
        <v>0.38316175454476298</v>
      </c>
      <c r="S1344" t="s">
        <v>6084</v>
      </c>
      <c r="T1344" t="s">
        <v>9478</v>
      </c>
      <c r="U1344" t="s">
        <v>9478</v>
      </c>
      <c r="V1344" t="s">
        <v>9478</v>
      </c>
      <c r="W1344">
        <v>6</v>
      </c>
      <c r="X1344" t="s">
        <v>10822</v>
      </c>
      <c r="Y1344">
        <v>0.96872635466088086</v>
      </c>
      <c r="Z1344" t="str">
        <f>HYPERLINK("Melting_Curves/meltCurve_sp_P51608_MECP2_HUMAN_.pdf", "Melting_Curves/meltCurve_sp_P51608_MECP2_HUMAN_.pdf")</f>
        <v>Melting_Curves/meltCurve_sp_P51608_MECP2_HUMAN_.pdf</v>
      </c>
      <c r="AA1344" t="s">
        <v>15538</v>
      </c>
      <c r="AB1344" t="s">
        <v>20179</v>
      </c>
    </row>
    <row r="1345" spans="1:28" x14ac:dyDescent="0.25">
      <c r="A1345" t="s">
        <v>1349</v>
      </c>
      <c r="B1345">
        <v>0.99904790336628502</v>
      </c>
      <c r="C1345">
        <v>0.98230362368400004</v>
      </c>
      <c r="D1345">
        <v>0.96903338892220803</v>
      </c>
      <c r="E1345">
        <v>0.89525325663272703</v>
      </c>
      <c r="F1345">
        <v>0.81832448555949799</v>
      </c>
      <c r="G1345">
        <v>0.56125860095479796</v>
      </c>
      <c r="H1345">
        <v>0.28191971116926701</v>
      </c>
      <c r="I1345">
        <v>0.201641145327908</v>
      </c>
      <c r="J1345">
        <v>0.186644643882835</v>
      </c>
      <c r="K1345">
        <v>0.16377906515308499</v>
      </c>
      <c r="L1345">
        <v>1051.6441228773999</v>
      </c>
      <c r="M1345">
        <v>18.575450716073899</v>
      </c>
      <c r="N1345">
        <v>57.523516780598001</v>
      </c>
      <c r="O1345">
        <v>55.970822141374697</v>
      </c>
      <c r="P1345">
        <v>-7.2421930565705797E-2</v>
      </c>
      <c r="Q1345">
        <v>0.127162316040666</v>
      </c>
      <c r="R1345">
        <v>0.99669096061662099</v>
      </c>
      <c r="S1345" t="s">
        <v>6085</v>
      </c>
      <c r="T1345" t="s">
        <v>9478</v>
      </c>
      <c r="U1345" t="s">
        <v>9478</v>
      </c>
      <c r="V1345" t="s">
        <v>9478</v>
      </c>
      <c r="W1345">
        <v>26</v>
      </c>
      <c r="X1345" t="s">
        <v>10823</v>
      </c>
      <c r="Y1345">
        <v>0.62249115551800827</v>
      </c>
      <c r="Z1345" t="str">
        <f>HYPERLINK("Melting_Curves/meltCurve_sp_P51610_4_HCFC1_HUMAN_.pdf", "Melting_Curves/meltCurve_sp_P51610_4_HCFC1_HUMAN_.pdf")</f>
        <v>Melting_Curves/meltCurve_sp_P51610_4_HCFC1_HUMAN_.pdf</v>
      </c>
      <c r="AA1345" t="s">
        <v>15539</v>
      </c>
      <c r="AB1345" t="s">
        <v>20180</v>
      </c>
    </row>
    <row r="1346" spans="1:28" x14ac:dyDescent="0.25">
      <c r="A1346" t="s">
        <v>1350</v>
      </c>
      <c r="B1346">
        <v>0.99904790336628502</v>
      </c>
      <c r="C1346">
        <v>1.06287945040628</v>
      </c>
      <c r="D1346">
        <v>1.1456023653055301</v>
      </c>
      <c r="E1346">
        <v>1.0457650117433599</v>
      </c>
      <c r="F1346">
        <v>0.61093173916462395</v>
      </c>
      <c r="G1346">
        <v>0.21497827689083199</v>
      </c>
      <c r="H1346">
        <v>0.11250297817837</v>
      </c>
      <c r="I1346">
        <v>7.6650282261858702E-2</v>
      </c>
      <c r="J1346">
        <v>6.1768149407156199E-2</v>
      </c>
      <c r="K1346">
        <v>4.2046489281163203E-2</v>
      </c>
      <c r="L1346">
        <v>2102.3264342796501</v>
      </c>
      <c r="M1346">
        <v>39.173043041301803</v>
      </c>
      <c r="N1346">
        <v>53.906399941775703</v>
      </c>
      <c r="O1346">
        <v>53.528392785538998</v>
      </c>
      <c r="P1346">
        <v>-0.168385275326809</v>
      </c>
      <c r="Q1346">
        <v>7.96351487315793E-2</v>
      </c>
      <c r="R1346">
        <v>0.980326354598964</v>
      </c>
      <c r="S1346" t="s">
        <v>6086</v>
      </c>
      <c r="T1346" t="s">
        <v>9478</v>
      </c>
      <c r="U1346" t="s">
        <v>9478</v>
      </c>
      <c r="V1346" t="s">
        <v>9478</v>
      </c>
      <c r="W1346">
        <v>27</v>
      </c>
      <c r="X1346" t="s">
        <v>10824</v>
      </c>
      <c r="Y1346">
        <v>0.50249772429177186</v>
      </c>
      <c r="Z1346" t="str">
        <f>HYPERLINK("Melting_Curves/meltCurve_sp_P51649_SSDH_HUMAN_.pdf", "Melting_Curves/meltCurve_sp_P51649_SSDH_HUMAN_.pdf")</f>
        <v>Melting_Curves/meltCurve_sp_P51649_SSDH_HUMAN_.pdf</v>
      </c>
      <c r="AA1346" t="s">
        <v>15540</v>
      </c>
      <c r="AB1346" t="s">
        <v>20181</v>
      </c>
    </row>
    <row r="1347" spans="1:28" x14ac:dyDescent="0.25">
      <c r="A1347" t="s">
        <v>1351</v>
      </c>
      <c r="B1347">
        <v>0.99904790336628502</v>
      </c>
      <c r="C1347">
        <v>1.06708062490366</v>
      </c>
      <c r="D1347">
        <v>1.0835597703211199</v>
      </c>
      <c r="E1347">
        <v>0.74981854836358797</v>
      </c>
      <c r="F1347">
        <v>0.30315001172155498</v>
      </c>
      <c r="G1347">
        <v>0.12891140277233101</v>
      </c>
      <c r="H1347">
        <v>6.4671433837291098E-2</v>
      </c>
      <c r="I1347">
        <v>4.4859482756066202E-2</v>
      </c>
      <c r="J1347">
        <v>3.4296953235892901E-2</v>
      </c>
      <c r="K1347">
        <v>2.98791346013851E-2</v>
      </c>
      <c r="L1347">
        <v>1832.6943995284</v>
      </c>
      <c r="M1347">
        <v>35.574559240680898</v>
      </c>
      <c r="N1347">
        <v>51.677479632098397</v>
      </c>
      <c r="O1347">
        <v>51.355019556222302</v>
      </c>
      <c r="P1347">
        <v>-0.16412255584969801</v>
      </c>
      <c r="Q1347">
        <v>5.2301499804442597E-2</v>
      </c>
      <c r="R1347">
        <v>0.99121124551809103</v>
      </c>
      <c r="S1347" t="s">
        <v>6087</v>
      </c>
      <c r="T1347" t="s">
        <v>9478</v>
      </c>
      <c r="U1347" t="s">
        <v>9478</v>
      </c>
      <c r="V1347" t="s">
        <v>9478</v>
      </c>
      <c r="W1347">
        <v>45</v>
      </c>
      <c r="X1347" t="s">
        <v>10825</v>
      </c>
      <c r="Y1347">
        <v>0.42039405559288162</v>
      </c>
      <c r="Z1347" t="str">
        <f>HYPERLINK("Melting_Curves/meltCurve_sp_P51659_DHB4_HUMAN_.pdf", "Melting_Curves/meltCurve_sp_P51659_DHB4_HUMAN_.pdf")</f>
        <v>Melting_Curves/meltCurve_sp_P51659_DHB4_HUMAN_.pdf</v>
      </c>
      <c r="AA1347" t="s">
        <v>15541</v>
      </c>
      <c r="AB1347" t="s">
        <v>20182</v>
      </c>
    </row>
    <row r="1348" spans="1:28" x14ac:dyDescent="0.25">
      <c r="A1348" t="s">
        <v>1352</v>
      </c>
      <c r="B1348">
        <v>0.99904790336628502</v>
      </c>
      <c r="C1348">
        <v>0.99674323185880398</v>
      </c>
      <c r="D1348">
        <v>0.86101979212435498</v>
      </c>
      <c r="E1348">
        <v>0.61866410185029397</v>
      </c>
      <c r="F1348">
        <v>0.347133399256841</v>
      </c>
      <c r="G1348">
        <v>0.16748912443050801</v>
      </c>
      <c r="H1348">
        <v>0.114405709715152</v>
      </c>
      <c r="I1348">
        <v>9.7583820818193903E-2</v>
      </c>
      <c r="J1348">
        <v>0.104265188352657</v>
      </c>
      <c r="K1348">
        <v>7.5068952119813001E-2</v>
      </c>
      <c r="L1348">
        <v>989.64049304083198</v>
      </c>
      <c r="M1348">
        <v>19.530505121062198</v>
      </c>
      <c r="N1348">
        <v>51.134510688232197</v>
      </c>
      <c r="O1348">
        <v>50.149259758378399</v>
      </c>
      <c r="P1348">
        <v>-8.9474815979501895E-2</v>
      </c>
      <c r="Q1348">
        <v>8.1040591054880498E-2</v>
      </c>
      <c r="R1348">
        <v>0.99848301707174902</v>
      </c>
      <c r="S1348" t="s">
        <v>6088</v>
      </c>
      <c r="T1348" t="s">
        <v>9478</v>
      </c>
      <c r="U1348" t="s">
        <v>9478</v>
      </c>
      <c r="V1348" t="s">
        <v>9478</v>
      </c>
      <c r="W1348">
        <v>6</v>
      </c>
      <c r="X1348" t="s">
        <v>10826</v>
      </c>
      <c r="Y1348">
        <v>0.42128414909319861</v>
      </c>
      <c r="Z1348" t="str">
        <f>HYPERLINK("Melting_Curves/meltCurve_sp_P51665_PSD7_HUMAN_.pdf", "Melting_Curves/meltCurve_sp_P51665_PSD7_HUMAN_.pdf")</f>
        <v>Melting_Curves/meltCurve_sp_P51665_PSD7_HUMAN_.pdf</v>
      </c>
      <c r="AA1348" t="s">
        <v>15542</v>
      </c>
      <c r="AB1348" t="s">
        <v>20183</v>
      </c>
    </row>
    <row r="1349" spans="1:28" x14ac:dyDescent="0.25">
      <c r="A1349" t="s">
        <v>1353</v>
      </c>
      <c r="B1349">
        <v>0.99904790336628502</v>
      </c>
      <c r="C1349">
        <v>0.92248338549636799</v>
      </c>
      <c r="D1349">
        <v>0.92180410223693898</v>
      </c>
      <c r="E1349">
        <v>0.92583443255808495</v>
      </c>
      <c r="F1349">
        <v>0.87390803115674098</v>
      </c>
      <c r="G1349">
        <v>0.74364732585224103</v>
      </c>
      <c r="H1349">
        <v>0.48777299143364999</v>
      </c>
      <c r="I1349">
        <v>0.21994635021346501</v>
      </c>
      <c r="J1349">
        <v>7.3584904984220101E-2</v>
      </c>
      <c r="K1349">
        <v>6.6095523595558606E-2</v>
      </c>
      <c r="L1349">
        <v>1121.0671063417001</v>
      </c>
      <c r="M1349">
        <v>18.650588053320998</v>
      </c>
      <c r="N1349">
        <v>60.108941968350599</v>
      </c>
      <c r="O1349">
        <v>59.430697942423301</v>
      </c>
      <c r="P1349">
        <v>-7.8458574914407997E-2</v>
      </c>
      <c r="Q1349">
        <v>0</v>
      </c>
      <c r="R1349">
        <v>0.98173626262888003</v>
      </c>
      <c r="S1349" t="s">
        <v>6089</v>
      </c>
      <c r="T1349" t="s">
        <v>9478</v>
      </c>
      <c r="U1349" t="s">
        <v>9478</v>
      </c>
      <c r="V1349" t="s">
        <v>9478</v>
      </c>
      <c r="W1349">
        <v>21</v>
      </c>
      <c r="X1349" t="s">
        <v>10827</v>
      </c>
      <c r="Y1349">
        <v>0.6783820453955357</v>
      </c>
      <c r="Z1349" t="str">
        <f>HYPERLINK("Melting_Curves/meltCurve_sp_P51687_SUOX_HUMAN_.pdf", "Melting_Curves/meltCurve_sp_P51687_SUOX_HUMAN_.pdf")</f>
        <v>Melting_Curves/meltCurve_sp_P51687_SUOX_HUMAN_.pdf</v>
      </c>
      <c r="AA1349" t="s">
        <v>15543</v>
      </c>
      <c r="AB1349" t="s">
        <v>20184</v>
      </c>
    </row>
    <row r="1350" spans="1:28" x14ac:dyDescent="0.25">
      <c r="A1350" t="s">
        <v>1354</v>
      </c>
      <c r="B1350">
        <v>0.99904790336628502</v>
      </c>
      <c r="C1350">
        <v>1.0558305381061099</v>
      </c>
      <c r="D1350">
        <v>1.10146489501897</v>
      </c>
      <c r="E1350">
        <v>1.0641983731253799</v>
      </c>
      <c r="F1350">
        <v>0.85621222079845605</v>
      </c>
      <c r="G1350">
        <v>0.71769429015334096</v>
      </c>
      <c r="H1350">
        <v>0.461311950812761</v>
      </c>
      <c r="I1350">
        <v>0.384615669494215</v>
      </c>
      <c r="J1350">
        <v>0.31032036111498401</v>
      </c>
      <c r="K1350">
        <v>0.270437019386429</v>
      </c>
      <c r="L1350">
        <v>1185.04920787785</v>
      </c>
      <c r="M1350">
        <v>20.3578639974866</v>
      </c>
      <c r="N1350">
        <v>60.406875807077199</v>
      </c>
      <c r="O1350">
        <v>57.657931267094803</v>
      </c>
      <c r="P1350">
        <v>-6.5192782093312501E-2</v>
      </c>
      <c r="Q1350">
        <v>0.26146144049216302</v>
      </c>
      <c r="R1350">
        <v>0.97446742540605502</v>
      </c>
      <c r="S1350" t="s">
        <v>6090</v>
      </c>
      <c r="T1350" t="s">
        <v>9478</v>
      </c>
      <c r="U1350" t="s">
        <v>9478</v>
      </c>
      <c r="V1350" t="s">
        <v>9478</v>
      </c>
      <c r="W1350">
        <v>4</v>
      </c>
      <c r="X1350" t="s">
        <v>10828</v>
      </c>
      <c r="Y1350">
        <v>0.71783850601844112</v>
      </c>
      <c r="Z1350" t="str">
        <f>HYPERLINK("Melting_Curves/meltCurve_sp_P51688_SPHM_HUMAN_.pdf", "Melting_Curves/meltCurve_sp_P51688_SPHM_HUMAN_.pdf")</f>
        <v>Melting_Curves/meltCurve_sp_P51688_SPHM_HUMAN_.pdf</v>
      </c>
      <c r="AA1350" t="s">
        <v>15544</v>
      </c>
      <c r="AB1350" t="s">
        <v>20185</v>
      </c>
    </row>
    <row r="1351" spans="1:28" x14ac:dyDescent="0.25">
      <c r="A1351" t="s">
        <v>1355</v>
      </c>
      <c r="B1351">
        <v>0.99904790336628502</v>
      </c>
      <c r="C1351">
        <v>1.0059025145796501</v>
      </c>
      <c r="D1351">
        <v>0.97838950797325697</v>
      </c>
      <c r="E1351">
        <v>0.57023289557626999</v>
      </c>
      <c r="F1351">
        <v>0.18582027272673299</v>
      </c>
      <c r="G1351">
        <v>0.117953497114738</v>
      </c>
      <c r="H1351">
        <v>6.9830386700214006E-2</v>
      </c>
      <c r="I1351">
        <v>5.9140737667222797E-2</v>
      </c>
      <c r="J1351">
        <v>4.8723904181081697E-2</v>
      </c>
      <c r="K1351">
        <v>3.92123820078496E-2</v>
      </c>
      <c r="L1351">
        <v>1782.3840959643701</v>
      </c>
      <c r="M1351">
        <v>35.4729562736266</v>
      </c>
      <c r="N1351">
        <v>50.436668274911497</v>
      </c>
      <c r="O1351">
        <v>50.087397979237998</v>
      </c>
      <c r="P1351">
        <v>-0.16596117654780401</v>
      </c>
      <c r="Q1351">
        <v>6.2662206602543E-2</v>
      </c>
      <c r="R1351">
        <v>0.99836559272129699</v>
      </c>
      <c r="S1351" t="s">
        <v>6091</v>
      </c>
      <c r="T1351" t="s">
        <v>9478</v>
      </c>
      <c r="U1351" t="s">
        <v>9478</v>
      </c>
      <c r="V1351" t="s">
        <v>9478</v>
      </c>
      <c r="W1351">
        <v>13</v>
      </c>
      <c r="X1351" t="s">
        <v>10829</v>
      </c>
      <c r="Y1351">
        <v>0.38695265791759542</v>
      </c>
      <c r="Z1351" t="str">
        <f>HYPERLINK("Melting_Curves/meltCurve_sp_P51692_STA5B_HUMAN_.pdf", "Melting_Curves/meltCurve_sp_P51692_STA5B_HUMAN_.pdf")</f>
        <v>Melting_Curves/meltCurve_sp_P51692_STA5B_HUMAN_.pdf</v>
      </c>
      <c r="AA1351" t="s">
        <v>15545</v>
      </c>
      <c r="AB1351" t="s">
        <v>20186</v>
      </c>
    </row>
    <row r="1352" spans="1:28" x14ac:dyDescent="0.25">
      <c r="A1352" t="s">
        <v>1356</v>
      </c>
      <c r="B1352">
        <v>0.99904790336628502</v>
      </c>
      <c r="C1352">
        <v>1.0326684834567299</v>
      </c>
      <c r="D1352">
        <v>1.13483234686343</v>
      </c>
      <c r="E1352">
        <v>0.76784954093959601</v>
      </c>
      <c r="F1352">
        <v>0.546895271422841</v>
      </c>
      <c r="G1352">
        <v>0.29156955719992</v>
      </c>
      <c r="H1352">
        <v>0.24837346422637699</v>
      </c>
      <c r="I1352">
        <v>5.8851248699629398E-2</v>
      </c>
      <c r="J1352">
        <v>6.18499039500423E-2</v>
      </c>
      <c r="K1352">
        <v>6.7860887127541805E-2</v>
      </c>
      <c r="L1352">
        <v>1051.2794967925499</v>
      </c>
      <c r="M1352">
        <v>19.670854888898699</v>
      </c>
      <c r="N1352">
        <v>53.870996145044103</v>
      </c>
      <c r="O1352">
        <v>52.900388196644897</v>
      </c>
      <c r="P1352">
        <v>-8.6247471419586705E-2</v>
      </c>
      <c r="Q1352">
        <v>7.2258977257474502E-2</v>
      </c>
      <c r="R1352">
        <v>0.97197203890258299</v>
      </c>
      <c r="S1352" t="s">
        <v>6092</v>
      </c>
      <c r="T1352" t="s">
        <v>9478</v>
      </c>
      <c r="U1352" t="s">
        <v>9478</v>
      </c>
      <c r="V1352" t="s">
        <v>9478</v>
      </c>
      <c r="W1352">
        <v>1</v>
      </c>
      <c r="X1352" t="s">
        <v>10830</v>
      </c>
      <c r="Y1352">
        <v>0.50105361198307774</v>
      </c>
      <c r="Z1352" t="str">
        <f>HYPERLINK("Melting_Curves/meltCurve_sp_P51808_DYLT3_HUMAN_.pdf", "Melting_Curves/meltCurve_sp_P51808_DYLT3_HUMAN_.pdf")</f>
        <v>Melting_Curves/meltCurve_sp_P51808_DYLT3_HUMAN_.pdf</v>
      </c>
      <c r="AA1352" t="s">
        <v>15546</v>
      </c>
      <c r="AB1352" t="s">
        <v>20187</v>
      </c>
    </row>
    <row r="1353" spans="1:28" x14ac:dyDescent="0.25">
      <c r="A1353" t="s">
        <v>1357</v>
      </c>
      <c r="B1353">
        <v>0.99904790336628502</v>
      </c>
      <c r="C1353">
        <v>0.92685928845310195</v>
      </c>
      <c r="D1353">
        <v>0.74884021579291904</v>
      </c>
      <c r="E1353">
        <v>0.383201790899309</v>
      </c>
      <c r="F1353">
        <v>0.22697855977446199</v>
      </c>
      <c r="G1353">
        <v>0.12836023808161001</v>
      </c>
      <c r="H1353">
        <v>7.2547806843624996E-2</v>
      </c>
      <c r="I1353">
        <v>5.3465334255828501E-2</v>
      </c>
      <c r="J1353">
        <v>4.0585149307410001E-2</v>
      </c>
      <c r="K1353">
        <v>3.5547643544972002E-2</v>
      </c>
      <c r="L1353">
        <v>878.479100071625</v>
      </c>
      <c r="M1353">
        <v>18.083447126577401</v>
      </c>
      <c r="N1353">
        <v>48.827426355112998</v>
      </c>
      <c r="O1353">
        <v>47.9967996573642</v>
      </c>
      <c r="P1353">
        <v>-9.0058491532314697E-2</v>
      </c>
      <c r="Q1353">
        <v>4.3919019802109903E-2</v>
      </c>
      <c r="R1353">
        <v>0.99878177598128604</v>
      </c>
      <c r="S1353" t="s">
        <v>6093</v>
      </c>
      <c r="T1353" t="s">
        <v>9478</v>
      </c>
      <c r="U1353" t="s">
        <v>9478</v>
      </c>
      <c r="V1353" t="s">
        <v>9478</v>
      </c>
      <c r="W1353">
        <v>25</v>
      </c>
      <c r="X1353" t="s">
        <v>10831</v>
      </c>
      <c r="Y1353">
        <v>0.33388127457532141</v>
      </c>
      <c r="Z1353" t="str">
        <f>HYPERLINK("Melting_Curves/meltCurve_sp_P51857_AK1D1_HUMAN_.pdf", "Melting_Curves/meltCurve_sp_P51857_AK1D1_HUMAN_.pdf")</f>
        <v>Melting_Curves/meltCurve_sp_P51857_AK1D1_HUMAN_.pdf</v>
      </c>
      <c r="AA1353" t="s">
        <v>15547</v>
      </c>
      <c r="AB1353" t="s">
        <v>20188</v>
      </c>
    </row>
    <row r="1354" spans="1:28" x14ac:dyDescent="0.25">
      <c r="A1354" t="s">
        <v>1358</v>
      </c>
      <c r="B1354">
        <v>0.99904790336628502</v>
      </c>
      <c r="C1354">
        <v>0.99972700567193795</v>
      </c>
      <c r="D1354">
        <v>0.99054138204349895</v>
      </c>
      <c r="E1354">
        <v>0.99024387960413196</v>
      </c>
      <c r="F1354">
        <v>0.98582476507127004</v>
      </c>
      <c r="G1354">
        <v>0.86415638793098803</v>
      </c>
      <c r="H1354">
        <v>0.81113633594414203</v>
      </c>
      <c r="I1354">
        <v>0.78399354820482103</v>
      </c>
      <c r="J1354">
        <v>0.84367907405439502</v>
      </c>
      <c r="K1354">
        <v>0.89873264679290799</v>
      </c>
      <c r="L1354">
        <v>3103.1037106520698</v>
      </c>
      <c r="M1354">
        <v>56.054597357074996</v>
      </c>
      <c r="O1354">
        <v>55.288280923396101</v>
      </c>
      <c r="P1354">
        <v>-4.1928992932306702E-2</v>
      </c>
      <c r="Q1354">
        <v>0.83457697593500901</v>
      </c>
      <c r="R1354">
        <v>0.88652876677098502</v>
      </c>
      <c r="S1354" t="s">
        <v>6094</v>
      </c>
      <c r="T1354" t="s">
        <v>9478</v>
      </c>
      <c r="U1354" t="s">
        <v>9478</v>
      </c>
      <c r="V1354" t="s">
        <v>9478</v>
      </c>
      <c r="W1354">
        <v>26</v>
      </c>
      <c r="X1354" t="s">
        <v>10832</v>
      </c>
      <c r="Y1354">
        <v>0.91958676521727112</v>
      </c>
      <c r="Z1354" t="str">
        <f>HYPERLINK("Melting_Curves/meltCurve_sp_P51858_HDGF_HUMAN_.pdf", "Melting_Curves/meltCurve_sp_P51858_HDGF_HUMAN_.pdf")</f>
        <v>Melting_Curves/meltCurve_sp_P51858_HDGF_HUMAN_.pdf</v>
      </c>
      <c r="AA1354" t="s">
        <v>15548</v>
      </c>
      <c r="AB1354" t="s">
        <v>20189</v>
      </c>
    </row>
    <row r="1355" spans="1:28" x14ac:dyDescent="0.25">
      <c r="A1355" t="s">
        <v>1359</v>
      </c>
      <c r="B1355">
        <v>0.99904790336628502</v>
      </c>
      <c r="C1355">
        <v>1.0840531103006901</v>
      </c>
      <c r="D1355">
        <v>1.0527629375766701</v>
      </c>
      <c r="E1355">
        <v>0.96248798199260399</v>
      </c>
      <c r="F1355">
        <v>0.88913376592927895</v>
      </c>
      <c r="G1355">
        <v>0.62439059303935196</v>
      </c>
      <c r="H1355">
        <v>0.489188319449123</v>
      </c>
      <c r="I1355">
        <v>0.46670191036187098</v>
      </c>
      <c r="J1355">
        <v>0.49405308041905999</v>
      </c>
      <c r="K1355">
        <v>0.48690484759485397</v>
      </c>
      <c r="L1355">
        <v>1729.4979109987801</v>
      </c>
      <c r="M1355">
        <v>31.3283428097429</v>
      </c>
      <c r="N1355">
        <v>61.1807811261897</v>
      </c>
      <c r="O1355">
        <v>54.982058653027899</v>
      </c>
      <c r="P1355">
        <v>-7.4564967828924605E-2</v>
      </c>
      <c r="Q1355">
        <v>0.47654901805260902</v>
      </c>
      <c r="R1355">
        <v>0.98232461036850405</v>
      </c>
      <c r="S1355" t="s">
        <v>6095</v>
      </c>
      <c r="T1355" t="s">
        <v>9478</v>
      </c>
      <c r="U1355" t="s">
        <v>9478</v>
      </c>
      <c r="V1355" t="s">
        <v>9478</v>
      </c>
      <c r="W1355">
        <v>2</v>
      </c>
      <c r="X1355" t="s">
        <v>10833</v>
      </c>
      <c r="Y1355">
        <v>0.7450647478373057</v>
      </c>
      <c r="Z1355" t="str">
        <f>HYPERLINK("Melting_Curves/meltCurve_sp_P51884_LUM_HUMAN_.pdf", "Melting_Curves/meltCurve_sp_P51884_LUM_HUMAN_.pdf")</f>
        <v>Melting_Curves/meltCurve_sp_P51884_LUM_HUMAN_.pdf</v>
      </c>
      <c r="AA1355" t="s">
        <v>15549</v>
      </c>
      <c r="AB1355" t="s">
        <v>20190</v>
      </c>
    </row>
    <row r="1356" spans="1:28" x14ac:dyDescent="0.25">
      <c r="A1356" t="s">
        <v>1360</v>
      </c>
      <c r="B1356">
        <v>0.99904790336628502</v>
      </c>
      <c r="C1356">
        <v>1.08364378239787</v>
      </c>
      <c r="D1356">
        <v>1.05956698875958</v>
      </c>
      <c r="E1356">
        <v>0.88127595873265796</v>
      </c>
      <c r="F1356">
        <v>0.79081394369055502</v>
      </c>
      <c r="G1356">
        <v>0.49867677047181103</v>
      </c>
      <c r="H1356">
        <v>0.44419573285977598</v>
      </c>
      <c r="I1356">
        <v>0.40338403115229299</v>
      </c>
      <c r="J1356">
        <v>0.424471488612714</v>
      </c>
      <c r="K1356">
        <v>0.30644853881599798</v>
      </c>
      <c r="L1356">
        <v>1235.87743402361</v>
      </c>
      <c r="M1356">
        <v>22.793114536245898</v>
      </c>
      <c r="N1356">
        <v>57.646309020575899</v>
      </c>
      <c r="O1356">
        <v>53.809331350058898</v>
      </c>
      <c r="P1356">
        <v>-6.6619823917262302E-2</v>
      </c>
      <c r="Q1356">
        <v>0.370915478882196</v>
      </c>
      <c r="R1356">
        <v>0.97269342565331895</v>
      </c>
      <c r="S1356" t="s">
        <v>6096</v>
      </c>
      <c r="T1356" t="s">
        <v>9478</v>
      </c>
      <c r="U1356" t="s">
        <v>9478</v>
      </c>
      <c r="V1356" t="s">
        <v>9478</v>
      </c>
      <c r="W1356">
        <v>4</v>
      </c>
      <c r="X1356" t="s">
        <v>10834</v>
      </c>
      <c r="Y1356">
        <v>0.67599138541796788</v>
      </c>
      <c r="Z1356" t="str">
        <f>HYPERLINK("Melting_Curves/meltCurve_sp_P51948_2_MAT1_HUMAN_.pdf", "Melting_Curves/meltCurve_sp_P51948_2_MAT1_HUMAN_.pdf")</f>
        <v>Melting_Curves/meltCurve_sp_P51948_2_MAT1_HUMAN_.pdf</v>
      </c>
      <c r="AA1356" t="s">
        <v>15550</v>
      </c>
      <c r="AB1356" t="s">
        <v>20191</v>
      </c>
    </row>
    <row r="1357" spans="1:28" x14ac:dyDescent="0.25">
      <c r="A1357" t="s">
        <v>1361</v>
      </c>
      <c r="B1357">
        <v>0.99904790336628502</v>
      </c>
      <c r="C1357">
        <v>0.970994800874873</v>
      </c>
      <c r="D1357">
        <v>0.95224929155928895</v>
      </c>
      <c r="E1357">
        <v>0.953984668901254</v>
      </c>
      <c r="F1357">
        <v>0.84885798615628705</v>
      </c>
      <c r="G1357">
        <v>0.59451831474302697</v>
      </c>
      <c r="H1357">
        <v>0.40420760798902899</v>
      </c>
      <c r="I1357">
        <v>0.33009650809325503</v>
      </c>
      <c r="J1357">
        <v>0.30793937733105298</v>
      </c>
      <c r="K1357">
        <v>0.28993407514283198</v>
      </c>
      <c r="L1357">
        <v>1147.1120580520701</v>
      </c>
      <c r="M1357">
        <v>20.3530985283282</v>
      </c>
      <c r="N1357">
        <v>58.679849202645102</v>
      </c>
      <c r="O1357">
        <v>55.824940942523703</v>
      </c>
      <c r="P1357">
        <v>-6.5962002371247899E-2</v>
      </c>
      <c r="Q1357">
        <v>0.276333669733549</v>
      </c>
      <c r="R1357">
        <v>0.99708660020839102</v>
      </c>
      <c r="S1357" t="s">
        <v>6097</v>
      </c>
      <c r="T1357" t="s">
        <v>9478</v>
      </c>
      <c r="U1357" t="s">
        <v>9478</v>
      </c>
      <c r="V1357" t="s">
        <v>9478</v>
      </c>
      <c r="W1357">
        <v>15</v>
      </c>
      <c r="X1357" t="s">
        <v>10835</v>
      </c>
      <c r="Y1357">
        <v>0.67995203087728817</v>
      </c>
      <c r="Z1357" t="str">
        <f>HYPERLINK("Melting_Curves/meltCurve_sp_P51991_ROA3_HUMAN_.pdf", "Melting_Curves/meltCurve_sp_P51991_ROA3_HUMAN_.pdf")</f>
        <v>Melting_Curves/meltCurve_sp_P51991_ROA3_HUMAN_.pdf</v>
      </c>
      <c r="AA1357" t="s">
        <v>15551</v>
      </c>
      <c r="AB1357" t="s">
        <v>20192</v>
      </c>
    </row>
    <row r="1358" spans="1:28" x14ac:dyDescent="0.25">
      <c r="A1358" t="s">
        <v>1362</v>
      </c>
      <c r="B1358">
        <v>0.99904790336628502</v>
      </c>
      <c r="C1358">
        <v>0.89361534764594297</v>
      </c>
      <c r="D1358">
        <v>0.80526393312170197</v>
      </c>
      <c r="E1358">
        <v>0.72129046864806101</v>
      </c>
      <c r="F1358">
        <v>0.60093577967644096</v>
      </c>
      <c r="G1358">
        <v>0.38018192060901301</v>
      </c>
      <c r="H1358">
        <v>0.27811938670088499</v>
      </c>
      <c r="I1358">
        <v>0.21494177893449801</v>
      </c>
      <c r="J1358">
        <v>0.22301227040733801</v>
      </c>
      <c r="K1358">
        <v>0.20609886218600401</v>
      </c>
      <c r="L1358">
        <v>539.78857353803903</v>
      </c>
      <c r="M1358">
        <v>10.1662482071178</v>
      </c>
      <c r="N1358">
        <v>54.439958115814697</v>
      </c>
      <c r="O1358">
        <v>51.164615434755703</v>
      </c>
      <c r="P1358">
        <v>-4.4182177454445803E-2</v>
      </c>
      <c r="Q1358">
        <v>0.11096704750847899</v>
      </c>
      <c r="R1358">
        <v>0.98918020464265499</v>
      </c>
      <c r="S1358" t="s">
        <v>6098</v>
      </c>
      <c r="T1358" t="s">
        <v>9478</v>
      </c>
      <c r="U1358" t="s">
        <v>9478</v>
      </c>
      <c r="V1358" t="s">
        <v>9478</v>
      </c>
      <c r="W1358">
        <v>12</v>
      </c>
      <c r="X1358" t="s">
        <v>10836</v>
      </c>
      <c r="Y1358">
        <v>0.52870776996247248</v>
      </c>
      <c r="Z1358" t="str">
        <f>HYPERLINK("Melting_Curves/meltCurve_sp_P52272_2_HNRPM_HUMAN_.pdf", "Melting_Curves/meltCurve_sp_P52272_2_HNRPM_HUMAN_.pdf")</f>
        <v>Melting_Curves/meltCurve_sp_P52272_2_HNRPM_HUMAN_.pdf</v>
      </c>
      <c r="AA1358" t="s">
        <v>15552</v>
      </c>
      <c r="AB1358" t="s">
        <v>20193</v>
      </c>
    </row>
    <row r="1359" spans="1:28" x14ac:dyDescent="0.25">
      <c r="A1359" t="s">
        <v>1363</v>
      </c>
      <c r="B1359">
        <v>0.99904790336628502</v>
      </c>
      <c r="C1359">
        <v>0.87069305103613803</v>
      </c>
      <c r="D1359">
        <v>0.71480751103137696</v>
      </c>
      <c r="E1359">
        <v>0.26088212527840798</v>
      </c>
      <c r="F1359">
        <v>8.5259746710102904E-2</v>
      </c>
      <c r="G1359">
        <v>4.0043041090289097E-2</v>
      </c>
      <c r="H1359">
        <v>1.25663517214884E-2</v>
      </c>
      <c r="I1359">
        <v>1.8385310280541699E-2</v>
      </c>
      <c r="J1359">
        <v>1.09151692156054E-2</v>
      </c>
      <c r="K1359">
        <v>0</v>
      </c>
      <c r="L1359">
        <v>1046.2452497945801</v>
      </c>
      <c r="M1359">
        <v>21.959868008318999</v>
      </c>
      <c r="N1359">
        <v>47.666260053007598</v>
      </c>
      <c r="O1359">
        <v>47.2536961347068</v>
      </c>
      <c r="P1359">
        <v>-0.11557769355571799</v>
      </c>
      <c r="Q1359">
        <v>5.2124045091019198E-3</v>
      </c>
      <c r="R1359">
        <v>0.99734881423412303</v>
      </c>
      <c r="S1359" t="s">
        <v>6099</v>
      </c>
      <c r="T1359" t="s">
        <v>9478</v>
      </c>
      <c r="U1359" t="s">
        <v>9478</v>
      </c>
      <c r="V1359" t="s">
        <v>9478</v>
      </c>
      <c r="W1359">
        <v>4</v>
      </c>
      <c r="X1359" t="s">
        <v>10837</v>
      </c>
      <c r="Y1359">
        <v>0.27031931038510171</v>
      </c>
      <c r="Z1359" t="str">
        <f>HYPERLINK("Melting_Curves/meltCurve_sp_P52292_IMA2_HUMAN_.pdf", "Melting_Curves/meltCurve_sp_P52292_IMA2_HUMAN_.pdf")</f>
        <v>Melting_Curves/meltCurve_sp_P52292_IMA2_HUMAN_.pdf</v>
      </c>
      <c r="AA1359" t="s">
        <v>15553</v>
      </c>
      <c r="AB1359" t="s">
        <v>20194</v>
      </c>
    </row>
    <row r="1360" spans="1:28" x14ac:dyDescent="0.25">
      <c r="A1360" t="s">
        <v>1364</v>
      </c>
      <c r="B1360">
        <v>0.99904790336628502</v>
      </c>
      <c r="C1360">
        <v>0.98181360102251702</v>
      </c>
      <c r="D1360">
        <v>0.99581863595111897</v>
      </c>
      <c r="E1360">
        <v>0.56568596661369697</v>
      </c>
      <c r="F1360">
        <v>0.23683599198181801</v>
      </c>
      <c r="G1360">
        <v>0.110909548663132</v>
      </c>
      <c r="H1360">
        <v>5.7466805707823899E-2</v>
      </c>
      <c r="I1360">
        <v>5.3140649809000497E-2</v>
      </c>
      <c r="J1360">
        <v>5.0762709568510499E-2</v>
      </c>
      <c r="K1360">
        <v>4.37731575165691E-2</v>
      </c>
      <c r="L1360">
        <v>1549.6312202945901</v>
      </c>
      <c r="M1360">
        <v>30.760130459249499</v>
      </c>
      <c r="N1360">
        <v>50.577933891697498</v>
      </c>
      <c r="O1360">
        <v>50.166441678322897</v>
      </c>
      <c r="P1360">
        <v>-0.14451251533572801</v>
      </c>
      <c r="Q1360">
        <v>5.7268722396523003E-2</v>
      </c>
      <c r="R1360">
        <v>0.99786145438977203</v>
      </c>
      <c r="S1360" t="s">
        <v>6100</v>
      </c>
      <c r="T1360" t="s">
        <v>9478</v>
      </c>
      <c r="U1360" t="s">
        <v>9478</v>
      </c>
      <c r="V1360" t="s">
        <v>9478</v>
      </c>
      <c r="W1360">
        <v>10</v>
      </c>
      <c r="X1360" t="s">
        <v>10838</v>
      </c>
      <c r="Y1360">
        <v>0.38896659657316468</v>
      </c>
      <c r="Z1360" t="str">
        <f>HYPERLINK("Melting_Curves/meltCurve_sp_P52294_IMA1_HUMAN_.pdf", "Melting_Curves/meltCurve_sp_P52294_IMA1_HUMAN_.pdf")</f>
        <v>Melting_Curves/meltCurve_sp_P52294_IMA1_HUMAN_.pdf</v>
      </c>
      <c r="AA1360" t="s">
        <v>15554</v>
      </c>
      <c r="AB1360" t="s">
        <v>20195</v>
      </c>
    </row>
    <row r="1361" spans="1:28" x14ac:dyDescent="0.25">
      <c r="A1361" t="s">
        <v>1365</v>
      </c>
      <c r="B1361">
        <v>0.99904790336628502</v>
      </c>
      <c r="C1361">
        <v>1.03868676556707</v>
      </c>
      <c r="D1361">
        <v>1.01300861019333</v>
      </c>
      <c r="E1361">
        <v>0.92724725909300298</v>
      </c>
      <c r="F1361">
        <v>0.67054271424237</v>
      </c>
      <c r="G1361">
        <v>0.29891032990320598</v>
      </c>
      <c r="H1361">
        <v>0.131272940238536</v>
      </c>
      <c r="I1361">
        <v>8.5251071058462899E-2</v>
      </c>
      <c r="J1361">
        <v>5.6760140850551803E-2</v>
      </c>
      <c r="K1361">
        <v>4.5884872822448901E-2</v>
      </c>
      <c r="L1361">
        <v>1338.07651910758</v>
      </c>
      <c r="M1361">
        <v>24.543431728717501</v>
      </c>
      <c r="N1361">
        <v>54.771922110514602</v>
      </c>
      <c r="O1361">
        <v>54.160658270332398</v>
      </c>
      <c r="P1361">
        <v>-0.10721576603822799</v>
      </c>
      <c r="Q1361">
        <v>5.3629951401504297E-2</v>
      </c>
      <c r="R1361">
        <v>0.99818265180580001</v>
      </c>
      <c r="S1361" t="s">
        <v>6101</v>
      </c>
      <c r="T1361" t="s">
        <v>9478</v>
      </c>
      <c r="U1361" t="s">
        <v>9478</v>
      </c>
      <c r="V1361" t="s">
        <v>9478</v>
      </c>
      <c r="W1361">
        <v>21</v>
      </c>
      <c r="X1361" t="s">
        <v>10839</v>
      </c>
      <c r="Y1361">
        <v>0.52068818736172917</v>
      </c>
      <c r="Z1361" t="str">
        <f>HYPERLINK("Melting_Curves/meltCurve_sp_P52306_GDS1_HUMAN_.pdf", "Melting_Curves/meltCurve_sp_P52306_GDS1_HUMAN_.pdf")</f>
        <v>Melting_Curves/meltCurve_sp_P52306_GDS1_HUMAN_.pdf</v>
      </c>
      <c r="AA1361" t="s">
        <v>15555</v>
      </c>
      <c r="AB1361" t="s">
        <v>20196</v>
      </c>
    </row>
    <row r="1362" spans="1:28" x14ac:dyDescent="0.25">
      <c r="A1362" t="s">
        <v>1366</v>
      </c>
      <c r="B1362">
        <v>0.99904790336628502</v>
      </c>
      <c r="C1362">
        <v>0.90193315501726701</v>
      </c>
      <c r="D1362">
        <v>0.93253556010081096</v>
      </c>
      <c r="E1362">
        <v>0.89760993661282196</v>
      </c>
      <c r="F1362">
        <v>0.84422359080652298</v>
      </c>
      <c r="G1362">
        <v>0.33025602867779402</v>
      </c>
      <c r="H1362">
        <v>0.109119773269892</v>
      </c>
      <c r="I1362">
        <v>6.5816962636177798E-2</v>
      </c>
      <c r="J1362">
        <v>4.62059726809666E-2</v>
      </c>
      <c r="K1362">
        <v>3.7090611435592197E-2</v>
      </c>
      <c r="L1362">
        <v>1632.65341406117</v>
      </c>
      <c r="M1362">
        <v>29.405045465173501</v>
      </c>
      <c r="N1362">
        <v>55.6808129191662</v>
      </c>
      <c r="O1362">
        <v>55.268023755023599</v>
      </c>
      <c r="P1362">
        <v>-0.127690405840341</v>
      </c>
      <c r="Q1362">
        <v>4.0009018481397998E-2</v>
      </c>
      <c r="R1362">
        <v>0.98810699875493202</v>
      </c>
      <c r="S1362" t="s">
        <v>6102</v>
      </c>
      <c r="T1362" t="s">
        <v>9478</v>
      </c>
      <c r="U1362" t="s">
        <v>9478</v>
      </c>
      <c r="V1362" t="s">
        <v>9478</v>
      </c>
      <c r="W1362">
        <v>13</v>
      </c>
      <c r="X1362" t="s">
        <v>10840</v>
      </c>
      <c r="Y1362">
        <v>0.5433688563800867</v>
      </c>
      <c r="Z1362" t="str">
        <f>HYPERLINK("Melting_Curves/meltCurve_sp_P52565_GDIR1_HUMAN_.pdf", "Melting_Curves/meltCurve_sp_P52565_GDIR1_HUMAN_.pdf")</f>
        <v>Melting_Curves/meltCurve_sp_P52565_GDIR1_HUMAN_.pdf</v>
      </c>
      <c r="AA1362" t="s">
        <v>15556</v>
      </c>
      <c r="AB1362" t="s">
        <v>20197</v>
      </c>
    </row>
    <row r="1363" spans="1:28" x14ac:dyDescent="0.25">
      <c r="A1363" t="s">
        <v>1367</v>
      </c>
      <c r="B1363">
        <v>0.99904790336628502</v>
      </c>
      <c r="C1363">
        <v>0.971290128716224</v>
      </c>
      <c r="D1363">
        <v>0.87342794959807901</v>
      </c>
      <c r="E1363">
        <v>0.86405138220981803</v>
      </c>
      <c r="F1363">
        <v>0.89074659404520595</v>
      </c>
      <c r="G1363">
        <v>0.69138625071552096</v>
      </c>
      <c r="H1363">
        <v>0.51457318034916499</v>
      </c>
      <c r="I1363">
        <v>0.36330509290551899</v>
      </c>
      <c r="J1363">
        <v>0.29606767702105102</v>
      </c>
      <c r="K1363">
        <v>0.26955894887450599</v>
      </c>
      <c r="L1363">
        <v>595.65430684965702</v>
      </c>
      <c r="M1363">
        <v>9.7401830917804393</v>
      </c>
      <c r="N1363">
        <v>61.364878975665398</v>
      </c>
      <c r="O1363">
        <v>58.743569071274301</v>
      </c>
      <c r="P1363">
        <v>-4.0792743073353503E-2</v>
      </c>
      <c r="Q1363">
        <v>1.6435662244687298E-2</v>
      </c>
      <c r="R1363">
        <v>0.97687904918878499</v>
      </c>
      <c r="S1363" t="s">
        <v>6103</v>
      </c>
      <c r="T1363" t="s">
        <v>9478</v>
      </c>
      <c r="U1363" t="s">
        <v>9478</v>
      </c>
      <c r="V1363" t="s">
        <v>9478</v>
      </c>
      <c r="W1363">
        <v>6</v>
      </c>
      <c r="X1363" t="s">
        <v>10841</v>
      </c>
      <c r="Y1363">
        <v>0.69531814793581137</v>
      </c>
      <c r="Z1363" t="str">
        <f>HYPERLINK("Melting_Curves/meltCurve_sp_P52594_2_AGFG1_HUMAN_.pdf", "Melting_Curves/meltCurve_sp_P52594_2_AGFG1_HUMAN_.pdf")</f>
        <v>Melting_Curves/meltCurve_sp_P52594_2_AGFG1_HUMAN_.pdf</v>
      </c>
      <c r="AA1363" t="s">
        <v>15557</v>
      </c>
      <c r="AB1363" t="s">
        <v>20198</v>
      </c>
    </row>
    <row r="1364" spans="1:28" x14ac:dyDescent="0.25">
      <c r="A1364" t="s">
        <v>1368</v>
      </c>
      <c r="B1364">
        <v>0.99904790336628502</v>
      </c>
      <c r="C1364">
        <v>0.93709077176307898</v>
      </c>
      <c r="D1364">
        <v>0.88983762212245099</v>
      </c>
      <c r="E1364">
        <v>0.82089225521501297</v>
      </c>
      <c r="F1364">
        <v>0.75971674984374504</v>
      </c>
      <c r="G1364">
        <v>0.471012621071975</v>
      </c>
      <c r="H1364">
        <v>0.30665097771462602</v>
      </c>
      <c r="I1364">
        <v>0.23500782248302099</v>
      </c>
      <c r="J1364">
        <v>0.22540243583324901</v>
      </c>
      <c r="K1364">
        <v>0.20551445640961899</v>
      </c>
      <c r="L1364">
        <v>735.23984220991701</v>
      </c>
      <c r="M1364">
        <v>13.2664782784337</v>
      </c>
      <c r="N1364">
        <v>56.739586041267401</v>
      </c>
      <c r="O1364">
        <v>54.207027687295799</v>
      </c>
      <c r="P1364">
        <v>-5.3075982720080198E-2</v>
      </c>
      <c r="Q1364">
        <v>0.13266456087442499</v>
      </c>
      <c r="R1364">
        <v>0.987730127901016</v>
      </c>
      <c r="S1364" t="s">
        <v>6104</v>
      </c>
      <c r="T1364" t="s">
        <v>9478</v>
      </c>
      <c r="U1364" t="s">
        <v>9478</v>
      </c>
      <c r="V1364" t="s">
        <v>9478</v>
      </c>
      <c r="W1364">
        <v>14</v>
      </c>
      <c r="X1364" t="s">
        <v>10842</v>
      </c>
      <c r="Y1364">
        <v>0.59652213817179922</v>
      </c>
      <c r="Z1364" t="str">
        <f>HYPERLINK("Melting_Curves/meltCurve_sp_P52597_HNRPF_HUMAN_.pdf", "Melting_Curves/meltCurve_sp_P52597_HNRPF_HUMAN_.pdf")</f>
        <v>Melting_Curves/meltCurve_sp_P52597_HNRPF_HUMAN_.pdf</v>
      </c>
      <c r="AA1364" t="s">
        <v>15558</v>
      </c>
      <c r="AB1364" t="s">
        <v>20199</v>
      </c>
    </row>
    <row r="1365" spans="1:28" x14ac:dyDescent="0.25">
      <c r="A1365" t="s">
        <v>1369</v>
      </c>
      <c r="B1365">
        <v>0.99904790336628502</v>
      </c>
      <c r="C1365">
        <v>0.95449992012512896</v>
      </c>
      <c r="D1365">
        <v>0.89128415266826899</v>
      </c>
      <c r="E1365">
        <v>0.52139898653567596</v>
      </c>
      <c r="F1365">
        <v>0.18885101905929899</v>
      </c>
      <c r="G1365">
        <v>0.10258879286156899</v>
      </c>
      <c r="H1365">
        <v>6.1627158922702999E-2</v>
      </c>
      <c r="I1365">
        <v>4.7800202958500501E-2</v>
      </c>
      <c r="J1365">
        <v>3.9670171201882098E-2</v>
      </c>
      <c r="K1365">
        <v>3.4321725336695502E-2</v>
      </c>
      <c r="L1365">
        <v>1261.15755196488</v>
      </c>
      <c r="M1365">
        <v>25.298259695809101</v>
      </c>
      <c r="N1365">
        <v>50.030561804185297</v>
      </c>
      <c r="O1365">
        <v>49.543192469303598</v>
      </c>
      <c r="P1365">
        <v>-0.12213537888326</v>
      </c>
      <c r="Q1365">
        <v>4.3270379326803297E-2</v>
      </c>
      <c r="R1365">
        <v>0.99826666155303301</v>
      </c>
      <c r="S1365" t="s">
        <v>6105</v>
      </c>
      <c r="T1365" t="s">
        <v>9478</v>
      </c>
      <c r="U1365" t="s">
        <v>9478</v>
      </c>
      <c r="V1365" t="s">
        <v>9478</v>
      </c>
      <c r="W1365">
        <v>11</v>
      </c>
      <c r="X1365" t="s">
        <v>10843</v>
      </c>
      <c r="Y1365">
        <v>0.3657825608964374</v>
      </c>
      <c r="Z1365" t="str">
        <f>HYPERLINK("Melting_Curves/meltCurve_sp_P52630_4_STAT2_HUMAN_.pdf", "Melting_Curves/meltCurve_sp_P52630_4_STAT2_HUMAN_.pdf")</f>
        <v>Melting_Curves/meltCurve_sp_P52630_4_STAT2_HUMAN_.pdf</v>
      </c>
      <c r="AA1365" t="s">
        <v>15559</v>
      </c>
      <c r="AB1365" t="s">
        <v>20200</v>
      </c>
    </row>
    <row r="1366" spans="1:28" x14ac:dyDescent="0.25">
      <c r="A1366" t="s">
        <v>1370</v>
      </c>
      <c r="B1366">
        <v>0.99904790336628502</v>
      </c>
      <c r="C1366">
        <v>0.75729550327811201</v>
      </c>
      <c r="D1366">
        <v>0.68100851844731503</v>
      </c>
      <c r="E1366">
        <v>0.50499535088426395</v>
      </c>
      <c r="F1366">
        <v>0.39285166366144197</v>
      </c>
      <c r="G1366">
        <v>0.27652403979585499</v>
      </c>
      <c r="H1366">
        <v>0.24370264192482899</v>
      </c>
      <c r="I1366">
        <v>0.18305417222854001</v>
      </c>
      <c r="J1366">
        <v>0.15758554013551901</v>
      </c>
      <c r="K1366">
        <v>0.16801017969719101</v>
      </c>
      <c r="L1366">
        <v>503.74575538031598</v>
      </c>
      <c r="M1366">
        <v>10.3826129757106</v>
      </c>
      <c r="N1366">
        <v>49.940100217511798</v>
      </c>
      <c r="O1366">
        <v>46.821845482398999</v>
      </c>
      <c r="P1366">
        <v>-4.8363327498261097E-2</v>
      </c>
      <c r="Q1366">
        <v>0.12796258336965899</v>
      </c>
      <c r="R1366">
        <v>0.98354589046323404</v>
      </c>
      <c r="S1366" t="s">
        <v>6106</v>
      </c>
      <c r="T1366" t="s">
        <v>9478</v>
      </c>
      <c r="U1366" t="s">
        <v>9478</v>
      </c>
      <c r="V1366" t="s">
        <v>9478</v>
      </c>
      <c r="W1366">
        <v>5</v>
      </c>
      <c r="X1366" t="s">
        <v>10844</v>
      </c>
      <c r="Y1366">
        <v>0.41741966132219849</v>
      </c>
      <c r="Z1366" t="str">
        <f>HYPERLINK("Melting_Curves/meltCurve_sp_P52701_MSH6_HUMAN_.pdf", "Melting_Curves/meltCurve_sp_P52701_MSH6_HUMAN_.pdf")</f>
        <v>Melting_Curves/meltCurve_sp_P52701_MSH6_HUMAN_.pdf</v>
      </c>
      <c r="AA1366" t="s">
        <v>15560</v>
      </c>
      <c r="AB1366" t="s">
        <v>20201</v>
      </c>
    </row>
    <row r="1367" spans="1:28" x14ac:dyDescent="0.25">
      <c r="A1367" t="s">
        <v>1371</v>
      </c>
      <c r="B1367">
        <v>0.99904790336628502</v>
      </c>
      <c r="C1367">
        <v>0.96804127131734996</v>
      </c>
      <c r="D1367">
        <v>0.99560105143684297</v>
      </c>
      <c r="E1367">
        <v>0.83206373560437696</v>
      </c>
      <c r="F1367">
        <v>0.24808972798523901</v>
      </c>
      <c r="G1367">
        <v>0.115849157447503</v>
      </c>
      <c r="H1367">
        <v>7.1442096354600401E-2</v>
      </c>
      <c r="I1367">
        <v>5.4200574381196402E-2</v>
      </c>
      <c r="J1367">
        <v>5.0219345753676502E-2</v>
      </c>
      <c r="K1367">
        <v>4.0369176098504003E-2</v>
      </c>
      <c r="L1367">
        <v>2534.5481131880802</v>
      </c>
      <c r="M1367">
        <v>49.193125195577601</v>
      </c>
      <c r="N1367">
        <v>51.665941411409896</v>
      </c>
      <c r="O1367">
        <v>51.437478063101501</v>
      </c>
      <c r="P1367">
        <v>-0.22382142293440499</v>
      </c>
      <c r="Q1367">
        <v>6.3869296073876203E-2</v>
      </c>
      <c r="R1367">
        <v>0.99784585336740395</v>
      </c>
      <c r="S1367" t="s">
        <v>6107</v>
      </c>
      <c r="T1367" t="s">
        <v>9478</v>
      </c>
      <c r="U1367" t="s">
        <v>9478</v>
      </c>
      <c r="V1367" t="s">
        <v>9478</v>
      </c>
      <c r="W1367">
        <v>23</v>
      </c>
      <c r="X1367" t="s">
        <v>10845</v>
      </c>
      <c r="Y1367">
        <v>0.42561669203030739</v>
      </c>
      <c r="Z1367" t="str">
        <f>HYPERLINK("Melting_Curves/meltCurve_sp_P52735_3_VAV2_HUMAN_.pdf", "Melting_Curves/meltCurve_sp_P52735_3_VAV2_HUMAN_.pdf")</f>
        <v>Melting_Curves/meltCurve_sp_P52735_3_VAV2_HUMAN_.pdf</v>
      </c>
      <c r="AA1367" t="s">
        <v>15561</v>
      </c>
      <c r="AB1367" t="s">
        <v>20202</v>
      </c>
    </row>
    <row r="1368" spans="1:28" x14ac:dyDescent="0.25">
      <c r="A1368" t="s">
        <v>1372</v>
      </c>
      <c r="B1368">
        <v>0.99904790336628502</v>
      </c>
      <c r="C1368">
        <v>0.74165934403865996</v>
      </c>
      <c r="D1368">
        <v>0.71613651938763001</v>
      </c>
      <c r="E1368">
        <v>0.64837114052983502</v>
      </c>
      <c r="F1368">
        <v>0.68666731168195305</v>
      </c>
      <c r="G1368">
        <v>0.41056024812112102</v>
      </c>
      <c r="H1368">
        <v>0.34218191726210401</v>
      </c>
      <c r="I1368">
        <v>0.28293994693409102</v>
      </c>
      <c r="J1368">
        <v>0.24694280316249301</v>
      </c>
      <c r="K1368">
        <v>0.230184946510716</v>
      </c>
      <c r="L1368">
        <v>328.81410197212602</v>
      </c>
      <c r="M1368">
        <v>5.9699159823685104</v>
      </c>
      <c r="N1368">
        <v>55.078514145473697</v>
      </c>
      <c r="O1368">
        <v>49.8503506219757</v>
      </c>
      <c r="P1368">
        <v>-3.0037895594268001E-2</v>
      </c>
      <c r="Q1368">
        <v>0</v>
      </c>
      <c r="R1368">
        <v>0.93395076223222595</v>
      </c>
      <c r="S1368" t="s">
        <v>6108</v>
      </c>
      <c r="T1368" t="s">
        <v>9478</v>
      </c>
      <c r="U1368" t="s">
        <v>9478</v>
      </c>
      <c r="V1368" t="s">
        <v>9478</v>
      </c>
      <c r="W1368">
        <v>3</v>
      </c>
      <c r="X1368" t="s">
        <v>10846</v>
      </c>
      <c r="Y1368">
        <v>0.5278503116152069</v>
      </c>
      <c r="Z1368" t="str">
        <f>HYPERLINK("Melting_Curves/meltCurve_sp_P52756_RBM5_HUMAN_.pdf", "Melting_Curves/meltCurve_sp_P52756_RBM5_HUMAN_.pdf")</f>
        <v>Melting_Curves/meltCurve_sp_P52756_RBM5_HUMAN_.pdf</v>
      </c>
      <c r="AA1368" t="s">
        <v>15562</v>
      </c>
      <c r="AB1368" t="s">
        <v>20203</v>
      </c>
    </row>
    <row r="1369" spans="1:28" x14ac:dyDescent="0.25">
      <c r="A1369" t="s">
        <v>1373</v>
      </c>
      <c r="B1369">
        <v>0.99904790336628502</v>
      </c>
      <c r="C1369">
        <v>1.2179832900163201</v>
      </c>
      <c r="D1369">
        <v>1.18066726714229</v>
      </c>
      <c r="E1369">
        <v>1.1578109351727901</v>
      </c>
      <c r="F1369">
        <v>0.95875227549143605</v>
      </c>
      <c r="G1369">
        <v>0.88288445351275202</v>
      </c>
      <c r="H1369">
        <v>0.63251307240503896</v>
      </c>
      <c r="I1369">
        <v>0.58565616084603001</v>
      </c>
      <c r="J1369">
        <v>0.615275618044415</v>
      </c>
      <c r="K1369">
        <v>0.51863059780634102</v>
      </c>
      <c r="L1369">
        <v>2182.4834591642002</v>
      </c>
      <c r="M1369">
        <v>37.3418222223413</v>
      </c>
      <c r="O1369">
        <v>58.279231814956603</v>
      </c>
      <c r="P1369">
        <v>-6.9788103414190006E-2</v>
      </c>
      <c r="Q1369">
        <v>0.56432916590663496</v>
      </c>
      <c r="R1369">
        <v>0.82958557927594401</v>
      </c>
      <c r="S1369" t="s">
        <v>6109</v>
      </c>
      <c r="T1369" t="s">
        <v>9478</v>
      </c>
      <c r="U1369" t="s">
        <v>9478</v>
      </c>
      <c r="V1369" t="s">
        <v>9478</v>
      </c>
      <c r="W1369">
        <v>12</v>
      </c>
      <c r="X1369" t="s">
        <v>10847</v>
      </c>
      <c r="Y1369">
        <v>0.83415932555700101</v>
      </c>
      <c r="Z1369" t="str">
        <f>HYPERLINK("Melting_Curves/meltCurve_sp_P52758_UK114_HUMAN_.pdf", "Melting_Curves/meltCurve_sp_P52758_UK114_HUMAN_.pdf")</f>
        <v>Melting_Curves/meltCurve_sp_P52758_UK114_HUMAN_.pdf</v>
      </c>
      <c r="AA1369" t="s">
        <v>15563</v>
      </c>
      <c r="AB1369" t="s">
        <v>20204</v>
      </c>
    </row>
    <row r="1370" spans="1:28" x14ac:dyDescent="0.25">
      <c r="A1370" t="s">
        <v>1374</v>
      </c>
      <c r="B1370">
        <v>0.99904790336628502</v>
      </c>
      <c r="C1370">
        <v>0.95255219673577296</v>
      </c>
      <c r="D1370">
        <v>0.96895785314690397</v>
      </c>
      <c r="E1370">
        <v>0.83894003687127106</v>
      </c>
      <c r="F1370">
        <v>0.52635332285913505</v>
      </c>
      <c r="G1370">
        <v>0.23252816439305199</v>
      </c>
      <c r="H1370">
        <v>0.10144017234633</v>
      </c>
      <c r="I1370">
        <v>6.4791127124404005E-2</v>
      </c>
      <c r="J1370">
        <v>4.71847932787057E-2</v>
      </c>
      <c r="K1370">
        <v>3.8409410505187903E-2</v>
      </c>
      <c r="L1370">
        <v>1179.5217914969901</v>
      </c>
      <c r="M1370">
        <v>22.146035370808701</v>
      </c>
      <c r="N1370">
        <v>53.464943242221999</v>
      </c>
      <c r="O1370">
        <v>52.832507005259302</v>
      </c>
      <c r="P1370">
        <v>-0.100552916359484</v>
      </c>
      <c r="Q1370">
        <v>4.04879187162469E-2</v>
      </c>
      <c r="R1370">
        <v>0.99818558375974298</v>
      </c>
      <c r="S1370" t="s">
        <v>6110</v>
      </c>
      <c r="T1370" t="s">
        <v>9478</v>
      </c>
      <c r="U1370" t="s">
        <v>9478</v>
      </c>
      <c r="V1370" t="s">
        <v>9478</v>
      </c>
      <c r="W1370">
        <v>9</v>
      </c>
      <c r="X1370" t="s">
        <v>10848</v>
      </c>
      <c r="Y1370">
        <v>0.47566303078490307</v>
      </c>
      <c r="Z1370" t="str">
        <f>HYPERLINK("Melting_Curves/meltCurve_sp_P52788_SPSY_HUMAN_.pdf", "Melting_Curves/meltCurve_sp_P52788_SPSY_HUMAN_.pdf")</f>
        <v>Melting_Curves/meltCurve_sp_P52788_SPSY_HUMAN_.pdf</v>
      </c>
      <c r="AA1370" t="s">
        <v>15564</v>
      </c>
      <c r="AB1370" t="s">
        <v>20205</v>
      </c>
    </row>
    <row r="1371" spans="1:28" x14ac:dyDescent="0.25">
      <c r="A1371" t="s">
        <v>1375</v>
      </c>
      <c r="B1371">
        <v>0.99904790336628502</v>
      </c>
      <c r="C1371">
        <v>1.0469738769372301</v>
      </c>
      <c r="D1371">
        <v>1.02281609581879</v>
      </c>
      <c r="E1371">
        <v>0.86521496704648804</v>
      </c>
      <c r="F1371">
        <v>0.326337069516064</v>
      </c>
      <c r="G1371">
        <v>0.16100040405153601</v>
      </c>
      <c r="H1371">
        <v>8.1631351988809803E-2</v>
      </c>
      <c r="I1371">
        <v>7.00921646872735E-2</v>
      </c>
      <c r="J1371">
        <v>2.9822444262189302E-2</v>
      </c>
      <c r="K1371">
        <v>3.2576612485241803E-2</v>
      </c>
      <c r="L1371">
        <v>2269.0592965901001</v>
      </c>
      <c r="M1371">
        <v>43.697678708241099</v>
      </c>
      <c r="N1371">
        <v>52.103255918084301</v>
      </c>
      <c r="O1371">
        <v>51.817935397826403</v>
      </c>
      <c r="P1371">
        <v>-0.19628574588700701</v>
      </c>
      <c r="Q1371">
        <v>6.8957111203057503E-2</v>
      </c>
      <c r="R1371">
        <v>0.99384615766576601</v>
      </c>
      <c r="S1371" t="s">
        <v>6111</v>
      </c>
      <c r="T1371" t="s">
        <v>9478</v>
      </c>
      <c r="U1371" t="s">
        <v>9478</v>
      </c>
      <c r="V1371" t="s">
        <v>9478</v>
      </c>
      <c r="W1371">
        <v>10</v>
      </c>
      <c r="X1371" t="s">
        <v>10849</v>
      </c>
      <c r="Y1371">
        <v>0.4418834509416365</v>
      </c>
      <c r="Z1371" t="str">
        <f>HYPERLINK("Melting_Curves/meltCurve_sp_P52790_HXK3_HUMAN_.pdf", "Melting_Curves/meltCurve_sp_P52790_HXK3_HUMAN_.pdf")</f>
        <v>Melting_Curves/meltCurve_sp_P52790_HXK3_HUMAN_.pdf</v>
      </c>
      <c r="AA1371" t="s">
        <v>15565</v>
      </c>
      <c r="AB1371" t="s">
        <v>20206</v>
      </c>
    </row>
    <row r="1372" spans="1:28" x14ac:dyDescent="0.25">
      <c r="A1372" t="s">
        <v>1376</v>
      </c>
      <c r="B1372">
        <v>0.99904790336628502</v>
      </c>
      <c r="C1372">
        <v>1.0049033820220601</v>
      </c>
      <c r="D1372">
        <v>1.0190112333161001</v>
      </c>
      <c r="E1372">
        <v>1.0209157813180301</v>
      </c>
      <c r="F1372">
        <v>1.04245899847261</v>
      </c>
      <c r="G1372">
        <v>0.87018037460638897</v>
      </c>
      <c r="H1372">
        <v>0.50386773918081196</v>
      </c>
      <c r="I1372">
        <v>0.121123436958688</v>
      </c>
      <c r="J1372">
        <v>4.5637242132784799E-2</v>
      </c>
      <c r="K1372">
        <v>3.7581713002893501E-2</v>
      </c>
      <c r="L1372">
        <v>2114.04915318352</v>
      </c>
      <c r="M1372">
        <v>34.776817786360098</v>
      </c>
      <c r="N1372">
        <v>60.819749917986698</v>
      </c>
      <c r="O1372">
        <v>60.589084819192301</v>
      </c>
      <c r="P1372">
        <v>-0.14224594654539099</v>
      </c>
      <c r="Q1372">
        <v>8.7051049310135197E-3</v>
      </c>
      <c r="R1372">
        <v>0.995880137085707</v>
      </c>
      <c r="S1372" t="s">
        <v>6112</v>
      </c>
      <c r="T1372" t="s">
        <v>9478</v>
      </c>
      <c r="U1372" t="s">
        <v>9478</v>
      </c>
      <c r="V1372" t="s">
        <v>9478</v>
      </c>
      <c r="W1372">
        <v>36</v>
      </c>
      <c r="X1372" t="s">
        <v>10850</v>
      </c>
      <c r="Y1372">
        <v>0.70032607426662707</v>
      </c>
      <c r="Z1372" t="str">
        <f>HYPERLINK("Melting_Curves/meltCurve_sp_P52888_THOP1_HUMAN_.pdf", "Melting_Curves/meltCurve_sp_P52888_THOP1_HUMAN_.pdf")</f>
        <v>Melting_Curves/meltCurve_sp_P52888_THOP1_HUMAN_.pdf</v>
      </c>
      <c r="AA1372" t="s">
        <v>15566</v>
      </c>
      <c r="AB1372" t="s">
        <v>20207</v>
      </c>
    </row>
    <row r="1373" spans="1:28" x14ac:dyDescent="0.25">
      <c r="A1373" t="s">
        <v>1377</v>
      </c>
      <c r="B1373">
        <v>0.99904790336628502</v>
      </c>
      <c r="C1373">
        <v>0.85462242635097896</v>
      </c>
      <c r="D1373">
        <v>0.76286669085546599</v>
      </c>
      <c r="E1373">
        <v>0.53561160932457996</v>
      </c>
      <c r="F1373">
        <v>0.40517050753002398</v>
      </c>
      <c r="G1373">
        <v>0.29085262944816498</v>
      </c>
      <c r="H1373">
        <v>0.19077560861197601</v>
      </c>
      <c r="I1373">
        <v>0.169939727609249</v>
      </c>
      <c r="J1373">
        <v>0.12687949544258501</v>
      </c>
      <c r="K1373">
        <v>7.8134617274099899E-2</v>
      </c>
      <c r="L1373">
        <v>543.74016075793998</v>
      </c>
      <c r="M1373">
        <v>10.78318113475</v>
      </c>
      <c r="N1373">
        <v>51.063612216817198</v>
      </c>
      <c r="O1373">
        <v>48.783511182322599</v>
      </c>
      <c r="P1373">
        <v>-5.17926174964045E-2</v>
      </c>
      <c r="Q1373">
        <v>6.3094394791631994E-2</v>
      </c>
      <c r="R1373">
        <v>0.994688066807355</v>
      </c>
      <c r="S1373" t="s">
        <v>6113</v>
      </c>
      <c r="T1373" t="s">
        <v>9478</v>
      </c>
      <c r="U1373" t="s">
        <v>9478</v>
      </c>
      <c r="V1373" t="s">
        <v>9478</v>
      </c>
      <c r="W1373">
        <v>22</v>
      </c>
      <c r="X1373" t="s">
        <v>10851</v>
      </c>
      <c r="Y1373">
        <v>0.4256030825552084</v>
      </c>
      <c r="Z1373" t="str">
        <f>HYPERLINK("Melting_Curves/meltCurve_sp_P52895_AK1C2_HUMAN_.pdf", "Melting_Curves/meltCurve_sp_P52895_AK1C2_HUMAN_.pdf")</f>
        <v>Melting_Curves/meltCurve_sp_P52895_AK1C2_HUMAN_.pdf</v>
      </c>
      <c r="AA1373" t="s">
        <v>15567</v>
      </c>
      <c r="AB1373" t="s">
        <v>20208</v>
      </c>
    </row>
    <row r="1374" spans="1:28" x14ac:dyDescent="0.25">
      <c r="A1374" t="s">
        <v>1378</v>
      </c>
      <c r="B1374">
        <v>0.99904790336628502</v>
      </c>
      <c r="C1374">
        <v>1.07278473598193</v>
      </c>
      <c r="D1374">
        <v>1.0731292329665001</v>
      </c>
      <c r="E1374">
        <v>1.08984554029637</v>
      </c>
      <c r="F1374">
        <v>1.1245557874496701</v>
      </c>
      <c r="G1374">
        <v>0.82000171862234605</v>
      </c>
      <c r="H1374">
        <v>0.47629350396296999</v>
      </c>
      <c r="I1374">
        <v>0.193292174159895</v>
      </c>
      <c r="J1374">
        <v>7.6362966530424806E-2</v>
      </c>
      <c r="K1374">
        <v>6.0729884130386803E-2</v>
      </c>
      <c r="L1374">
        <v>1799.3434538433901</v>
      </c>
      <c r="M1374">
        <v>29.7412897379089</v>
      </c>
      <c r="N1374">
        <v>60.655419360849301</v>
      </c>
      <c r="O1374">
        <v>60.228303887717999</v>
      </c>
      <c r="P1374">
        <v>-0.118919584483077</v>
      </c>
      <c r="Q1374">
        <v>3.6722799834593901E-2</v>
      </c>
      <c r="R1374">
        <v>0.97750916237781604</v>
      </c>
      <c r="S1374" t="s">
        <v>6114</v>
      </c>
      <c r="T1374" t="s">
        <v>9478</v>
      </c>
      <c r="U1374" t="s">
        <v>9478</v>
      </c>
      <c r="V1374" t="s">
        <v>9478</v>
      </c>
      <c r="W1374">
        <v>15</v>
      </c>
      <c r="X1374" t="s">
        <v>10852</v>
      </c>
      <c r="Y1374">
        <v>0.70063231580926422</v>
      </c>
      <c r="Z1374" t="str">
        <f>HYPERLINK("Melting_Curves/meltCurve_sp_P52907_CAZA1_HUMAN_.pdf", "Melting_Curves/meltCurve_sp_P52907_CAZA1_HUMAN_.pdf")</f>
        <v>Melting_Curves/meltCurve_sp_P52907_CAZA1_HUMAN_.pdf</v>
      </c>
      <c r="AA1374" t="s">
        <v>15568</v>
      </c>
      <c r="AB1374" t="s">
        <v>20209</v>
      </c>
    </row>
    <row r="1375" spans="1:28" x14ac:dyDescent="0.25">
      <c r="A1375" t="s">
        <v>1379</v>
      </c>
      <c r="B1375">
        <v>0.99904790336628502</v>
      </c>
      <c r="C1375">
        <v>0.94163925905149004</v>
      </c>
      <c r="D1375">
        <v>0.90112105651288699</v>
      </c>
      <c r="E1375">
        <v>0.95695231646530898</v>
      </c>
      <c r="F1375">
        <v>0.981330316907008</v>
      </c>
      <c r="G1375">
        <v>0.822328403862156</v>
      </c>
      <c r="H1375">
        <v>0.73459293623279598</v>
      </c>
      <c r="I1375">
        <v>0.80809075234235095</v>
      </c>
      <c r="J1375">
        <v>0.80546903081496501</v>
      </c>
      <c r="K1375">
        <v>0.84994264685247101</v>
      </c>
      <c r="L1375">
        <v>571.30244404071402</v>
      </c>
      <c r="M1375">
        <v>10.726256944235001</v>
      </c>
      <c r="O1375">
        <v>51.510916289013601</v>
      </c>
      <c r="P1375">
        <v>-1.14749767720902E-2</v>
      </c>
      <c r="Q1375">
        <v>0.77965587571674499</v>
      </c>
      <c r="R1375">
        <v>0.62056182748296296</v>
      </c>
      <c r="S1375" t="s">
        <v>6115</v>
      </c>
      <c r="T1375" t="s">
        <v>9478</v>
      </c>
      <c r="U1375" t="s">
        <v>9478</v>
      </c>
      <c r="V1375" t="s">
        <v>9478</v>
      </c>
      <c r="W1375">
        <v>5</v>
      </c>
      <c r="X1375" t="s">
        <v>10853</v>
      </c>
      <c r="Y1375">
        <v>0.88393474470176703</v>
      </c>
      <c r="Z1375" t="str">
        <f>HYPERLINK("Melting_Curves/meltCurve_sp_P52943_CRIP2_HUMAN_.pdf", "Melting_Curves/meltCurve_sp_P52943_CRIP2_HUMAN_.pdf")</f>
        <v>Melting_Curves/meltCurve_sp_P52943_CRIP2_HUMAN_.pdf</v>
      </c>
      <c r="AA1375" t="s">
        <v>15569</v>
      </c>
      <c r="AB1375" t="s">
        <v>20210</v>
      </c>
    </row>
    <row r="1376" spans="1:28" x14ac:dyDescent="0.25">
      <c r="A1376" t="s">
        <v>1380</v>
      </c>
      <c r="B1376">
        <v>0.99904790336628502</v>
      </c>
      <c r="C1376">
        <v>0.90887938973481597</v>
      </c>
      <c r="D1376">
        <v>0.85636690033086504</v>
      </c>
      <c r="E1376">
        <v>0.76356106191074302</v>
      </c>
      <c r="F1376">
        <v>0.62404139477880505</v>
      </c>
      <c r="G1376">
        <v>0.43023921435644302</v>
      </c>
      <c r="H1376">
        <v>0.349036043678845</v>
      </c>
      <c r="I1376">
        <v>0.30021987591697902</v>
      </c>
      <c r="J1376">
        <v>0.29961757105290099</v>
      </c>
      <c r="K1376">
        <v>0.30314150784355998</v>
      </c>
      <c r="L1376">
        <v>623.08875417076194</v>
      </c>
      <c r="M1376">
        <v>11.850159045124199</v>
      </c>
      <c r="N1376">
        <v>55.622329785279703</v>
      </c>
      <c r="O1376">
        <v>51.150310737389802</v>
      </c>
      <c r="P1376">
        <v>-4.4118202347427499E-2</v>
      </c>
      <c r="Q1376">
        <v>0.23846127005687201</v>
      </c>
      <c r="R1376">
        <v>0.99121390006445598</v>
      </c>
      <c r="S1376" t="s">
        <v>6116</v>
      </c>
      <c r="T1376" t="s">
        <v>9478</v>
      </c>
      <c r="U1376" t="s">
        <v>9478</v>
      </c>
      <c r="V1376" t="s">
        <v>9478</v>
      </c>
      <c r="W1376">
        <v>15</v>
      </c>
      <c r="X1376" t="s">
        <v>10854</v>
      </c>
      <c r="Y1376">
        <v>0.58052961602952036</v>
      </c>
      <c r="Z1376" t="str">
        <f>HYPERLINK("Melting_Curves/meltCurve_sp_P52948_6_NUP98_HUMAN_.pdf", "Melting_Curves/meltCurve_sp_P52948_6_NUP98_HUMAN_.pdf")</f>
        <v>Melting_Curves/meltCurve_sp_P52948_6_NUP98_HUMAN_.pdf</v>
      </c>
      <c r="AA1376" t="s">
        <v>15570</v>
      </c>
      <c r="AB1376" t="s">
        <v>20211</v>
      </c>
    </row>
    <row r="1377" spans="1:28" x14ac:dyDescent="0.25">
      <c r="A1377" t="s">
        <v>1381</v>
      </c>
      <c r="B1377">
        <v>0.99904790336628502</v>
      </c>
      <c r="C1377">
        <v>0.87860191424053002</v>
      </c>
      <c r="D1377">
        <v>0.85226345793828495</v>
      </c>
      <c r="E1377">
        <v>0.64141923627902397</v>
      </c>
      <c r="F1377">
        <v>0.19206899688457801</v>
      </c>
      <c r="G1377">
        <v>7.2604098270089706E-2</v>
      </c>
      <c r="H1377">
        <v>2.4972488232888099E-2</v>
      </c>
      <c r="I1377">
        <v>2.29689856044278E-2</v>
      </c>
      <c r="J1377">
        <v>1.7624089107581901E-2</v>
      </c>
      <c r="K1377">
        <v>9.5809318991026994E-3</v>
      </c>
      <c r="L1377">
        <v>1173.50010051562</v>
      </c>
      <c r="M1377">
        <v>23.217448155275498</v>
      </c>
      <c r="N1377">
        <v>50.567697029287402</v>
      </c>
      <c r="O1377">
        <v>50.1734024339626</v>
      </c>
      <c r="P1377">
        <v>-0.11505924795471199</v>
      </c>
      <c r="Q1377">
        <v>5.4359446059941401E-3</v>
      </c>
      <c r="R1377">
        <v>0.98426082480847499</v>
      </c>
      <c r="S1377" t="s">
        <v>6117</v>
      </c>
      <c r="T1377" t="s">
        <v>9478</v>
      </c>
      <c r="U1377" t="s">
        <v>9478</v>
      </c>
      <c r="V1377" t="s">
        <v>9478</v>
      </c>
      <c r="W1377">
        <v>3</v>
      </c>
      <c r="X1377" t="s">
        <v>10855</v>
      </c>
      <c r="Y1377">
        <v>0.36533703633271369</v>
      </c>
      <c r="Z1377" t="str">
        <f>HYPERLINK("Melting_Curves/meltCurve_sp_P53004_BIEA_HUMAN_.pdf", "Melting_Curves/meltCurve_sp_P53004_BIEA_HUMAN_.pdf")</f>
        <v>Melting_Curves/meltCurve_sp_P53004_BIEA_HUMAN_.pdf</v>
      </c>
      <c r="AA1377" t="s">
        <v>15571</v>
      </c>
      <c r="AB1377" t="s">
        <v>20212</v>
      </c>
    </row>
    <row r="1378" spans="1:28" x14ac:dyDescent="0.25">
      <c r="A1378" t="s">
        <v>1382</v>
      </c>
      <c r="B1378">
        <v>0.99904790336628502</v>
      </c>
      <c r="C1378">
        <v>1.28714474792724</v>
      </c>
      <c r="D1378">
        <v>1.0574388541765201</v>
      </c>
      <c r="E1378">
        <v>0.72659926092876204</v>
      </c>
      <c r="F1378">
        <v>0.50872404299701401</v>
      </c>
      <c r="G1378">
        <v>0.36085655353373602</v>
      </c>
      <c r="H1378">
        <v>0.28377556437298102</v>
      </c>
      <c r="I1378">
        <v>0.31219271027364798</v>
      </c>
      <c r="J1378">
        <v>0.28111024925085698</v>
      </c>
      <c r="K1378">
        <v>0.19249026909804201</v>
      </c>
      <c r="L1378">
        <v>1407.3271556444099</v>
      </c>
      <c r="M1378">
        <v>27.367529289966299</v>
      </c>
      <c r="N1378">
        <v>52.951338410395998</v>
      </c>
      <c r="O1378">
        <v>51.1510564380415</v>
      </c>
      <c r="P1378">
        <v>-9.7239466934715704E-2</v>
      </c>
      <c r="Q1378">
        <v>0.27302862357678997</v>
      </c>
      <c r="R1378">
        <v>0.92476967981648495</v>
      </c>
      <c r="S1378" t="s">
        <v>6118</v>
      </c>
      <c r="T1378" t="s">
        <v>9478</v>
      </c>
      <c r="U1378" t="s">
        <v>9478</v>
      </c>
      <c r="V1378" t="s">
        <v>9478</v>
      </c>
      <c r="W1378">
        <v>1</v>
      </c>
      <c r="X1378" t="s">
        <v>10856</v>
      </c>
      <c r="Y1378">
        <v>0.55536443769969446</v>
      </c>
      <c r="Z1378" t="str">
        <f>HYPERLINK("Melting_Curves/meltCurve_sp_P53007_TXTP_HUMAN_.pdf", "Melting_Curves/meltCurve_sp_P53007_TXTP_HUMAN_.pdf")</f>
        <v>Melting_Curves/meltCurve_sp_P53007_TXTP_HUMAN_.pdf</v>
      </c>
      <c r="AA1378" t="s">
        <v>15572</v>
      </c>
      <c r="AB1378" t="s">
        <v>20213</v>
      </c>
    </row>
    <row r="1379" spans="1:28" x14ac:dyDescent="0.25">
      <c r="A1379" t="s">
        <v>1383</v>
      </c>
      <c r="B1379">
        <v>0.99904790336628502</v>
      </c>
      <c r="C1379">
        <v>1.0805736440807101</v>
      </c>
      <c r="D1379">
        <v>0.98041696161467595</v>
      </c>
      <c r="E1379">
        <v>0.77251487743099401</v>
      </c>
      <c r="F1379">
        <v>0.39470036919868801</v>
      </c>
      <c r="G1379">
        <v>0.172630206880583</v>
      </c>
      <c r="H1379">
        <v>0.12280039885831801</v>
      </c>
      <c r="I1379">
        <v>7.8247958442344098E-2</v>
      </c>
      <c r="J1379">
        <v>6.5451875929183403E-2</v>
      </c>
      <c r="K1379">
        <v>3.8742586195832401E-2</v>
      </c>
      <c r="L1379">
        <v>1426.8450701838599</v>
      </c>
      <c r="M1379">
        <v>27.465917701526799</v>
      </c>
      <c r="N1379">
        <v>52.252528884137703</v>
      </c>
      <c r="O1379">
        <v>51.6766335594955</v>
      </c>
      <c r="P1379">
        <v>-0.12309768581615201</v>
      </c>
      <c r="Q1379">
        <v>7.3584574819844997E-2</v>
      </c>
      <c r="R1379">
        <v>0.99388315483742795</v>
      </c>
      <c r="S1379" t="s">
        <v>6119</v>
      </c>
      <c r="T1379" t="s">
        <v>9478</v>
      </c>
      <c r="U1379" t="s">
        <v>9478</v>
      </c>
      <c r="V1379" t="s">
        <v>9478</v>
      </c>
      <c r="W1379">
        <v>4</v>
      </c>
      <c r="X1379" t="s">
        <v>10857</v>
      </c>
      <c r="Y1379">
        <v>0.44963581826176358</v>
      </c>
      <c r="Z1379" t="str">
        <f>HYPERLINK("Melting_Curves/meltCurve_sp_P53365_2_ARFP2_HUMAN_.pdf", "Melting_Curves/meltCurve_sp_P53365_2_ARFP2_HUMAN_.pdf")</f>
        <v>Melting_Curves/meltCurve_sp_P53365_2_ARFP2_HUMAN_.pdf</v>
      </c>
      <c r="AA1379" t="s">
        <v>15573</v>
      </c>
      <c r="AB1379" t="s">
        <v>20214</v>
      </c>
    </row>
    <row r="1380" spans="1:28" x14ac:dyDescent="0.25">
      <c r="A1380" t="s">
        <v>1384</v>
      </c>
      <c r="B1380">
        <v>0.99904790336628502</v>
      </c>
      <c r="C1380">
        <v>0.98126031662864499</v>
      </c>
      <c r="D1380">
        <v>0.91700378400660099</v>
      </c>
      <c r="E1380">
        <v>0.637713752574256</v>
      </c>
      <c r="F1380">
        <v>0.26911907434168197</v>
      </c>
      <c r="G1380">
        <v>0.150357947637933</v>
      </c>
      <c r="H1380">
        <v>0.104690986196926</v>
      </c>
      <c r="I1380">
        <v>8.7713963130518297E-2</v>
      </c>
      <c r="J1380">
        <v>9.2940232418426999E-2</v>
      </c>
      <c r="K1380">
        <v>8.2247630546882694E-2</v>
      </c>
      <c r="L1380">
        <v>1370.52141705145</v>
      </c>
      <c r="M1380">
        <v>27.094476679983298</v>
      </c>
      <c r="N1380">
        <v>50.955981362530501</v>
      </c>
      <c r="O1380">
        <v>50.309935570330097</v>
      </c>
      <c r="P1380">
        <v>-0.122530375506558</v>
      </c>
      <c r="Q1380">
        <v>8.9935134799491806E-2</v>
      </c>
      <c r="R1380">
        <v>0.99835000158260101</v>
      </c>
      <c r="S1380" t="s">
        <v>6120</v>
      </c>
      <c r="T1380" t="s">
        <v>9478</v>
      </c>
      <c r="U1380" t="s">
        <v>9478</v>
      </c>
      <c r="V1380" t="s">
        <v>9478</v>
      </c>
      <c r="W1380">
        <v>6</v>
      </c>
      <c r="X1380" t="s">
        <v>10858</v>
      </c>
      <c r="Y1380">
        <v>0.41794892914871379</v>
      </c>
      <c r="Z1380" t="str">
        <f>HYPERLINK("Melting_Curves/meltCurve_sp_P53367_ARFP1_HUMAN_.pdf", "Melting_Curves/meltCurve_sp_P53367_ARFP1_HUMAN_.pdf")</f>
        <v>Melting_Curves/meltCurve_sp_P53367_ARFP1_HUMAN_.pdf</v>
      </c>
      <c r="AA1380" t="s">
        <v>15574</v>
      </c>
      <c r="AB1380" t="s">
        <v>20215</v>
      </c>
    </row>
    <row r="1381" spans="1:28" x14ac:dyDescent="0.25">
      <c r="A1381" t="s">
        <v>1385</v>
      </c>
      <c r="B1381">
        <v>0.99904790336628502</v>
      </c>
      <c r="C1381">
        <v>0.98586388274385905</v>
      </c>
      <c r="D1381">
        <v>0.98727624490086796</v>
      </c>
      <c r="E1381">
        <v>0.92375886798171802</v>
      </c>
      <c r="F1381">
        <v>0.835724018736692</v>
      </c>
      <c r="G1381">
        <v>0.53020956098101402</v>
      </c>
      <c r="H1381">
        <v>0.22334335036837699</v>
      </c>
      <c r="I1381">
        <v>7.4703061142848304E-2</v>
      </c>
      <c r="J1381">
        <v>2.8318943648503202E-2</v>
      </c>
      <c r="K1381">
        <v>2.6627355607546602E-2</v>
      </c>
      <c r="L1381">
        <v>1190.76510839814</v>
      </c>
      <c r="M1381">
        <v>20.818434616835201</v>
      </c>
      <c r="N1381">
        <v>57.197632344433302</v>
      </c>
      <c r="O1381">
        <v>56.677720583779099</v>
      </c>
      <c r="P1381">
        <v>-9.1830673747886005E-2</v>
      </c>
      <c r="Q1381">
        <v>0</v>
      </c>
      <c r="R1381">
        <v>0.99871576130651896</v>
      </c>
      <c r="S1381" t="s">
        <v>6121</v>
      </c>
      <c r="T1381" t="s">
        <v>9478</v>
      </c>
      <c r="U1381" t="s">
        <v>9478</v>
      </c>
      <c r="V1381" t="s">
        <v>9478</v>
      </c>
      <c r="W1381">
        <v>19</v>
      </c>
      <c r="X1381" t="s">
        <v>10859</v>
      </c>
      <c r="Y1381">
        <v>0.58477905656780926</v>
      </c>
      <c r="Z1381" t="str">
        <f>HYPERLINK("Melting_Curves/meltCurve_sp_P53370_NUDT6_HUMAN_.pdf", "Melting_Curves/meltCurve_sp_P53370_NUDT6_HUMAN_.pdf")</f>
        <v>Melting_Curves/meltCurve_sp_P53370_NUDT6_HUMAN_.pdf</v>
      </c>
      <c r="AA1381" t="s">
        <v>15575</v>
      </c>
      <c r="AB1381" t="s">
        <v>20216</v>
      </c>
    </row>
    <row r="1382" spans="1:28" x14ac:dyDescent="0.25">
      <c r="A1382" t="s">
        <v>1386</v>
      </c>
      <c r="B1382">
        <v>0.99904790336628502</v>
      </c>
      <c r="C1382">
        <v>0.96718477607541598</v>
      </c>
      <c r="D1382">
        <v>0.901733866663738</v>
      </c>
      <c r="E1382">
        <v>0.804131885294747</v>
      </c>
      <c r="F1382">
        <v>0.62351327212171503</v>
      </c>
      <c r="G1382">
        <v>0.341616696668117</v>
      </c>
      <c r="H1382">
        <v>0.16958364022936601</v>
      </c>
      <c r="I1382">
        <v>0.124464456295966</v>
      </c>
      <c r="J1382">
        <v>9.5897997083930001E-2</v>
      </c>
      <c r="K1382">
        <v>7.42030568804289E-2</v>
      </c>
      <c r="L1382">
        <v>829.20980009668904</v>
      </c>
      <c r="M1382">
        <v>15.283343274482901</v>
      </c>
      <c r="N1382">
        <v>54.5391271934907</v>
      </c>
      <c r="O1382">
        <v>53.352346732187499</v>
      </c>
      <c r="P1382">
        <v>-6.8888445646930099E-2</v>
      </c>
      <c r="Q1382">
        <v>3.8164579971576601E-2</v>
      </c>
      <c r="R1382">
        <v>0.99791750541816204</v>
      </c>
      <c r="S1382" t="s">
        <v>6122</v>
      </c>
      <c r="T1382" t="s">
        <v>9478</v>
      </c>
      <c r="U1382" t="s">
        <v>9478</v>
      </c>
      <c r="V1382" t="s">
        <v>9478</v>
      </c>
      <c r="W1382">
        <v>7</v>
      </c>
      <c r="X1382" t="s">
        <v>10860</v>
      </c>
      <c r="Y1382">
        <v>0.51424084110374879</v>
      </c>
      <c r="Z1382" t="str">
        <f>HYPERLINK("Melting_Curves/meltCurve_sp_P53384_2_NUBP1_HUMAN_.pdf", "Melting_Curves/meltCurve_sp_P53384_2_NUBP1_HUMAN_.pdf")</f>
        <v>Melting_Curves/meltCurve_sp_P53384_2_NUBP1_HUMAN_.pdf</v>
      </c>
      <c r="AA1382" t="s">
        <v>15576</v>
      </c>
      <c r="AB1382" t="s">
        <v>20217</v>
      </c>
    </row>
    <row r="1383" spans="1:28" x14ac:dyDescent="0.25">
      <c r="A1383" t="s">
        <v>1387</v>
      </c>
      <c r="B1383">
        <v>0.99904790336628502</v>
      </c>
      <c r="C1383">
        <v>1.02082073645851</v>
      </c>
      <c r="D1383">
        <v>1.0683683761718099</v>
      </c>
      <c r="E1383">
        <v>0.75556016370900703</v>
      </c>
      <c r="F1383">
        <v>0.240678496295745</v>
      </c>
      <c r="G1383">
        <v>0.11967200426521001</v>
      </c>
      <c r="H1383">
        <v>7.0711469693770596E-2</v>
      </c>
      <c r="I1383">
        <v>5.1221690764038798E-2</v>
      </c>
      <c r="J1383">
        <v>4.4914757445722403E-2</v>
      </c>
      <c r="K1383">
        <v>3.8216055061406601E-2</v>
      </c>
      <c r="L1383">
        <v>2201.2011184176799</v>
      </c>
      <c r="M1383">
        <v>42.959077760200302</v>
      </c>
      <c r="N1383">
        <v>51.396975671373397</v>
      </c>
      <c r="O1383">
        <v>51.128826857805102</v>
      </c>
      <c r="P1383">
        <v>-0.19709977490906</v>
      </c>
      <c r="Q1383">
        <v>6.1668432086244999E-2</v>
      </c>
      <c r="R1383">
        <v>0.99510221463924697</v>
      </c>
      <c r="S1383" t="s">
        <v>6123</v>
      </c>
      <c r="T1383" t="s">
        <v>9478</v>
      </c>
      <c r="U1383" t="s">
        <v>9478</v>
      </c>
      <c r="V1383" t="s">
        <v>9478</v>
      </c>
      <c r="W1383">
        <v>37</v>
      </c>
      <c r="X1383" t="s">
        <v>10861</v>
      </c>
      <c r="Y1383">
        <v>0.41609208914015378</v>
      </c>
      <c r="Z1383" t="str">
        <f>HYPERLINK("Melting_Curves/meltCurve_sp_P53396_ACLY_HUMAN_.pdf", "Melting_Curves/meltCurve_sp_P53396_ACLY_HUMAN_.pdf")</f>
        <v>Melting_Curves/meltCurve_sp_P53396_ACLY_HUMAN_.pdf</v>
      </c>
      <c r="AA1383" t="s">
        <v>15577</v>
      </c>
      <c r="AB1383" t="s">
        <v>20218</v>
      </c>
    </row>
    <row r="1384" spans="1:28" x14ac:dyDescent="0.25">
      <c r="A1384" t="s">
        <v>1388</v>
      </c>
      <c r="B1384">
        <v>0.99904790336628502</v>
      </c>
      <c r="C1384">
        <v>0.91771894243020802</v>
      </c>
      <c r="D1384">
        <v>0.83674062205892197</v>
      </c>
      <c r="E1384">
        <v>0.69313714300095397</v>
      </c>
      <c r="F1384">
        <v>0.57226531370203904</v>
      </c>
      <c r="G1384">
        <v>0.28650456484182901</v>
      </c>
      <c r="H1384">
        <v>0.13144760045494999</v>
      </c>
      <c r="I1384">
        <v>0.12039869111531</v>
      </c>
      <c r="J1384">
        <v>0.12383288384571101</v>
      </c>
      <c r="K1384">
        <v>0.102591154179156</v>
      </c>
      <c r="L1384">
        <v>673.627412791403</v>
      </c>
      <c r="M1384">
        <v>12.7382120813761</v>
      </c>
      <c r="N1384">
        <v>53.200618092590403</v>
      </c>
      <c r="O1384">
        <v>51.629932450756002</v>
      </c>
      <c r="P1384">
        <v>-5.9429174038862199E-2</v>
      </c>
      <c r="Q1384">
        <v>3.6681878949545499E-2</v>
      </c>
      <c r="R1384">
        <v>0.99029308225158996</v>
      </c>
      <c r="S1384" t="s">
        <v>6124</v>
      </c>
      <c r="T1384" t="s">
        <v>9478</v>
      </c>
      <c r="U1384" t="s">
        <v>9478</v>
      </c>
      <c r="V1384" t="s">
        <v>9478</v>
      </c>
      <c r="W1384">
        <v>2</v>
      </c>
      <c r="X1384" t="s">
        <v>10862</v>
      </c>
      <c r="Y1384">
        <v>0.47614816998657578</v>
      </c>
      <c r="Z1384" t="str">
        <f>HYPERLINK("Melting_Curves/meltCurve_sp_P53582_AMPM1_HUMAN_.pdf", "Melting_Curves/meltCurve_sp_P53582_AMPM1_HUMAN_.pdf")</f>
        <v>Melting_Curves/meltCurve_sp_P53582_AMPM1_HUMAN_.pdf</v>
      </c>
      <c r="AA1384" t="s">
        <v>15578</v>
      </c>
      <c r="AB1384" t="s">
        <v>20219</v>
      </c>
    </row>
    <row r="1385" spans="1:28" x14ac:dyDescent="0.25">
      <c r="A1385" t="s">
        <v>1389</v>
      </c>
      <c r="B1385">
        <v>0.99904790336628502</v>
      </c>
      <c r="C1385">
        <v>0.97918693356287301</v>
      </c>
      <c r="D1385">
        <v>0.96155469860308196</v>
      </c>
      <c r="E1385">
        <v>0.709588279322107</v>
      </c>
      <c r="F1385">
        <v>0.21211443564663601</v>
      </c>
      <c r="G1385">
        <v>9.2424091119177196E-2</v>
      </c>
      <c r="H1385">
        <v>5.5075251384662197E-2</v>
      </c>
      <c r="I1385">
        <v>3.9390030820617997E-2</v>
      </c>
      <c r="J1385">
        <v>3.28235711086391E-2</v>
      </c>
      <c r="K1385">
        <v>2.8717556120094901E-2</v>
      </c>
      <c r="L1385">
        <v>1998.5301233519899</v>
      </c>
      <c r="M1385">
        <v>39.177509446910697</v>
      </c>
      <c r="N1385">
        <v>51.134300500890802</v>
      </c>
      <c r="O1385">
        <v>50.879813896547901</v>
      </c>
      <c r="P1385">
        <v>-0.18390343830149999</v>
      </c>
      <c r="Q1385">
        <v>4.4660932150690301E-2</v>
      </c>
      <c r="R1385">
        <v>0.99841442060615304</v>
      </c>
      <c r="S1385" t="s">
        <v>6125</v>
      </c>
      <c r="T1385" t="s">
        <v>9478</v>
      </c>
      <c r="U1385" t="s">
        <v>9478</v>
      </c>
      <c r="V1385" t="s">
        <v>9478</v>
      </c>
      <c r="W1385">
        <v>12</v>
      </c>
      <c r="X1385" t="s">
        <v>10863</v>
      </c>
      <c r="Y1385">
        <v>0.39885212100007489</v>
      </c>
      <c r="Z1385" t="str">
        <f>HYPERLINK("Melting_Curves/meltCurve_sp_P53597_SUCA_HUMAN_.pdf", "Melting_Curves/meltCurve_sp_P53597_SUCA_HUMAN_.pdf")</f>
        <v>Melting_Curves/meltCurve_sp_P53597_SUCA_HUMAN_.pdf</v>
      </c>
      <c r="AA1385" t="s">
        <v>15579</v>
      </c>
      <c r="AB1385" t="s">
        <v>20220</v>
      </c>
    </row>
    <row r="1386" spans="1:28" x14ac:dyDescent="0.25">
      <c r="A1386" t="s">
        <v>1390</v>
      </c>
      <c r="B1386">
        <v>0.99904790336628502</v>
      </c>
      <c r="C1386">
        <v>0.93859662130222099</v>
      </c>
      <c r="D1386">
        <v>0.91655897931407404</v>
      </c>
      <c r="E1386">
        <v>0.82710507555167401</v>
      </c>
      <c r="F1386">
        <v>0.38443665032855401</v>
      </c>
      <c r="G1386">
        <v>0.16331967233112399</v>
      </c>
      <c r="H1386">
        <v>9.2741799176442694E-2</v>
      </c>
      <c r="I1386">
        <v>6.7161006253526404E-2</v>
      </c>
      <c r="J1386">
        <v>4.5027652207341402E-2</v>
      </c>
      <c r="K1386">
        <v>3.7308218954543601E-2</v>
      </c>
      <c r="L1386">
        <v>1517.6824320205201</v>
      </c>
      <c r="M1386">
        <v>29.1197881717851</v>
      </c>
      <c r="N1386">
        <v>52.346842936865201</v>
      </c>
      <c r="O1386">
        <v>51.874661944326498</v>
      </c>
      <c r="P1386">
        <v>-0.13197127129716699</v>
      </c>
      <c r="Q1386">
        <v>5.96203329809709E-2</v>
      </c>
      <c r="R1386">
        <v>0.99212583571840096</v>
      </c>
      <c r="S1386" t="s">
        <v>6126</v>
      </c>
      <c r="T1386" t="s">
        <v>9478</v>
      </c>
      <c r="U1386" t="s">
        <v>9478</v>
      </c>
      <c r="V1386" t="s">
        <v>9478</v>
      </c>
      <c r="W1386">
        <v>14</v>
      </c>
      <c r="X1386" t="s">
        <v>10864</v>
      </c>
      <c r="Y1386">
        <v>0.44587408818773472</v>
      </c>
      <c r="Z1386" t="str">
        <f>HYPERLINK("Melting_Curves/meltCurve_sp_P53602_MVD1_HUMAN_.pdf", "Melting_Curves/meltCurve_sp_P53602_MVD1_HUMAN_.pdf")</f>
        <v>Melting_Curves/meltCurve_sp_P53602_MVD1_HUMAN_.pdf</v>
      </c>
      <c r="AA1386" t="s">
        <v>15580</v>
      </c>
      <c r="AB1386" t="s">
        <v>20221</v>
      </c>
    </row>
    <row r="1387" spans="1:28" x14ac:dyDescent="0.25">
      <c r="A1387" t="s">
        <v>1391</v>
      </c>
      <c r="B1387">
        <v>0.99904790336628502</v>
      </c>
      <c r="C1387">
        <v>0.92230399377359196</v>
      </c>
      <c r="D1387">
        <v>0.90084132305186404</v>
      </c>
      <c r="E1387">
        <v>0.87539103407228902</v>
      </c>
      <c r="F1387">
        <v>0.78166066724515404</v>
      </c>
      <c r="G1387">
        <v>0.39676804978988001</v>
      </c>
      <c r="H1387">
        <v>0.14573755754577</v>
      </c>
      <c r="I1387">
        <v>9.0724412521001205E-2</v>
      </c>
      <c r="J1387">
        <v>5.3768852511535799E-2</v>
      </c>
      <c r="K1387">
        <v>6.9576347749853107E-2</v>
      </c>
      <c r="L1387">
        <v>1132.38649577512</v>
      </c>
      <c r="M1387">
        <v>20.352713609376501</v>
      </c>
      <c r="N1387">
        <v>55.808794043386897</v>
      </c>
      <c r="O1387">
        <v>55.109352146149099</v>
      </c>
      <c r="P1387">
        <v>-8.9545566128654094E-2</v>
      </c>
      <c r="Q1387">
        <v>3.01742074009387E-2</v>
      </c>
      <c r="R1387">
        <v>0.98851279348764098</v>
      </c>
      <c r="S1387" t="s">
        <v>6127</v>
      </c>
      <c r="T1387" t="s">
        <v>9478</v>
      </c>
      <c r="U1387" t="s">
        <v>9478</v>
      </c>
      <c r="V1387" t="s">
        <v>9478</v>
      </c>
      <c r="W1387">
        <v>10</v>
      </c>
      <c r="X1387" t="s">
        <v>10865</v>
      </c>
      <c r="Y1387">
        <v>0.54806915901453757</v>
      </c>
      <c r="Z1387" t="str">
        <f>HYPERLINK("Melting_Curves/meltCurve_sp_P53609_PGTB1_HUMAN_.pdf", "Melting_Curves/meltCurve_sp_P53609_PGTB1_HUMAN_.pdf")</f>
        <v>Melting_Curves/meltCurve_sp_P53609_PGTB1_HUMAN_.pdf</v>
      </c>
      <c r="AA1387" t="s">
        <v>15581</v>
      </c>
      <c r="AB1387" t="s">
        <v>20222</v>
      </c>
    </row>
    <row r="1388" spans="1:28" x14ac:dyDescent="0.25">
      <c r="A1388" t="s">
        <v>1392</v>
      </c>
      <c r="B1388">
        <v>0.99904790336628502</v>
      </c>
      <c r="C1388">
        <v>0.95306509520043403</v>
      </c>
      <c r="D1388">
        <v>1.00547561555417</v>
      </c>
      <c r="E1388">
        <v>0.92981887248777095</v>
      </c>
      <c r="F1388">
        <v>0.69281730082000303</v>
      </c>
      <c r="G1388">
        <v>0.29577260640023201</v>
      </c>
      <c r="H1388">
        <v>0.107249732860195</v>
      </c>
      <c r="I1388">
        <v>5.71791116414892E-2</v>
      </c>
      <c r="J1388">
        <v>3.8458859000178099E-2</v>
      </c>
      <c r="K1388">
        <v>3.5976227540851898E-2</v>
      </c>
      <c r="L1388">
        <v>1365.0457404456499</v>
      </c>
      <c r="M1388">
        <v>24.945991823883201</v>
      </c>
      <c r="N1388">
        <v>54.868517152187302</v>
      </c>
      <c r="O1388">
        <v>54.372063566221797</v>
      </c>
      <c r="P1388">
        <v>-0.110958377914053</v>
      </c>
      <c r="Q1388">
        <v>3.2637960043191701E-2</v>
      </c>
      <c r="R1388">
        <v>0.99849508677923005</v>
      </c>
      <c r="S1388" t="s">
        <v>6128</v>
      </c>
      <c r="T1388" t="s">
        <v>9478</v>
      </c>
      <c r="U1388" t="s">
        <v>9478</v>
      </c>
      <c r="V1388" t="s">
        <v>9478</v>
      </c>
      <c r="W1388">
        <v>5</v>
      </c>
      <c r="X1388" t="s">
        <v>10866</v>
      </c>
      <c r="Y1388">
        <v>0.51628217538574883</v>
      </c>
      <c r="Z1388" t="str">
        <f>HYPERLINK("Melting_Curves/meltCurve_sp_P53611_PGTB2_HUMAN_.pdf", "Melting_Curves/meltCurve_sp_P53611_PGTB2_HUMAN_.pdf")</f>
        <v>Melting_Curves/meltCurve_sp_P53611_PGTB2_HUMAN_.pdf</v>
      </c>
      <c r="AA1388" t="s">
        <v>15582</v>
      </c>
      <c r="AB1388" t="s">
        <v>20223</v>
      </c>
    </row>
    <row r="1389" spans="1:28" x14ac:dyDescent="0.25">
      <c r="A1389" t="s">
        <v>1393</v>
      </c>
      <c r="B1389">
        <v>0.99904790336628502</v>
      </c>
      <c r="C1389">
        <v>1.17650681230884</v>
      </c>
      <c r="D1389">
        <v>1.28742802454866</v>
      </c>
      <c r="E1389">
        <v>1.1394621104495199</v>
      </c>
      <c r="F1389">
        <v>0.62566362002061204</v>
      </c>
      <c r="G1389">
        <v>0.36706634519359799</v>
      </c>
      <c r="H1389">
        <v>0.15175159849130199</v>
      </c>
      <c r="I1389">
        <v>8.8210841645930294E-2</v>
      </c>
      <c r="J1389">
        <v>5.56063345635706E-2</v>
      </c>
      <c r="K1389">
        <v>4.3676751843655499E-2</v>
      </c>
      <c r="L1389">
        <v>1533.7207621687701</v>
      </c>
      <c r="M1389">
        <v>27.941000744604601</v>
      </c>
      <c r="N1389">
        <v>55.187513994702201</v>
      </c>
      <c r="O1389">
        <v>54.612540535015199</v>
      </c>
      <c r="P1389">
        <v>-0.119003034161168</v>
      </c>
      <c r="Q1389">
        <v>6.9610732341557804E-2</v>
      </c>
      <c r="R1389">
        <v>0.92643214202215296</v>
      </c>
      <c r="S1389" t="s">
        <v>6129</v>
      </c>
      <c r="T1389" t="s">
        <v>9478</v>
      </c>
      <c r="U1389" t="s">
        <v>9478</v>
      </c>
      <c r="V1389" t="s">
        <v>9478</v>
      </c>
      <c r="W1389">
        <v>36</v>
      </c>
      <c r="X1389" t="s">
        <v>10867</v>
      </c>
      <c r="Y1389">
        <v>0.53848125804884528</v>
      </c>
      <c r="Z1389" t="str">
        <f>HYPERLINK("Melting_Curves/meltCurve_sp_P53618_COPB_HUMAN_.pdf", "Melting_Curves/meltCurve_sp_P53618_COPB_HUMAN_.pdf")</f>
        <v>Melting_Curves/meltCurve_sp_P53618_COPB_HUMAN_.pdf</v>
      </c>
      <c r="AA1389" t="s">
        <v>15583</v>
      </c>
      <c r="AB1389" t="s">
        <v>19933</v>
      </c>
    </row>
    <row r="1390" spans="1:28" x14ac:dyDescent="0.25">
      <c r="A1390" t="s">
        <v>1394</v>
      </c>
      <c r="B1390">
        <v>0.99904790336628502</v>
      </c>
      <c r="C1390">
        <v>1.2141418982219201</v>
      </c>
      <c r="D1390">
        <v>1.34271097807611</v>
      </c>
      <c r="E1390">
        <v>1.23504082339508</v>
      </c>
      <c r="F1390">
        <v>0.58767756546225103</v>
      </c>
      <c r="G1390">
        <v>0.20462829446561101</v>
      </c>
      <c r="H1390">
        <v>0.103657146796754</v>
      </c>
      <c r="I1390">
        <v>7.31570920894168E-2</v>
      </c>
      <c r="J1390">
        <v>5.3722422635673797E-2</v>
      </c>
      <c r="K1390">
        <v>4.0917081107702799E-2</v>
      </c>
      <c r="L1390">
        <v>13259.413391682399</v>
      </c>
      <c r="M1390">
        <v>250</v>
      </c>
      <c r="N1390">
        <v>53.082510816845002</v>
      </c>
      <c r="O1390">
        <v>53.034260215715499</v>
      </c>
      <c r="P1390">
        <v>-1.0662725625583001</v>
      </c>
      <c r="Q1390">
        <v>9.5216388422644793E-2</v>
      </c>
      <c r="R1390">
        <v>0.91521483865174902</v>
      </c>
      <c r="S1390" t="s">
        <v>6130</v>
      </c>
      <c r="T1390" t="s">
        <v>9478</v>
      </c>
      <c r="U1390" t="s">
        <v>9478</v>
      </c>
      <c r="V1390" t="s">
        <v>9478</v>
      </c>
      <c r="W1390">
        <v>50</v>
      </c>
      <c r="X1390" t="s">
        <v>10868</v>
      </c>
      <c r="Y1390">
        <v>0.48850911526667568</v>
      </c>
      <c r="Z1390" t="str">
        <f>HYPERLINK("Melting_Curves/meltCurve_sp_P53621_COPA_HUMAN_.pdf", "Melting_Curves/meltCurve_sp_P53621_COPA_HUMAN_.pdf")</f>
        <v>Melting_Curves/meltCurve_sp_P53621_COPA_HUMAN_.pdf</v>
      </c>
      <c r="AA1390" t="s">
        <v>15584</v>
      </c>
      <c r="AB1390" t="s">
        <v>20224</v>
      </c>
    </row>
    <row r="1391" spans="1:28" x14ac:dyDescent="0.25">
      <c r="A1391" t="s">
        <v>1395</v>
      </c>
      <c r="B1391">
        <v>0.99904790336628502</v>
      </c>
      <c r="C1391">
        <v>1.0044681823974899</v>
      </c>
      <c r="D1391">
        <v>1.0456115794795899</v>
      </c>
      <c r="E1391">
        <v>0.94304658137699604</v>
      </c>
      <c r="F1391">
        <v>0.88180593970660703</v>
      </c>
      <c r="G1391">
        <v>0.63126934519302502</v>
      </c>
      <c r="H1391">
        <v>0.41697283748146602</v>
      </c>
      <c r="I1391">
        <v>0.31361959872574202</v>
      </c>
      <c r="J1391">
        <v>0.24218342757436401</v>
      </c>
      <c r="K1391">
        <v>0.17529608106132399</v>
      </c>
      <c r="L1391">
        <v>998.26765943676605</v>
      </c>
      <c r="M1391">
        <v>17.154927779592899</v>
      </c>
      <c r="N1391">
        <v>59.429603314114502</v>
      </c>
      <c r="O1391">
        <v>57.417834674150697</v>
      </c>
      <c r="P1391">
        <v>-6.3472997555741401E-2</v>
      </c>
      <c r="Q1391">
        <v>0.150269866938783</v>
      </c>
      <c r="R1391">
        <v>0.99596455387708005</v>
      </c>
      <c r="S1391" t="s">
        <v>6131</v>
      </c>
      <c r="T1391" t="s">
        <v>9478</v>
      </c>
      <c r="U1391" t="s">
        <v>9478</v>
      </c>
      <c r="V1391" t="s">
        <v>9478</v>
      </c>
      <c r="W1391">
        <v>9</v>
      </c>
      <c r="X1391" t="s">
        <v>10869</v>
      </c>
      <c r="Y1391">
        <v>0.67606558268579453</v>
      </c>
      <c r="Z1391" t="str">
        <f>HYPERLINK("Melting_Curves/meltCurve_sp_P53634_CATC_HUMAN_.pdf", "Melting_Curves/meltCurve_sp_P53634_CATC_HUMAN_.pdf")</f>
        <v>Melting_Curves/meltCurve_sp_P53634_CATC_HUMAN_.pdf</v>
      </c>
      <c r="AA1391" t="s">
        <v>15585</v>
      </c>
      <c r="AB1391" t="s">
        <v>20225</v>
      </c>
    </row>
    <row r="1392" spans="1:28" x14ac:dyDescent="0.25">
      <c r="A1392" t="s">
        <v>1396</v>
      </c>
      <c r="B1392">
        <v>0.99904790336628502</v>
      </c>
      <c r="C1392">
        <v>1.29790486137831</v>
      </c>
      <c r="D1392">
        <v>1.4078196463608601</v>
      </c>
      <c r="E1392">
        <v>0.90116667171631404</v>
      </c>
      <c r="F1392">
        <v>0.44783084350904201</v>
      </c>
      <c r="G1392">
        <v>0.279194317036768</v>
      </c>
      <c r="H1392">
        <v>8.8149165603942606E-2</v>
      </c>
      <c r="I1392">
        <v>4.5403874561062298E-2</v>
      </c>
      <c r="J1392">
        <v>4.4694073853262101E-2</v>
      </c>
      <c r="K1392">
        <v>0</v>
      </c>
      <c r="L1392">
        <v>1676.37780505052</v>
      </c>
      <c r="M1392">
        <v>31.675416866103401</v>
      </c>
      <c r="N1392">
        <v>53.144291069972802</v>
      </c>
      <c r="O1392">
        <v>52.714029247590197</v>
      </c>
      <c r="P1392">
        <v>-0.14096674519517799</v>
      </c>
      <c r="Q1392">
        <v>6.16211692239369E-2</v>
      </c>
      <c r="R1392">
        <v>0.893974374300605</v>
      </c>
      <c r="S1392" t="s">
        <v>6132</v>
      </c>
      <c r="T1392" t="s">
        <v>9478</v>
      </c>
      <c r="U1392" t="s">
        <v>9478</v>
      </c>
      <c r="V1392" t="s">
        <v>9478</v>
      </c>
      <c r="W1392">
        <v>15</v>
      </c>
      <c r="X1392" t="s">
        <v>10870</v>
      </c>
      <c r="Y1392">
        <v>0.47132505627102461</v>
      </c>
      <c r="Z1392" t="str">
        <f>HYPERLINK("Melting_Curves/meltCurve_sp_P53675_2_CLH2_HUMAN_.pdf", "Melting_Curves/meltCurve_sp_P53675_2_CLH2_HUMAN_.pdf")</f>
        <v>Melting_Curves/meltCurve_sp_P53675_2_CLH2_HUMAN_.pdf</v>
      </c>
      <c r="AA1392" t="s">
        <v>15586</v>
      </c>
      <c r="AB1392" t="s">
        <v>20226</v>
      </c>
    </row>
    <row r="1393" spans="1:28" x14ac:dyDescent="0.25">
      <c r="A1393" t="s">
        <v>1397</v>
      </c>
      <c r="B1393">
        <v>0.99904790336628502</v>
      </c>
      <c r="C1393">
        <v>1.0491704304213001</v>
      </c>
      <c r="D1393">
        <v>1.0264201648406099</v>
      </c>
      <c r="E1393">
        <v>0.95676226491370497</v>
      </c>
      <c r="F1393">
        <v>0.65599556676026305</v>
      </c>
      <c r="G1393">
        <v>0.36452639946186099</v>
      </c>
      <c r="H1393">
        <v>0.15369710847929399</v>
      </c>
      <c r="I1393">
        <v>9.0674037145491201E-2</v>
      </c>
      <c r="J1393">
        <v>6.4977122983139901E-2</v>
      </c>
      <c r="K1393">
        <v>9.5803703849816804E-2</v>
      </c>
      <c r="L1393">
        <v>1273.43584433615</v>
      </c>
      <c r="M1393">
        <v>23.266291451808002</v>
      </c>
      <c r="N1393">
        <v>55.102295757311602</v>
      </c>
      <c r="O1393">
        <v>54.333554059786699</v>
      </c>
      <c r="P1393">
        <v>-9.9328218131783802E-2</v>
      </c>
      <c r="Q1393">
        <v>7.2175567558638506E-2</v>
      </c>
      <c r="R1393">
        <v>0.993835028322125</v>
      </c>
      <c r="S1393" t="s">
        <v>6133</v>
      </c>
      <c r="T1393" t="s">
        <v>9478</v>
      </c>
      <c r="U1393" t="s">
        <v>9478</v>
      </c>
      <c r="V1393" t="s">
        <v>9478</v>
      </c>
      <c r="W1393">
        <v>4</v>
      </c>
      <c r="X1393" t="s">
        <v>10871</v>
      </c>
      <c r="Y1393">
        <v>0.53756552093012366</v>
      </c>
      <c r="Z1393" t="str">
        <f>HYPERLINK("Melting_Curves/meltCurve_sp_P53680_AP2S1_HUMAN_.pdf", "Melting_Curves/meltCurve_sp_P53680_AP2S1_HUMAN_.pdf")</f>
        <v>Melting_Curves/meltCurve_sp_P53680_AP2S1_HUMAN_.pdf</v>
      </c>
      <c r="AA1393" t="s">
        <v>15587</v>
      </c>
      <c r="AB1393" t="s">
        <v>20227</v>
      </c>
    </row>
    <row r="1394" spans="1:28" x14ac:dyDescent="0.25">
      <c r="A1394" t="s">
        <v>1398</v>
      </c>
      <c r="B1394">
        <v>0.99904790336628502</v>
      </c>
      <c r="C1394">
        <v>0.83064162610409797</v>
      </c>
      <c r="D1394">
        <v>0.86973728901326897</v>
      </c>
      <c r="E1394">
        <v>0.69661139968557295</v>
      </c>
      <c r="F1394">
        <v>0.52295303891588796</v>
      </c>
      <c r="G1394">
        <v>0.21580664523246201</v>
      </c>
      <c r="H1394">
        <v>0.121766786323225</v>
      </c>
      <c r="I1394">
        <v>7.1772043352902298E-2</v>
      </c>
      <c r="J1394">
        <v>3.9955431243203499E-2</v>
      </c>
      <c r="K1394">
        <v>4.4343005564026303E-2</v>
      </c>
      <c r="L1394">
        <v>715.39340099728997</v>
      </c>
      <c r="M1394">
        <v>13.591320757191699</v>
      </c>
      <c r="N1394">
        <v>52.636061826439096</v>
      </c>
      <c r="O1394">
        <v>51.535764010031301</v>
      </c>
      <c r="P1394">
        <v>-6.5941289909587697E-2</v>
      </c>
      <c r="Q1394">
        <v>0</v>
      </c>
      <c r="R1394">
        <v>0.98393690536490497</v>
      </c>
      <c r="S1394" t="s">
        <v>6134</v>
      </c>
      <c r="T1394" t="s">
        <v>9478</v>
      </c>
      <c r="U1394" t="s">
        <v>9478</v>
      </c>
      <c r="V1394" t="s">
        <v>9478</v>
      </c>
      <c r="W1394">
        <v>2</v>
      </c>
      <c r="X1394" t="s">
        <v>10872</v>
      </c>
      <c r="Y1394">
        <v>0.44623818074993182</v>
      </c>
      <c r="Z1394" t="str">
        <f>HYPERLINK("Melting_Curves/meltCurve_sp_P53805_RCAN1_HUMAN_.pdf", "Melting_Curves/meltCurve_sp_P53805_RCAN1_HUMAN_.pdf")</f>
        <v>Melting_Curves/meltCurve_sp_P53805_RCAN1_HUMAN_.pdf</v>
      </c>
      <c r="AA1394" t="s">
        <v>15588</v>
      </c>
      <c r="AB1394" t="s">
        <v>20228</v>
      </c>
    </row>
    <row r="1395" spans="1:28" x14ac:dyDescent="0.25">
      <c r="A1395" t="s">
        <v>1399</v>
      </c>
      <c r="B1395">
        <v>0.99904790336628502</v>
      </c>
      <c r="C1395">
        <v>0.94548718492010697</v>
      </c>
      <c r="D1395">
        <v>0.91311232668460396</v>
      </c>
      <c r="E1395">
        <v>0.64868831619406897</v>
      </c>
      <c r="F1395">
        <v>0.58716448166054802</v>
      </c>
      <c r="G1395">
        <v>0.172463516992473</v>
      </c>
      <c r="H1395">
        <v>8.2612343369308699E-2</v>
      </c>
      <c r="I1395">
        <v>5.5625058675108099E-2</v>
      </c>
      <c r="J1395">
        <v>4.1763472873439698E-2</v>
      </c>
      <c r="K1395">
        <v>3.2413909433619797E-2</v>
      </c>
      <c r="L1395">
        <v>845.86210030717905</v>
      </c>
      <c r="M1395">
        <v>16.024570492444902</v>
      </c>
      <c r="N1395">
        <v>52.785328220857501</v>
      </c>
      <c r="O1395">
        <v>51.983806758702499</v>
      </c>
      <c r="P1395">
        <v>-7.7071212088631005E-2</v>
      </c>
      <c r="Q1395">
        <v>0</v>
      </c>
      <c r="R1395">
        <v>0.98702081970647504</v>
      </c>
      <c r="S1395" t="s">
        <v>6135</v>
      </c>
      <c r="T1395" t="s">
        <v>9478</v>
      </c>
      <c r="U1395" t="s">
        <v>9478</v>
      </c>
      <c r="V1395" t="s">
        <v>9478</v>
      </c>
      <c r="W1395">
        <v>9</v>
      </c>
      <c r="X1395" t="s">
        <v>10873</v>
      </c>
      <c r="Y1395">
        <v>0.44589012224778618</v>
      </c>
      <c r="Z1395" t="str">
        <f>HYPERLINK("Melting_Curves/meltCurve_sp_P53990_2_IST1_HUMAN_.pdf", "Melting_Curves/meltCurve_sp_P53990_2_IST1_HUMAN_.pdf")</f>
        <v>Melting_Curves/meltCurve_sp_P53990_2_IST1_HUMAN_.pdf</v>
      </c>
      <c r="AA1395" t="s">
        <v>15589</v>
      </c>
      <c r="AB1395" t="s">
        <v>20229</v>
      </c>
    </row>
    <row r="1396" spans="1:28" x14ac:dyDescent="0.25">
      <c r="A1396" t="s">
        <v>1400</v>
      </c>
      <c r="B1396">
        <v>0.99904790336628502</v>
      </c>
      <c r="C1396">
        <v>0.98241461975884603</v>
      </c>
      <c r="D1396">
        <v>1.0412399503963601</v>
      </c>
      <c r="E1396">
        <v>0.81586420367114099</v>
      </c>
      <c r="F1396">
        <v>0.259363729281199</v>
      </c>
      <c r="G1396">
        <v>9.17432345363208E-2</v>
      </c>
      <c r="H1396">
        <v>5.2143695121261102E-2</v>
      </c>
      <c r="I1396">
        <v>4.2946005860950702E-2</v>
      </c>
      <c r="J1396">
        <v>3.9655891149151697E-2</v>
      </c>
      <c r="K1396">
        <v>3.05713862707453E-2</v>
      </c>
      <c r="L1396">
        <v>2350.9312060319699</v>
      </c>
      <c r="M1396">
        <v>45.591653335675801</v>
      </c>
      <c r="N1396">
        <v>51.6798781267807</v>
      </c>
      <c r="O1396">
        <v>51.4660345699657</v>
      </c>
      <c r="P1396">
        <v>-0.21078679983297</v>
      </c>
      <c r="Q1396">
        <v>4.8216369183502403E-2</v>
      </c>
      <c r="R1396">
        <v>0.99802227088969397</v>
      </c>
      <c r="S1396" t="s">
        <v>6136</v>
      </c>
      <c r="T1396" t="s">
        <v>9478</v>
      </c>
      <c r="U1396" t="s">
        <v>9478</v>
      </c>
      <c r="V1396" t="s">
        <v>9478</v>
      </c>
      <c r="W1396">
        <v>22</v>
      </c>
      <c r="X1396" t="s">
        <v>10874</v>
      </c>
      <c r="Y1396">
        <v>0.41773365957159297</v>
      </c>
      <c r="Z1396" t="str">
        <f>HYPERLINK("Melting_Curves/meltCurve_sp_P53992_SC24C_HUMAN_.pdf", "Melting_Curves/meltCurve_sp_P53992_SC24C_HUMAN_.pdf")</f>
        <v>Melting_Curves/meltCurve_sp_P53992_SC24C_HUMAN_.pdf</v>
      </c>
      <c r="AA1396" t="s">
        <v>15590</v>
      </c>
      <c r="AB1396" t="s">
        <v>20230</v>
      </c>
    </row>
    <row r="1397" spans="1:28" x14ac:dyDescent="0.25">
      <c r="A1397" t="s">
        <v>1401</v>
      </c>
      <c r="B1397">
        <v>0.99904790336628502</v>
      </c>
      <c r="C1397">
        <v>1.0287517817790399</v>
      </c>
      <c r="D1397">
        <v>1.03328057257954</v>
      </c>
      <c r="E1397">
        <v>0.93160439430516195</v>
      </c>
      <c r="F1397">
        <v>0.79174714561972204</v>
      </c>
      <c r="G1397">
        <v>0.57159824199610398</v>
      </c>
      <c r="H1397">
        <v>0.47579720792039898</v>
      </c>
      <c r="I1397">
        <v>0.43252529515470001</v>
      </c>
      <c r="J1397">
        <v>0.52334335255142905</v>
      </c>
      <c r="K1397">
        <v>0.482809783387878</v>
      </c>
      <c r="L1397">
        <v>1524.6176103596999</v>
      </c>
      <c r="M1397">
        <v>28.357040784593298</v>
      </c>
      <c r="N1397">
        <v>60.049588732827097</v>
      </c>
      <c r="O1397">
        <v>53.4997955131333</v>
      </c>
      <c r="P1397">
        <v>-6.9662412891254299E-2</v>
      </c>
      <c r="Q1397">
        <v>0.47429007365933801</v>
      </c>
      <c r="R1397">
        <v>0.98739960989906395</v>
      </c>
      <c r="S1397" t="s">
        <v>6137</v>
      </c>
      <c r="T1397" t="s">
        <v>9478</v>
      </c>
      <c r="U1397" t="s">
        <v>9478</v>
      </c>
      <c r="V1397" t="s">
        <v>9478</v>
      </c>
      <c r="W1397">
        <v>10</v>
      </c>
      <c r="X1397" t="s">
        <v>10875</v>
      </c>
      <c r="Y1397">
        <v>0.71934197543390077</v>
      </c>
      <c r="Z1397" t="str">
        <f>HYPERLINK("Melting_Curves/meltCurve_sp_P53999_TCP4_HUMAN_.pdf", "Melting_Curves/meltCurve_sp_P53999_TCP4_HUMAN_.pdf")</f>
        <v>Melting_Curves/meltCurve_sp_P53999_TCP4_HUMAN_.pdf</v>
      </c>
      <c r="AA1397" t="s">
        <v>15591</v>
      </c>
      <c r="AB1397" t="s">
        <v>20231</v>
      </c>
    </row>
    <row r="1398" spans="1:28" x14ac:dyDescent="0.25">
      <c r="A1398" t="s">
        <v>1402</v>
      </c>
      <c r="B1398">
        <v>0.99904790336628502</v>
      </c>
      <c r="C1398">
        <v>0.90151999171792896</v>
      </c>
      <c r="D1398">
        <v>0.46864109947713001</v>
      </c>
      <c r="E1398">
        <v>0.17017827954707601</v>
      </c>
      <c r="F1398">
        <v>6.8384690151845506E-2</v>
      </c>
      <c r="G1398">
        <v>4.2159385563497902E-2</v>
      </c>
      <c r="H1398">
        <v>2.75235477610241E-2</v>
      </c>
      <c r="I1398">
        <v>2.18333682592434E-2</v>
      </c>
      <c r="J1398">
        <v>1.7119422808393101E-2</v>
      </c>
      <c r="K1398">
        <v>1.30045633808612E-2</v>
      </c>
      <c r="L1398">
        <v>1209.1445057635999</v>
      </c>
      <c r="M1398">
        <v>26.3378815458791</v>
      </c>
      <c r="N1398">
        <v>46.0153676546893</v>
      </c>
      <c r="O1398">
        <v>45.6467416378621</v>
      </c>
      <c r="P1398">
        <v>-0.139988119837958</v>
      </c>
      <c r="Q1398">
        <v>2.95450808963722E-2</v>
      </c>
      <c r="R1398">
        <v>0.99631635630227799</v>
      </c>
      <c r="S1398" t="s">
        <v>6138</v>
      </c>
      <c r="T1398" t="s">
        <v>9478</v>
      </c>
      <c r="U1398" t="s">
        <v>9478</v>
      </c>
      <c r="V1398" t="s">
        <v>9478</v>
      </c>
      <c r="W1398">
        <v>27</v>
      </c>
      <c r="X1398" t="s">
        <v>10876</v>
      </c>
      <c r="Y1398">
        <v>0.22867702119884609</v>
      </c>
      <c r="Z1398" t="str">
        <f>HYPERLINK("Melting_Curves/meltCurve_sp_P54136_SYRC_HUMAN_.pdf", "Melting_Curves/meltCurve_sp_P54136_SYRC_HUMAN_.pdf")</f>
        <v>Melting_Curves/meltCurve_sp_P54136_SYRC_HUMAN_.pdf</v>
      </c>
      <c r="AA1398" t="s">
        <v>15592</v>
      </c>
      <c r="AB1398" t="s">
        <v>20232</v>
      </c>
    </row>
    <row r="1399" spans="1:28" x14ac:dyDescent="0.25">
      <c r="A1399" t="s">
        <v>1403</v>
      </c>
      <c r="B1399">
        <v>0.99904790336628502</v>
      </c>
      <c r="C1399">
        <v>0.99241486815512003</v>
      </c>
      <c r="D1399">
        <v>0.95294738753088504</v>
      </c>
      <c r="E1399">
        <v>0.96317620165052598</v>
      </c>
      <c r="F1399">
        <v>1.0197839730309399</v>
      </c>
      <c r="G1399">
        <v>0.65122364075502304</v>
      </c>
      <c r="H1399">
        <v>0.46037336462259199</v>
      </c>
      <c r="I1399">
        <v>0.37250830802533202</v>
      </c>
      <c r="J1399">
        <v>0.32355822220167402</v>
      </c>
      <c r="K1399">
        <v>0.33388370949677798</v>
      </c>
      <c r="L1399">
        <v>1900.3453221407401</v>
      </c>
      <c r="M1399">
        <v>33.264299737500899</v>
      </c>
      <c r="N1399">
        <v>59.209380996350397</v>
      </c>
      <c r="O1399">
        <v>56.923411583113101</v>
      </c>
      <c r="P1399">
        <v>-9.5741120184552997E-2</v>
      </c>
      <c r="Q1399">
        <v>0.34465649014316302</v>
      </c>
      <c r="R1399">
        <v>0.98644009001433997</v>
      </c>
      <c r="S1399" t="s">
        <v>6139</v>
      </c>
      <c r="T1399" t="s">
        <v>9478</v>
      </c>
      <c r="U1399" t="s">
        <v>9478</v>
      </c>
      <c r="V1399" t="s">
        <v>9478</v>
      </c>
      <c r="W1399">
        <v>4</v>
      </c>
      <c r="X1399" t="s">
        <v>10877</v>
      </c>
      <c r="Y1399">
        <v>0.72245233642693363</v>
      </c>
      <c r="Z1399" t="str">
        <f>HYPERLINK("Melting_Curves/meltCurve_sp_P54253_ATX1_HUMAN_.pdf", "Melting_Curves/meltCurve_sp_P54253_ATX1_HUMAN_.pdf")</f>
        <v>Melting_Curves/meltCurve_sp_P54253_ATX1_HUMAN_.pdf</v>
      </c>
      <c r="AA1399" t="s">
        <v>15593</v>
      </c>
      <c r="AB1399" t="s">
        <v>20233</v>
      </c>
    </row>
    <row r="1400" spans="1:28" x14ac:dyDescent="0.25">
      <c r="A1400" t="s">
        <v>1404</v>
      </c>
      <c r="B1400">
        <v>0.99904790336628502</v>
      </c>
      <c r="C1400">
        <v>0.79437626899617797</v>
      </c>
      <c r="D1400">
        <v>0.69255626873906095</v>
      </c>
      <c r="E1400">
        <v>0.32049395383602702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967.41744649941302</v>
      </c>
      <c r="M1400">
        <v>20.3910512631697</v>
      </c>
      <c r="N1400">
        <v>47.443238005803899</v>
      </c>
      <c r="O1400">
        <v>46.993998883779597</v>
      </c>
      <c r="P1400">
        <v>-0.108480132403018</v>
      </c>
      <c r="Q1400">
        <v>0</v>
      </c>
      <c r="R1400">
        <v>0.98021085794623097</v>
      </c>
      <c r="S1400" t="s">
        <v>6140</v>
      </c>
      <c r="T1400" t="s">
        <v>9478</v>
      </c>
      <c r="U1400" t="s">
        <v>9478</v>
      </c>
      <c r="V1400" t="s">
        <v>9478</v>
      </c>
      <c r="W1400">
        <v>2</v>
      </c>
      <c r="X1400" t="s">
        <v>10878</v>
      </c>
      <c r="Y1400">
        <v>0.26192711206419972</v>
      </c>
      <c r="Z1400" t="str">
        <f>HYPERLINK("Melting_Curves/meltCurve_sp_P54278_3_PMS2_HUMAN_.pdf", "Melting_Curves/meltCurve_sp_P54278_3_PMS2_HUMAN_.pdf")</f>
        <v>Melting_Curves/meltCurve_sp_P54278_3_PMS2_HUMAN_.pdf</v>
      </c>
      <c r="AA1400" t="s">
        <v>15594</v>
      </c>
      <c r="AB1400" t="s">
        <v>20234</v>
      </c>
    </row>
    <row r="1401" spans="1:28" x14ac:dyDescent="0.25">
      <c r="A1401" t="s">
        <v>1405</v>
      </c>
      <c r="B1401">
        <v>0.99904790336628502</v>
      </c>
      <c r="C1401">
        <v>0.93297834375723798</v>
      </c>
      <c r="D1401">
        <v>0.759946494919021</v>
      </c>
      <c r="E1401">
        <v>0.42515408840418201</v>
      </c>
      <c r="F1401">
        <v>0.224624207886121</v>
      </c>
      <c r="G1401">
        <v>0.113993341462898</v>
      </c>
      <c r="H1401">
        <v>7.3558910407900302E-2</v>
      </c>
      <c r="I1401">
        <v>5.29170331347621E-2</v>
      </c>
      <c r="J1401">
        <v>6.1095486211133698E-2</v>
      </c>
      <c r="K1401">
        <v>5.03833122539106E-2</v>
      </c>
      <c r="L1401">
        <v>900.35637893348996</v>
      </c>
      <c r="M1401">
        <v>18.450433869047899</v>
      </c>
      <c r="N1401">
        <v>49.071452405523203</v>
      </c>
      <c r="O1401">
        <v>48.236240234383999</v>
      </c>
      <c r="P1401">
        <v>-9.0968465640892504E-2</v>
      </c>
      <c r="Q1401">
        <v>4.8742037162385302E-2</v>
      </c>
      <c r="R1401">
        <v>0.99968819891819305</v>
      </c>
      <c r="S1401" t="s">
        <v>6141</v>
      </c>
      <c r="T1401" t="s">
        <v>9478</v>
      </c>
      <c r="U1401" t="s">
        <v>9478</v>
      </c>
      <c r="V1401" t="s">
        <v>9478</v>
      </c>
      <c r="W1401">
        <v>31</v>
      </c>
      <c r="X1401" t="s">
        <v>10879</v>
      </c>
      <c r="Y1401">
        <v>0.34347225317313301</v>
      </c>
      <c r="Z1401" t="str">
        <f>HYPERLINK("Melting_Curves/meltCurve_sp_P54577_SYYC_HUMAN_.pdf", "Melting_Curves/meltCurve_sp_P54577_SYYC_HUMAN_.pdf")</f>
        <v>Melting_Curves/meltCurve_sp_P54577_SYYC_HUMAN_.pdf</v>
      </c>
      <c r="AA1401" t="s">
        <v>15595</v>
      </c>
      <c r="AB1401" t="s">
        <v>20235</v>
      </c>
    </row>
    <row r="1402" spans="1:28" x14ac:dyDescent="0.25">
      <c r="A1402" t="s">
        <v>1406</v>
      </c>
      <c r="B1402">
        <v>0.99904790336628502</v>
      </c>
      <c r="C1402">
        <v>0.97549210505719897</v>
      </c>
      <c r="D1402">
        <v>0.97837707163102605</v>
      </c>
      <c r="E1402">
        <v>0.907125771833869</v>
      </c>
      <c r="F1402">
        <v>0.58562847198810097</v>
      </c>
      <c r="G1402">
        <v>0.20271371114077499</v>
      </c>
      <c r="H1402">
        <v>9.1186232260928701E-2</v>
      </c>
      <c r="I1402">
        <v>6.0124467954476998E-2</v>
      </c>
      <c r="J1402">
        <v>4.27301386123356E-2</v>
      </c>
      <c r="K1402">
        <v>3.1994066497163902E-2</v>
      </c>
      <c r="L1402">
        <v>1490.18419590502</v>
      </c>
      <c r="M1402">
        <v>27.796534373527699</v>
      </c>
      <c r="N1402">
        <v>53.791818250530397</v>
      </c>
      <c r="O1402">
        <v>53.335275303741099</v>
      </c>
      <c r="P1402">
        <v>-0.12446392318081501</v>
      </c>
      <c r="Q1402">
        <v>4.4735987318264003E-2</v>
      </c>
      <c r="R1402">
        <v>0.998993665766163</v>
      </c>
      <c r="S1402" t="s">
        <v>6142</v>
      </c>
      <c r="T1402" t="s">
        <v>9478</v>
      </c>
      <c r="U1402" t="s">
        <v>9478</v>
      </c>
      <c r="V1402" t="s">
        <v>9478</v>
      </c>
      <c r="W1402">
        <v>18</v>
      </c>
      <c r="X1402" t="s">
        <v>10880</v>
      </c>
      <c r="Y1402">
        <v>0.48535467567259549</v>
      </c>
      <c r="Z1402" t="str">
        <f>HYPERLINK("Melting_Curves/meltCurve_sp_P54578_2_UBP14_HUMAN_.pdf", "Melting_Curves/meltCurve_sp_P54578_2_UBP14_HUMAN_.pdf")</f>
        <v>Melting_Curves/meltCurve_sp_P54578_2_UBP14_HUMAN_.pdf</v>
      </c>
      <c r="AA1402" t="s">
        <v>15596</v>
      </c>
      <c r="AB1402" t="s">
        <v>20236</v>
      </c>
    </row>
    <row r="1403" spans="1:28" x14ac:dyDescent="0.25">
      <c r="A1403" t="s">
        <v>1407</v>
      </c>
      <c r="B1403">
        <v>0.99904790336628502</v>
      </c>
      <c r="C1403">
        <v>1.0491056625326001</v>
      </c>
      <c r="D1403">
        <v>1.0520835817866201</v>
      </c>
      <c r="E1403">
        <v>0.79492336057698598</v>
      </c>
      <c r="F1403">
        <v>0.44775279304226501</v>
      </c>
      <c r="G1403">
        <v>0.16812967494528899</v>
      </c>
      <c r="H1403">
        <v>9.3403041265425202E-2</v>
      </c>
      <c r="I1403">
        <v>6.15150619920702E-2</v>
      </c>
      <c r="J1403">
        <v>4.1427175843297803E-2</v>
      </c>
      <c r="K1403">
        <v>3.1561136524979203E-2</v>
      </c>
      <c r="L1403">
        <v>1436.3811587443899</v>
      </c>
      <c r="M1403">
        <v>27.391094067315901</v>
      </c>
      <c r="N1403">
        <v>52.652896314991303</v>
      </c>
      <c r="O1403">
        <v>52.162596803833097</v>
      </c>
      <c r="P1403">
        <v>-0.12438866465775</v>
      </c>
      <c r="Q1403">
        <v>5.2483988011736003E-2</v>
      </c>
      <c r="R1403">
        <v>0.99481039381712899</v>
      </c>
      <c r="S1403" t="s">
        <v>6143</v>
      </c>
      <c r="T1403" t="s">
        <v>9478</v>
      </c>
      <c r="U1403" t="s">
        <v>9478</v>
      </c>
      <c r="V1403" t="s">
        <v>9478</v>
      </c>
      <c r="W1403">
        <v>14</v>
      </c>
      <c r="X1403" t="s">
        <v>10881</v>
      </c>
      <c r="Y1403">
        <v>0.45266265406480333</v>
      </c>
      <c r="Z1403" t="str">
        <f>HYPERLINK("Melting_Curves/meltCurve_sp_P54619_2_AAKG1_HUMAN_.pdf", "Melting_Curves/meltCurve_sp_P54619_2_AAKG1_HUMAN_.pdf")</f>
        <v>Melting_Curves/meltCurve_sp_P54619_2_AAKG1_HUMAN_.pdf</v>
      </c>
      <c r="AA1403" t="s">
        <v>15597</v>
      </c>
      <c r="AB1403" t="s">
        <v>20237</v>
      </c>
    </row>
    <row r="1404" spans="1:28" x14ac:dyDescent="0.25">
      <c r="A1404" t="s">
        <v>1408</v>
      </c>
      <c r="B1404">
        <v>0.99904790336628502</v>
      </c>
      <c r="C1404">
        <v>1.0692619546780899</v>
      </c>
      <c r="D1404">
        <v>1.0162600975653</v>
      </c>
      <c r="E1404">
        <v>0.47330858957118999</v>
      </c>
      <c r="F1404">
        <v>0.26726606669861702</v>
      </c>
      <c r="G1404">
        <v>0.15636130864290901</v>
      </c>
      <c r="H1404">
        <v>9.8861272574721604E-2</v>
      </c>
      <c r="I1404">
        <v>0.104792743654128</v>
      </c>
      <c r="J1404">
        <v>0.192571597708798</v>
      </c>
      <c r="K1404">
        <v>0.174294080559108</v>
      </c>
      <c r="L1404">
        <v>2027.3530864618799</v>
      </c>
      <c r="M1404">
        <v>40.927939609541298</v>
      </c>
      <c r="N1404">
        <v>49.981695203015398</v>
      </c>
      <c r="O1404">
        <v>49.416882310065802</v>
      </c>
      <c r="P1404">
        <v>-0.17532196375415501</v>
      </c>
      <c r="Q1404">
        <v>0.15325831172742699</v>
      </c>
      <c r="R1404">
        <v>0.98736983615332996</v>
      </c>
      <c r="S1404" t="s">
        <v>6144</v>
      </c>
      <c r="T1404" t="s">
        <v>9478</v>
      </c>
      <c r="U1404" t="s">
        <v>9478</v>
      </c>
      <c r="V1404" t="s">
        <v>9478</v>
      </c>
      <c r="W1404">
        <v>1</v>
      </c>
      <c r="X1404" t="s">
        <v>10882</v>
      </c>
      <c r="Y1404">
        <v>0.42514221183236439</v>
      </c>
      <c r="Z1404" t="str">
        <f>HYPERLINK("Melting_Curves/meltCurve_sp_P54687_5_BCAT1_HUMAN_.pdf", "Melting_Curves/meltCurve_sp_P54687_5_BCAT1_HUMAN_.pdf")</f>
        <v>Melting_Curves/meltCurve_sp_P54687_5_BCAT1_HUMAN_.pdf</v>
      </c>
      <c r="AA1404" t="s">
        <v>15598</v>
      </c>
      <c r="AB1404" t="s">
        <v>20238</v>
      </c>
    </row>
    <row r="1405" spans="1:28" x14ac:dyDescent="0.25">
      <c r="A1405" t="s">
        <v>1409</v>
      </c>
      <c r="B1405">
        <v>0.99904790336628502</v>
      </c>
      <c r="C1405">
        <v>1.0827765280657999</v>
      </c>
      <c r="D1405">
        <v>1.0071718116228701</v>
      </c>
      <c r="E1405">
        <v>1.0480963232422</v>
      </c>
      <c r="F1405">
        <v>1.0141015055600799</v>
      </c>
      <c r="G1405">
        <v>0.87655663915125703</v>
      </c>
      <c r="H1405">
        <v>0.78842561454113402</v>
      </c>
      <c r="I1405">
        <v>0.83255551122148397</v>
      </c>
      <c r="J1405">
        <v>0.86986098134378098</v>
      </c>
      <c r="K1405">
        <v>0.81203848851309102</v>
      </c>
      <c r="L1405">
        <v>14199.431416007599</v>
      </c>
      <c r="M1405">
        <v>250</v>
      </c>
      <c r="O1405">
        <v>56.794073182622803</v>
      </c>
      <c r="P1405">
        <v>-0.191789154863859</v>
      </c>
      <c r="Q1405">
        <v>0.82572014855188303</v>
      </c>
      <c r="R1405">
        <v>0.876190730881379</v>
      </c>
      <c r="S1405" t="s">
        <v>6145</v>
      </c>
      <c r="T1405" t="s">
        <v>9478</v>
      </c>
      <c r="U1405" t="s">
        <v>9478</v>
      </c>
      <c r="V1405" t="s">
        <v>9478</v>
      </c>
      <c r="W1405">
        <v>17</v>
      </c>
      <c r="X1405" t="s">
        <v>10883</v>
      </c>
      <c r="Y1405">
        <v>0.92332102506135383</v>
      </c>
      <c r="Z1405" t="str">
        <f>HYPERLINK("Melting_Curves/meltCurve_sp_P54727_RD23B_HUMAN_.pdf", "Melting_Curves/meltCurve_sp_P54727_RD23B_HUMAN_.pdf")</f>
        <v>Melting_Curves/meltCurve_sp_P54727_RD23B_HUMAN_.pdf</v>
      </c>
      <c r="AA1405" t="s">
        <v>15599</v>
      </c>
      <c r="AB1405" t="s">
        <v>20239</v>
      </c>
    </row>
    <row r="1406" spans="1:28" x14ac:dyDescent="0.25">
      <c r="A1406" t="s">
        <v>1410</v>
      </c>
      <c r="B1406">
        <v>0.99904790336628502</v>
      </c>
      <c r="C1406">
        <v>0.945168610763364</v>
      </c>
      <c r="D1406">
        <v>0.98121159883508702</v>
      </c>
      <c r="E1406">
        <v>0.98738849067656498</v>
      </c>
      <c r="F1406">
        <v>0.95189736186395102</v>
      </c>
      <c r="G1406">
        <v>0.65424140616217197</v>
      </c>
      <c r="H1406">
        <v>0.293459670995531</v>
      </c>
      <c r="I1406">
        <v>9.3838303649204896E-2</v>
      </c>
      <c r="J1406">
        <v>5.7689906387372598E-2</v>
      </c>
      <c r="K1406">
        <v>4.3005868776739703E-2</v>
      </c>
      <c r="L1406">
        <v>1504.63307904668</v>
      </c>
      <c r="M1406">
        <v>25.729696745295499</v>
      </c>
      <c r="N1406">
        <v>58.576263747214703</v>
      </c>
      <c r="O1406">
        <v>58.128643906786898</v>
      </c>
      <c r="P1406">
        <v>-0.108332607858472</v>
      </c>
      <c r="Q1406">
        <v>2.10297289998067E-2</v>
      </c>
      <c r="R1406">
        <v>0.99709345648516001</v>
      </c>
      <c r="S1406" t="s">
        <v>6146</v>
      </c>
      <c r="T1406" t="s">
        <v>9478</v>
      </c>
      <c r="U1406" t="s">
        <v>9478</v>
      </c>
      <c r="V1406" t="s">
        <v>9478</v>
      </c>
      <c r="W1406">
        <v>21</v>
      </c>
      <c r="X1406" t="s">
        <v>10884</v>
      </c>
      <c r="Y1406">
        <v>0.63202139149674308</v>
      </c>
      <c r="Z1406" t="str">
        <f>HYPERLINK("Melting_Curves/meltCurve_sp_P54802_ANAG_HUMAN_.pdf", "Melting_Curves/meltCurve_sp_P54802_ANAG_HUMAN_.pdf")</f>
        <v>Melting_Curves/meltCurve_sp_P54802_ANAG_HUMAN_.pdf</v>
      </c>
      <c r="AA1406" t="s">
        <v>15600</v>
      </c>
      <c r="AB1406" t="s">
        <v>20240</v>
      </c>
    </row>
    <row r="1407" spans="1:28" x14ac:dyDescent="0.25">
      <c r="A1407" t="s">
        <v>1411</v>
      </c>
      <c r="B1407">
        <v>0.99904790336628502</v>
      </c>
      <c r="C1407">
        <v>1.0309556063606899</v>
      </c>
      <c r="D1407">
        <v>0.85078664933565096</v>
      </c>
      <c r="E1407">
        <v>0.44221368278340201</v>
      </c>
      <c r="F1407">
        <v>0.22134377048588699</v>
      </c>
      <c r="G1407">
        <v>0.11761086416803899</v>
      </c>
      <c r="H1407">
        <v>7.0558128163179398E-2</v>
      </c>
      <c r="I1407">
        <v>6.2627858839175599E-2</v>
      </c>
      <c r="J1407">
        <v>6.0114186386791897E-2</v>
      </c>
      <c r="K1407">
        <v>2.9648599649924799E-2</v>
      </c>
      <c r="L1407">
        <v>1170.70663623222</v>
      </c>
      <c r="M1407">
        <v>23.7302344488062</v>
      </c>
      <c r="N1407">
        <v>49.589819188609503</v>
      </c>
      <c r="O1407">
        <v>48.987642015636901</v>
      </c>
      <c r="P1407">
        <v>-0.11412748741289</v>
      </c>
      <c r="Q1407">
        <v>5.76169371417121E-2</v>
      </c>
      <c r="R1407">
        <v>0.99680925398887099</v>
      </c>
      <c r="S1407" t="s">
        <v>6147</v>
      </c>
      <c r="T1407" t="s">
        <v>9478</v>
      </c>
      <c r="U1407" t="s">
        <v>9478</v>
      </c>
      <c r="V1407" t="s">
        <v>9478</v>
      </c>
      <c r="W1407">
        <v>8</v>
      </c>
      <c r="X1407" t="s">
        <v>10885</v>
      </c>
      <c r="Y1407">
        <v>0.36013373510294228</v>
      </c>
      <c r="Z1407" t="str">
        <f>HYPERLINK("Melting_Curves/meltCurve_sp_P54840_GYS2_HUMAN_.pdf", "Melting_Curves/meltCurve_sp_P54840_GYS2_HUMAN_.pdf")</f>
        <v>Melting_Curves/meltCurve_sp_P54840_GYS2_HUMAN_.pdf</v>
      </c>
      <c r="AA1407" t="s">
        <v>15601</v>
      </c>
      <c r="AB1407" t="s">
        <v>20241</v>
      </c>
    </row>
    <row r="1408" spans="1:28" x14ac:dyDescent="0.25">
      <c r="A1408" t="s">
        <v>1412</v>
      </c>
      <c r="B1408">
        <v>0.99904790336628502</v>
      </c>
      <c r="C1408">
        <v>1.1300262145878099</v>
      </c>
      <c r="D1408">
        <v>0.74263363556060902</v>
      </c>
      <c r="E1408">
        <v>0.41000555007259099</v>
      </c>
      <c r="F1408">
        <v>0.23656909657428599</v>
      </c>
      <c r="G1408">
        <v>0.11152993984065999</v>
      </c>
      <c r="H1408">
        <v>5.4402565977704799E-2</v>
      </c>
      <c r="I1408">
        <v>3.5648400876817102E-2</v>
      </c>
      <c r="J1408">
        <v>2.1078361161002101E-2</v>
      </c>
      <c r="K1408">
        <v>1.9238547154238901E-2</v>
      </c>
      <c r="L1408">
        <v>1028.4375514646099</v>
      </c>
      <c r="M1408">
        <v>20.9618536924966</v>
      </c>
      <c r="N1408">
        <v>49.235085032032302</v>
      </c>
      <c r="O1408">
        <v>48.622370530818998</v>
      </c>
      <c r="P1408">
        <v>-0.103960504583323</v>
      </c>
      <c r="Q1408">
        <v>3.5453780470512598E-2</v>
      </c>
      <c r="R1408">
        <v>0.97712385681360503</v>
      </c>
      <c r="S1408" t="s">
        <v>6148</v>
      </c>
      <c r="T1408" t="s">
        <v>9478</v>
      </c>
      <c r="U1408" t="s">
        <v>9478</v>
      </c>
      <c r="V1408" t="s">
        <v>9478</v>
      </c>
      <c r="W1408">
        <v>2</v>
      </c>
      <c r="X1408" t="s">
        <v>10886</v>
      </c>
      <c r="Y1408">
        <v>0.33909504809949481</v>
      </c>
      <c r="Z1408" t="str">
        <f>HYPERLINK("Melting_Curves/meltCurve_sp_P54855_UDB15_HUMAN_.pdf", "Melting_Curves/meltCurve_sp_P54855_UDB15_HUMAN_.pdf")</f>
        <v>Melting_Curves/meltCurve_sp_P54855_UDB15_HUMAN_.pdf</v>
      </c>
      <c r="AA1408" t="s">
        <v>15602</v>
      </c>
      <c r="AB1408" t="s">
        <v>20242</v>
      </c>
    </row>
    <row r="1409" spans="1:28" x14ac:dyDescent="0.25">
      <c r="A1409" t="s">
        <v>1413</v>
      </c>
      <c r="B1409">
        <v>0.99904790336628502</v>
      </c>
      <c r="C1409">
        <v>1.11083539904655</v>
      </c>
      <c r="D1409">
        <v>0.92704966584577897</v>
      </c>
      <c r="E1409">
        <v>0.33360896799392697</v>
      </c>
      <c r="F1409">
        <v>0.10470216330809901</v>
      </c>
      <c r="G1409">
        <v>6.2559960629621006E-2</v>
      </c>
      <c r="H1409">
        <v>3.5956882101195797E-2</v>
      </c>
      <c r="I1409">
        <v>2.70190097691573E-2</v>
      </c>
      <c r="J1409">
        <v>2.2724403008793501E-2</v>
      </c>
      <c r="K1409">
        <v>1.8822431701913299E-2</v>
      </c>
      <c r="L1409">
        <v>1897.40281832043</v>
      </c>
      <c r="M1409">
        <v>38.720455337852201</v>
      </c>
      <c r="N1409">
        <v>49.095694384550697</v>
      </c>
      <c r="O1409">
        <v>48.872437229151501</v>
      </c>
      <c r="P1409">
        <v>-0.191059270863849</v>
      </c>
      <c r="Q1409">
        <v>3.5392521323402197E-2</v>
      </c>
      <c r="R1409">
        <v>0.99226796649086002</v>
      </c>
      <c r="S1409" t="s">
        <v>6149</v>
      </c>
      <c r="T1409" t="s">
        <v>9478</v>
      </c>
      <c r="U1409" t="s">
        <v>9478</v>
      </c>
      <c r="V1409" t="s">
        <v>9478</v>
      </c>
      <c r="W1409">
        <v>38</v>
      </c>
      <c r="X1409" t="s">
        <v>10887</v>
      </c>
      <c r="Y1409">
        <v>0.32835161269615543</v>
      </c>
      <c r="Z1409" t="str">
        <f>HYPERLINK("Melting_Curves/meltCurve_sp_P54868_HMCS2_HUMAN_.pdf", "Melting_Curves/meltCurve_sp_P54868_HMCS2_HUMAN_.pdf")</f>
        <v>Melting_Curves/meltCurve_sp_P54868_HMCS2_HUMAN_.pdf</v>
      </c>
      <c r="AA1409" t="s">
        <v>15603</v>
      </c>
      <c r="AB1409" t="s">
        <v>20243</v>
      </c>
    </row>
    <row r="1410" spans="1:28" x14ac:dyDescent="0.25">
      <c r="A1410" t="s">
        <v>1414</v>
      </c>
      <c r="B1410">
        <v>0.99904790336628502</v>
      </c>
      <c r="C1410">
        <v>1.01584414699273</v>
      </c>
      <c r="D1410">
        <v>1.0067209807023301</v>
      </c>
      <c r="E1410">
        <v>0.71655630845227802</v>
      </c>
      <c r="F1410">
        <v>0.39558373498201499</v>
      </c>
      <c r="G1410">
        <v>0.14285265751131401</v>
      </c>
      <c r="H1410">
        <v>7.36208110412606E-2</v>
      </c>
      <c r="I1410">
        <v>4.9544151355053898E-2</v>
      </c>
      <c r="J1410">
        <v>3.84603722562952E-2</v>
      </c>
      <c r="K1410">
        <v>3.3515495520617902E-2</v>
      </c>
      <c r="L1410">
        <v>1310.9806294949999</v>
      </c>
      <c r="M1410">
        <v>25.276676282857999</v>
      </c>
      <c r="N1410">
        <v>52.047784357227499</v>
      </c>
      <c r="O1410">
        <v>51.543882609225399</v>
      </c>
      <c r="P1410">
        <v>-0.117398804826258</v>
      </c>
      <c r="Q1410">
        <v>4.24199006067758E-2</v>
      </c>
      <c r="R1410">
        <v>0.99832460014567703</v>
      </c>
      <c r="S1410" t="s">
        <v>6150</v>
      </c>
      <c r="T1410" t="s">
        <v>9478</v>
      </c>
      <c r="U1410" t="s">
        <v>9478</v>
      </c>
      <c r="V1410" t="s">
        <v>9478</v>
      </c>
      <c r="W1410">
        <v>27</v>
      </c>
      <c r="X1410" t="s">
        <v>10888</v>
      </c>
      <c r="Y1410">
        <v>0.42969653398144952</v>
      </c>
      <c r="Z1410" t="str">
        <f>HYPERLINK("Melting_Curves/meltCurve_sp_P54886_2_P5CS_HUMAN_.pdf", "Melting_Curves/meltCurve_sp_P54886_2_P5CS_HUMAN_.pdf")</f>
        <v>Melting_Curves/meltCurve_sp_P54886_2_P5CS_HUMAN_.pdf</v>
      </c>
      <c r="AA1410" t="s">
        <v>15604</v>
      </c>
      <c r="AB1410" t="s">
        <v>20244</v>
      </c>
    </row>
    <row r="1411" spans="1:28" x14ac:dyDescent="0.25">
      <c r="A1411" t="s">
        <v>1415</v>
      </c>
      <c r="B1411">
        <v>0.99904790336628502</v>
      </c>
      <c r="C1411">
        <v>0.88942713087164005</v>
      </c>
      <c r="D1411">
        <v>0.88250896702773596</v>
      </c>
      <c r="E1411">
        <v>0.87430854345751097</v>
      </c>
      <c r="F1411">
        <v>0.87580077158316905</v>
      </c>
      <c r="G1411">
        <v>0.53267649493508096</v>
      </c>
      <c r="H1411">
        <v>9.5241150264114394E-2</v>
      </c>
      <c r="I1411">
        <v>5.6570066479356203E-2</v>
      </c>
      <c r="J1411">
        <v>3.7258546500538399E-2</v>
      </c>
      <c r="K1411">
        <v>3.3838864336316998E-2</v>
      </c>
      <c r="L1411">
        <v>1498.0536133155199</v>
      </c>
      <c r="M1411">
        <v>26.316349479323598</v>
      </c>
      <c r="N1411">
        <v>56.951151495559103</v>
      </c>
      <c r="O1411">
        <v>56.5991725265254</v>
      </c>
      <c r="P1411">
        <v>-0.115538689922682</v>
      </c>
      <c r="Q1411">
        <v>6.0441301798216602E-3</v>
      </c>
      <c r="R1411">
        <v>0.97464721409286204</v>
      </c>
      <c r="S1411" t="s">
        <v>6151</v>
      </c>
      <c r="T1411" t="s">
        <v>9478</v>
      </c>
      <c r="U1411" t="s">
        <v>9478</v>
      </c>
      <c r="V1411" t="s">
        <v>9478</v>
      </c>
      <c r="W1411">
        <v>19</v>
      </c>
      <c r="X1411" t="s">
        <v>10889</v>
      </c>
      <c r="Y1411">
        <v>0.57506378404258507</v>
      </c>
      <c r="Z1411" t="str">
        <f>HYPERLINK("Melting_Curves/meltCurve_sp_P54920_SNAA_HUMAN_.pdf", "Melting_Curves/meltCurve_sp_P54920_SNAA_HUMAN_.pdf")</f>
        <v>Melting_Curves/meltCurve_sp_P54920_SNAA_HUMAN_.pdf</v>
      </c>
      <c r="AA1411" t="s">
        <v>15605</v>
      </c>
      <c r="AB1411" t="s">
        <v>20245</v>
      </c>
    </row>
    <row r="1412" spans="1:28" x14ac:dyDescent="0.25">
      <c r="A1412" t="s">
        <v>1416</v>
      </c>
      <c r="B1412">
        <v>0.99904790336628502</v>
      </c>
      <c r="C1412">
        <v>0.63967690557221601</v>
      </c>
      <c r="D1412">
        <v>0.615124687733419</v>
      </c>
      <c r="E1412">
        <v>0.61499906213726097</v>
      </c>
      <c r="F1412">
        <v>0.55806365546769399</v>
      </c>
      <c r="G1412">
        <v>0.51501158417319903</v>
      </c>
      <c r="H1412">
        <v>0.40077257683115097</v>
      </c>
      <c r="I1412">
        <v>0.370099683390121</v>
      </c>
      <c r="J1412">
        <v>0.29235045677751598</v>
      </c>
      <c r="K1412">
        <v>0.234831015306077</v>
      </c>
      <c r="L1412">
        <v>240.53130701042801</v>
      </c>
      <c r="M1412">
        <v>4.3915544354063103</v>
      </c>
      <c r="N1412">
        <v>54.771336781147198</v>
      </c>
      <c r="O1412">
        <v>46.237174836837603</v>
      </c>
      <c r="P1412">
        <v>-2.39698775192724E-2</v>
      </c>
      <c r="Q1412">
        <v>0</v>
      </c>
      <c r="R1412">
        <v>0.866486961214471</v>
      </c>
      <c r="S1412" t="s">
        <v>6152</v>
      </c>
      <c r="T1412" t="s">
        <v>9478</v>
      </c>
      <c r="U1412" t="s">
        <v>9478</v>
      </c>
      <c r="V1412" t="s">
        <v>9478</v>
      </c>
      <c r="W1412">
        <v>4</v>
      </c>
      <c r="X1412" t="s">
        <v>10890</v>
      </c>
      <c r="Y1412">
        <v>0.51861058190547549</v>
      </c>
      <c r="Z1412" t="str">
        <f>HYPERLINK("Melting_Curves/meltCurve_sp_P55008_AIF1_HUMAN_.pdf", "Melting_Curves/meltCurve_sp_P55008_AIF1_HUMAN_.pdf")</f>
        <v>Melting_Curves/meltCurve_sp_P55008_AIF1_HUMAN_.pdf</v>
      </c>
      <c r="AA1412" t="s">
        <v>15606</v>
      </c>
      <c r="AB1412" t="s">
        <v>20246</v>
      </c>
    </row>
    <row r="1413" spans="1:28" x14ac:dyDescent="0.25">
      <c r="A1413" t="s">
        <v>1417</v>
      </c>
      <c r="B1413">
        <v>0.99904790336628502</v>
      </c>
      <c r="C1413">
        <v>0.88461339090557001</v>
      </c>
      <c r="D1413">
        <v>0.88564238025545095</v>
      </c>
      <c r="E1413">
        <v>0.89957934745113399</v>
      </c>
      <c r="F1413">
        <v>0.75012025994055798</v>
      </c>
      <c r="G1413">
        <v>0.27301211691134902</v>
      </c>
      <c r="H1413">
        <v>0.13052878691765801</v>
      </c>
      <c r="I1413">
        <v>9.3815417852089494E-2</v>
      </c>
      <c r="J1413">
        <v>7.8661216872804807E-2</v>
      </c>
      <c r="K1413">
        <v>7.7792109676063703E-2</v>
      </c>
      <c r="L1413">
        <v>1493.2952780477699</v>
      </c>
      <c r="M1413">
        <v>27.347903817082798</v>
      </c>
      <c r="N1413">
        <v>54.923954187235601</v>
      </c>
      <c r="O1413">
        <v>54.314208403107898</v>
      </c>
      <c r="P1413">
        <v>-0.11660124556434399</v>
      </c>
      <c r="Q1413">
        <v>7.3707067518000005E-2</v>
      </c>
      <c r="R1413">
        <v>0.98126815648188503</v>
      </c>
      <c r="S1413" t="s">
        <v>6153</v>
      </c>
      <c r="T1413" t="s">
        <v>9478</v>
      </c>
      <c r="U1413" t="s">
        <v>9478</v>
      </c>
      <c r="V1413" t="s">
        <v>9478</v>
      </c>
      <c r="W1413">
        <v>17</v>
      </c>
      <c r="X1413" t="s">
        <v>10891</v>
      </c>
      <c r="Y1413">
        <v>0.53190207468799033</v>
      </c>
      <c r="Z1413" t="str">
        <f>HYPERLINK("Melting_Curves/meltCurve_sp_P55010_IF5_HUMAN_.pdf", "Melting_Curves/meltCurve_sp_P55010_IF5_HUMAN_.pdf")</f>
        <v>Melting_Curves/meltCurve_sp_P55010_IF5_HUMAN_.pdf</v>
      </c>
      <c r="AA1413" t="s">
        <v>15607</v>
      </c>
      <c r="AB1413" t="s">
        <v>20247</v>
      </c>
    </row>
    <row r="1414" spans="1:28" x14ac:dyDescent="0.25">
      <c r="A1414" t="s">
        <v>1418</v>
      </c>
      <c r="B1414">
        <v>0.99904790336628502</v>
      </c>
      <c r="C1414">
        <v>1.04312016114206</v>
      </c>
      <c r="D1414">
        <v>0.89933379857708595</v>
      </c>
      <c r="E1414">
        <v>0.82571033391075899</v>
      </c>
      <c r="F1414">
        <v>0.81028286334209698</v>
      </c>
      <c r="G1414">
        <v>0.67105162943766705</v>
      </c>
      <c r="H1414">
        <v>0.48686400291015403</v>
      </c>
      <c r="I1414">
        <v>0.43568248958404798</v>
      </c>
      <c r="J1414">
        <v>0.44849750148489298</v>
      </c>
      <c r="K1414">
        <v>0.39341204152244802</v>
      </c>
      <c r="L1414">
        <v>618.04558450493801</v>
      </c>
      <c r="M1414">
        <v>10.9603712405791</v>
      </c>
      <c r="N1414">
        <v>62.0900759800071</v>
      </c>
      <c r="O1414">
        <v>54.609464949848999</v>
      </c>
      <c r="P1414">
        <v>-3.4270741327261101E-2</v>
      </c>
      <c r="Q1414">
        <v>0.31722500886240002</v>
      </c>
      <c r="R1414">
        <v>0.97551527264039395</v>
      </c>
      <c r="S1414" t="s">
        <v>6154</v>
      </c>
      <c r="T1414" t="s">
        <v>9478</v>
      </c>
      <c r="U1414" t="s">
        <v>9478</v>
      </c>
      <c r="V1414" t="s">
        <v>9478</v>
      </c>
      <c r="W1414">
        <v>9</v>
      </c>
      <c r="X1414" t="s">
        <v>10892</v>
      </c>
      <c r="Y1414">
        <v>0.70339934957343553</v>
      </c>
      <c r="Z1414" t="str">
        <f>HYPERLINK("Melting_Curves/meltCurve_sp_P55036_PSMD4_HUMAN_.pdf", "Melting_Curves/meltCurve_sp_P55036_PSMD4_HUMAN_.pdf")</f>
        <v>Melting_Curves/meltCurve_sp_P55036_PSMD4_HUMAN_.pdf</v>
      </c>
      <c r="AA1414" t="s">
        <v>15608</v>
      </c>
      <c r="AB1414" t="s">
        <v>20248</v>
      </c>
    </row>
    <row r="1415" spans="1:28" x14ac:dyDescent="0.25">
      <c r="A1415" t="s">
        <v>1419</v>
      </c>
      <c r="B1415">
        <v>0.99904790336628502</v>
      </c>
      <c r="C1415">
        <v>0.85557519991953201</v>
      </c>
      <c r="D1415">
        <v>0.656678843544522</v>
      </c>
      <c r="E1415">
        <v>0.29166886456261398</v>
      </c>
      <c r="F1415">
        <v>0.1471100732925</v>
      </c>
      <c r="G1415">
        <v>6.8024703468409595E-2</v>
      </c>
      <c r="H1415">
        <v>3.6023681146763999E-2</v>
      </c>
      <c r="I1415">
        <v>2.2179496584926201E-2</v>
      </c>
      <c r="J1415">
        <v>1.47514708878985E-2</v>
      </c>
      <c r="K1415">
        <v>1.7705483236683001E-2</v>
      </c>
      <c r="L1415">
        <v>860.43730868712601</v>
      </c>
      <c r="M1415">
        <v>18.1193154618792</v>
      </c>
      <c r="N1415">
        <v>47.569472715177596</v>
      </c>
      <c r="O1415">
        <v>46.920187758860202</v>
      </c>
      <c r="P1415">
        <v>-9.5060429229619103E-2</v>
      </c>
      <c r="Q1415">
        <v>1.54063212020821E-2</v>
      </c>
      <c r="R1415">
        <v>0.99877695829519697</v>
      </c>
      <c r="S1415" t="s">
        <v>6155</v>
      </c>
      <c r="T1415" t="s">
        <v>9478</v>
      </c>
      <c r="U1415" t="s">
        <v>9478</v>
      </c>
      <c r="V1415" t="s">
        <v>9478</v>
      </c>
      <c r="W1415">
        <v>6</v>
      </c>
      <c r="X1415" t="s">
        <v>10893</v>
      </c>
      <c r="Y1415">
        <v>0.27866944772968327</v>
      </c>
      <c r="Z1415" t="str">
        <f>HYPERLINK("Melting_Curves/meltCurve_sp_P55039_DRG2_HUMAN_.pdf", "Melting_Curves/meltCurve_sp_P55039_DRG2_HUMAN_.pdf")</f>
        <v>Melting_Curves/meltCurve_sp_P55039_DRG2_HUMAN_.pdf</v>
      </c>
      <c r="AA1415" t="s">
        <v>15609</v>
      </c>
      <c r="AB1415" t="s">
        <v>20249</v>
      </c>
    </row>
    <row r="1416" spans="1:28" x14ac:dyDescent="0.25">
      <c r="A1416" t="s">
        <v>1420</v>
      </c>
      <c r="B1416">
        <v>0.99904790336628502</v>
      </c>
      <c r="C1416">
        <v>1.02449598243468</v>
      </c>
      <c r="D1416">
        <v>1.0107748449956699</v>
      </c>
      <c r="E1416">
        <v>1.0413949083127101</v>
      </c>
      <c r="F1416">
        <v>1.1115545192782801</v>
      </c>
      <c r="G1416">
        <v>0.924256486004573</v>
      </c>
      <c r="H1416">
        <v>0.70662893413442796</v>
      </c>
      <c r="I1416">
        <v>0.61954547551851002</v>
      </c>
      <c r="J1416">
        <v>0.52825805324012998</v>
      </c>
      <c r="K1416">
        <v>0.30792617688020801</v>
      </c>
      <c r="L1416">
        <v>1094.32282879133</v>
      </c>
      <c r="M1416">
        <v>16.957125708156699</v>
      </c>
      <c r="N1416">
        <v>66.191199322278706</v>
      </c>
      <c r="O1416">
        <v>63.657215729000598</v>
      </c>
      <c r="P1416">
        <v>-5.5083902322891301E-2</v>
      </c>
      <c r="Q1416">
        <v>0.17290946027113799</v>
      </c>
      <c r="R1416">
        <v>0.95273010719572104</v>
      </c>
      <c r="S1416" t="s">
        <v>6156</v>
      </c>
      <c r="T1416" t="s">
        <v>9478</v>
      </c>
      <c r="U1416" t="s">
        <v>9478</v>
      </c>
      <c r="V1416" t="s">
        <v>9478</v>
      </c>
      <c r="W1416">
        <v>3</v>
      </c>
      <c r="X1416" t="s">
        <v>10894</v>
      </c>
      <c r="Y1416">
        <v>0.83661927876776498</v>
      </c>
      <c r="Z1416" t="str">
        <f>HYPERLINK("Melting_Curves/meltCurve_sp_P55058_PLTP_HUMAN_.pdf", "Melting_Curves/meltCurve_sp_P55058_PLTP_HUMAN_.pdf")</f>
        <v>Melting_Curves/meltCurve_sp_P55058_PLTP_HUMAN_.pdf</v>
      </c>
      <c r="AA1416" t="s">
        <v>15610</v>
      </c>
      <c r="AB1416" t="s">
        <v>20250</v>
      </c>
    </row>
    <row r="1417" spans="1:28" x14ac:dyDescent="0.25">
      <c r="A1417" t="s">
        <v>1421</v>
      </c>
      <c r="B1417">
        <v>0.99904790336628502</v>
      </c>
      <c r="C1417">
        <v>0.62518482252544905</v>
      </c>
      <c r="D1417">
        <v>1.1617040861355501</v>
      </c>
      <c r="E1417">
        <v>0.94760155739709695</v>
      </c>
      <c r="F1417">
        <v>0.346145002514955</v>
      </c>
      <c r="G1417">
        <v>0.177902308517361</v>
      </c>
      <c r="H1417">
        <v>0.104159637772178</v>
      </c>
      <c r="I1417">
        <v>6.7769966482875699E-2</v>
      </c>
      <c r="J1417">
        <v>4.94851411162383E-2</v>
      </c>
      <c r="K1417">
        <v>4.1702336554413202E-2</v>
      </c>
      <c r="L1417">
        <v>3119.5177527549499</v>
      </c>
      <c r="M1417">
        <v>59.751643467914903</v>
      </c>
      <c r="N1417">
        <v>52.373921774183302</v>
      </c>
      <c r="O1417">
        <v>52.149683118661699</v>
      </c>
      <c r="P1417">
        <v>-0.26175246271706698</v>
      </c>
      <c r="Q1417">
        <v>8.6197370046577307E-2</v>
      </c>
      <c r="R1417">
        <v>0.89899268037389002</v>
      </c>
      <c r="S1417" t="s">
        <v>6157</v>
      </c>
      <c r="T1417" t="s">
        <v>9478</v>
      </c>
      <c r="U1417" t="s">
        <v>9478</v>
      </c>
      <c r="V1417" t="s">
        <v>9478</v>
      </c>
      <c r="W1417">
        <v>29</v>
      </c>
      <c r="X1417" t="s">
        <v>10895</v>
      </c>
      <c r="Y1417">
        <v>0.45952721405904018</v>
      </c>
      <c r="Z1417" t="str">
        <f>HYPERLINK("Melting_Curves/meltCurve_sp_P55060_3_XPO2_HUMAN_.pdf", "Melting_Curves/meltCurve_sp_P55060_3_XPO2_HUMAN_.pdf")</f>
        <v>Melting_Curves/meltCurve_sp_P55060_3_XPO2_HUMAN_.pdf</v>
      </c>
      <c r="AA1417" t="s">
        <v>15611</v>
      </c>
      <c r="AB1417" t="s">
        <v>20251</v>
      </c>
    </row>
    <row r="1418" spans="1:28" x14ac:dyDescent="0.25">
      <c r="A1418" t="s">
        <v>1422</v>
      </c>
      <c r="B1418">
        <v>0.99904790336628502</v>
      </c>
      <c r="C1418">
        <v>1.04633683766303</v>
      </c>
      <c r="D1418">
        <v>1.0964526164458901</v>
      </c>
      <c r="E1418">
        <v>1.06049139703816</v>
      </c>
      <c r="F1418">
        <v>0.91302249200207797</v>
      </c>
      <c r="G1418">
        <v>0.82190247337187505</v>
      </c>
      <c r="H1418">
        <v>0.661504662079344</v>
      </c>
      <c r="I1418">
        <v>0.64466779024698895</v>
      </c>
      <c r="J1418">
        <v>0.31794088275891103</v>
      </c>
      <c r="K1418">
        <v>4.1625627611228302E-2</v>
      </c>
      <c r="L1418">
        <v>1169.6809598172999</v>
      </c>
      <c r="M1418">
        <v>18.266315240001401</v>
      </c>
      <c r="N1418">
        <v>64.034861858446305</v>
      </c>
      <c r="O1418">
        <v>63.282171785340203</v>
      </c>
      <c r="P1418">
        <v>-7.2165514679665005E-2</v>
      </c>
      <c r="Q1418">
        <v>0</v>
      </c>
      <c r="R1418">
        <v>0.93872311708049205</v>
      </c>
      <c r="S1418" t="s">
        <v>6158</v>
      </c>
      <c r="T1418" t="s">
        <v>9478</v>
      </c>
      <c r="U1418" t="s">
        <v>9478</v>
      </c>
      <c r="V1418" t="s">
        <v>9478</v>
      </c>
      <c r="W1418">
        <v>53</v>
      </c>
      <c r="X1418" t="s">
        <v>10896</v>
      </c>
      <c r="Y1418">
        <v>0.79226901345784573</v>
      </c>
      <c r="Z1418" t="str">
        <f>HYPERLINK("Melting_Curves/meltCurve_sp_P55072_TERA_HUMAN_.pdf", "Melting_Curves/meltCurve_sp_P55072_TERA_HUMAN_.pdf")</f>
        <v>Melting_Curves/meltCurve_sp_P55072_TERA_HUMAN_.pdf</v>
      </c>
      <c r="AA1418" t="s">
        <v>15612</v>
      </c>
      <c r="AB1418" t="s">
        <v>20252</v>
      </c>
    </row>
    <row r="1419" spans="1:28" x14ac:dyDescent="0.25">
      <c r="A1419" t="s">
        <v>1423</v>
      </c>
      <c r="B1419">
        <v>0.99904790336628502</v>
      </c>
      <c r="C1419">
        <v>1.03456627353978</v>
      </c>
      <c r="D1419">
        <v>0.93580638095337898</v>
      </c>
      <c r="E1419">
        <v>0.88090656043750004</v>
      </c>
      <c r="F1419">
        <v>0.89072781559525405</v>
      </c>
      <c r="G1419">
        <v>0.64264235629134603</v>
      </c>
      <c r="H1419">
        <v>0.53703718584524895</v>
      </c>
      <c r="I1419">
        <v>0.56490276964838004</v>
      </c>
      <c r="J1419">
        <v>0.54015569022467202</v>
      </c>
      <c r="K1419">
        <v>0.56613312263803495</v>
      </c>
      <c r="L1419">
        <v>1186.34851031774</v>
      </c>
      <c r="M1419">
        <v>21.813925724493199</v>
      </c>
      <c r="O1419">
        <v>53.934059157031101</v>
      </c>
      <c r="P1419">
        <v>-4.6952130317155998E-2</v>
      </c>
      <c r="Q1419">
        <v>0.53566168622264698</v>
      </c>
      <c r="R1419">
        <v>0.96337313498599397</v>
      </c>
      <c r="S1419" t="s">
        <v>6159</v>
      </c>
      <c r="T1419" t="s">
        <v>9478</v>
      </c>
      <c r="U1419" t="s">
        <v>9478</v>
      </c>
      <c r="V1419" t="s">
        <v>9478</v>
      </c>
      <c r="W1419">
        <v>6</v>
      </c>
      <c r="X1419" t="s">
        <v>10897</v>
      </c>
      <c r="Y1419">
        <v>0.76375728266746445</v>
      </c>
      <c r="Z1419" t="str">
        <f>HYPERLINK("Melting_Curves/meltCurve_sp_P55081_MFAP1_HUMAN_.pdf", "Melting_Curves/meltCurve_sp_P55081_MFAP1_HUMAN_.pdf")</f>
        <v>Melting_Curves/meltCurve_sp_P55081_MFAP1_HUMAN_.pdf</v>
      </c>
      <c r="AA1419" t="s">
        <v>15613</v>
      </c>
      <c r="AB1419" t="s">
        <v>20253</v>
      </c>
    </row>
    <row r="1420" spans="1:28" x14ac:dyDescent="0.25">
      <c r="A1420" t="s">
        <v>1424</v>
      </c>
      <c r="B1420">
        <v>0.99904790336628502</v>
      </c>
      <c r="C1420">
        <v>0.91362842580744696</v>
      </c>
      <c r="D1420">
        <v>0.86904342297121395</v>
      </c>
      <c r="E1420">
        <v>0.57902453851133895</v>
      </c>
      <c r="F1420">
        <v>0.31254131330846902</v>
      </c>
      <c r="G1420">
        <v>0.14861169596420501</v>
      </c>
      <c r="H1420">
        <v>5.4169929247793097E-2</v>
      </c>
      <c r="I1420">
        <v>3.6205226212007599E-2</v>
      </c>
      <c r="J1420">
        <v>2.7308920796006102E-2</v>
      </c>
      <c r="K1420">
        <v>2.20733998079185E-2</v>
      </c>
      <c r="L1420">
        <v>874.33595286069999</v>
      </c>
      <c r="M1420">
        <v>17.237491035574202</v>
      </c>
      <c r="N1420">
        <v>50.783387258924101</v>
      </c>
      <c r="O1420">
        <v>50.055024881848297</v>
      </c>
      <c r="P1420">
        <v>-8.5223260122647096E-2</v>
      </c>
      <c r="Q1420">
        <v>1.0156938469105399E-2</v>
      </c>
      <c r="R1420">
        <v>0.998019243563111</v>
      </c>
      <c r="S1420" t="s">
        <v>6160</v>
      </c>
      <c r="T1420" t="s">
        <v>9478</v>
      </c>
      <c r="U1420" t="s">
        <v>9478</v>
      </c>
      <c r="V1420" t="s">
        <v>9478</v>
      </c>
      <c r="W1420">
        <v>29</v>
      </c>
      <c r="X1420" t="s">
        <v>10898</v>
      </c>
      <c r="Y1420">
        <v>0.38205712100954398</v>
      </c>
      <c r="Z1420" t="str">
        <f>HYPERLINK("Melting_Curves/meltCurve_sp_P55084_ECHB_HUMAN_.pdf", "Melting_Curves/meltCurve_sp_P55084_ECHB_HUMAN_.pdf")</f>
        <v>Melting_Curves/meltCurve_sp_P55084_ECHB_HUMAN_.pdf</v>
      </c>
      <c r="AA1420" t="s">
        <v>15614</v>
      </c>
      <c r="AB1420" t="s">
        <v>20254</v>
      </c>
    </row>
    <row r="1421" spans="1:28" x14ac:dyDescent="0.25">
      <c r="A1421" t="s">
        <v>1425</v>
      </c>
      <c r="B1421">
        <v>0.99904790336628502</v>
      </c>
      <c r="C1421">
        <v>1.0562742916143599</v>
      </c>
      <c r="D1421">
        <v>0.881706603393689</v>
      </c>
      <c r="E1421">
        <v>0.80367351253793595</v>
      </c>
      <c r="F1421">
        <v>0.497373852429282</v>
      </c>
      <c r="G1421">
        <v>0.34660322159956197</v>
      </c>
      <c r="H1421">
        <v>0.27737468955097999</v>
      </c>
      <c r="I1421">
        <v>0.14830727853964901</v>
      </c>
      <c r="J1421">
        <v>0.126379881467614</v>
      </c>
      <c r="K1421">
        <v>3.9972419485403303E-2</v>
      </c>
      <c r="L1421">
        <v>732.49148230457899</v>
      </c>
      <c r="M1421">
        <v>13.631430403939801</v>
      </c>
      <c r="N1421">
        <v>54.178019743106098</v>
      </c>
      <c r="O1421">
        <v>52.618584603883697</v>
      </c>
      <c r="P1421">
        <v>-6.1362222544324302E-2</v>
      </c>
      <c r="Q1421">
        <v>5.26834896224571E-2</v>
      </c>
      <c r="R1421">
        <v>0.98184932440248995</v>
      </c>
      <c r="S1421" t="s">
        <v>6161</v>
      </c>
      <c r="T1421" t="s">
        <v>9478</v>
      </c>
      <c r="U1421" t="s">
        <v>9478</v>
      </c>
      <c r="V1421" t="s">
        <v>9478</v>
      </c>
      <c r="W1421">
        <v>1</v>
      </c>
      <c r="X1421" t="s">
        <v>10899</v>
      </c>
      <c r="Y1421">
        <v>0.50855118429439417</v>
      </c>
      <c r="Z1421" t="str">
        <f>HYPERLINK("Melting_Curves/meltCurve_sp_P55103_INHBC_HUMAN_.pdf", "Melting_Curves/meltCurve_sp_P55103_INHBC_HUMAN_.pdf")</f>
        <v>Melting_Curves/meltCurve_sp_P55103_INHBC_HUMAN_.pdf</v>
      </c>
      <c r="AA1421" t="s">
        <v>15615</v>
      </c>
      <c r="AB1421" t="s">
        <v>20255</v>
      </c>
    </row>
    <row r="1422" spans="1:28" x14ac:dyDescent="0.25">
      <c r="A1422" t="s">
        <v>1426</v>
      </c>
      <c r="B1422">
        <v>0.99904790336628502</v>
      </c>
      <c r="C1422">
        <v>0.89275299993114898</v>
      </c>
      <c r="D1422">
        <v>0.893294318619272</v>
      </c>
      <c r="E1422">
        <v>0.92288610470621202</v>
      </c>
      <c r="F1422">
        <v>0.96940883721594695</v>
      </c>
      <c r="G1422">
        <v>0.83569612895521395</v>
      </c>
      <c r="H1422">
        <v>0.72975471831352701</v>
      </c>
      <c r="I1422">
        <v>0.69654561414275795</v>
      </c>
      <c r="J1422">
        <v>0.65000470172880997</v>
      </c>
      <c r="K1422">
        <v>0.60804205333894001</v>
      </c>
      <c r="L1422">
        <v>345.10126944665097</v>
      </c>
      <c r="M1422">
        <v>4.5132889530698401</v>
      </c>
      <c r="O1422">
        <v>65.037232988426098</v>
      </c>
      <c r="P1422">
        <v>-1.7499120385155598E-2</v>
      </c>
      <c r="Q1422">
        <v>0</v>
      </c>
      <c r="R1422">
        <v>0.89054681385835699</v>
      </c>
      <c r="S1422" t="s">
        <v>6162</v>
      </c>
      <c r="T1422" t="s">
        <v>9478</v>
      </c>
      <c r="U1422" t="s">
        <v>9478</v>
      </c>
      <c r="V1422" t="s">
        <v>9478</v>
      </c>
      <c r="W1422">
        <v>18</v>
      </c>
      <c r="X1422" t="s">
        <v>10900</v>
      </c>
      <c r="Y1422">
        <v>0.83196532971139547</v>
      </c>
      <c r="Z1422" t="str">
        <f>HYPERLINK("Melting_Curves/meltCurve_sp_P55145_MANF_HUMAN_.pdf", "Melting_Curves/meltCurve_sp_P55145_MANF_HUMAN_.pdf")</f>
        <v>Melting_Curves/meltCurve_sp_P55145_MANF_HUMAN_.pdf</v>
      </c>
      <c r="AA1422" t="s">
        <v>15616</v>
      </c>
      <c r="AB1422" t="s">
        <v>20256</v>
      </c>
    </row>
    <row r="1423" spans="1:28" x14ac:dyDescent="0.25">
      <c r="A1423" t="s">
        <v>1427</v>
      </c>
      <c r="B1423">
        <v>0.99904790336628502</v>
      </c>
      <c r="C1423">
        <v>1.04326191357403</v>
      </c>
      <c r="D1423">
        <v>1.1310797400621699</v>
      </c>
      <c r="E1423">
        <v>1.04814793897957</v>
      </c>
      <c r="F1423">
        <v>0.804786720440267</v>
      </c>
      <c r="G1423">
        <v>0.35558380553065999</v>
      </c>
      <c r="H1423">
        <v>8.3198463155605404E-2</v>
      </c>
      <c r="I1423">
        <v>5.1192191964803402E-2</v>
      </c>
      <c r="J1423">
        <v>3.88351459019615E-2</v>
      </c>
      <c r="K1423">
        <v>3.4152237018799297E-2</v>
      </c>
      <c r="L1423">
        <v>1767.9133992534701</v>
      </c>
      <c r="M1423">
        <v>31.768337557037</v>
      </c>
      <c r="N1423">
        <v>55.7736285275383</v>
      </c>
      <c r="O1423">
        <v>55.431050918441102</v>
      </c>
      <c r="P1423">
        <v>-0.138413856165886</v>
      </c>
      <c r="Q1423">
        <v>3.3958172372073103E-2</v>
      </c>
      <c r="R1423">
        <v>0.98774581840215303</v>
      </c>
      <c r="S1423" t="s">
        <v>6163</v>
      </c>
      <c r="T1423" t="s">
        <v>9478</v>
      </c>
      <c r="U1423" t="s">
        <v>9478</v>
      </c>
      <c r="V1423" t="s">
        <v>9478</v>
      </c>
      <c r="W1423">
        <v>45</v>
      </c>
      <c r="X1423" t="s">
        <v>10901</v>
      </c>
      <c r="Y1423">
        <v>0.54369536898123316</v>
      </c>
      <c r="Z1423" t="str">
        <f>HYPERLINK("Melting_Curves/meltCurve_sp_P55157_MTP_HUMAN_.pdf", "Melting_Curves/meltCurve_sp_P55157_MTP_HUMAN_.pdf")</f>
        <v>Melting_Curves/meltCurve_sp_P55157_MTP_HUMAN_.pdf</v>
      </c>
      <c r="AA1423" t="s">
        <v>15617</v>
      </c>
      <c r="AB1423" t="s">
        <v>20257</v>
      </c>
    </row>
    <row r="1424" spans="1:28" x14ac:dyDescent="0.25">
      <c r="A1424" t="s">
        <v>1428</v>
      </c>
      <c r="B1424">
        <v>0.99904790336628502</v>
      </c>
      <c r="C1424">
        <v>0.728766979932847</v>
      </c>
      <c r="D1424">
        <v>0.80406622168425601</v>
      </c>
      <c r="E1424">
        <v>0.71561910216788005</v>
      </c>
      <c r="F1424">
        <v>0.65330810316615096</v>
      </c>
      <c r="G1424">
        <v>0.41278892840458298</v>
      </c>
      <c r="H1424">
        <v>0.42615934588514998</v>
      </c>
      <c r="I1424">
        <v>0.394045640980695</v>
      </c>
      <c r="J1424">
        <v>0.31909032256543901</v>
      </c>
      <c r="K1424">
        <v>0.26479105721280999</v>
      </c>
      <c r="L1424">
        <v>312.27553047255202</v>
      </c>
      <c r="M1424">
        <v>5.52377339227544</v>
      </c>
      <c r="N1424">
        <v>57.105655715279497</v>
      </c>
      <c r="O1424">
        <v>50.4193267519749</v>
      </c>
      <c r="P1424">
        <v>-2.6766872819777101E-2</v>
      </c>
      <c r="Q1424">
        <v>2.69426907602669E-2</v>
      </c>
      <c r="R1424">
        <v>0.92812603858685006</v>
      </c>
      <c r="S1424" t="s">
        <v>6164</v>
      </c>
      <c r="T1424" t="s">
        <v>9478</v>
      </c>
      <c r="U1424" t="s">
        <v>9478</v>
      </c>
      <c r="V1424" t="s">
        <v>9478</v>
      </c>
      <c r="W1424">
        <v>53</v>
      </c>
      <c r="X1424" t="s">
        <v>10902</v>
      </c>
      <c r="Y1424">
        <v>0.56938922094390643</v>
      </c>
      <c r="Z1424" t="str">
        <f>HYPERLINK("Melting_Curves/meltCurve_sp_P55196_3_AFAD_HUMAN_.pdf", "Melting_Curves/meltCurve_sp_P55196_3_AFAD_HUMAN_.pdf")</f>
        <v>Melting_Curves/meltCurve_sp_P55196_3_AFAD_HUMAN_.pdf</v>
      </c>
      <c r="AA1424" t="s">
        <v>15618</v>
      </c>
      <c r="AB1424" t="s">
        <v>20258</v>
      </c>
    </row>
    <row r="1425" spans="1:28" x14ac:dyDescent="0.25">
      <c r="A1425" t="s">
        <v>1429</v>
      </c>
      <c r="B1425">
        <v>0.99904790336628502</v>
      </c>
      <c r="C1425">
        <v>0.96389137406154701</v>
      </c>
      <c r="D1425">
        <v>0.95037051063206202</v>
      </c>
      <c r="E1425">
        <v>0.91482040935727205</v>
      </c>
      <c r="F1425">
        <v>0.75053919923461498</v>
      </c>
      <c r="G1425">
        <v>0.52379336020190004</v>
      </c>
      <c r="H1425">
        <v>0.44889527866752899</v>
      </c>
      <c r="I1425">
        <v>0.41507269149873</v>
      </c>
      <c r="J1425">
        <v>0.41710748392819103</v>
      </c>
      <c r="K1425">
        <v>0.41907403066694299</v>
      </c>
      <c r="L1425">
        <v>1229.9088477524101</v>
      </c>
      <c r="M1425">
        <v>22.921969728536499</v>
      </c>
      <c r="N1425">
        <v>57.978408351609197</v>
      </c>
      <c r="O1425">
        <v>53.252979819980403</v>
      </c>
      <c r="P1425">
        <v>-6.3549245818041694E-2</v>
      </c>
      <c r="Q1425">
        <v>0.40945372269138902</v>
      </c>
      <c r="R1425">
        <v>0.99531557007921201</v>
      </c>
      <c r="S1425" t="s">
        <v>6165</v>
      </c>
      <c r="T1425" t="s">
        <v>9478</v>
      </c>
      <c r="U1425" t="s">
        <v>9478</v>
      </c>
      <c r="V1425" t="s">
        <v>9478</v>
      </c>
      <c r="W1425">
        <v>56</v>
      </c>
      <c r="X1425" t="s">
        <v>10903</v>
      </c>
      <c r="Y1425">
        <v>0.68466296500524804</v>
      </c>
      <c r="Z1425" t="str">
        <f>HYPERLINK("Melting_Curves/meltCurve_sp_P55196_AFAD_HUMAN_.pdf", "Melting_Curves/meltCurve_sp_P55196_AFAD_HUMAN_.pdf")</f>
        <v>Melting_Curves/meltCurve_sp_P55196_AFAD_HUMAN_.pdf</v>
      </c>
      <c r="AA1425" t="s">
        <v>15618</v>
      </c>
      <c r="AB1425" t="s">
        <v>20259</v>
      </c>
    </row>
    <row r="1426" spans="1:28" x14ac:dyDescent="0.25">
      <c r="A1426" t="s">
        <v>1430</v>
      </c>
      <c r="B1426">
        <v>0.99904790336628502</v>
      </c>
      <c r="C1426">
        <v>0.96777532166112101</v>
      </c>
      <c r="D1426">
        <v>0.92170875207578196</v>
      </c>
      <c r="E1426">
        <v>0.701893417821571</v>
      </c>
      <c r="F1426">
        <v>0.50237680651767203</v>
      </c>
      <c r="G1426">
        <v>0.39518531480666802</v>
      </c>
      <c r="H1426">
        <v>0.21775229510569499</v>
      </c>
      <c r="I1426">
        <v>0.133428087804288</v>
      </c>
      <c r="J1426">
        <v>0.101058802006463</v>
      </c>
      <c r="K1426">
        <v>8.7411119967609002E-2</v>
      </c>
      <c r="L1426">
        <v>661.012620362245</v>
      </c>
      <c r="M1426">
        <v>12.346992219825401</v>
      </c>
      <c r="N1426">
        <v>53.857543949770303</v>
      </c>
      <c r="O1426">
        <v>52.190111161639699</v>
      </c>
      <c r="P1426">
        <v>-5.7057229754934199E-2</v>
      </c>
      <c r="Q1426">
        <v>3.5496093323703098E-2</v>
      </c>
      <c r="R1426">
        <v>0.99463712642573099</v>
      </c>
      <c r="S1426" t="s">
        <v>6166</v>
      </c>
      <c r="T1426" t="s">
        <v>9478</v>
      </c>
      <c r="U1426" t="s">
        <v>9478</v>
      </c>
      <c r="V1426" t="s">
        <v>9478</v>
      </c>
      <c r="W1426">
        <v>7</v>
      </c>
      <c r="X1426" t="s">
        <v>10904</v>
      </c>
      <c r="Y1426">
        <v>0.49620156146177519</v>
      </c>
      <c r="Z1426" t="str">
        <f>HYPERLINK("Melting_Curves/meltCurve_sp_P55210_CASP7_HUMAN_.pdf", "Melting_Curves/meltCurve_sp_P55210_CASP7_HUMAN_.pdf")</f>
        <v>Melting_Curves/meltCurve_sp_P55210_CASP7_HUMAN_.pdf</v>
      </c>
      <c r="AA1426" t="s">
        <v>15619</v>
      </c>
      <c r="AB1426" t="s">
        <v>20260</v>
      </c>
    </row>
    <row r="1427" spans="1:28" x14ac:dyDescent="0.25">
      <c r="A1427" t="s">
        <v>1431</v>
      </c>
      <c r="B1427">
        <v>0.99904790336628502</v>
      </c>
      <c r="C1427">
        <v>0.93445017970828903</v>
      </c>
      <c r="D1427">
        <v>0.86241160357729996</v>
      </c>
      <c r="E1427">
        <v>0.69415596695619997</v>
      </c>
      <c r="F1427">
        <v>0.66101533000513002</v>
      </c>
      <c r="G1427">
        <v>0.50188493783752697</v>
      </c>
      <c r="H1427">
        <v>0.36184758032515002</v>
      </c>
      <c r="I1427">
        <v>0.38297567551390299</v>
      </c>
      <c r="J1427">
        <v>0.35525683645942102</v>
      </c>
      <c r="K1427">
        <v>0.24284221550676299</v>
      </c>
      <c r="L1427">
        <v>494.31879583570498</v>
      </c>
      <c r="M1427">
        <v>9.1862943333282292</v>
      </c>
      <c r="N1427">
        <v>56.979610704561203</v>
      </c>
      <c r="O1427">
        <v>51.444628165082399</v>
      </c>
      <c r="P1427">
        <v>-3.5735911381090203E-2</v>
      </c>
      <c r="Q1427">
        <v>0.20003167212348799</v>
      </c>
      <c r="R1427">
        <v>0.98461417375583804</v>
      </c>
      <c r="S1427" t="s">
        <v>6167</v>
      </c>
      <c r="T1427" t="s">
        <v>9478</v>
      </c>
      <c r="U1427" t="s">
        <v>9478</v>
      </c>
      <c r="V1427" t="s">
        <v>9478</v>
      </c>
      <c r="W1427">
        <v>13</v>
      </c>
      <c r="X1427" t="s">
        <v>10905</v>
      </c>
      <c r="Y1427">
        <v>0.59454417727732545</v>
      </c>
      <c r="Z1427" t="str">
        <f>HYPERLINK("Melting_Curves/meltCurve_sp_P55212_CASP6_HUMAN_.pdf", "Melting_Curves/meltCurve_sp_P55212_CASP6_HUMAN_.pdf")</f>
        <v>Melting_Curves/meltCurve_sp_P55212_CASP6_HUMAN_.pdf</v>
      </c>
      <c r="AA1427" t="s">
        <v>15620</v>
      </c>
      <c r="AB1427" t="s">
        <v>20261</v>
      </c>
    </row>
    <row r="1428" spans="1:28" x14ac:dyDescent="0.25">
      <c r="A1428" t="s">
        <v>1432</v>
      </c>
      <c r="B1428">
        <v>0.99904790336628502</v>
      </c>
      <c r="C1428">
        <v>0.99229341853609698</v>
      </c>
      <c r="D1428">
        <v>0.90375673650660604</v>
      </c>
      <c r="E1428">
        <v>0.75841129965220699</v>
      </c>
      <c r="F1428">
        <v>0.348588129203657</v>
      </c>
      <c r="G1428">
        <v>0.106324006984838</v>
      </c>
      <c r="H1428">
        <v>5.7753228426007198E-2</v>
      </c>
      <c r="I1428">
        <v>4.3454647550127297E-2</v>
      </c>
      <c r="J1428">
        <v>3.8338117006277601E-2</v>
      </c>
      <c r="K1428">
        <v>2.9002496981366602E-2</v>
      </c>
      <c r="L1428">
        <v>1420.7984931803901</v>
      </c>
      <c r="M1428">
        <v>27.4650221276165</v>
      </c>
      <c r="N1428">
        <v>51.869790252616703</v>
      </c>
      <c r="O1428">
        <v>51.459280107845103</v>
      </c>
      <c r="P1428">
        <v>-0.12871149775861099</v>
      </c>
      <c r="Q1428">
        <v>3.5378193681024198E-2</v>
      </c>
      <c r="R1428">
        <v>0.99675998239337604</v>
      </c>
      <c r="S1428" t="s">
        <v>6168</v>
      </c>
      <c r="T1428" t="s">
        <v>9478</v>
      </c>
      <c r="U1428" t="s">
        <v>9478</v>
      </c>
      <c r="V1428" t="s">
        <v>9478</v>
      </c>
      <c r="W1428">
        <v>20</v>
      </c>
      <c r="X1428" t="s">
        <v>10906</v>
      </c>
      <c r="Y1428">
        <v>0.41989262241589709</v>
      </c>
      <c r="Z1428" t="str">
        <f>HYPERLINK("Melting_Curves/meltCurve_sp_P55263_ADK_HUMAN_.pdf", "Melting_Curves/meltCurve_sp_P55263_ADK_HUMAN_.pdf")</f>
        <v>Melting_Curves/meltCurve_sp_P55263_ADK_HUMAN_.pdf</v>
      </c>
      <c r="AA1428" t="s">
        <v>15621</v>
      </c>
      <c r="AB1428" t="s">
        <v>20262</v>
      </c>
    </row>
    <row r="1429" spans="1:28" x14ac:dyDescent="0.25">
      <c r="A1429" t="s">
        <v>1433</v>
      </c>
      <c r="B1429">
        <v>0.99904790336628502</v>
      </c>
      <c r="C1429">
        <v>0.99586354818344902</v>
      </c>
      <c r="D1429">
        <v>0.98083265492532401</v>
      </c>
      <c r="E1429">
        <v>0.93690562416310397</v>
      </c>
      <c r="F1429">
        <v>0.88989424993271204</v>
      </c>
      <c r="G1429">
        <v>0.48860143262867201</v>
      </c>
      <c r="H1429">
        <v>0.23447068518675401</v>
      </c>
      <c r="I1429">
        <v>0.196517571377227</v>
      </c>
      <c r="J1429">
        <v>0.19395685162922299</v>
      </c>
      <c r="K1429">
        <v>0.19321763120952201</v>
      </c>
      <c r="L1429">
        <v>1725.1031142911199</v>
      </c>
      <c r="M1429">
        <v>30.7946977877276</v>
      </c>
      <c r="N1429">
        <v>56.866336930453301</v>
      </c>
      <c r="O1429">
        <v>55.784842015550502</v>
      </c>
      <c r="P1429">
        <v>-0.112625840041194</v>
      </c>
      <c r="Q1429">
        <v>0.18391434316076299</v>
      </c>
      <c r="R1429">
        <v>0.99802024906371301</v>
      </c>
      <c r="S1429" t="s">
        <v>6169</v>
      </c>
      <c r="T1429" t="s">
        <v>9478</v>
      </c>
      <c r="U1429" t="s">
        <v>9478</v>
      </c>
      <c r="V1429" t="s">
        <v>9478</v>
      </c>
      <c r="W1429">
        <v>27</v>
      </c>
      <c r="X1429" t="s">
        <v>10907</v>
      </c>
      <c r="Y1429">
        <v>0.62487662060629678</v>
      </c>
      <c r="Z1429" t="str">
        <f>HYPERLINK("Melting_Curves/meltCurve_sp_P55265_3_DSRAD_HUMAN_.pdf", "Melting_Curves/meltCurve_sp_P55265_3_DSRAD_HUMAN_.pdf")</f>
        <v>Melting_Curves/meltCurve_sp_P55265_3_DSRAD_HUMAN_.pdf</v>
      </c>
      <c r="AA1429" t="s">
        <v>15622</v>
      </c>
      <c r="AB1429" t="s">
        <v>20263</v>
      </c>
    </row>
    <row r="1430" spans="1:28" x14ac:dyDescent="0.25">
      <c r="A1430" t="s">
        <v>1434</v>
      </c>
      <c r="B1430">
        <v>0.99904790336628502</v>
      </c>
      <c r="C1430">
        <v>0.98231053683842096</v>
      </c>
      <c r="D1430">
        <v>0.97985778242761401</v>
      </c>
      <c r="E1430">
        <v>0.83864875442071296</v>
      </c>
      <c r="F1430">
        <v>0.59026990021804204</v>
      </c>
      <c r="G1430">
        <v>0.381262699268759</v>
      </c>
      <c r="H1430">
        <v>0.209931410562644</v>
      </c>
      <c r="I1430">
        <v>0.16467334929212801</v>
      </c>
      <c r="J1430">
        <v>0.138745670899007</v>
      </c>
      <c r="K1430">
        <v>0.123717812731333</v>
      </c>
      <c r="L1430">
        <v>956.542566205193</v>
      </c>
      <c r="M1430">
        <v>17.749760840129198</v>
      </c>
      <c r="N1430">
        <v>54.683332941111402</v>
      </c>
      <c r="O1430">
        <v>53.2203740219949</v>
      </c>
      <c r="P1430">
        <v>-7.3922441784378498E-2</v>
      </c>
      <c r="Q1430">
        <v>0.11345846412141</v>
      </c>
      <c r="R1430">
        <v>0.99816884612579404</v>
      </c>
      <c r="S1430" t="s">
        <v>6170</v>
      </c>
      <c r="T1430" t="s">
        <v>9478</v>
      </c>
      <c r="U1430" t="s">
        <v>9478</v>
      </c>
      <c r="V1430" t="s">
        <v>9478</v>
      </c>
      <c r="W1430">
        <v>11</v>
      </c>
      <c r="X1430" t="s">
        <v>10908</v>
      </c>
      <c r="Y1430">
        <v>0.53846697922804465</v>
      </c>
      <c r="Z1430" t="str">
        <f>HYPERLINK("Melting_Curves/meltCurve_sp_P55268_LAMB2_HUMAN_.pdf", "Melting_Curves/meltCurve_sp_P55268_LAMB2_HUMAN_.pdf")</f>
        <v>Melting_Curves/meltCurve_sp_P55268_LAMB2_HUMAN_.pdf</v>
      </c>
      <c r="AA1430" t="s">
        <v>15623</v>
      </c>
      <c r="AB1430" t="s">
        <v>20264</v>
      </c>
    </row>
    <row r="1431" spans="1:28" x14ac:dyDescent="0.25">
      <c r="A1431" t="s">
        <v>1435</v>
      </c>
      <c r="B1431">
        <v>0.99904790336628502</v>
      </c>
      <c r="C1431">
        <v>0.93339449425334897</v>
      </c>
      <c r="D1431">
        <v>0.82775397038199106</v>
      </c>
      <c r="E1431">
        <v>0.98325673150137005</v>
      </c>
      <c r="F1431">
        <v>0.36807828106472201</v>
      </c>
      <c r="G1431">
        <v>1.12167561814036</v>
      </c>
      <c r="H1431">
        <v>0.45351135202795001</v>
      </c>
      <c r="I1431">
        <v>0.29512473983625098</v>
      </c>
      <c r="J1431">
        <v>0</v>
      </c>
      <c r="K1431">
        <v>0.29020048856800401</v>
      </c>
      <c r="L1431">
        <v>642.00243075684602</v>
      </c>
      <c r="M1431">
        <v>10.6759871398896</v>
      </c>
      <c r="N1431">
        <v>60.135184996617703</v>
      </c>
      <c r="O1431">
        <v>58.140410243774497</v>
      </c>
      <c r="P1431">
        <v>-4.5923416624855697E-2</v>
      </c>
      <c r="Q1431">
        <v>0</v>
      </c>
      <c r="R1431">
        <v>0.61053852351528504</v>
      </c>
      <c r="S1431" t="s">
        <v>6171</v>
      </c>
      <c r="T1431" t="s">
        <v>9478</v>
      </c>
      <c r="U1431" t="s">
        <v>9478</v>
      </c>
      <c r="V1431" t="s">
        <v>9478</v>
      </c>
      <c r="W1431">
        <v>1</v>
      </c>
      <c r="X1431" t="s">
        <v>10909</v>
      </c>
      <c r="Y1431">
        <v>0.668787736934502</v>
      </c>
      <c r="Z1431" t="str">
        <f>HYPERLINK("Melting_Curves/meltCurve_sp_P55290_3_CAD13_HUMAN_.pdf", "Melting_Curves/meltCurve_sp_P55290_3_CAD13_HUMAN_.pdf")</f>
        <v>Melting_Curves/meltCurve_sp_P55290_3_CAD13_HUMAN_.pdf</v>
      </c>
      <c r="AA1431" t="s">
        <v>15624</v>
      </c>
      <c r="AB1431" t="s">
        <v>20265</v>
      </c>
    </row>
    <row r="1432" spans="1:28" x14ac:dyDescent="0.25">
      <c r="A1432" t="s">
        <v>1436</v>
      </c>
      <c r="B1432">
        <v>0.99904790336628502</v>
      </c>
      <c r="C1432">
        <v>0.99499340735687802</v>
      </c>
      <c r="D1432">
        <v>0.96044865762799503</v>
      </c>
      <c r="E1432">
        <v>0.97173534303693798</v>
      </c>
      <c r="F1432">
        <v>0.96210495345170499</v>
      </c>
      <c r="G1432">
        <v>0.72793905258965697</v>
      </c>
      <c r="H1432">
        <v>0.669647170965598</v>
      </c>
      <c r="I1432">
        <v>0.61563080705806095</v>
      </c>
      <c r="J1432">
        <v>0.666713561411443</v>
      </c>
      <c r="K1432">
        <v>0.62440415380911196</v>
      </c>
      <c r="L1432">
        <v>2266.6004515718801</v>
      </c>
      <c r="M1432">
        <v>40.828031381360397</v>
      </c>
      <c r="O1432">
        <v>55.3831044729789</v>
      </c>
      <c r="P1432">
        <v>-6.6250863821775599E-2</v>
      </c>
      <c r="Q1432">
        <v>0.64052428015526897</v>
      </c>
      <c r="R1432">
        <v>0.983495996307994</v>
      </c>
      <c r="S1432" t="s">
        <v>6172</v>
      </c>
      <c r="T1432" t="s">
        <v>9478</v>
      </c>
      <c r="U1432" t="s">
        <v>9478</v>
      </c>
      <c r="V1432" t="s">
        <v>9478</v>
      </c>
      <c r="W1432">
        <v>10</v>
      </c>
      <c r="X1432" t="s">
        <v>10910</v>
      </c>
      <c r="Y1432">
        <v>0.82776066510736845</v>
      </c>
      <c r="Z1432" t="str">
        <f>HYPERLINK("Melting_Curves/meltCurve_sp_P55327_2_TPD52_HUMAN_.pdf", "Melting_Curves/meltCurve_sp_P55327_2_TPD52_HUMAN_.pdf")</f>
        <v>Melting_Curves/meltCurve_sp_P55327_2_TPD52_HUMAN_.pdf</v>
      </c>
      <c r="AA1432" t="s">
        <v>15625</v>
      </c>
      <c r="AB1432" t="s">
        <v>20266</v>
      </c>
    </row>
    <row r="1433" spans="1:28" x14ac:dyDescent="0.25">
      <c r="A1433" t="s">
        <v>1437</v>
      </c>
      <c r="B1433">
        <v>0.99904790336628502</v>
      </c>
      <c r="C1433">
        <v>1.1307446454869901</v>
      </c>
      <c r="D1433">
        <v>1.18597836698906</v>
      </c>
      <c r="E1433">
        <v>1.10456604589719</v>
      </c>
      <c r="F1433">
        <v>0.87963562277086105</v>
      </c>
      <c r="G1433">
        <v>0.32238491104822198</v>
      </c>
      <c r="H1433">
        <v>7.9637382467395795E-2</v>
      </c>
      <c r="I1433">
        <v>3.9418040719697602E-2</v>
      </c>
      <c r="J1433">
        <v>2.5223144839538102E-2</v>
      </c>
      <c r="K1433">
        <v>2.25200436770281E-2</v>
      </c>
      <c r="L1433">
        <v>2244.3748655761601</v>
      </c>
      <c r="M1433">
        <v>40.2228593068617</v>
      </c>
      <c r="N1433">
        <v>55.890558242893803</v>
      </c>
      <c r="O1433">
        <v>55.661109769930398</v>
      </c>
      <c r="P1433">
        <v>-0.174868887287811</v>
      </c>
      <c r="Q1433">
        <v>3.2055354744888902E-2</v>
      </c>
      <c r="R1433">
        <v>0.97317857236929395</v>
      </c>
      <c r="S1433" t="s">
        <v>6173</v>
      </c>
      <c r="T1433" t="s">
        <v>9478</v>
      </c>
      <c r="U1433" t="s">
        <v>9478</v>
      </c>
      <c r="V1433" t="s">
        <v>9478</v>
      </c>
      <c r="W1433">
        <v>11</v>
      </c>
      <c r="X1433" t="s">
        <v>10911</v>
      </c>
      <c r="Y1433">
        <v>0.54546210433695053</v>
      </c>
      <c r="Z1433" t="str">
        <f>HYPERLINK("Melting_Curves/meltCurve_sp_P55735_SEC13_HUMAN_.pdf", "Melting_Curves/meltCurve_sp_P55735_SEC13_HUMAN_.pdf")</f>
        <v>Melting_Curves/meltCurve_sp_P55735_SEC13_HUMAN_.pdf</v>
      </c>
      <c r="AA1433" t="s">
        <v>15626</v>
      </c>
      <c r="AB1433" t="s">
        <v>20267</v>
      </c>
    </row>
    <row r="1434" spans="1:28" x14ac:dyDescent="0.25">
      <c r="A1434" t="s">
        <v>1438</v>
      </c>
      <c r="B1434">
        <v>0.99904790336628502</v>
      </c>
      <c r="C1434">
        <v>0.83623653261308994</v>
      </c>
      <c r="D1434">
        <v>0.78503429916268497</v>
      </c>
      <c r="E1434">
        <v>0.526246973200024</v>
      </c>
      <c r="F1434">
        <v>0.31265675561683298</v>
      </c>
      <c r="G1434">
        <v>0.157681850568859</v>
      </c>
      <c r="H1434">
        <v>7.8582333753256295E-2</v>
      </c>
      <c r="I1434">
        <v>5.1321147065574703E-2</v>
      </c>
      <c r="J1434">
        <v>3.9565520375889902E-2</v>
      </c>
      <c r="K1434">
        <v>2.8207336063741598E-2</v>
      </c>
      <c r="L1434">
        <v>663.01423145431704</v>
      </c>
      <c r="M1434">
        <v>13.2393687794063</v>
      </c>
      <c r="N1434">
        <v>50.078990737969299</v>
      </c>
      <c r="O1434">
        <v>48.977809853528001</v>
      </c>
      <c r="P1434">
        <v>-6.7589523517471203E-2</v>
      </c>
      <c r="Q1434">
        <v>0</v>
      </c>
      <c r="R1434">
        <v>0.99476917729326797</v>
      </c>
      <c r="S1434" t="s">
        <v>6174</v>
      </c>
      <c r="T1434" t="s">
        <v>9478</v>
      </c>
      <c r="U1434" t="s">
        <v>9478</v>
      </c>
      <c r="V1434" t="s">
        <v>9478</v>
      </c>
      <c r="W1434">
        <v>5</v>
      </c>
      <c r="X1434" t="s">
        <v>10912</v>
      </c>
      <c r="Y1434">
        <v>0.36540409884625707</v>
      </c>
      <c r="Z1434" t="str">
        <f>HYPERLINK("Melting_Curves/meltCurve_sp_P55769_NH2L1_HUMAN_.pdf", "Melting_Curves/meltCurve_sp_P55769_NH2L1_HUMAN_.pdf")</f>
        <v>Melting_Curves/meltCurve_sp_P55769_NH2L1_HUMAN_.pdf</v>
      </c>
      <c r="AA1434" t="s">
        <v>15627</v>
      </c>
      <c r="AB1434" t="s">
        <v>20268</v>
      </c>
    </row>
    <row r="1435" spans="1:28" x14ac:dyDescent="0.25">
      <c r="A1435" t="s">
        <v>1439</v>
      </c>
      <c r="B1435">
        <v>0.99904790336628502</v>
      </c>
      <c r="C1435">
        <v>0.86933857251916502</v>
      </c>
      <c r="D1435">
        <v>0.88393485452661502</v>
      </c>
      <c r="E1435">
        <v>0.79727842344495503</v>
      </c>
      <c r="F1435">
        <v>0.60234379037041197</v>
      </c>
      <c r="G1435">
        <v>0.46754064715208099</v>
      </c>
      <c r="H1435">
        <v>0.39702256330201802</v>
      </c>
      <c r="I1435">
        <v>0.351451807565344</v>
      </c>
      <c r="J1435">
        <v>0.39004798254581102</v>
      </c>
      <c r="K1435">
        <v>0.35441658346301502</v>
      </c>
      <c r="L1435">
        <v>645.62990423554299</v>
      </c>
      <c r="M1435">
        <v>12.433270234683301</v>
      </c>
      <c r="N1435">
        <v>56.512537903239597</v>
      </c>
      <c r="O1435">
        <v>50.639159823310202</v>
      </c>
      <c r="P1435">
        <v>-4.1892070415314502E-2</v>
      </c>
      <c r="Q1435">
        <v>0.317658627920612</v>
      </c>
      <c r="R1435">
        <v>0.97677896402921405</v>
      </c>
      <c r="S1435" t="s">
        <v>6175</v>
      </c>
      <c r="T1435" t="s">
        <v>9478</v>
      </c>
      <c r="U1435" t="s">
        <v>9478</v>
      </c>
      <c r="V1435" t="s">
        <v>9478</v>
      </c>
      <c r="W1435">
        <v>7</v>
      </c>
      <c r="X1435" t="s">
        <v>10913</v>
      </c>
      <c r="Y1435">
        <v>0.60897580793620165</v>
      </c>
      <c r="Z1435" t="str">
        <f>HYPERLINK("Melting_Curves/meltCurve_sp_P55789_ALR_HUMAN_.pdf", "Melting_Curves/meltCurve_sp_P55789_ALR_HUMAN_.pdf")</f>
        <v>Melting_Curves/meltCurve_sp_P55789_ALR_HUMAN_.pdf</v>
      </c>
      <c r="AA1435" t="s">
        <v>15628</v>
      </c>
      <c r="AB1435" t="s">
        <v>20269</v>
      </c>
    </row>
    <row r="1436" spans="1:28" x14ac:dyDescent="0.25">
      <c r="A1436" t="s">
        <v>1440</v>
      </c>
      <c r="B1436">
        <v>0.99904790336628502</v>
      </c>
      <c r="C1436">
        <v>0.94964971467166304</v>
      </c>
      <c r="D1436">
        <v>0.85243507225684001</v>
      </c>
      <c r="E1436">
        <v>0.60671665993371604</v>
      </c>
      <c r="F1436">
        <v>0.32365158112438203</v>
      </c>
      <c r="G1436">
        <v>0.22369888099437699</v>
      </c>
      <c r="H1436">
        <v>0.14409302993110501</v>
      </c>
      <c r="I1436">
        <v>0.11581573217709</v>
      </c>
      <c r="J1436">
        <v>0.104037314541629</v>
      </c>
      <c r="K1436">
        <v>8.8531860198751297E-2</v>
      </c>
      <c r="L1436">
        <v>886.83073964251003</v>
      </c>
      <c r="M1436">
        <v>17.592371805695301</v>
      </c>
      <c r="N1436">
        <v>51.0159091878959</v>
      </c>
      <c r="O1436">
        <v>49.772139103415199</v>
      </c>
      <c r="P1436">
        <v>-8.0037473137424694E-2</v>
      </c>
      <c r="Q1436">
        <v>9.4284550230075898E-2</v>
      </c>
      <c r="R1436">
        <v>0.99731229387594</v>
      </c>
      <c r="S1436" t="s">
        <v>6176</v>
      </c>
      <c r="T1436" t="s">
        <v>9478</v>
      </c>
      <c r="U1436" t="s">
        <v>9478</v>
      </c>
      <c r="V1436" t="s">
        <v>9478</v>
      </c>
      <c r="W1436">
        <v>11</v>
      </c>
      <c r="X1436" t="s">
        <v>10914</v>
      </c>
      <c r="Y1436">
        <v>0.42459949744860181</v>
      </c>
      <c r="Z1436" t="str">
        <f>HYPERLINK("Melting_Curves/meltCurve_sp_P55795_HNRH2_HUMAN_.pdf", "Melting_Curves/meltCurve_sp_P55795_HNRH2_HUMAN_.pdf")</f>
        <v>Melting_Curves/meltCurve_sp_P55795_HNRH2_HUMAN_.pdf</v>
      </c>
      <c r="AA1436" t="s">
        <v>15629</v>
      </c>
      <c r="AB1436" t="s">
        <v>20270</v>
      </c>
    </row>
    <row r="1437" spans="1:28" x14ac:dyDescent="0.25">
      <c r="A1437" t="s">
        <v>1441</v>
      </c>
      <c r="B1437">
        <v>0.99904790336628502</v>
      </c>
      <c r="C1437">
        <v>0.91039279294113495</v>
      </c>
      <c r="D1437">
        <v>0.81082968077968598</v>
      </c>
      <c r="E1437">
        <v>0.93023321407695703</v>
      </c>
      <c r="F1437">
        <v>0.96980463163308195</v>
      </c>
      <c r="G1437">
        <v>0.85069895445854304</v>
      </c>
      <c r="H1437">
        <v>0.75740516826836102</v>
      </c>
      <c r="I1437">
        <v>0.73084898428406198</v>
      </c>
      <c r="J1437">
        <v>0.72275604956246797</v>
      </c>
      <c r="K1437">
        <v>0.76928969990289797</v>
      </c>
      <c r="L1437">
        <v>199.05114765340301</v>
      </c>
      <c r="M1437">
        <v>1.88002811987636</v>
      </c>
      <c r="O1437">
        <v>60.487910799159501</v>
      </c>
      <c r="P1437">
        <v>-8.5770624840795506E-3</v>
      </c>
      <c r="Q1437">
        <v>0</v>
      </c>
      <c r="R1437">
        <v>0.64233463944558999</v>
      </c>
      <c r="S1437" t="s">
        <v>6177</v>
      </c>
      <c r="T1437" t="s">
        <v>9478</v>
      </c>
      <c r="U1437" t="s">
        <v>9478</v>
      </c>
      <c r="V1437" t="s">
        <v>9478</v>
      </c>
      <c r="W1437">
        <v>3</v>
      </c>
      <c r="X1437" t="s">
        <v>10915</v>
      </c>
      <c r="Y1437">
        <v>0.84727405902054576</v>
      </c>
      <c r="Z1437" t="str">
        <f>HYPERLINK("Melting_Curves/meltCurve_sp_P55854_SUMO3_HUMAN_.pdf", "Melting_Curves/meltCurve_sp_P55854_SUMO3_HUMAN_.pdf")</f>
        <v>Melting_Curves/meltCurve_sp_P55854_SUMO3_HUMAN_.pdf</v>
      </c>
      <c r="AA1437" t="s">
        <v>15630</v>
      </c>
      <c r="AB1437" t="s">
        <v>20271</v>
      </c>
    </row>
    <row r="1438" spans="1:28" x14ac:dyDescent="0.25">
      <c r="A1438" t="s">
        <v>1442</v>
      </c>
      <c r="B1438">
        <v>0.99904790336628502</v>
      </c>
      <c r="C1438">
        <v>0.95808929204910098</v>
      </c>
      <c r="D1438">
        <v>0.94873763021227298</v>
      </c>
      <c r="E1438">
        <v>0.73401797209146902</v>
      </c>
      <c r="F1438">
        <v>0.45359416008967401</v>
      </c>
      <c r="G1438">
        <v>0.20655841294440599</v>
      </c>
      <c r="H1438">
        <v>0.103497886375604</v>
      </c>
      <c r="I1438">
        <v>7.8858567296882495E-2</v>
      </c>
      <c r="J1438">
        <v>5.4367454469213303E-2</v>
      </c>
      <c r="K1438">
        <v>5.26082307058282E-2</v>
      </c>
      <c r="L1438">
        <v>1040.2238452235099</v>
      </c>
      <c r="M1438">
        <v>19.890879054298601</v>
      </c>
      <c r="N1438">
        <v>52.566542152846701</v>
      </c>
      <c r="O1438">
        <v>51.776562263066701</v>
      </c>
      <c r="P1438">
        <v>-9.1380857861329906E-2</v>
      </c>
      <c r="Q1438">
        <v>4.8563368841462999E-2</v>
      </c>
      <c r="R1438">
        <v>0.99924191222283298</v>
      </c>
      <c r="S1438" t="s">
        <v>6178</v>
      </c>
      <c r="T1438" t="s">
        <v>9478</v>
      </c>
      <c r="U1438" t="s">
        <v>9478</v>
      </c>
      <c r="V1438" t="s">
        <v>9478</v>
      </c>
      <c r="W1438">
        <v>13</v>
      </c>
      <c r="X1438" t="s">
        <v>10916</v>
      </c>
      <c r="Y1438">
        <v>0.45181822624077012</v>
      </c>
      <c r="Z1438" t="str">
        <f>HYPERLINK("Melting_Curves/meltCurve_sp_P55884_EIF3B_HUMAN_.pdf", "Melting_Curves/meltCurve_sp_P55884_EIF3B_HUMAN_.pdf")</f>
        <v>Melting_Curves/meltCurve_sp_P55884_EIF3B_HUMAN_.pdf</v>
      </c>
      <c r="AA1438" t="s">
        <v>15631</v>
      </c>
      <c r="AB1438" t="s">
        <v>20272</v>
      </c>
    </row>
    <row r="1439" spans="1:28" x14ac:dyDescent="0.25">
      <c r="A1439" t="s">
        <v>1443</v>
      </c>
      <c r="B1439">
        <v>0.99904790336628502</v>
      </c>
      <c r="C1439">
        <v>1.1321969726958101</v>
      </c>
      <c r="D1439">
        <v>1.0778102660820099</v>
      </c>
      <c r="E1439">
        <v>1.04331788407996</v>
      </c>
      <c r="F1439">
        <v>1.12942483960294</v>
      </c>
      <c r="G1439">
        <v>0.86433165369427201</v>
      </c>
      <c r="H1439">
        <v>0.79791440418578796</v>
      </c>
      <c r="I1439">
        <v>0.79344741614443004</v>
      </c>
      <c r="J1439">
        <v>0.85127808539764005</v>
      </c>
      <c r="K1439">
        <v>0.95054028917080502</v>
      </c>
      <c r="L1439">
        <v>14128.286070911199</v>
      </c>
      <c r="M1439">
        <v>250</v>
      </c>
      <c r="O1439">
        <v>56.5095278678656</v>
      </c>
      <c r="P1439">
        <v>-0.167786937122303</v>
      </c>
      <c r="Q1439">
        <v>0.84829503072686396</v>
      </c>
      <c r="R1439">
        <v>0.62622153803693803</v>
      </c>
      <c r="S1439" t="s">
        <v>6179</v>
      </c>
      <c r="T1439" t="s">
        <v>9478</v>
      </c>
      <c r="U1439" t="s">
        <v>9478</v>
      </c>
      <c r="V1439" t="s">
        <v>9478</v>
      </c>
      <c r="W1439">
        <v>12</v>
      </c>
      <c r="X1439" t="s">
        <v>10917</v>
      </c>
      <c r="Y1439">
        <v>0.93181427831692776</v>
      </c>
      <c r="Z1439" t="str">
        <f>HYPERLINK("Melting_Curves/meltCurve_sp_P56181_2_NDUV3_HUMAN_.pdf", "Melting_Curves/meltCurve_sp_P56181_2_NDUV3_HUMAN_.pdf")</f>
        <v>Melting_Curves/meltCurve_sp_P56181_2_NDUV3_HUMAN_.pdf</v>
      </c>
      <c r="AA1439" t="s">
        <v>15632</v>
      </c>
      <c r="AB1439" t="s">
        <v>20273</v>
      </c>
    </row>
    <row r="1440" spans="1:28" x14ac:dyDescent="0.25">
      <c r="A1440" t="s">
        <v>1444</v>
      </c>
      <c r="B1440">
        <v>0.99904790336628502</v>
      </c>
      <c r="C1440">
        <v>0.98156035193487201</v>
      </c>
      <c r="D1440">
        <v>0.77430056885180898</v>
      </c>
      <c r="E1440">
        <v>0.81667917631937503</v>
      </c>
      <c r="F1440">
        <v>0.76522584741155697</v>
      </c>
      <c r="G1440">
        <v>0.49245393465882398</v>
      </c>
      <c r="H1440">
        <v>0.63231933035571397</v>
      </c>
      <c r="I1440">
        <v>0.46015758793057698</v>
      </c>
      <c r="J1440">
        <v>0.53803604823531803</v>
      </c>
      <c r="K1440">
        <v>0.63184236622668399</v>
      </c>
      <c r="L1440">
        <v>614.23728230503798</v>
      </c>
      <c r="M1440">
        <v>12.2977960553558</v>
      </c>
      <c r="O1440">
        <v>48.681342079000501</v>
      </c>
      <c r="P1440">
        <v>-2.9797547914988998E-2</v>
      </c>
      <c r="Q1440">
        <v>0.52828411742973203</v>
      </c>
      <c r="R1440">
        <v>0.82360298732319603</v>
      </c>
      <c r="S1440" t="s">
        <v>6180</v>
      </c>
      <c r="T1440" t="s">
        <v>9478</v>
      </c>
      <c r="U1440" t="s">
        <v>9478</v>
      </c>
      <c r="V1440" t="s">
        <v>9478</v>
      </c>
      <c r="W1440">
        <v>1</v>
      </c>
      <c r="X1440" t="s">
        <v>10918</v>
      </c>
      <c r="Y1440">
        <v>0.70044618852105178</v>
      </c>
      <c r="Z1440" t="str">
        <f>HYPERLINK("Melting_Curves/meltCurve_sp_P56181_NDUV3_HUMAN_.pdf", "Melting_Curves/meltCurve_sp_P56181_NDUV3_HUMAN_.pdf")</f>
        <v>Melting_Curves/meltCurve_sp_P56181_NDUV3_HUMAN_.pdf</v>
      </c>
      <c r="AA1440" t="s">
        <v>15632</v>
      </c>
      <c r="AB1440" t="s">
        <v>20274</v>
      </c>
    </row>
    <row r="1441" spans="1:28" x14ac:dyDescent="0.25">
      <c r="A1441" t="s">
        <v>1445</v>
      </c>
      <c r="B1441">
        <v>0.99904790336628502</v>
      </c>
      <c r="C1441">
        <v>0.88935539632429494</v>
      </c>
      <c r="D1441">
        <v>0.61281662216217703</v>
      </c>
      <c r="E1441">
        <v>0.36912807489209798</v>
      </c>
      <c r="F1441">
        <v>0.236233623119699</v>
      </c>
      <c r="G1441">
        <v>0.17841328101763301</v>
      </c>
      <c r="H1441">
        <v>0.106771690822363</v>
      </c>
      <c r="I1441">
        <v>6.8735356480820797E-2</v>
      </c>
      <c r="J1441">
        <v>5.2360808005292303E-2</v>
      </c>
      <c r="K1441">
        <v>4.9817911933545699E-2</v>
      </c>
      <c r="L1441">
        <v>728.88213239549805</v>
      </c>
      <c r="M1441">
        <v>15.2890195011102</v>
      </c>
      <c r="N1441">
        <v>48.089229641647897</v>
      </c>
      <c r="O1441">
        <v>46.880307769235202</v>
      </c>
      <c r="P1441">
        <v>-7.6492863023387106E-2</v>
      </c>
      <c r="Q1441">
        <v>6.1895952549971003E-2</v>
      </c>
      <c r="R1441">
        <v>0.992445851655818</v>
      </c>
      <c r="S1441" t="s">
        <v>6181</v>
      </c>
      <c r="T1441" t="s">
        <v>9478</v>
      </c>
      <c r="U1441" t="s">
        <v>9478</v>
      </c>
      <c r="V1441" t="s">
        <v>9478</v>
      </c>
      <c r="W1441">
        <v>9</v>
      </c>
      <c r="X1441" t="s">
        <v>10919</v>
      </c>
      <c r="Y1441">
        <v>0.32545617237970192</v>
      </c>
      <c r="Z1441" t="str">
        <f>HYPERLINK("Melting_Curves/meltCurve_sp_P56192_SYMC_HUMAN_.pdf", "Melting_Curves/meltCurve_sp_P56192_SYMC_HUMAN_.pdf")</f>
        <v>Melting_Curves/meltCurve_sp_P56192_SYMC_HUMAN_.pdf</v>
      </c>
      <c r="AA1441" t="s">
        <v>15633</v>
      </c>
      <c r="AB1441" t="s">
        <v>20275</v>
      </c>
    </row>
    <row r="1442" spans="1:28" x14ac:dyDescent="0.25">
      <c r="A1442" t="s">
        <v>1446</v>
      </c>
      <c r="B1442">
        <v>0.99904790336628502</v>
      </c>
      <c r="C1442">
        <v>1.0303729581323999</v>
      </c>
      <c r="D1442">
        <v>1.0217502484683401</v>
      </c>
      <c r="E1442">
        <v>0.99020924735840499</v>
      </c>
      <c r="F1442">
        <v>0.99613555227471395</v>
      </c>
      <c r="G1442">
        <v>0.86844934335301804</v>
      </c>
      <c r="H1442">
        <v>0.82854044002954197</v>
      </c>
      <c r="I1442">
        <v>0.80497865533830504</v>
      </c>
      <c r="J1442">
        <v>0.85743613912847105</v>
      </c>
      <c r="K1442">
        <v>0.899845922501461</v>
      </c>
      <c r="L1442">
        <v>4361.8699948703497</v>
      </c>
      <c r="M1442">
        <v>78.3916789973307</v>
      </c>
      <c r="O1442">
        <v>55.605823846133099</v>
      </c>
      <c r="P1442">
        <v>-5.3665106189102502E-2</v>
      </c>
      <c r="Q1442">
        <v>0.84773424639054595</v>
      </c>
      <c r="R1442">
        <v>0.90311512917950798</v>
      </c>
      <c r="S1442" t="s">
        <v>6182</v>
      </c>
      <c r="T1442" t="s">
        <v>9478</v>
      </c>
      <c r="U1442" t="s">
        <v>9478</v>
      </c>
      <c r="V1442" t="s">
        <v>9478</v>
      </c>
      <c r="W1442">
        <v>6</v>
      </c>
      <c r="X1442" t="s">
        <v>10920</v>
      </c>
      <c r="Y1442">
        <v>0.92727715356656903</v>
      </c>
      <c r="Z1442" t="str">
        <f>HYPERLINK("Melting_Curves/meltCurve_sp_P56277_CMC4_HUMAN_.pdf", "Melting_Curves/meltCurve_sp_P56277_CMC4_HUMAN_.pdf")</f>
        <v>Melting_Curves/meltCurve_sp_P56277_CMC4_HUMAN_.pdf</v>
      </c>
      <c r="AA1442" t="s">
        <v>15634</v>
      </c>
      <c r="AB1442" t="s">
        <v>20276</v>
      </c>
    </row>
    <row r="1443" spans="1:28" x14ac:dyDescent="0.25">
      <c r="A1443" t="s">
        <v>1447</v>
      </c>
      <c r="B1443">
        <v>0.99904790336628502</v>
      </c>
      <c r="C1443">
        <v>0.99056702920789597</v>
      </c>
      <c r="D1443">
        <v>0.93519116495688703</v>
      </c>
      <c r="E1443">
        <v>0.82105379057318295</v>
      </c>
      <c r="F1443">
        <v>0.671390180467904</v>
      </c>
      <c r="G1443">
        <v>1.2863293268279901</v>
      </c>
      <c r="H1443">
        <v>0.49199383571001498</v>
      </c>
      <c r="I1443">
        <v>0.51351328902441795</v>
      </c>
      <c r="J1443">
        <v>0.495540587100885</v>
      </c>
      <c r="K1443">
        <v>0.67292929348123598</v>
      </c>
      <c r="L1443">
        <v>492.22077549955901</v>
      </c>
      <c r="M1443">
        <v>7.9845131637173399</v>
      </c>
      <c r="O1443">
        <v>58.140304606051799</v>
      </c>
      <c r="P1443">
        <v>-2.21055344386927E-2</v>
      </c>
      <c r="Q1443">
        <v>0.35687476031701498</v>
      </c>
      <c r="R1443">
        <v>0.39493222706077002</v>
      </c>
      <c r="S1443" t="s">
        <v>6183</v>
      </c>
      <c r="T1443" t="s">
        <v>9478</v>
      </c>
      <c r="U1443" t="s">
        <v>9478</v>
      </c>
      <c r="V1443" t="s">
        <v>9478</v>
      </c>
      <c r="W1443">
        <v>2</v>
      </c>
      <c r="X1443" t="s">
        <v>10921</v>
      </c>
      <c r="Y1443">
        <v>0.79980014244409603</v>
      </c>
      <c r="Z1443" t="str">
        <f>HYPERLINK("Melting_Curves/meltCurve_sp_P56385_ATP5I_HUMAN_.pdf", "Melting_Curves/meltCurve_sp_P56385_ATP5I_HUMAN_.pdf")</f>
        <v>Melting_Curves/meltCurve_sp_P56385_ATP5I_HUMAN_.pdf</v>
      </c>
      <c r="AA1443" t="s">
        <v>15635</v>
      </c>
      <c r="AB1443" t="s">
        <v>20277</v>
      </c>
    </row>
    <row r="1444" spans="1:28" x14ac:dyDescent="0.25">
      <c r="A1444" t="s">
        <v>1448</v>
      </c>
      <c r="B1444">
        <v>0.99904790336628502</v>
      </c>
      <c r="C1444">
        <v>0.96069102807638795</v>
      </c>
      <c r="D1444">
        <v>0.93241607563638895</v>
      </c>
      <c r="E1444">
        <v>0.92781465860080203</v>
      </c>
      <c r="F1444">
        <v>0.90841093628367497</v>
      </c>
      <c r="G1444">
        <v>0.48457411273804402</v>
      </c>
      <c r="H1444">
        <v>0.143987955282942</v>
      </c>
      <c r="I1444">
        <v>8.1295593685743503E-2</v>
      </c>
      <c r="J1444">
        <v>7.0430188220604595E-2</v>
      </c>
      <c r="K1444">
        <v>5.4303519837442901E-2</v>
      </c>
      <c r="L1444">
        <v>1701.3717244033401</v>
      </c>
      <c r="M1444">
        <v>30.031464140220901</v>
      </c>
      <c r="N1444">
        <v>56.864175273282498</v>
      </c>
      <c r="O1444">
        <v>56.4035514415108</v>
      </c>
      <c r="P1444">
        <v>-0.12608594528400899</v>
      </c>
      <c r="Q1444">
        <v>5.27736030639143E-2</v>
      </c>
      <c r="R1444">
        <v>0.99431936926426001</v>
      </c>
      <c r="S1444" t="s">
        <v>6184</v>
      </c>
      <c r="T1444" t="s">
        <v>9478</v>
      </c>
      <c r="U1444" t="s">
        <v>9478</v>
      </c>
      <c r="V1444" t="s">
        <v>9478</v>
      </c>
      <c r="W1444">
        <v>9</v>
      </c>
      <c r="X1444" t="s">
        <v>10922</v>
      </c>
      <c r="Y1444">
        <v>0.58488295820728486</v>
      </c>
      <c r="Z1444" t="str">
        <f>HYPERLINK("Melting_Curves/meltCurve_sp_P56470_LEG4_HUMAN_.pdf", "Melting_Curves/meltCurve_sp_P56470_LEG4_HUMAN_.pdf")</f>
        <v>Melting_Curves/meltCurve_sp_P56470_LEG4_HUMAN_.pdf</v>
      </c>
      <c r="AA1444" t="s">
        <v>15636</v>
      </c>
      <c r="AB1444" t="s">
        <v>20278</v>
      </c>
    </row>
    <row r="1445" spans="1:28" x14ac:dyDescent="0.25">
      <c r="A1445" t="s">
        <v>1449</v>
      </c>
      <c r="B1445">
        <v>0.99904790336628502</v>
      </c>
      <c r="C1445">
        <v>0.98911819303029402</v>
      </c>
      <c r="D1445">
        <v>1.0489756173722</v>
      </c>
      <c r="E1445">
        <v>0.95620480282626596</v>
      </c>
      <c r="F1445">
        <v>0.79107452735391603</v>
      </c>
      <c r="G1445">
        <v>0.59937905565224203</v>
      </c>
      <c r="H1445">
        <v>0.48300526528936</v>
      </c>
      <c r="I1445">
        <v>0.35000544724909999</v>
      </c>
      <c r="J1445">
        <v>0.48729554853018298</v>
      </c>
      <c r="K1445">
        <v>0.356345540294977</v>
      </c>
      <c r="L1445">
        <v>1187.15930154342</v>
      </c>
      <c r="M1445">
        <v>21.5573806260395</v>
      </c>
      <c r="N1445">
        <v>59.253088927890801</v>
      </c>
      <c r="O1445">
        <v>54.602424420636801</v>
      </c>
      <c r="P1445">
        <v>-6.0124480992406699E-2</v>
      </c>
      <c r="Q1445">
        <v>0.39086050263410099</v>
      </c>
      <c r="R1445">
        <v>0.97386525769121302</v>
      </c>
      <c r="S1445" t="s">
        <v>6185</v>
      </c>
      <c r="T1445" t="s">
        <v>9478</v>
      </c>
      <c r="U1445" t="s">
        <v>9478</v>
      </c>
      <c r="V1445" t="s">
        <v>9478</v>
      </c>
      <c r="W1445">
        <v>2</v>
      </c>
      <c r="X1445" t="s">
        <v>10923</v>
      </c>
      <c r="Y1445">
        <v>0.70406035372071518</v>
      </c>
      <c r="Z1445" t="str">
        <f>HYPERLINK("Melting_Curves/meltCurve_sp_P56524_HDAC4_HUMAN_.pdf", "Melting_Curves/meltCurve_sp_P56524_HDAC4_HUMAN_.pdf")</f>
        <v>Melting_Curves/meltCurve_sp_P56524_HDAC4_HUMAN_.pdf</v>
      </c>
      <c r="AA1445" t="s">
        <v>15637</v>
      </c>
      <c r="AB1445" t="s">
        <v>20279</v>
      </c>
    </row>
    <row r="1446" spans="1:28" x14ac:dyDescent="0.25">
      <c r="A1446" t="s">
        <v>1450</v>
      </c>
      <c r="B1446">
        <v>0.99904790336628502</v>
      </c>
      <c r="C1446">
        <v>0.98764558805375602</v>
      </c>
      <c r="D1446">
        <v>0.986554564925614</v>
      </c>
      <c r="E1446">
        <v>0.96643351899699903</v>
      </c>
      <c r="F1446">
        <v>0.96501640359321195</v>
      </c>
      <c r="G1446">
        <v>0.66645782327809799</v>
      </c>
      <c r="H1446">
        <v>0.237087511032957</v>
      </c>
      <c r="I1446">
        <v>5.6138260737784398E-2</v>
      </c>
      <c r="J1446">
        <v>3.3252004864966198E-2</v>
      </c>
      <c r="K1446">
        <v>3.0178471008258399E-2</v>
      </c>
      <c r="L1446">
        <v>1738.9666618983999</v>
      </c>
      <c r="M1446">
        <v>29.807652335890801</v>
      </c>
      <c r="N1446">
        <v>58.3878310852187</v>
      </c>
      <c r="O1446">
        <v>58.078915071772897</v>
      </c>
      <c r="P1446">
        <v>-0.12674736456000199</v>
      </c>
      <c r="Q1446">
        <v>1.2159687489151E-2</v>
      </c>
      <c r="R1446">
        <v>0.99888921478033599</v>
      </c>
      <c r="S1446" t="s">
        <v>6186</v>
      </c>
      <c r="T1446" t="s">
        <v>9478</v>
      </c>
      <c r="U1446" t="s">
        <v>9478</v>
      </c>
      <c r="V1446" t="s">
        <v>9478</v>
      </c>
      <c r="W1446">
        <v>6</v>
      </c>
      <c r="X1446" t="s">
        <v>10924</v>
      </c>
      <c r="Y1446">
        <v>0.62256958318191913</v>
      </c>
      <c r="Z1446" t="str">
        <f>HYPERLINK("Melting_Curves/meltCurve_sp_P56537_IF6_HUMAN_.pdf", "Melting_Curves/meltCurve_sp_P56537_IF6_HUMAN_.pdf")</f>
        <v>Melting_Curves/meltCurve_sp_P56537_IF6_HUMAN_.pdf</v>
      </c>
      <c r="AA1446" t="s">
        <v>15638</v>
      </c>
      <c r="AB1446" t="s">
        <v>20280</v>
      </c>
    </row>
    <row r="1447" spans="1:28" x14ac:dyDescent="0.25">
      <c r="A1447" t="s">
        <v>1451</v>
      </c>
      <c r="B1447">
        <v>0.99904790336628502</v>
      </c>
      <c r="C1447">
        <v>0.76554718526337695</v>
      </c>
      <c r="D1447">
        <v>0.75415582557112204</v>
      </c>
      <c r="E1447">
        <v>0.689517670526691</v>
      </c>
      <c r="F1447">
        <v>0.52440274880892201</v>
      </c>
      <c r="G1447">
        <v>0.238647021175318</v>
      </c>
      <c r="H1447">
        <v>0</v>
      </c>
      <c r="I1447">
        <v>0</v>
      </c>
      <c r="J1447">
        <v>0</v>
      </c>
      <c r="K1447">
        <v>0</v>
      </c>
      <c r="L1447">
        <v>693.11701801013601</v>
      </c>
      <c r="M1447">
        <v>13.3697485509226</v>
      </c>
      <c r="N1447">
        <v>51.842187096261803</v>
      </c>
      <c r="O1447">
        <v>50.723573876859902</v>
      </c>
      <c r="P1447">
        <v>-6.5905579406869502E-2</v>
      </c>
      <c r="Q1447">
        <v>0</v>
      </c>
      <c r="R1447">
        <v>0.94477818823968196</v>
      </c>
      <c r="S1447" t="s">
        <v>6187</v>
      </c>
      <c r="T1447" t="s">
        <v>9478</v>
      </c>
      <c r="U1447" t="s">
        <v>9478</v>
      </c>
      <c r="V1447" t="s">
        <v>9478</v>
      </c>
      <c r="W1447">
        <v>3</v>
      </c>
      <c r="X1447" t="s">
        <v>10925</v>
      </c>
      <c r="Y1447">
        <v>0.4214162213190687</v>
      </c>
      <c r="Z1447" t="str">
        <f>HYPERLINK("Melting_Curves/meltCurve_sp_P57060_RWD2B_HUMAN_.pdf", "Melting_Curves/meltCurve_sp_P57060_RWD2B_HUMAN_.pdf")</f>
        <v>Melting_Curves/meltCurve_sp_P57060_RWD2B_HUMAN_.pdf</v>
      </c>
      <c r="AA1447" t="s">
        <v>15639</v>
      </c>
      <c r="AB1447" t="s">
        <v>20281</v>
      </c>
    </row>
    <row r="1448" spans="1:28" x14ac:dyDescent="0.25">
      <c r="A1448" t="s">
        <v>1452</v>
      </c>
      <c r="B1448">
        <v>0.99904790336628502</v>
      </c>
      <c r="C1448">
        <v>0.97223628379889504</v>
      </c>
      <c r="D1448">
        <v>0.91487857079650803</v>
      </c>
      <c r="E1448">
        <v>0.55010374148701602</v>
      </c>
      <c r="F1448">
        <v>0.262155477686982</v>
      </c>
      <c r="G1448">
        <v>0.12343162555806</v>
      </c>
      <c r="H1448">
        <v>9.9244402095101797E-2</v>
      </c>
      <c r="I1448">
        <v>7.9616605840762897E-2</v>
      </c>
      <c r="J1448">
        <v>7.6451411414038203E-2</v>
      </c>
      <c r="K1448">
        <v>6.2621830206700105E-2</v>
      </c>
      <c r="L1448">
        <v>1240.82956882951</v>
      </c>
      <c r="M1448">
        <v>24.7614449563197</v>
      </c>
      <c r="N1448">
        <v>50.443791333552198</v>
      </c>
      <c r="O1448">
        <v>49.787943038061798</v>
      </c>
      <c r="P1448">
        <v>-0.114975990584573</v>
      </c>
      <c r="Q1448">
        <v>7.5282036528204296E-2</v>
      </c>
      <c r="R1448">
        <v>0.99959411455472502</v>
      </c>
      <c r="S1448" t="s">
        <v>6188</v>
      </c>
      <c r="T1448" t="s">
        <v>9478</v>
      </c>
      <c r="U1448" t="s">
        <v>9478</v>
      </c>
      <c r="V1448" t="s">
        <v>9478</v>
      </c>
      <c r="W1448">
        <v>2</v>
      </c>
      <c r="X1448" t="s">
        <v>10926</v>
      </c>
      <c r="Y1448">
        <v>0.39538869219186312</v>
      </c>
      <c r="Z1448" t="str">
        <f>HYPERLINK("Melting_Curves/meltCurve_sp_P57076_CU059_HUMAN_.pdf", "Melting_Curves/meltCurve_sp_P57076_CU059_HUMAN_.pdf")</f>
        <v>Melting_Curves/meltCurve_sp_P57076_CU059_HUMAN_.pdf</v>
      </c>
      <c r="AA1448" t="s">
        <v>15640</v>
      </c>
      <c r="AB1448" t="s">
        <v>20282</v>
      </c>
    </row>
    <row r="1449" spans="1:28" x14ac:dyDescent="0.25">
      <c r="A1449" t="s">
        <v>1453</v>
      </c>
      <c r="B1449">
        <v>0.99904790336628502</v>
      </c>
      <c r="C1449">
        <v>0.90458181397106896</v>
      </c>
      <c r="D1449">
        <v>0.99117105972467401</v>
      </c>
      <c r="E1449">
        <v>0.86112125332534395</v>
      </c>
      <c r="F1449">
        <v>0.60178281534459999</v>
      </c>
      <c r="G1449">
        <v>0.14697934052662501</v>
      </c>
      <c r="H1449">
        <v>5.21810723083821E-2</v>
      </c>
      <c r="I1449">
        <v>3.2940735305224102E-2</v>
      </c>
      <c r="J1449">
        <v>2.4718956179655398E-2</v>
      </c>
      <c r="K1449">
        <v>2.1019247441071101E-2</v>
      </c>
      <c r="L1449">
        <v>1520.87265118394</v>
      </c>
      <c r="M1449">
        <v>28.4013643640771</v>
      </c>
      <c r="N1449">
        <v>53.6217973172676</v>
      </c>
      <c r="O1449">
        <v>53.2859226558597</v>
      </c>
      <c r="P1449">
        <v>-0.13074045964165601</v>
      </c>
      <c r="Q1449">
        <v>1.88403459804901E-2</v>
      </c>
      <c r="R1449">
        <v>0.99415230431769896</v>
      </c>
      <c r="S1449" t="s">
        <v>6189</v>
      </c>
      <c r="T1449" t="s">
        <v>9478</v>
      </c>
      <c r="U1449" t="s">
        <v>9478</v>
      </c>
      <c r="V1449" t="s">
        <v>9478</v>
      </c>
      <c r="W1449">
        <v>3</v>
      </c>
      <c r="X1449" t="s">
        <v>10927</v>
      </c>
      <c r="Y1449">
        <v>0.46909915262563168</v>
      </c>
      <c r="Z1449" t="str">
        <f>HYPERLINK("Melting_Curves/meltCurve_sp_P57081_2_WDR4_HUMAN_.pdf", "Melting_Curves/meltCurve_sp_P57081_2_WDR4_HUMAN_.pdf")</f>
        <v>Melting_Curves/meltCurve_sp_P57081_2_WDR4_HUMAN_.pdf</v>
      </c>
      <c r="AA1449" t="s">
        <v>15641</v>
      </c>
      <c r="AB1449" t="s">
        <v>20283</v>
      </c>
    </row>
    <row r="1450" spans="1:28" x14ac:dyDescent="0.25">
      <c r="A1450" t="s">
        <v>1454</v>
      </c>
      <c r="B1450">
        <v>0.99904790336628502</v>
      </c>
      <c r="C1450">
        <v>0.79023675817491701</v>
      </c>
      <c r="D1450">
        <v>0.78864613168423803</v>
      </c>
      <c r="E1450">
        <v>0.55355852680528095</v>
      </c>
      <c r="F1450">
        <v>0.41516118896795901</v>
      </c>
      <c r="G1450">
        <v>0.19742282955101501</v>
      </c>
      <c r="H1450">
        <v>0.15943621127083099</v>
      </c>
      <c r="I1450">
        <v>8.7123338607061201E-2</v>
      </c>
      <c r="J1450">
        <v>0.12459975730679</v>
      </c>
      <c r="K1450">
        <v>9.0860829550282005E-2</v>
      </c>
      <c r="L1450">
        <v>568.52209301907305</v>
      </c>
      <c r="M1450">
        <v>11.280874232239199</v>
      </c>
      <c r="N1450">
        <v>50.758698538198303</v>
      </c>
      <c r="O1450">
        <v>48.891182399644102</v>
      </c>
      <c r="P1450">
        <v>-5.5472763804374402E-2</v>
      </c>
      <c r="Q1450">
        <v>3.8620974553545601E-2</v>
      </c>
      <c r="R1450">
        <v>0.98390163752189896</v>
      </c>
      <c r="S1450" t="s">
        <v>6190</v>
      </c>
      <c r="T1450" t="s">
        <v>9478</v>
      </c>
      <c r="U1450" t="s">
        <v>9478</v>
      </c>
      <c r="V1450" t="s">
        <v>9478</v>
      </c>
      <c r="W1450">
        <v>1</v>
      </c>
      <c r="X1450" t="s">
        <v>10928</v>
      </c>
      <c r="Y1450">
        <v>0.40742293689646658</v>
      </c>
      <c r="Z1450" t="str">
        <f>HYPERLINK("Melting_Curves/meltCurve_sp_P57105_SYJ2B_HUMAN_.pdf", "Melting_Curves/meltCurve_sp_P57105_SYJ2B_HUMAN_.pdf")</f>
        <v>Melting_Curves/meltCurve_sp_P57105_SYJ2B_HUMAN_.pdf</v>
      </c>
      <c r="AA1450" t="s">
        <v>15642</v>
      </c>
      <c r="AB1450" t="s">
        <v>20284</v>
      </c>
    </row>
    <row r="1451" spans="1:28" x14ac:dyDescent="0.25">
      <c r="A1451" t="s">
        <v>1455</v>
      </c>
      <c r="B1451">
        <v>0.99904790336628502</v>
      </c>
      <c r="C1451">
        <v>0.98113912766512501</v>
      </c>
      <c r="D1451">
        <v>0.872749717577467</v>
      </c>
      <c r="E1451">
        <v>0.60373324528888705</v>
      </c>
      <c r="F1451">
        <v>0.47327884380114599</v>
      </c>
      <c r="G1451">
        <v>0.29578163290924198</v>
      </c>
      <c r="H1451">
        <v>0.15040436060844301</v>
      </c>
      <c r="I1451">
        <v>8.9547609798516406E-2</v>
      </c>
      <c r="J1451">
        <v>7.9587502086926096E-2</v>
      </c>
      <c r="K1451">
        <v>6.7034665082049597E-2</v>
      </c>
      <c r="L1451">
        <v>694.32325022123496</v>
      </c>
      <c r="M1451">
        <v>13.3256207878855</v>
      </c>
      <c r="N1451">
        <v>52.3686925335819</v>
      </c>
      <c r="O1451">
        <v>50.972920197895803</v>
      </c>
      <c r="P1451">
        <v>-6.3241004894202896E-2</v>
      </c>
      <c r="Q1451">
        <v>3.2521894526668801E-2</v>
      </c>
      <c r="R1451">
        <v>0.99625071054171099</v>
      </c>
      <c r="S1451" t="s">
        <v>6191</v>
      </c>
      <c r="T1451" t="s">
        <v>9478</v>
      </c>
      <c r="U1451" t="s">
        <v>9478</v>
      </c>
      <c r="V1451" t="s">
        <v>9478</v>
      </c>
      <c r="W1451">
        <v>7</v>
      </c>
      <c r="X1451" t="s">
        <v>10929</v>
      </c>
      <c r="Y1451">
        <v>0.44846518066551933</v>
      </c>
      <c r="Z1451" t="str">
        <f>HYPERLINK("Melting_Curves/meltCurve_sp_P57737_3_CORO7_HUMAN_.pdf", "Melting_Curves/meltCurve_sp_P57737_3_CORO7_HUMAN_.pdf")</f>
        <v>Melting_Curves/meltCurve_sp_P57737_3_CORO7_HUMAN_.pdf</v>
      </c>
      <c r="AA1451" t="s">
        <v>15643</v>
      </c>
      <c r="AB1451" t="s">
        <v>20285</v>
      </c>
    </row>
    <row r="1452" spans="1:28" x14ac:dyDescent="0.25">
      <c r="A1452" t="s">
        <v>1456</v>
      </c>
      <c r="B1452">
        <v>0.99904790336628502</v>
      </c>
      <c r="C1452">
        <v>1.038928034395</v>
      </c>
      <c r="D1452">
        <v>0.948024570339289</v>
      </c>
      <c r="E1452">
        <v>0.67160548135877096</v>
      </c>
      <c r="F1452">
        <v>0.35853732403174099</v>
      </c>
      <c r="G1452">
        <v>0.19689496748171301</v>
      </c>
      <c r="H1452">
        <v>0.12881114578358599</v>
      </c>
      <c r="I1452">
        <v>9.4675559683143506E-2</v>
      </c>
      <c r="J1452">
        <v>8.8440786236285096E-2</v>
      </c>
      <c r="K1452">
        <v>8.51129593323703E-2</v>
      </c>
      <c r="L1452">
        <v>1219.0549751375599</v>
      </c>
      <c r="M1452">
        <v>23.817692781135101</v>
      </c>
      <c r="N1452">
        <v>51.642570261414598</v>
      </c>
      <c r="O1452">
        <v>50.826035190305497</v>
      </c>
      <c r="P1452">
        <v>-0.105961189544583</v>
      </c>
      <c r="Q1452">
        <v>9.5546419178838604E-2</v>
      </c>
      <c r="R1452">
        <v>0.99744924123055101</v>
      </c>
      <c r="S1452" t="s">
        <v>6192</v>
      </c>
      <c r="T1452" t="s">
        <v>9478</v>
      </c>
      <c r="U1452" t="s">
        <v>9478</v>
      </c>
      <c r="V1452" t="s">
        <v>9478</v>
      </c>
      <c r="W1452">
        <v>11</v>
      </c>
      <c r="X1452" t="s">
        <v>10930</v>
      </c>
      <c r="Y1452">
        <v>0.44168792803709689</v>
      </c>
      <c r="Z1452" t="str">
        <f>HYPERLINK("Melting_Curves/meltCurve_sp_P57764_GSDMD_HUMAN_.pdf", "Melting_Curves/meltCurve_sp_P57764_GSDMD_HUMAN_.pdf")</f>
        <v>Melting_Curves/meltCurve_sp_P57764_GSDMD_HUMAN_.pdf</v>
      </c>
      <c r="AA1452" t="s">
        <v>15644</v>
      </c>
      <c r="AB1452" t="s">
        <v>20286</v>
      </c>
    </row>
    <row r="1453" spans="1:28" x14ac:dyDescent="0.25">
      <c r="A1453" t="s">
        <v>1457</v>
      </c>
      <c r="B1453">
        <v>0.99904790336628502</v>
      </c>
      <c r="C1453">
        <v>0.83782426986784597</v>
      </c>
      <c r="D1453">
        <v>0.63903869806969604</v>
      </c>
      <c r="E1453">
        <v>0.34998704061244201</v>
      </c>
      <c r="F1453">
        <v>0.18769342347895901</v>
      </c>
      <c r="G1453">
        <v>9.6996192477137602E-2</v>
      </c>
      <c r="H1453">
        <v>5.2592913724743798E-2</v>
      </c>
      <c r="I1453">
        <v>3.2371055462989302E-2</v>
      </c>
      <c r="J1453">
        <v>2.06654799406761E-2</v>
      </c>
      <c r="K1453">
        <v>1.2687430612339E-2</v>
      </c>
      <c r="L1453">
        <v>733.46987365241205</v>
      </c>
      <c r="M1453">
        <v>15.3564141181766</v>
      </c>
      <c r="N1453">
        <v>47.845149024152597</v>
      </c>
      <c r="O1453">
        <v>46.975090328106297</v>
      </c>
      <c r="P1453">
        <v>-8.0671658195299006E-2</v>
      </c>
      <c r="Q1453">
        <v>1.2995824719136099E-2</v>
      </c>
      <c r="R1453">
        <v>0.99780830505884199</v>
      </c>
      <c r="S1453" t="s">
        <v>6193</v>
      </c>
      <c r="T1453" t="s">
        <v>9478</v>
      </c>
      <c r="U1453" t="s">
        <v>9478</v>
      </c>
      <c r="V1453" t="s">
        <v>9478</v>
      </c>
      <c r="W1453">
        <v>4</v>
      </c>
      <c r="X1453" t="s">
        <v>10931</v>
      </c>
      <c r="Y1453">
        <v>0.29291231557656972</v>
      </c>
      <c r="Z1453" t="str">
        <f>HYPERLINK("Melting_Curves/meltCurve_sp_P57772_SELB_HUMAN_.pdf", "Melting_Curves/meltCurve_sp_P57772_SELB_HUMAN_.pdf")</f>
        <v>Melting_Curves/meltCurve_sp_P57772_SELB_HUMAN_.pdf</v>
      </c>
      <c r="AA1453" t="s">
        <v>15645</v>
      </c>
      <c r="AB1453" t="s">
        <v>20287</v>
      </c>
    </row>
    <row r="1454" spans="1:28" x14ac:dyDescent="0.25">
      <c r="A1454" t="s">
        <v>1458</v>
      </c>
      <c r="B1454">
        <v>0.99904790336628502</v>
      </c>
      <c r="C1454">
        <v>1.0297831746730699</v>
      </c>
      <c r="D1454">
        <v>0.69585066428116504</v>
      </c>
      <c r="E1454">
        <v>0.352932899920815</v>
      </c>
      <c r="F1454">
        <v>0.21497319428263501</v>
      </c>
      <c r="G1454">
        <v>9.5929914275359393E-2</v>
      </c>
      <c r="H1454">
        <v>4.5374008634157602E-2</v>
      </c>
      <c r="I1454">
        <v>6.4888824852990204E-2</v>
      </c>
      <c r="J1454">
        <v>4.8290234852117898E-2</v>
      </c>
      <c r="K1454">
        <v>5.4506296795620503E-2</v>
      </c>
      <c r="L1454">
        <v>1012.3119213651501</v>
      </c>
      <c r="M1454">
        <v>21.0076431261094</v>
      </c>
      <c r="N1454">
        <v>48.458762778800903</v>
      </c>
      <c r="O1454">
        <v>47.757516361216403</v>
      </c>
      <c r="P1454">
        <v>-0.103879136191384</v>
      </c>
      <c r="Q1454">
        <v>5.5414905884142197E-2</v>
      </c>
      <c r="R1454">
        <v>0.99039022863162196</v>
      </c>
      <c r="S1454" t="s">
        <v>6194</v>
      </c>
      <c r="T1454" t="s">
        <v>9478</v>
      </c>
      <c r="U1454" t="s">
        <v>9478</v>
      </c>
      <c r="V1454" t="s">
        <v>9478</v>
      </c>
      <c r="W1454">
        <v>1</v>
      </c>
      <c r="X1454" t="s">
        <v>10932</v>
      </c>
      <c r="Y1454">
        <v>0.32527577999751173</v>
      </c>
      <c r="Z1454" t="str">
        <f>HYPERLINK("Melting_Curves/meltCurve_sp_P58004_SESN2_HUMAN_.pdf", "Melting_Curves/meltCurve_sp_P58004_SESN2_HUMAN_.pdf")</f>
        <v>Melting_Curves/meltCurve_sp_P58004_SESN2_HUMAN_.pdf</v>
      </c>
      <c r="AA1454" t="s">
        <v>15646</v>
      </c>
      <c r="AB1454" t="s">
        <v>20288</v>
      </c>
    </row>
    <row r="1455" spans="1:28" x14ac:dyDescent="0.25">
      <c r="A1455" t="s">
        <v>1459</v>
      </c>
      <c r="B1455">
        <v>0.99904790336628502</v>
      </c>
      <c r="C1455">
        <v>1.09244588895045</v>
      </c>
      <c r="D1455">
        <v>1.08097516261573</v>
      </c>
      <c r="E1455">
        <v>1.0338280121583301</v>
      </c>
      <c r="F1455">
        <v>0.96222990856103097</v>
      </c>
      <c r="G1455">
        <v>0.74459468012960495</v>
      </c>
      <c r="H1455">
        <v>0.53009859727381503</v>
      </c>
      <c r="I1455">
        <v>0.46536471850790601</v>
      </c>
      <c r="J1455">
        <v>0.48719844045222899</v>
      </c>
      <c r="K1455">
        <v>0.43383407323925799</v>
      </c>
      <c r="L1455">
        <v>1856.71094994956</v>
      </c>
      <c r="M1455">
        <v>32.418714575982598</v>
      </c>
      <c r="N1455">
        <v>61.915864585864</v>
      </c>
      <c r="O1455">
        <v>57.0562044262062</v>
      </c>
      <c r="P1455">
        <v>-7.7270020917191706E-2</v>
      </c>
      <c r="Q1455">
        <v>0.45602864347523397</v>
      </c>
      <c r="R1455">
        <v>0.97430700570511497</v>
      </c>
      <c r="S1455" t="s">
        <v>6195</v>
      </c>
      <c r="T1455" t="s">
        <v>9478</v>
      </c>
      <c r="U1455" t="s">
        <v>9478</v>
      </c>
      <c r="V1455" t="s">
        <v>9478</v>
      </c>
      <c r="W1455">
        <v>7</v>
      </c>
      <c r="X1455" t="s">
        <v>10933</v>
      </c>
      <c r="Y1455">
        <v>0.77237777650265449</v>
      </c>
      <c r="Z1455" t="str">
        <f>HYPERLINK("Melting_Curves/meltCurve_sp_P58546_MTPN_HUMAN_.pdf", "Melting_Curves/meltCurve_sp_P58546_MTPN_HUMAN_.pdf")</f>
        <v>Melting_Curves/meltCurve_sp_P58546_MTPN_HUMAN_.pdf</v>
      </c>
      <c r="AA1455" t="s">
        <v>15647</v>
      </c>
      <c r="AB1455" t="s">
        <v>20289</v>
      </c>
    </row>
    <row r="1456" spans="1:28" x14ac:dyDescent="0.25">
      <c r="A1456" t="s">
        <v>1460</v>
      </c>
      <c r="B1456">
        <v>0.99904790336628502</v>
      </c>
      <c r="C1456">
        <v>0.91752616756258698</v>
      </c>
      <c r="D1456">
        <v>0.71035170571119799</v>
      </c>
      <c r="E1456">
        <v>0.74722720253591501</v>
      </c>
      <c r="F1456">
        <v>0.85005959161617295</v>
      </c>
      <c r="G1456">
        <v>0.73754228490314</v>
      </c>
      <c r="H1456">
        <v>0.57447886915383095</v>
      </c>
      <c r="I1456">
        <v>0.52930139434562795</v>
      </c>
      <c r="J1456">
        <v>0.56647691131372402</v>
      </c>
      <c r="K1456">
        <v>0.52340073218343597</v>
      </c>
      <c r="L1456">
        <v>247.28756311019299</v>
      </c>
      <c r="M1456">
        <v>3.8329709879373999</v>
      </c>
      <c r="O1456">
        <v>52.233100164311203</v>
      </c>
      <c r="P1456">
        <v>-1.58212593478455E-2</v>
      </c>
      <c r="Q1456">
        <v>0.150109509169363</v>
      </c>
      <c r="R1456">
        <v>0.81210148812223104</v>
      </c>
      <c r="S1456" t="s">
        <v>6196</v>
      </c>
      <c r="T1456" t="s">
        <v>9478</v>
      </c>
      <c r="U1456" t="s">
        <v>9478</v>
      </c>
      <c r="V1456" t="s">
        <v>9478</v>
      </c>
      <c r="W1456">
        <v>3</v>
      </c>
      <c r="X1456" t="s">
        <v>10934</v>
      </c>
      <c r="Y1456">
        <v>0.71483983831359088</v>
      </c>
      <c r="Z1456" t="str">
        <f>HYPERLINK("Melting_Curves/meltCurve_sp_P59282_TPPP2_HUMAN_.pdf", "Melting_Curves/meltCurve_sp_P59282_TPPP2_HUMAN_.pdf")</f>
        <v>Melting_Curves/meltCurve_sp_P59282_TPPP2_HUMAN_.pdf</v>
      </c>
      <c r="AA1456" t="s">
        <v>15648</v>
      </c>
      <c r="AB1456" t="s">
        <v>20290</v>
      </c>
    </row>
    <row r="1457" spans="1:28" x14ac:dyDescent="0.25">
      <c r="A1457" t="s">
        <v>1461</v>
      </c>
      <c r="B1457">
        <v>0.99904790336628502</v>
      </c>
      <c r="C1457">
        <v>0.83501351072227403</v>
      </c>
      <c r="D1457">
        <v>0.60552943163475903</v>
      </c>
      <c r="E1457">
        <v>0.33938549419284902</v>
      </c>
      <c r="F1457">
        <v>0.281221969787042</v>
      </c>
      <c r="G1457">
        <v>0.15486300757048699</v>
      </c>
      <c r="H1457">
        <v>0.103290516839286</v>
      </c>
      <c r="I1457">
        <v>9.2622676614862801E-2</v>
      </c>
      <c r="J1457">
        <v>0.107381705547532</v>
      </c>
      <c r="K1457">
        <v>7.1307794896021695E-2</v>
      </c>
      <c r="L1457">
        <v>712.411949859483</v>
      </c>
      <c r="M1457">
        <v>15.099159080259801</v>
      </c>
      <c r="N1457">
        <v>47.772013406649599</v>
      </c>
      <c r="O1457">
        <v>46.377843081462402</v>
      </c>
      <c r="P1457">
        <v>-7.4478531027289893E-2</v>
      </c>
      <c r="Q1457">
        <v>8.5031753481858097E-2</v>
      </c>
      <c r="R1457">
        <v>0.99279493112920603</v>
      </c>
      <c r="S1457" t="s">
        <v>6197</v>
      </c>
      <c r="T1457" t="s">
        <v>9478</v>
      </c>
      <c r="U1457" t="s">
        <v>9478</v>
      </c>
      <c r="V1457" t="s">
        <v>9478</v>
      </c>
      <c r="W1457">
        <v>3</v>
      </c>
      <c r="X1457" t="s">
        <v>10935</v>
      </c>
      <c r="Y1457">
        <v>0.32833802188914152</v>
      </c>
      <c r="Z1457" t="str">
        <f>HYPERLINK("Melting_Curves/meltCurve_sp_P59666_DEF3_HUMAN_.pdf", "Melting_Curves/meltCurve_sp_P59666_DEF3_HUMAN_.pdf")</f>
        <v>Melting_Curves/meltCurve_sp_P59666_DEF3_HUMAN_.pdf</v>
      </c>
      <c r="AA1457" t="s">
        <v>15649</v>
      </c>
      <c r="AB1457" t="s">
        <v>20291</v>
      </c>
    </row>
    <row r="1458" spans="1:28" x14ac:dyDescent="0.25">
      <c r="A1458" t="s">
        <v>1462</v>
      </c>
      <c r="B1458">
        <v>0.99904790336628502</v>
      </c>
      <c r="C1458">
        <v>1.10958489635239</v>
      </c>
      <c r="D1458">
        <v>1.1825283205706301</v>
      </c>
      <c r="E1458">
        <v>1.12552030929267</v>
      </c>
      <c r="F1458">
        <v>0.886934017705717</v>
      </c>
      <c r="G1458">
        <v>0.55824518504727405</v>
      </c>
      <c r="H1458">
        <v>0.137500239948016</v>
      </c>
      <c r="I1458">
        <v>5.7768590527066503E-2</v>
      </c>
      <c r="J1458">
        <v>3.2165425896904701E-2</v>
      </c>
      <c r="K1458">
        <v>2.5771732670939799E-2</v>
      </c>
      <c r="L1458">
        <v>1841.2757259567099</v>
      </c>
      <c r="M1458">
        <v>32.146662025868899</v>
      </c>
      <c r="N1458">
        <v>57.360755103652501</v>
      </c>
      <c r="O1458">
        <v>57.057070170847098</v>
      </c>
      <c r="P1458">
        <v>-0.13763774547235799</v>
      </c>
      <c r="Q1458">
        <v>2.2832582274049999E-2</v>
      </c>
      <c r="R1458">
        <v>0.97114321211372001</v>
      </c>
      <c r="S1458" t="s">
        <v>6198</v>
      </c>
      <c r="T1458" t="s">
        <v>9478</v>
      </c>
      <c r="U1458" t="s">
        <v>9478</v>
      </c>
      <c r="V1458" t="s">
        <v>9478</v>
      </c>
      <c r="W1458">
        <v>10</v>
      </c>
      <c r="X1458" t="s">
        <v>10936</v>
      </c>
      <c r="Y1458">
        <v>0.59134333313621934</v>
      </c>
      <c r="Z1458" t="str">
        <f>HYPERLINK("Melting_Curves/meltCurve_sp_P59998_ARPC4_HUMAN_.pdf", "Melting_Curves/meltCurve_sp_P59998_ARPC4_HUMAN_.pdf")</f>
        <v>Melting_Curves/meltCurve_sp_P59998_ARPC4_HUMAN_.pdf</v>
      </c>
      <c r="AA1458" t="s">
        <v>15650</v>
      </c>
      <c r="AB1458" t="s">
        <v>20292</v>
      </c>
    </row>
    <row r="1459" spans="1:28" x14ac:dyDescent="0.25">
      <c r="A1459" t="s">
        <v>1463</v>
      </c>
      <c r="B1459">
        <v>0.99904790336628502</v>
      </c>
      <c r="C1459">
        <v>0.93721990149677303</v>
      </c>
      <c r="D1459">
        <v>0.97626357319016099</v>
      </c>
      <c r="E1459">
        <v>0.84995193226541899</v>
      </c>
      <c r="F1459">
        <v>1.0528907444842399</v>
      </c>
      <c r="G1459">
        <v>0.82273703735418002</v>
      </c>
      <c r="H1459">
        <v>0.54888052474376503</v>
      </c>
      <c r="I1459">
        <v>0.32479549390429902</v>
      </c>
      <c r="J1459">
        <v>0.23108591725055699</v>
      </c>
      <c r="K1459">
        <v>0.202644778386666</v>
      </c>
      <c r="L1459">
        <v>1493.5378765381099</v>
      </c>
      <c r="M1459">
        <v>24.727193927478101</v>
      </c>
      <c r="N1459">
        <v>61.424208307496599</v>
      </c>
      <c r="O1459">
        <v>60.009737940466898</v>
      </c>
      <c r="P1459">
        <v>-8.5619897213754098E-2</v>
      </c>
      <c r="Q1459">
        <v>0.16885753473328599</v>
      </c>
      <c r="R1459">
        <v>0.96786558257638999</v>
      </c>
      <c r="S1459" t="s">
        <v>6199</v>
      </c>
      <c r="T1459" t="s">
        <v>9478</v>
      </c>
      <c r="U1459" t="s">
        <v>9478</v>
      </c>
      <c r="V1459" t="s">
        <v>9478</v>
      </c>
      <c r="W1459">
        <v>21</v>
      </c>
      <c r="X1459" t="s">
        <v>10937</v>
      </c>
      <c r="Y1459">
        <v>0.73992505691566579</v>
      </c>
      <c r="Z1459" t="str">
        <f>HYPERLINK("Melting_Curves/meltCurve_sp_P60174_1_TPIS_HUMAN_.pdf", "Melting_Curves/meltCurve_sp_P60174_1_TPIS_HUMAN_.pdf")</f>
        <v>Melting_Curves/meltCurve_sp_P60174_1_TPIS_HUMAN_.pdf</v>
      </c>
      <c r="AA1459" t="s">
        <v>15651</v>
      </c>
      <c r="AB1459" t="s">
        <v>20293</v>
      </c>
    </row>
    <row r="1460" spans="1:28" x14ac:dyDescent="0.25">
      <c r="A1460" t="s">
        <v>1464</v>
      </c>
      <c r="B1460">
        <v>0.99904790336628502</v>
      </c>
      <c r="C1460">
        <v>1.04390937141123</v>
      </c>
      <c r="D1460">
        <v>0.84059778920320405</v>
      </c>
      <c r="E1460">
        <v>0.44069932199482698</v>
      </c>
      <c r="F1460">
        <v>0.34839084867845799</v>
      </c>
      <c r="G1460">
        <v>0.25949388342628299</v>
      </c>
      <c r="H1460">
        <v>0.18433953342583101</v>
      </c>
      <c r="I1460">
        <v>0.16434022455594299</v>
      </c>
      <c r="J1460">
        <v>0.15387118266677699</v>
      </c>
      <c r="K1460">
        <v>0.140682156260858</v>
      </c>
      <c r="L1460">
        <v>1082.28411158274</v>
      </c>
      <c r="M1460">
        <v>22.114254882845401</v>
      </c>
      <c r="N1460">
        <v>49.893281595487402</v>
      </c>
      <c r="O1460">
        <v>48.545649962097698</v>
      </c>
      <c r="P1460">
        <v>-9.4272472021692505E-2</v>
      </c>
      <c r="Q1460">
        <v>0.17222312226965</v>
      </c>
      <c r="R1460">
        <v>0.98697989169929301</v>
      </c>
      <c r="S1460" t="s">
        <v>6200</v>
      </c>
      <c r="T1460" t="s">
        <v>9478</v>
      </c>
      <c r="U1460" t="s">
        <v>9478</v>
      </c>
      <c r="V1460" t="s">
        <v>9478</v>
      </c>
      <c r="W1460">
        <v>4</v>
      </c>
      <c r="X1460" t="s">
        <v>10938</v>
      </c>
      <c r="Y1460">
        <v>0.42835903435436029</v>
      </c>
      <c r="Z1460" t="str">
        <f>HYPERLINK("Melting_Curves/meltCurve_sp_P60228_EIF3E_HUMAN_.pdf", "Melting_Curves/meltCurve_sp_P60228_EIF3E_HUMAN_.pdf")</f>
        <v>Melting_Curves/meltCurve_sp_P60228_EIF3E_HUMAN_.pdf</v>
      </c>
      <c r="AA1460" t="s">
        <v>15652</v>
      </c>
      <c r="AB1460" t="s">
        <v>20294</v>
      </c>
    </row>
    <row r="1461" spans="1:28" x14ac:dyDescent="0.25">
      <c r="A1461" t="s">
        <v>1465</v>
      </c>
      <c r="B1461">
        <v>0.99904790336628502</v>
      </c>
      <c r="C1461">
        <v>1.1571485388371401</v>
      </c>
      <c r="D1461">
        <v>1.3299058220959801</v>
      </c>
      <c r="E1461">
        <v>1.50797974194812</v>
      </c>
      <c r="F1461">
        <v>2.4098717600042101</v>
      </c>
      <c r="G1461">
        <v>2.2745130557120801</v>
      </c>
      <c r="H1461">
        <v>1.9052502188381</v>
      </c>
      <c r="I1461">
        <v>2.5784100202414799</v>
      </c>
      <c r="J1461">
        <v>2.6318576586762399</v>
      </c>
      <c r="K1461">
        <v>2.9148718866203902</v>
      </c>
      <c r="L1461">
        <v>1562.12750174648</v>
      </c>
      <c r="M1461">
        <v>35.234142503220603</v>
      </c>
      <c r="O1461">
        <v>44.193530179073903</v>
      </c>
      <c r="P1461">
        <v>9.9659000066042697E-2</v>
      </c>
      <c r="Q1461">
        <v>1.5</v>
      </c>
      <c r="R1461">
        <v>-0.43355532102037198</v>
      </c>
      <c r="S1461" t="s">
        <v>6201</v>
      </c>
      <c r="T1461" t="s">
        <v>9478</v>
      </c>
      <c r="U1461" t="s">
        <v>9478</v>
      </c>
      <c r="V1461" t="s">
        <v>9478</v>
      </c>
      <c r="W1461">
        <v>1</v>
      </c>
      <c r="X1461" t="s">
        <v>10939</v>
      </c>
      <c r="Y1461">
        <v>1.4254064020360779</v>
      </c>
      <c r="Z1461" t="str">
        <f>HYPERLINK("Melting_Curves/meltCurve_sp_P60468_SC61B_HUMAN_.pdf", "Melting_Curves/meltCurve_sp_P60468_SC61B_HUMAN_.pdf")</f>
        <v>Melting_Curves/meltCurve_sp_P60468_SC61B_HUMAN_.pdf</v>
      </c>
      <c r="AA1461" t="s">
        <v>15653</v>
      </c>
      <c r="AB1461" t="s">
        <v>20295</v>
      </c>
    </row>
    <row r="1462" spans="1:28" x14ac:dyDescent="0.25">
      <c r="A1462" t="s">
        <v>1466</v>
      </c>
      <c r="B1462">
        <v>0.99904790336628502</v>
      </c>
      <c r="C1462">
        <v>0.98258636078797001</v>
      </c>
      <c r="D1462">
        <v>0.79875002946440099</v>
      </c>
      <c r="E1462">
        <v>0.46237056566495</v>
      </c>
      <c r="F1462">
        <v>0.15617638541279</v>
      </c>
      <c r="G1462">
        <v>9.9351113833721194E-2</v>
      </c>
      <c r="H1462">
        <v>8.1805489106644799E-2</v>
      </c>
      <c r="I1462">
        <v>6.12863790325631E-2</v>
      </c>
      <c r="J1462">
        <v>6.0219037714273997E-2</v>
      </c>
      <c r="K1462">
        <v>6.6229148507265703E-2</v>
      </c>
      <c r="L1462">
        <v>1126.3423231023301</v>
      </c>
      <c r="M1462">
        <v>22.985419895597001</v>
      </c>
      <c r="N1462">
        <v>49.273169741677698</v>
      </c>
      <c r="O1462">
        <v>48.636064972598803</v>
      </c>
      <c r="P1462">
        <v>-0.111143993847222</v>
      </c>
      <c r="Q1462">
        <v>5.9315477663764798E-2</v>
      </c>
      <c r="R1462">
        <v>0.99663968779643597</v>
      </c>
      <c r="S1462" t="s">
        <v>6202</v>
      </c>
      <c r="T1462" t="s">
        <v>9478</v>
      </c>
      <c r="U1462" t="s">
        <v>9478</v>
      </c>
      <c r="V1462" t="s">
        <v>9478</v>
      </c>
      <c r="W1462">
        <v>1</v>
      </c>
      <c r="X1462" t="s">
        <v>10940</v>
      </c>
      <c r="Y1462">
        <v>0.35150883477564898</v>
      </c>
      <c r="Z1462" t="str">
        <f>HYPERLINK("Melting_Curves/meltCurve_sp_P60604_2_UB2G2_HUMAN_.pdf", "Melting_Curves/meltCurve_sp_P60604_2_UB2G2_HUMAN_.pdf")</f>
        <v>Melting_Curves/meltCurve_sp_P60604_2_UB2G2_HUMAN_.pdf</v>
      </c>
      <c r="AA1462" t="s">
        <v>15654</v>
      </c>
      <c r="AB1462" t="s">
        <v>20296</v>
      </c>
    </row>
    <row r="1463" spans="1:28" x14ac:dyDescent="0.25">
      <c r="A1463" t="s">
        <v>1467</v>
      </c>
      <c r="B1463">
        <v>0.99904790336628502</v>
      </c>
      <c r="C1463">
        <v>0.53521988498218798</v>
      </c>
      <c r="D1463">
        <v>0.43743889347606502</v>
      </c>
      <c r="E1463">
        <v>0.21559012923693199</v>
      </c>
      <c r="F1463">
        <v>0.11233478225387</v>
      </c>
      <c r="G1463">
        <v>9.3543827822617803E-2</v>
      </c>
      <c r="H1463">
        <v>1.8794651688889601E-2</v>
      </c>
      <c r="I1463">
        <v>2.8497089101599201E-2</v>
      </c>
      <c r="J1463">
        <v>2.2695686303622099E-2</v>
      </c>
      <c r="K1463">
        <v>0</v>
      </c>
      <c r="L1463">
        <v>676.62818669357205</v>
      </c>
      <c r="M1463">
        <v>15.128743008752499</v>
      </c>
      <c r="N1463">
        <v>44.858989497047297</v>
      </c>
      <c r="O1463">
        <v>43.965075498919802</v>
      </c>
      <c r="P1463">
        <v>-8.4130444921935194E-2</v>
      </c>
      <c r="Q1463">
        <v>2.21420825229778E-2</v>
      </c>
      <c r="R1463">
        <v>0.95762499550338098</v>
      </c>
      <c r="S1463" t="s">
        <v>6203</v>
      </c>
      <c r="T1463" t="s">
        <v>9478</v>
      </c>
      <c r="U1463" t="s">
        <v>9478</v>
      </c>
      <c r="V1463" t="s">
        <v>9478</v>
      </c>
      <c r="W1463">
        <v>7</v>
      </c>
      <c r="X1463" t="s">
        <v>10941</v>
      </c>
      <c r="Y1463">
        <v>0.20796185139360529</v>
      </c>
      <c r="Z1463" t="str">
        <f>HYPERLINK("Melting_Curves/meltCurve_sp_P60763_RAC3_HUMAN_.pdf", "Melting_Curves/meltCurve_sp_P60763_RAC3_HUMAN_.pdf")</f>
        <v>Melting_Curves/meltCurve_sp_P60763_RAC3_HUMAN_.pdf</v>
      </c>
      <c r="AA1463" t="s">
        <v>15655</v>
      </c>
      <c r="AB1463" t="s">
        <v>20297</v>
      </c>
    </row>
    <row r="1464" spans="1:28" x14ac:dyDescent="0.25">
      <c r="A1464" t="s">
        <v>1468</v>
      </c>
      <c r="B1464">
        <v>0.99904790336628502</v>
      </c>
      <c r="C1464">
        <v>0.93350370839170305</v>
      </c>
      <c r="D1464">
        <v>0.90802414843995904</v>
      </c>
      <c r="E1464">
        <v>0.70586844485311295</v>
      </c>
      <c r="F1464">
        <v>0.32628689881165801</v>
      </c>
      <c r="G1464">
        <v>0.16871837072374499</v>
      </c>
      <c r="H1464">
        <v>6.1306301466616697E-2</v>
      </c>
      <c r="I1464">
        <v>3.9345854562433502E-2</v>
      </c>
      <c r="J1464">
        <v>3.0112078763164098E-2</v>
      </c>
      <c r="K1464">
        <v>2.3553625854331899E-2</v>
      </c>
      <c r="L1464">
        <v>1084.3673094808701</v>
      </c>
      <c r="M1464">
        <v>21.050111058803498</v>
      </c>
      <c r="N1464">
        <v>51.640737026664702</v>
      </c>
      <c r="O1464">
        <v>51.055471425737899</v>
      </c>
      <c r="P1464">
        <v>-0.100474817574445</v>
      </c>
      <c r="Q1464">
        <v>2.5249288911488699E-2</v>
      </c>
      <c r="R1464">
        <v>0.99486098862310401</v>
      </c>
      <c r="S1464" t="s">
        <v>6204</v>
      </c>
      <c r="T1464" t="s">
        <v>9478</v>
      </c>
      <c r="U1464" t="s">
        <v>9478</v>
      </c>
      <c r="V1464" t="s">
        <v>9478</v>
      </c>
      <c r="W1464">
        <v>23</v>
      </c>
      <c r="X1464" t="s">
        <v>10942</v>
      </c>
      <c r="Y1464">
        <v>0.41163951161098999</v>
      </c>
      <c r="Z1464" t="str">
        <f>HYPERLINK("Melting_Curves/meltCurve_sp_P60842_IF4A1_HUMAN_.pdf", "Melting_Curves/meltCurve_sp_P60842_IF4A1_HUMAN_.pdf")</f>
        <v>Melting_Curves/meltCurve_sp_P60842_IF4A1_HUMAN_.pdf</v>
      </c>
      <c r="AA1464" t="s">
        <v>15656</v>
      </c>
      <c r="AB1464" t="s">
        <v>20298</v>
      </c>
    </row>
    <row r="1465" spans="1:28" x14ac:dyDescent="0.25">
      <c r="A1465" t="s">
        <v>1469</v>
      </c>
      <c r="B1465">
        <v>0.99904790336628502</v>
      </c>
      <c r="C1465">
        <v>1.1289529876274</v>
      </c>
      <c r="D1465">
        <v>1.16305525068751</v>
      </c>
      <c r="E1465">
        <v>1.03216689623322</v>
      </c>
      <c r="F1465">
        <v>0.82211512925640495</v>
      </c>
      <c r="G1465">
        <v>0.37740867547120999</v>
      </c>
      <c r="H1465">
        <v>0.12322490989151701</v>
      </c>
      <c r="I1465">
        <v>6.8547372473853493E-2</v>
      </c>
      <c r="J1465">
        <v>3.5466323246732497E-2</v>
      </c>
      <c r="K1465">
        <v>2.6350806979916701E-2</v>
      </c>
      <c r="L1465">
        <v>1688.4574794499399</v>
      </c>
      <c r="M1465">
        <v>30.2243403816232</v>
      </c>
      <c r="N1465">
        <v>56.010281198689299</v>
      </c>
      <c r="O1465">
        <v>55.621303386987002</v>
      </c>
      <c r="P1465">
        <v>-0.13069951733648</v>
      </c>
      <c r="Q1465">
        <v>3.7910022708008098E-2</v>
      </c>
      <c r="R1465">
        <v>0.97800475788319696</v>
      </c>
      <c r="S1465" t="s">
        <v>6205</v>
      </c>
      <c r="T1465" t="s">
        <v>9478</v>
      </c>
      <c r="U1465" t="s">
        <v>9478</v>
      </c>
      <c r="V1465" t="s">
        <v>9478</v>
      </c>
      <c r="W1465">
        <v>11</v>
      </c>
      <c r="X1465" t="s">
        <v>10943</v>
      </c>
      <c r="Y1465">
        <v>0.55299413075308346</v>
      </c>
      <c r="Z1465" t="str">
        <f>HYPERLINK("Melting_Curves/meltCurve_sp_P60891_PRPS1_HUMAN_.pdf", "Melting_Curves/meltCurve_sp_P60891_PRPS1_HUMAN_.pdf")</f>
        <v>Melting_Curves/meltCurve_sp_P60891_PRPS1_HUMAN_.pdf</v>
      </c>
      <c r="AA1465" t="s">
        <v>15657</v>
      </c>
      <c r="AB1465" t="s">
        <v>20299</v>
      </c>
    </row>
    <row r="1466" spans="1:28" x14ac:dyDescent="0.25">
      <c r="A1466" t="s">
        <v>1470</v>
      </c>
      <c r="B1466">
        <v>0.99904790336628502</v>
      </c>
      <c r="C1466">
        <v>0.92635295672661999</v>
      </c>
      <c r="D1466">
        <v>1.0016638779507301</v>
      </c>
      <c r="E1466">
        <v>1.03216295449019</v>
      </c>
      <c r="F1466">
        <v>0.88561260987092005</v>
      </c>
      <c r="G1466">
        <v>0.84686137230789005</v>
      </c>
      <c r="H1466">
        <v>0.69241890320044897</v>
      </c>
      <c r="I1466">
        <v>0.69181246668699803</v>
      </c>
      <c r="J1466">
        <v>0.57262591274324803</v>
      </c>
      <c r="K1466">
        <v>0.44559430547582202</v>
      </c>
      <c r="L1466">
        <v>566.68209670454496</v>
      </c>
      <c r="M1466">
        <v>8.2356704492203399</v>
      </c>
      <c r="N1466">
        <v>68.808253096106597</v>
      </c>
      <c r="O1466">
        <v>65.108897499062095</v>
      </c>
      <c r="P1466">
        <v>-3.1654763069631497E-2</v>
      </c>
      <c r="Q1466">
        <v>0</v>
      </c>
      <c r="R1466">
        <v>0.95388092135892599</v>
      </c>
      <c r="S1466" t="s">
        <v>6206</v>
      </c>
      <c r="T1466" t="s">
        <v>9478</v>
      </c>
      <c r="U1466" t="s">
        <v>9478</v>
      </c>
      <c r="V1466" t="s">
        <v>9478</v>
      </c>
      <c r="W1466">
        <v>18</v>
      </c>
      <c r="X1466" t="s">
        <v>10944</v>
      </c>
      <c r="Y1466">
        <v>0.82719273738800148</v>
      </c>
      <c r="Z1466" t="str">
        <f>HYPERLINK("Melting_Curves/meltCurve_sp_P60900_PSA6_HUMAN_.pdf", "Melting_Curves/meltCurve_sp_P60900_PSA6_HUMAN_.pdf")</f>
        <v>Melting_Curves/meltCurve_sp_P60900_PSA6_HUMAN_.pdf</v>
      </c>
      <c r="AA1466" t="s">
        <v>15658</v>
      </c>
      <c r="AB1466" t="s">
        <v>20300</v>
      </c>
    </row>
    <row r="1467" spans="1:28" x14ac:dyDescent="0.25">
      <c r="A1467" t="s">
        <v>1471</v>
      </c>
      <c r="B1467">
        <v>0.99904790336628502</v>
      </c>
      <c r="C1467">
        <v>1.1682030843653</v>
      </c>
      <c r="D1467">
        <v>0.99114430372556495</v>
      </c>
      <c r="E1467">
        <v>0.84627614772064597</v>
      </c>
      <c r="F1467">
        <v>0.65337088028134005</v>
      </c>
      <c r="G1467">
        <v>0.53068337286932499</v>
      </c>
      <c r="H1467">
        <v>0.33680871499058002</v>
      </c>
      <c r="I1467">
        <v>0.24541329943697601</v>
      </c>
      <c r="J1467">
        <v>0.20920853552193699</v>
      </c>
      <c r="K1467">
        <v>0.182173022368773</v>
      </c>
      <c r="L1467">
        <v>818.00883201504098</v>
      </c>
      <c r="M1467">
        <v>14.7719917447348</v>
      </c>
      <c r="N1467">
        <v>56.769465507500399</v>
      </c>
      <c r="O1467">
        <v>54.390541206555397</v>
      </c>
      <c r="P1467">
        <v>-5.7577060138030801E-2</v>
      </c>
      <c r="Q1467">
        <v>0.15209495747058099</v>
      </c>
      <c r="R1467">
        <v>0.96829188914891795</v>
      </c>
      <c r="S1467" t="s">
        <v>6207</v>
      </c>
      <c r="T1467" t="s">
        <v>9478</v>
      </c>
      <c r="U1467" t="s">
        <v>9478</v>
      </c>
      <c r="V1467" t="s">
        <v>9478</v>
      </c>
      <c r="W1467">
        <v>1</v>
      </c>
      <c r="X1467" t="s">
        <v>10945</v>
      </c>
      <c r="Y1467">
        <v>0.60279687194691955</v>
      </c>
      <c r="Z1467" t="str">
        <f>HYPERLINK("Melting_Curves/meltCurve_sp_P60903_S10AA_HUMAN_.pdf", "Melting_Curves/meltCurve_sp_P60903_S10AA_HUMAN_.pdf")</f>
        <v>Melting_Curves/meltCurve_sp_P60903_S10AA_HUMAN_.pdf</v>
      </c>
      <c r="AA1467" t="s">
        <v>15659</v>
      </c>
      <c r="AB1467" t="s">
        <v>20301</v>
      </c>
    </row>
    <row r="1468" spans="1:28" x14ac:dyDescent="0.25">
      <c r="A1468" t="s">
        <v>1472</v>
      </c>
      <c r="B1468">
        <v>0.99904790336628502</v>
      </c>
      <c r="C1468">
        <v>0.96078400237820705</v>
      </c>
      <c r="D1468">
        <v>0.86657220047233097</v>
      </c>
      <c r="E1468">
        <v>0.59765503711490697</v>
      </c>
      <c r="F1468">
        <v>0.28472527750971899</v>
      </c>
      <c r="G1468">
        <v>0.113771168392998</v>
      </c>
      <c r="H1468">
        <v>4.0425070200960998E-2</v>
      </c>
      <c r="I1468">
        <v>2.94320937808609E-2</v>
      </c>
      <c r="J1468">
        <v>2.3872915007889201E-2</v>
      </c>
      <c r="K1468">
        <v>2.1950437158132101E-2</v>
      </c>
      <c r="L1468">
        <v>1009.11447677345</v>
      </c>
      <c r="M1468">
        <v>19.9125649576788</v>
      </c>
      <c r="N1468">
        <v>50.745906126575903</v>
      </c>
      <c r="O1468">
        <v>50.174471802512997</v>
      </c>
      <c r="P1468">
        <v>-9.7901651272543994E-2</v>
      </c>
      <c r="Q1468">
        <v>1.3286139806097099E-2</v>
      </c>
      <c r="R1468">
        <v>0.99899081906990395</v>
      </c>
      <c r="S1468" t="s">
        <v>6208</v>
      </c>
      <c r="T1468" t="s">
        <v>9478</v>
      </c>
      <c r="U1468" t="s">
        <v>9478</v>
      </c>
      <c r="V1468" t="s">
        <v>9478</v>
      </c>
      <c r="W1468">
        <v>8</v>
      </c>
      <c r="X1468" t="s">
        <v>10946</v>
      </c>
      <c r="Y1468">
        <v>0.37828894523806578</v>
      </c>
      <c r="Z1468" t="str">
        <f>HYPERLINK("Melting_Curves/meltCurve_sp_P60953_CDC42_HUMAN_.pdf", "Melting_Curves/meltCurve_sp_P60953_CDC42_HUMAN_.pdf")</f>
        <v>Melting_Curves/meltCurve_sp_P60953_CDC42_HUMAN_.pdf</v>
      </c>
      <c r="AA1468" t="s">
        <v>15660</v>
      </c>
      <c r="AB1468" t="s">
        <v>20302</v>
      </c>
    </row>
    <row r="1469" spans="1:28" x14ac:dyDescent="0.25">
      <c r="A1469" t="s">
        <v>1473</v>
      </c>
      <c r="B1469">
        <v>0.99904790336628502</v>
      </c>
      <c r="C1469">
        <v>1.0220319435555101</v>
      </c>
      <c r="D1469">
        <v>0.96073361635354204</v>
      </c>
      <c r="E1469">
        <v>0.84077962864201194</v>
      </c>
      <c r="F1469">
        <v>0.57595329550856</v>
      </c>
      <c r="G1469">
        <v>0.220876137169362</v>
      </c>
      <c r="H1469">
        <v>9.1957954985723706E-2</v>
      </c>
      <c r="I1469">
        <v>7.1614356404029897E-2</v>
      </c>
      <c r="J1469">
        <v>5.9283308489402997E-2</v>
      </c>
      <c r="K1469">
        <v>5.3611060778261797E-2</v>
      </c>
      <c r="L1469">
        <v>1263.7699642648199</v>
      </c>
      <c r="M1469">
        <v>23.6533124394882</v>
      </c>
      <c r="N1469">
        <v>53.664168464707799</v>
      </c>
      <c r="O1469">
        <v>53.051378927771403</v>
      </c>
      <c r="P1469">
        <v>-0.105975718764281</v>
      </c>
      <c r="Q1469">
        <v>4.9255557989819697E-2</v>
      </c>
      <c r="R1469">
        <v>0.99935413887808999</v>
      </c>
      <c r="S1469" t="s">
        <v>6209</v>
      </c>
      <c r="T1469" t="s">
        <v>9478</v>
      </c>
      <c r="U1469" t="s">
        <v>9478</v>
      </c>
      <c r="V1469" t="s">
        <v>9478</v>
      </c>
      <c r="W1469">
        <v>9</v>
      </c>
      <c r="X1469" t="s">
        <v>10947</v>
      </c>
      <c r="Y1469">
        <v>0.48455289263237439</v>
      </c>
      <c r="Z1469" t="str">
        <f>HYPERLINK("Melting_Curves/meltCurve_sp_P60981_2_DEST_HUMAN_.pdf", "Melting_Curves/meltCurve_sp_P60981_2_DEST_HUMAN_.pdf")</f>
        <v>Melting_Curves/meltCurve_sp_P60981_2_DEST_HUMAN_.pdf</v>
      </c>
      <c r="AA1469" t="s">
        <v>15661</v>
      </c>
      <c r="AB1469" t="s">
        <v>20303</v>
      </c>
    </row>
    <row r="1470" spans="1:28" x14ac:dyDescent="0.25">
      <c r="A1470" t="s">
        <v>1474</v>
      </c>
      <c r="B1470">
        <v>0.99904790336628502</v>
      </c>
      <c r="C1470">
        <v>0.94840595577253906</v>
      </c>
      <c r="D1470">
        <v>0.92303026335718397</v>
      </c>
      <c r="E1470">
        <v>0.91464575164720696</v>
      </c>
      <c r="F1470">
        <v>0.96042231610014095</v>
      </c>
      <c r="G1470">
        <v>0.81010045318700297</v>
      </c>
      <c r="H1470">
        <v>0.71908379823520396</v>
      </c>
      <c r="I1470">
        <v>0.69423249443145496</v>
      </c>
      <c r="J1470">
        <v>0.70284718564666404</v>
      </c>
      <c r="K1470">
        <v>0.620958128155776</v>
      </c>
      <c r="L1470">
        <v>429.12212858142698</v>
      </c>
      <c r="M1470">
        <v>6.7317052148276604</v>
      </c>
      <c r="O1470">
        <v>58.828478596209699</v>
      </c>
      <c r="P1470">
        <v>-1.64547218318227E-2</v>
      </c>
      <c r="Q1470">
        <v>0.42603516518309598</v>
      </c>
      <c r="R1470">
        <v>0.930648598165565</v>
      </c>
      <c r="S1470" t="s">
        <v>6210</v>
      </c>
      <c r="T1470" t="s">
        <v>9478</v>
      </c>
      <c r="U1470" t="s">
        <v>9478</v>
      </c>
      <c r="V1470" t="s">
        <v>9478</v>
      </c>
      <c r="W1470">
        <v>8</v>
      </c>
      <c r="X1470" t="s">
        <v>10948</v>
      </c>
      <c r="Y1470">
        <v>0.83712254017583276</v>
      </c>
      <c r="Z1470" t="str">
        <f>HYPERLINK("Melting_Curves/meltCurve_sp_P60983_GMFB_HUMAN_.pdf", "Melting_Curves/meltCurve_sp_P60983_GMFB_HUMAN_.pdf")</f>
        <v>Melting_Curves/meltCurve_sp_P60983_GMFB_HUMAN_.pdf</v>
      </c>
      <c r="AA1470" t="s">
        <v>15662</v>
      </c>
      <c r="AB1470" t="s">
        <v>20304</v>
      </c>
    </row>
    <row r="1471" spans="1:28" x14ac:dyDescent="0.25">
      <c r="A1471" t="s">
        <v>1475</v>
      </c>
      <c r="B1471">
        <v>0.99904790336628502</v>
      </c>
      <c r="C1471">
        <v>0.85284419355639896</v>
      </c>
      <c r="D1471">
        <v>0.765735741153034</v>
      </c>
      <c r="E1471">
        <v>0.62371856838182804</v>
      </c>
      <c r="F1471">
        <v>0.47485724852178202</v>
      </c>
      <c r="G1471">
        <v>0.19201858556948501</v>
      </c>
      <c r="H1471">
        <v>8.4326856834387204E-2</v>
      </c>
      <c r="I1471">
        <v>5.1224555077604303E-2</v>
      </c>
      <c r="J1471">
        <v>3.4160495772634997E-2</v>
      </c>
      <c r="K1471">
        <v>3.3518278587461502E-2</v>
      </c>
      <c r="L1471">
        <v>642.69791366198899</v>
      </c>
      <c r="M1471">
        <v>12.4988751435101</v>
      </c>
      <c r="N1471">
        <v>51.420460371207803</v>
      </c>
      <c r="O1471">
        <v>50.157429739486901</v>
      </c>
      <c r="P1471">
        <v>-6.2311059015013E-2</v>
      </c>
      <c r="Q1471">
        <v>0</v>
      </c>
      <c r="R1471">
        <v>0.98638587219835305</v>
      </c>
      <c r="S1471" t="s">
        <v>6211</v>
      </c>
      <c r="T1471" t="s">
        <v>9478</v>
      </c>
      <c r="U1471" t="s">
        <v>9478</v>
      </c>
      <c r="V1471" t="s">
        <v>9478</v>
      </c>
      <c r="W1471">
        <v>10</v>
      </c>
      <c r="X1471" t="s">
        <v>10949</v>
      </c>
      <c r="Y1471">
        <v>0.41070614870066469</v>
      </c>
      <c r="Z1471" t="str">
        <f>HYPERLINK("Melting_Curves/meltCurve_sp_P61006_RAB8A_HUMAN_.pdf", "Melting_Curves/meltCurve_sp_P61006_RAB8A_HUMAN_.pdf")</f>
        <v>Melting_Curves/meltCurve_sp_P61006_RAB8A_HUMAN_.pdf</v>
      </c>
      <c r="AA1471" t="s">
        <v>15663</v>
      </c>
      <c r="AB1471" t="s">
        <v>20305</v>
      </c>
    </row>
    <row r="1472" spans="1:28" x14ac:dyDescent="0.25">
      <c r="A1472" t="s">
        <v>1476</v>
      </c>
      <c r="B1472">
        <v>0.99904790336628502</v>
      </c>
      <c r="C1472">
        <v>1.0038193521954899</v>
      </c>
      <c r="D1472">
        <v>0.88323219419610399</v>
      </c>
      <c r="E1472">
        <v>0.34266190077044301</v>
      </c>
      <c r="F1472">
        <v>0.168976854001023</v>
      </c>
      <c r="G1472">
        <v>8.3837633921570204E-2</v>
      </c>
      <c r="H1472">
        <v>5.4883491833748001E-2</v>
      </c>
      <c r="I1472">
        <v>3.2094926786868101E-2</v>
      </c>
      <c r="J1472">
        <v>2.39440544207336E-2</v>
      </c>
      <c r="K1472">
        <v>1.7482057182128401E-2</v>
      </c>
      <c r="L1472">
        <v>1426.60240820734</v>
      </c>
      <c r="M1472">
        <v>29.1914003132445</v>
      </c>
      <c r="N1472">
        <v>49.019444350001898</v>
      </c>
      <c r="O1472">
        <v>48.643007766107303</v>
      </c>
      <c r="P1472">
        <v>-0.14366851047610901</v>
      </c>
      <c r="Q1472">
        <v>4.2400321585224998E-2</v>
      </c>
      <c r="R1472">
        <v>0.99715575409947599</v>
      </c>
      <c r="S1472" t="s">
        <v>6212</v>
      </c>
      <c r="T1472" t="s">
        <v>9478</v>
      </c>
      <c r="U1472" t="s">
        <v>9478</v>
      </c>
      <c r="V1472" t="s">
        <v>9478</v>
      </c>
      <c r="W1472">
        <v>14</v>
      </c>
      <c r="X1472" t="s">
        <v>10950</v>
      </c>
      <c r="Y1472">
        <v>0.33170919789361247</v>
      </c>
      <c r="Z1472" t="str">
        <f>HYPERLINK("Melting_Curves/meltCurve_sp_P61011_SRP54_HUMAN_.pdf", "Melting_Curves/meltCurve_sp_P61011_SRP54_HUMAN_.pdf")</f>
        <v>Melting_Curves/meltCurve_sp_P61011_SRP54_HUMAN_.pdf</v>
      </c>
      <c r="AA1472" t="s">
        <v>15664</v>
      </c>
      <c r="AB1472" t="s">
        <v>20306</v>
      </c>
    </row>
    <row r="1473" spans="1:28" x14ac:dyDescent="0.25">
      <c r="A1473" t="s">
        <v>1477</v>
      </c>
      <c r="B1473">
        <v>0.99904790336628502</v>
      </c>
      <c r="C1473">
        <v>1.0041855666046899</v>
      </c>
      <c r="D1473">
        <v>0.91834083889604001</v>
      </c>
      <c r="E1473">
        <v>0.67883896068608696</v>
      </c>
      <c r="F1473">
        <v>0.38272753524256697</v>
      </c>
      <c r="G1473">
        <v>0.150035140707107</v>
      </c>
      <c r="H1473">
        <v>6.3283398490646001E-2</v>
      </c>
      <c r="I1473">
        <v>3.8623785917866402E-2</v>
      </c>
      <c r="J1473">
        <v>3.0269446283120699E-2</v>
      </c>
      <c r="K1473">
        <v>2.0506462197997899E-2</v>
      </c>
      <c r="L1473">
        <v>1060.2587877312401</v>
      </c>
      <c r="M1473">
        <v>20.512364381874001</v>
      </c>
      <c r="N1473">
        <v>51.792610949046299</v>
      </c>
      <c r="O1473">
        <v>51.205023421528502</v>
      </c>
      <c r="P1473">
        <v>-9.8133428889029997E-2</v>
      </c>
      <c r="Q1473">
        <v>2.0146786916087799E-2</v>
      </c>
      <c r="R1473">
        <v>0.99966973359106603</v>
      </c>
      <c r="S1473" t="s">
        <v>6213</v>
      </c>
      <c r="T1473" t="s">
        <v>9478</v>
      </c>
      <c r="U1473" t="s">
        <v>9478</v>
      </c>
      <c r="V1473" t="s">
        <v>9478</v>
      </c>
      <c r="W1473">
        <v>12</v>
      </c>
      <c r="X1473" t="s">
        <v>10951</v>
      </c>
      <c r="Y1473">
        <v>0.41488556041747721</v>
      </c>
      <c r="Z1473" t="str">
        <f>HYPERLINK("Melting_Curves/meltCurve_sp_P61019_RAB2A_HUMAN_.pdf", "Melting_Curves/meltCurve_sp_P61019_RAB2A_HUMAN_.pdf")</f>
        <v>Melting_Curves/meltCurve_sp_P61019_RAB2A_HUMAN_.pdf</v>
      </c>
      <c r="AA1473" t="s">
        <v>15665</v>
      </c>
      <c r="AB1473" t="s">
        <v>20307</v>
      </c>
    </row>
    <row r="1474" spans="1:28" x14ac:dyDescent="0.25">
      <c r="A1474" t="s">
        <v>1478</v>
      </c>
      <c r="B1474">
        <v>0.99904790336628502</v>
      </c>
      <c r="C1474">
        <v>1.0079720264060501</v>
      </c>
      <c r="D1474">
        <v>0.97647025510111995</v>
      </c>
      <c r="E1474">
        <v>0.83255041295754695</v>
      </c>
      <c r="F1474">
        <v>0.58002641290306001</v>
      </c>
      <c r="G1474">
        <v>0.19333866959812601</v>
      </c>
      <c r="H1474">
        <v>7.3306448055926302E-2</v>
      </c>
      <c r="I1474">
        <v>3.9781007156013501E-2</v>
      </c>
      <c r="J1474">
        <v>2.1659896441919901E-2</v>
      </c>
      <c r="K1474">
        <v>7.8511081499611605E-3</v>
      </c>
      <c r="L1474">
        <v>1247.6288554769001</v>
      </c>
      <c r="M1474">
        <v>23.287608604984399</v>
      </c>
      <c r="N1474">
        <v>53.627103205440498</v>
      </c>
      <c r="O1474">
        <v>53.184427092797598</v>
      </c>
      <c r="P1474">
        <v>-0.108239264211015</v>
      </c>
      <c r="Q1474">
        <v>1.1226827019446E-2</v>
      </c>
      <c r="R1474">
        <v>0.99959898912622902</v>
      </c>
      <c r="S1474" t="s">
        <v>6214</v>
      </c>
      <c r="T1474" t="s">
        <v>9478</v>
      </c>
      <c r="U1474" t="s">
        <v>9478</v>
      </c>
      <c r="V1474" t="s">
        <v>9478</v>
      </c>
      <c r="W1474">
        <v>6</v>
      </c>
      <c r="X1474" t="s">
        <v>10952</v>
      </c>
      <c r="Y1474">
        <v>0.46903491154928167</v>
      </c>
      <c r="Z1474" t="str">
        <f>HYPERLINK("Melting_Curves/meltCurve_sp_P61020_RAB5B_HUMAN_.pdf", "Melting_Curves/meltCurve_sp_P61020_RAB5B_HUMAN_.pdf")</f>
        <v>Melting_Curves/meltCurve_sp_P61020_RAB5B_HUMAN_.pdf</v>
      </c>
      <c r="AA1474" t="s">
        <v>15666</v>
      </c>
      <c r="AB1474" t="s">
        <v>20308</v>
      </c>
    </row>
    <row r="1475" spans="1:28" x14ac:dyDescent="0.25">
      <c r="A1475" t="s">
        <v>1479</v>
      </c>
      <c r="B1475">
        <v>0.99904790336628502</v>
      </c>
      <c r="C1475">
        <v>1.1175877181851199</v>
      </c>
      <c r="D1475">
        <v>1.0765071852974699</v>
      </c>
      <c r="E1475">
        <v>0.80037669034205505</v>
      </c>
      <c r="F1475">
        <v>0.48433928423909001</v>
      </c>
      <c r="G1475">
        <v>0.24152867003037701</v>
      </c>
      <c r="H1475">
        <v>9.8778840254514805E-2</v>
      </c>
      <c r="I1475">
        <v>6.1019333695667498E-2</v>
      </c>
      <c r="J1475">
        <v>5.0956548654337998E-2</v>
      </c>
      <c r="K1475">
        <v>4.4540001788802998E-2</v>
      </c>
      <c r="L1475">
        <v>1277.13062921706</v>
      </c>
      <c r="M1475">
        <v>24.158028654840798</v>
      </c>
      <c r="N1475">
        <v>53.124930979932003</v>
      </c>
      <c r="O1475">
        <v>52.507430547614703</v>
      </c>
      <c r="P1475">
        <v>-0.10862797455104101</v>
      </c>
      <c r="Q1475">
        <v>5.5603742329503297E-2</v>
      </c>
      <c r="R1475">
        <v>0.98488263516001495</v>
      </c>
      <c r="S1475" t="s">
        <v>6215</v>
      </c>
      <c r="T1475" t="s">
        <v>9478</v>
      </c>
      <c r="U1475" t="s">
        <v>9478</v>
      </c>
      <c r="V1475" t="s">
        <v>9478</v>
      </c>
      <c r="W1475">
        <v>6</v>
      </c>
      <c r="X1475" t="s">
        <v>10953</v>
      </c>
      <c r="Y1475">
        <v>0.46987657105665182</v>
      </c>
      <c r="Z1475" t="str">
        <f>HYPERLINK("Melting_Curves/meltCurve_sp_P61026_RAB10_HUMAN_.pdf", "Melting_Curves/meltCurve_sp_P61026_RAB10_HUMAN_.pdf")</f>
        <v>Melting_Curves/meltCurve_sp_P61026_RAB10_HUMAN_.pdf</v>
      </c>
      <c r="AA1475" t="s">
        <v>15667</v>
      </c>
      <c r="AB1475" t="s">
        <v>20309</v>
      </c>
    </row>
    <row r="1476" spans="1:28" x14ac:dyDescent="0.25">
      <c r="A1476" t="s">
        <v>1480</v>
      </c>
      <c r="B1476">
        <v>0.99904790336628502</v>
      </c>
      <c r="C1476">
        <v>1.00220970959249</v>
      </c>
      <c r="D1476">
        <v>0.94440724944526</v>
      </c>
      <c r="E1476">
        <v>0.87229229213127302</v>
      </c>
      <c r="F1476">
        <v>0.57034101334411003</v>
      </c>
      <c r="G1476">
        <v>0.210568774175481</v>
      </c>
      <c r="H1476">
        <v>9.5806340179549004E-2</v>
      </c>
      <c r="I1476">
        <v>4.1662683302915102E-2</v>
      </c>
      <c r="J1476">
        <v>3.22419829892827E-2</v>
      </c>
      <c r="K1476">
        <v>2.5626723254370799E-2</v>
      </c>
      <c r="L1476">
        <v>1285.8146993857599</v>
      </c>
      <c r="M1476">
        <v>23.992691663742399</v>
      </c>
      <c r="N1476">
        <v>53.717852239663202</v>
      </c>
      <c r="O1476">
        <v>53.223795929347503</v>
      </c>
      <c r="P1476">
        <v>-0.109617287012564</v>
      </c>
      <c r="Q1476">
        <v>2.7344536716074199E-2</v>
      </c>
      <c r="R1476">
        <v>0.998687170497222</v>
      </c>
      <c r="S1476" t="s">
        <v>6216</v>
      </c>
      <c r="T1476" t="s">
        <v>9478</v>
      </c>
      <c r="U1476" t="s">
        <v>9478</v>
      </c>
      <c r="V1476" t="s">
        <v>9478</v>
      </c>
      <c r="W1476">
        <v>4</v>
      </c>
      <c r="X1476" t="s">
        <v>10954</v>
      </c>
      <c r="Y1476">
        <v>0.47770986556167638</v>
      </c>
      <c r="Z1476" t="str">
        <f>HYPERLINK("Melting_Curves/meltCurve_sp_P61077_UB2D3_HUMAN_.pdf", "Melting_Curves/meltCurve_sp_P61077_UB2D3_HUMAN_.pdf")</f>
        <v>Melting_Curves/meltCurve_sp_P61077_UB2D3_HUMAN_.pdf</v>
      </c>
      <c r="AA1476" t="s">
        <v>15668</v>
      </c>
      <c r="AB1476" t="s">
        <v>20310</v>
      </c>
    </row>
    <row r="1477" spans="1:28" x14ac:dyDescent="0.25">
      <c r="A1477" t="s">
        <v>1481</v>
      </c>
      <c r="B1477">
        <v>0.99904790336628502</v>
      </c>
      <c r="C1477">
        <v>0.95316981786287003</v>
      </c>
      <c r="D1477">
        <v>0.87726909924489804</v>
      </c>
      <c r="E1477">
        <v>0.87209935870533795</v>
      </c>
      <c r="F1477">
        <v>0.84232661476146398</v>
      </c>
      <c r="G1477">
        <v>0.53175524027565002</v>
      </c>
      <c r="H1477">
        <v>0.18032390415365099</v>
      </c>
      <c r="I1477">
        <v>7.9114078277273694E-2</v>
      </c>
      <c r="J1477">
        <v>4.9710349385405798E-2</v>
      </c>
      <c r="K1477">
        <v>4.0872672417290201E-2</v>
      </c>
      <c r="L1477">
        <v>1133.2543107664201</v>
      </c>
      <c r="M1477">
        <v>19.885414406233501</v>
      </c>
      <c r="N1477">
        <v>56.989222651339901</v>
      </c>
      <c r="O1477">
        <v>56.422276608918203</v>
      </c>
      <c r="P1477">
        <v>-8.8112698125290198E-2</v>
      </c>
      <c r="Q1477">
        <v>0</v>
      </c>
      <c r="R1477">
        <v>0.98463911545890204</v>
      </c>
      <c r="S1477" t="s">
        <v>6217</v>
      </c>
      <c r="T1477" t="s">
        <v>9478</v>
      </c>
      <c r="U1477" t="s">
        <v>9478</v>
      </c>
      <c r="V1477" t="s">
        <v>9478</v>
      </c>
      <c r="W1477">
        <v>9</v>
      </c>
      <c r="X1477" t="s">
        <v>10955</v>
      </c>
      <c r="Y1477">
        <v>0.5786401719115708</v>
      </c>
      <c r="Z1477" t="str">
        <f>HYPERLINK("Melting_Curves/meltCurve_sp_P61081_UBC12_HUMAN_.pdf", "Melting_Curves/meltCurve_sp_P61081_UBC12_HUMAN_.pdf")</f>
        <v>Melting_Curves/meltCurve_sp_P61081_UBC12_HUMAN_.pdf</v>
      </c>
      <c r="AA1477" t="s">
        <v>15669</v>
      </c>
      <c r="AB1477" t="s">
        <v>20311</v>
      </c>
    </row>
    <row r="1478" spans="1:28" x14ac:dyDescent="0.25">
      <c r="A1478" t="s">
        <v>1482</v>
      </c>
      <c r="B1478">
        <v>0.99904790336628502</v>
      </c>
      <c r="C1478">
        <v>1.0504365204235599</v>
      </c>
      <c r="D1478">
        <v>0.97636367511665001</v>
      </c>
      <c r="E1478">
        <v>0.98883330099147604</v>
      </c>
      <c r="F1478">
        <v>0.98007786566389299</v>
      </c>
      <c r="G1478">
        <v>0.71646896193424603</v>
      </c>
      <c r="H1478">
        <v>0.248852461973711</v>
      </c>
      <c r="I1478">
        <v>7.7515295273056006E-2</v>
      </c>
      <c r="J1478">
        <v>4.1353752067803E-2</v>
      </c>
      <c r="K1478">
        <v>3.4615804109402702E-2</v>
      </c>
      <c r="L1478">
        <v>1881.0996799424299</v>
      </c>
      <c r="M1478">
        <v>32.085799534811898</v>
      </c>
      <c r="N1478">
        <v>58.719458967604197</v>
      </c>
      <c r="O1478">
        <v>58.400853967395797</v>
      </c>
      <c r="P1478">
        <v>-0.13397495671918899</v>
      </c>
      <c r="Q1478">
        <v>2.4588819890224399E-2</v>
      </c>
      <c r="R1478">
        <v>0.99812472951380904</v>
      </c>
      <c r="S1478" t="s">
        <v>6218</v>
      </c>
      <c r="T1478" t="s">
        <v>9478</v>
      </c>
      <c r="U1478" t="s">
        <v>9478</v>
      </c>
      <c r="V1478" t="s">
        <v>9478</v>
      </c>
      <c r="W1478">
        <v>11</v>
      </c>
      <c r="X1478" t="s">
        <v>10956</v>
      </c>
      <c r="Y1478">
        <v>0.6359042412628676</v>
      </c>
      <c r="Z1478" t="str">
        <f>HYPERLINK("Melting_Curves/meltCurve_sp_P61086_UBE2K_HUMAN_.pdf", "Melting_Curves/meltCurve_sp_P61086_UBE2K_HUMAN_.pdf")</f>
        <v>Melting_Curves/meltCurve_sp_P61086_UBE2K_HUMAN_.pdf</v>
      </c>
      <c r="AA1478" t="s">
        <v>15670</v>
      </c>
      <c r="AB1478" t="s">
        <v>20312</v>
      </c>
    </row>
    <row r="1479" spans="1:28" x14ac:dyDescent="0.25">
      <c r="A1479" t="s">
        <v>1483</v>
      </c>
      <c r="B1479">
        <v>0.99904790336628502</v>
      </c>
      <c r="C1479">
        <v>1.06606356851609</v>
      </c>
      <c r="D1479">
        <v>1.0509037501253</v>
      </c>
      <c r="E1479">
        <v>0.98583958035968</v>
      </c>
      <c r="F1479">
        <v>0.81575331653083405</v>
      </c>
      <c r="G1479">
        <v>0.48635047524752001</v>
      </c>
      <c r="H1479">
        <v>0.13852575310936699</v>
      </c>
      <c r="I1479">
        <v>5.4833750505328502E-2</v>
      </c>
      <c r="J1479">
        <v>2.8893352638130299E-2</v>
      </c>
      <c r="K1479">
        <v>2.6562915585940101E-2</v>
      </c>
      <c r="L1479">
        <v>1394.34836413425</v>
      </c>
      <c r="M1479">
        <v>24.612330026481299</v>
      </c>
      <c r="N1479">
        <v>56.682081151116499</v>
      </c>
      <c r="O1479">
        <v>56.282417162132298</v>
      </c>
      <c r="P1479">
        <v>-0.10862749539164</v>
      </c>
      <c r="Q1479">
        <v>6.3956057909830598E-3</v>
      </c>
      <c r="R1479">
        <v>0.99507709649950005</v>
      </c>
      <c r="S1479" t="s">
        <v>6219</v>
      </c>
      <c r="T1479" t="s">
        <v>9478</v>
      </c>
      <c r="U1479" t="s">
        <v>9478</v>
      </c>
      <c r="V1479" t="s">
        <v>9478</v>
      </c>
      <c r="W1479">
        <v>10</v>
      </c>
      <c r="X1479" t="s">
        <v>10957</v>
      </c>
      <c r="Y1479">
        <v>0.56717542145535382</v>
      </c>
      <c r="Z1479" t="str">
        <f>HYPERLINK("Melting_Curves/meltCurve_sp_P61088_UBE2N_HUMAN_.pdf", "Melting_Curves/meltCurve_sp_P61088_UBE2N_HUMAN_.pdf")</f>
        <v>Melting_Curves/meltCurve_sp_P61088_UBE2N_HUMAN_.pdf</v>
      </c>
      <c r="AA1479" t="s">
        <v>15671</v>
      </c>
      <c r="AB1479" t="s">
        <v>20313</v>
      </c>
    </row>
    <row r="1480" spans="1:28" x14ac:dyDescent="0.25">
      <c r="A1480" t="s">
        <v>1484</v>
      </c>
      <c r="B1480">
        <v>0.99904790336628502</v>
      </c>
      <c r="C1480">
        <v>0.93377666117486502</v>
      </c>
      <c r="D1480">
        <v>0.83033978100585204</v>
      </c>
      <c r="E1480">
        <v>0.66634322135219803</v>
      </c>
      <c r="F1480">
        <v>0.447248476994765</v>
      </c>
      <c r="G1480">
        <v>0.19369608485546599</v>
      </c>
      <c r="H1480">
        <v>9.6458577864902001E-2</v>
      </c>
      <c r="I1480">
        <v>6.5044474109350506E-2</v>
      </c>
      <c r="J1480">
        <v>3.5881218869973697E-2</v>
      </c>
      <c r="K1480">
        <v>2.6594735430029302E-2</v>
      </c>
      <c r="L1480">
        <v>748.132623717005</v>
      </c>
      <c r="M1480">
        <v>14.3922107781069</v>
      </c>
      <c r="N1480">
        <v>51.981751939058903</v>
      </c>
      <c r="O1480">
        <v>51.009107415110897</v>
      </c>
      <c r="P1480">
        <v>-7.0545835128506096E-2</v>
      </c>
      <c r="Q1480">
        <v>0</v>
      </c>
      <c r="R1480">
        <v>0.99737427590397698</v>
      </c>
      <c r="S1480" t="s">
        <v>6220</v>
      </c>
      <c r="T1480" t="s">
        <v>9478</v>
      </c>
      <c r="U1480" t="s">
        <v>9478</v>
      </c>
      <c r="V1480" t="s">
        <v>9478</v>
      </c>
      <c r="W1480">
        <v>13</v>
      </c>
      <c r="X1480" t="s">
        <v>10958</v>
      </c>
      <c r="Y1480">
        <v>0.42320367634705841</v>
      </c>
      <c r="Z1480" t="str">
        <f>HYPERLINK("Melting_Curves/meltCurve_sp_P61106_RAB14_HUMAN_.pdf", "Melting_Curves/meltCurve_sp_P61106_RAB14_HUMAN_.pdf")</f>
        <v>Melting_Curves/meltCurve_sp_P61106_RAB14_HUMAN_.pdf</v>
      </c>
      <c r="AA1480" t="s">
        <v>15672</v>
      </c>
      <c r="AB1480" t="s">
        <v>20314</v>
      </c>
    </row>
    <row r="1481" spans="1:28" x14ac:dyDescent="0.25">
      <c r="A1481" t="s">
        <v>1485</v>
      </c>
      <c r="B1481">
        <v>0.99904790336628502</v>
      </c>
      <c r="C1481">
        <v>0.91647973153348605</v>
      </c>
      <c r="D1481">
        <v>1.0044779176125</v>
      </c>
      <c r="E1481">
        <v>0.98364937688846299</v>
      </c>
      <c r="F1481">
        <v>0.87594369755894796</v>
      </c>
      <c r="G1481">
        <v>0.52961510022045299</v>
      </c>
      <c r="H1481">
        <v>0.12489346280034699</v>
      </c>
      <c r="I1481">
        <v>5.7185734218934497E-2</v>
      </c>
      <c r="J1481">
        <v>3.5253675897337897E-2</v>
      </c>
      <c r="K1481">
        <v>3.1359352150339199E-2</v>
      </c>
      <c r="L1481">
        <v>1635.02584917988</v>
      </c>
      <c r="M1481">
        <v>28.676380214013101</v>
      </c>
      <c r="N1481">
        <v>57.085678069517698</v>
      </c>
      <c r="O1481">
        <v>56.741355123763697</v>
      </c>
      <c r="P1481">
        <v>-0.12418968180765901</v>
      </c>
      <c r="Q1481">
        <v>1.70815567491805E-2</v>
      </c>
      <c r="R1481">
        <v>0.99522779763953595</v>
      </c>
      <c r="S1481" t="s">
        <v>6221</v>
      </c>
      <c r="T1481" t="s">
        <v>9478</v>
      </c>
      <c r="U1481" t="s">
        <v>9478</v>
      </c>
      <c r="V1481" t="s">
        <v>9478</v>
      </c>
      <c r="W1481">
        <v>19</v>
      </c>
      <c r="X1481" t="s">
        <v>10959</v>
      </c>
      <c r="Y1481">
        <v>0.58168518357649901</v>
      </c>
      <c r="Z1481" t="str">
        <f>HYPERLINK("Melting_Curves/meltCurve_sp_P61158_ARP3_HUMAN_.pdf", "Melting_Curves/meltCurve_sp_P61158_ARP3_HUMAN_.pdf")</f>
        <v>Melting_Curves/meltCurve_sp_P61158_ARP3_HUMAN_.pdf</v>
      </c>
      <c r="AA1481" t="s">
        <v>15673</v>
      </c>
      <c r="AB1481" t="s">
        <v>20315</v>
      </c>
    </row>
    <row r="1482" spans="1:28" x14ac:dyDescent="0.25">
      <c r="A1482" t="s">
        <v>1486</v>
      </c>
      <c r="B1482">
        <v>0.99904790336628502</v>
      </c>
      <c r="C1482">
        <v>0.98225830103006195</v>
      </c>
      <c r="D1482">
        <v>1.0902440841252401</v>
      </c>
      <c r="E1482">
        <v>1.0421576065375799</v>
      </c>
      <c r="F1482">
        <v>0.90139123945686905</v>
      </c>
      <c r="G1482">
        <v>0.52630892083412195</v>
      </c>
      <c r="H1482">
        <v>0.12855630529495801</v>
      </c>
      <c r="I1482">
        <v>5.4280440384134397E-2</v>
      </c>
      <c r="J1482">
        <v>3.2875700806099403E-2</v>
      </c>
      <c r="K1482">
        <v>2.3555520931025802E-2</v>
      </c>
      <c r="L1482">
        <v>1817.4083138849101</v>
      </c>
      <c r="M1482">
        <v>31.843744064680902</v>
      </c>
      <c r="N1482">
        <v>57.153710657669599</v>
      </c>
      <c r="O1482">
        <v>56.849021627521097</v>
      </c>
      <c r="P1482">
        <v>-0.136946911241523</v>
      </c>
      <c r="Q1482">
        <v>2.2067353760543501E-2</v>
      </c>
      <c r="R1482">
        <v>0.99410545027756303</v>
      </c>
      <c r="S1482" t="s">
        <v>6222</v>
      </c>
      <c r="T1482" t="s">
        <v>9478</v>
      </c>
      <c r="U1482" t="s">
        <v>9478</v>
      </c>
      <c r="V1482" t="s">
        <v>9478</v>
      </c>
      <c r="W1482">
        <v>16</v>
      </c>
      <c r="X1482" t="s">
        <v>10960</v>
      </c>
      <c r="Y1482">
        <v>0.5844532340364893</v>
      </c>
      <c r="Z1482" t="str">
        <f>HYPERLINK("Melting_Curves/meltCurve_sp_P61160_ARP2_HUMAN_.pdf", "Melting_Curves/meltCurve_sp_P61160_ARP2_HUMAN_.pdf")</f>
        <v>Melting_Curves/meltCurve_sp_P61160_ARP2_HUMAN_.pdf</v>
      </c>
      <c r="AA1482" t="s">
        <v>15674</v>
      </c>
      <c r="AB1482" t="s">
        <v>20316</v>
      </c>
    </row>
    <row r="1483" spans="1:28" x14ac:dyDescent="0.25">
      <c r="A1483" t="s">
        <v>1487</v>
      </c>
      <c r="B1483">
        <v>0.99904790336628502</v>
      </c>
      <c r="C1483">
        <v>1.11573498888375</v>
      </c>
      <c r="D1483">
        <v>1.13121568931056</v>
      </c>
      <c r="E1483">
        <v>0.98525443830510095</v>
      </c>
      <c r="F1483">
        <v>0.63640859381090698</v>
      </c>
      <c r="G1483">
        <v>0.293945408818719</v>
      </c>
      <c r="H1483">
        <v>0.121716835224811</v>
      </c>
      <c r="I1483">
        <v>6.04854215101467E-2</v>
      </c>
      <c r="J1483">
        <v>5.2463233176816303E-2</v>
      </c>
      <c r="K1483">
        <v>3.95106778278791E-2</v>
      </c>
      <c r="L1483">
        <v>1488.2217003978601</v>
      </c>
      <c r="M1483">
        <v>27.361979659664801</v>
      </c>
      <c r="N1483">
        <v>54.618299701122503</v>
      </c>
      <c r="O1483">
        <v>54.102101124426703</v>
      </c>
      <c r="P1483">
        <v>-0.119609930964997</v>
      </c>
      <c r="Q1483">
        <v>5.4002985524322103E-2</v>
      </c>
      <c r="R1483">
        <v>0.97996266217601302</v>
      </c>
      <c r="S1483" t="s">
        <v>6223</v>
      </c>
      <c r="T1483" t="s">
        <v>9478</v>
      </c>
      <c r="U1483" t="s">
        <v>9478</v>
      </c>
      <c r="V1483" t="s">
        <v>9478</v>
      </c>
      <c r="W1483">
        <v>12</v>
      </c>
      <c r="X1483" t="s">
        <v>10961</v>
      </c>
      <c r="Y1483">
        <v>0.51519611433381096</v>
      </c>
      <c r="Z1483" t="str">
        <f>HYPERLINK("Melting_Curves/meltCurve_sp_P61163_ACTZ_HUMAN_.pdf", "Melting_Curves/meltCurve_sp_P61163_ACTZ_HUMAN_.pdf")</f>
        <v>Melting_Curves/meltCurve_sp_P61163_ACTZ_HUMAN_.pdf</v>
      </c>
      <c r="AA1483" t="s">
        <v>15675</v>
      </c>
      <c r="AB1483" t="s">
        <v>20317</v>
      </c>
    </row>
    <row r="1484" spans="1:28" x14ac:dyDescent="0.25">
      <c r="A1484" t="s">
        <v>1488</v>
      </c>
      <c r="B1484">
        <v>0.99904790336628502</v>
      </c>
      <c r="C1484">
        <v>1.15196130379446</v>
      </c>
      <c r="D1484">
        <v>1.2340628451917699</v>
      </c>
      <c r="E1484">
        <v>1.1379760301461801</v>
      </c>
      <c r="F1484">
        <v>0.95263753812980301</v>
      </c>
      <c r="G1484">
        <v>0.39250347120885698</v>
      </c>
      <c r="H1484">
        <v>0.12674248782845099</v>
      </c>
      <c r="I1484">
        <v>7.6786073051628601E-2</v>
      </c>
      <c r="J1484">
        <v>3.87320845416496E-2</v>
      </c>
      <c r="K1484">
        <v>3.57427179172152E-2</v>
      </c>
      <c r="L1484">
        <v>2594.5642446637398</v>
      </c>
      <c r="M1484">
        <v>46.0887023945332</v>
      </c>
      <c r="N1484">
        <v>56.453174760410199</v>
      </c>
      <c r="O1484">
        <v>56.1893391440979</v>
      </c>
      <c r="P1484">
        <v>-0.192640033551047</v>
      </c>
      <c r="Q1484">
        <v>6.0567743177020399E-2</v>
      </c>
      <c r="R1484">
        <v>0.958938301500325</v>
      </c>
      <c r="S1484" t="s">
        <v>6224</v>
      </c>
      <c r="T1484" t="s">
        <v>9478</v>
      </c>
      <c r="U1484" t="s">
        <v>9478</v>
      </c>
      <c r="V1484" t="s">
        <v>9478</v>
      </c>
      <c r="W1484">
        <v>14</v>
      </c>
      <c r="X1484" t="s">
        <v>10962</v>
      </c>
      <c r="Y1484">
        <v>0.57357727404705228</v>
      </c>
      <c r="Z1484" t="str">
        <f>HYPERLINK("Melting_Curves/meltCurve_sp_P61201_CSN2_HUMAN_.pdf", "Melting_Curves/meltCurve_sp_P61201_CSN2_HUMAN_.pdf")</f>
        <v>Melting_Curves/meltCurve_sp_P61201_CSN2_HUMAN_.pdf</v>
      </c>
      <c r="AA1484" t="s">
        <v>15676</v>
      </c>
      <c r="AB1484" t="s">
        <v>20318</v>
      </c>
    </row>
    <row r="1485" spans="1:28" x14ac:dyDescent="0.25">
      <c r="A1485" t="s">
        <v>1489</v>
      </c>
      <c r="B1485">
        <v>0.99904790336628502</v>
      </c>
      <c r="C1485">
        <v>0.84277473101111999</v>
      </c>
      <c r="D1485">
        <v>0.62045624202434002</v>
      </c>
      <c r="E1485">
        <v>0.236842816541732</v>
      </c>
      <c r="F1485">
        <v>9.3439941680234895E-2</v>
      </c>
      <c r="G1485">
        <v>5.9189048241132497E-2</v>
      </c>
      <c r="H1485">
        <v>3.3865445723652798E-2</v>
      </c>
      <c r="I1485">
        <v>2.5288195503809899E-2</v>
      </c>
      <c r="J1485">
        <v>1.8745517351269302E-2</v>
      </c>
      <c r="K1485">
        <v>1.6035980480440401E-2</v>
      </c>
      <c r="L1485">
        <v>944.35531189998801</v>
      </c>
      <c r="M1485">
        <v>20.131094054789099</v>
      </c>
      <c r="N1485">
        <v>47.002497126840801</v>
      </c>
      <c r="O1485">
        <v>46.454744709737497</v>
      </c>
      <c r="P1485">
        <v>-0.106242788113506</v>
      </c>
      <c r="Q1485">
        <v>1.93627753914009E-2</v>
      </c>
      <c r="R1485">
        <v>0.99829849067586895</v>
      </c>
      <c r="S1485" t="s">
        <v>6225</v>
      </c>
      <c r="T1485" t="s">
        <v>9478</v>
      </c>
      <c r="U1485" t="s">
        <v>9478</v>
      </c>
      <c r="V1485" t="s">
        <v>9478</v>
      </c>
      <c r="W1485">
        <v>15</v>
      </c>
      <c r="X1485" t="s">
        <v>10963</v>
      </c>
      <c r="Y1485">
        <v>0.25944741519880871</v>
      </c>
      <c r="Z1485" t="str">
        <f>HYPERLINK("Melting_Curves/meltCurve_sp_P61221_ABCE1_HUMAN_.pdf", "Melting_Curves/meltCurve_sp_P61221_ABCE1_HUMAN_.pdf")</f>
        <v>Melting_Curves/meltCurve_sp_P61221_ABCE1_HUMAN_.pdf</v>
      </c>
      <c r="AA1485" t="s">
        <v>15677</v>
      </c>
      <c r="AB1485" t="s">
        <v>20319</v>
      </c>
    </row>
    <row r="1486" spans="1:28" x14ac:dyDescent="0.25">
      <c r="A1486" t="s">
        <v>1490</v>
      </c>
      <c r="B1486">
        <v>0.99904790336628502</v>
      </c>
      <c r="C1486">
        <v>0.91151007748983104</v>
      </c>
      <c r="D1486">
        <v>0.71940672698979402</v>
      </c>
      <c r="E1486">
        <v>0.37657428172762403</v>
      </c>
      <c r="F1486">
        <v>0.175951269862864</v>
      </c>
      <c r="G1486">
        <v>8.2245290403793594E-2</v>
      </c>
      <c r="H1486">
        <v>6.3482728250054896E-2</v>
      </c>
      <c r="I1486">
        <v>4.9845340166224099E-2</v>
      </c>
      <c r="J1486">
        <v>3.7538293203059403E-2</v>
      </c>
      <c r="K1486">
        <v>2.2173252486091598E-2</v>
      </c>
      <c r="L1486">
        <v>900.61705312011497</v>
      </c>
      <c r="M1486">
        <v>18.6538705651366</v>
      </c>
      <c r="N1486">
        <v>48.453704562088703</v>
      </c>
      <c r="O1486">
        <v>47.7358422905643</v>
      </c>
      <c r="P1486">
        <v>-9.4545414364517896E-2</v>
      </c>
      <c r="Q1486">
        <v>3.2262710182840097E-2</v>
      </c>
      <c r="R1486">
        <v>0.99925279232970499</v>
      </c>
      <c r="S1486" t="s">
        <v>6226</v>
      </c>
      <c r="T1486" t="s">
        <v>9478</v>
      </c>
      <c r="U1486" t="s">
        <v>9478</v>
      </c>
      <c r="V1486" t="s">
        <v>9478</v>
      </c>
      <c r="W1486">
        <v>8</v>
      </c>
      <c r="X1486" t="s">
        <v>10964</v>
      </c>
      <c r="Y1486">
        <v>0.31519409935374809</v>
      </c>
      <c r="Z1486" t="str">
        <f>HYPERLINK("Melting_Curves/meltCurve_sp_P61224_3_RAP1B_HUMAN_.pdf", "Melting_Curves/meltCurve_sp_P61224_3_RAP1B_HUMAN_.pdf")</f>
        <v>Melting_Curves/meltCurve_sp_P61224_3_RAP1B_HUMAN_.pdf</v>
      </c>
      <c r="AA1486" t="s">
        <v>15678</v>
      </c>
      <c r="AB1486" t="s">
        <v>20320</v>
      </c>
    </row>
    <row r="1487" spans="1:28" x14ac:dyDescent="0.25">
      <c r="A1487" t="s">
        <v>1491</v>
      </c>
      <c r="B1487">
        <v>0.99904790336628502</v>
      </c>
      <c r="C1487">
        <v>0.98292285533039703</v>
      </c>
      <c r="D1487">
        <v>0.94953486787042896</v>
      </c>
      <c r="E1487">
        <v>0.72641582020023798</v>
      </c>
      <c r="F1487">
        <v>0.52433356171335399</v>
      </c>
      <c r="G1487">
        <v>0.33903333673338099</v>
      </c>
      <c r="H1487">
        <v>0.142872860214978</v>
      </c>
      <c r="I1487">
        <v>6.6545653747119002E-2</v>
      </c>
      <c r="J1487">
        <v>4.2719704916779698E-2</v>
      </c>
      <c r="K1487">
        <v>3.5750234515563202E-2</v>
      </c>
      <c r="L1487">
        <v>783.571448863706</v>
      </c>
      <c r="M1487">
        <v>14.602721511932399</v>
      </c>
      <c r="N1487">
        <v>53.659276340792601</v>
      </c>
      <c r="O1487">
        <v>52.683105357269298</v>
      </c>
      <c r="P1487">
        <v>-6.9302873536879195E-2</v>
      </c>
      <c r="Q1487">
        <v>0</v>
      </c>
      <c r="R1487">
        <v>0.99736373320395399</v>
      </c>
      <c r="S1487" t="s">
        <v>6227</v>
      </c>
      <c r="T1487" t="s">
        <v>9478</v>
      </c>
      <c r="U1487" t="s">
        <v>9478</v>
      </c>
      <c r="V1487" t="s">
        <v>9478</v>
      </c>
      <c r="W1487">
        <v>3</v>
      </c>
      <c r="X1487" t="s">
        <v>10965</v>
      </c>
      <c r="Y1487">
        <v>0.47691803350865208</v>
      </c>
      <c r="Z1487" t="str">
        <f>HYPERLINK("Melting_Curves/meltCurve_sp_P61247_RS3A_HUMAN_.pdf", "Melting_Curves/meltCurve_sp_P61247_RS3A_HUMAN_.pdf")</f>
        <v>Melting_Curves/meltCurve_sp_P61247_RS3A_HUMAN_.pdf</v>
      </c>
      <c r="AA1487" t="s">
        <v>15679</v>
      </c>
      <c r="AB1487" t="s">
        <v>20321</v>
      </c>
    </row>
    <row r="1488" spans="1:28" x14ac:dyDescent="0.25">
      <c r="A1488" t="s">
        <v>1492</v>
      </c>
      <c r="B1488">
        <v>0.99904790336628502</v>
      </c>
      <c r="C1488">
        <v>0.96822508336257496</v>
      </c>
      <c r="D1488">
        <v>0.98899175723348598</v>
      </c>
      <c r="E1488">
        <v>0.90141157401348104</v>
      </c>
      <c r="F1488">
        <v>0.64626490886278098</v>
      </c>
      <c r="G1488">
        <v>0.45450364136480098</v>
      </c>
      <c r="H1488">
        <v>0.34640697539196103</v>
      </c>
      <c r="I1488">
        <v>0.30516276399204501</v>
      </c>
      <c r="J1488">
        <v>0.28256962212672398</v>
      </c>
      <c r="K1488">
        <v>0.17926684360339501</v>
      </c>
      <c r="L1488">
        <v>954.65139689153898</v>
      </c>
      <c r="M1488">
        <v>17.6127366479122</v>
      </c>
      <c r="N1488">
        <v>56.150686597163201</v>
      </c>
      <c r="O1488">
        <v>53.518055088787698</v>
      </c>
      <c r="P1488">
        <v>-6.3467346821163007E-2</v>
      </c>
      <c r="Q1488">
        <v>0.22863375181867299</v>
      </c>
      <c r="R1488">
        <v>0.98878902718251305</v>
      </c>
      <c r="S1488" t="s">
        <v>6228</v>
      </c>
      <c r="T1488" t="s">
        <v>9478</v>
      </c>
      <c r="U1488" t="s">
        <v>9478</v>
      </c>
      <c r="V1488" t="s">
        <v>9478</v>
      </c>
      <c r="W1488">
        <v>9</v>
      </c>
      <c r="X1488" t="s">
        <v>10966</v>
      </c>
      <c r="Y1488">
        <v>0.606468677997274</v>
      </c>
      <c r="Z1488" t="str">
        <f>HYPERLINK("Melting_Curves/meltCurve_sp_P61289_PSME3_HUMAN_.pdf", "Melting_Curves/meltCurve_sp_P61289_PSME3_HUMAN_.pdf")</f>
        <v>Melting_Curves/meltCurve_sp_P61289_PSME3_HUMAN_.pdf</v>
      </c>
      <c r="AA1488" t="s">
        <v>15680</v>
      </c>
      <c r="AB1488" t="s">
        <v>20322</v>
      </c>
    </row>
    <row r="1489" spans="1:28" x14ac:dyDescent="0.25">
      <c r="A1489" t="s">
        <v>1493</v>
      </c>
      <c r="B1489">
        <v>0.99904790336628502</v>
      </c>
      <c r="C1489">
        <v>0.99471836900217403</v>
      </c>
      <c r="D1489">
        <v>0.94184518181176802</v>
      </c>
      <c r="E1489">
        <v>0.69712829412948396</v>
      </c>
      <c r="F1489">
        <v>0.29038199735341602</v>
      </c>
      <c r="G1489">
        <v>0.130603978918342</v>
      </c>
      <c r="H1489">
        <v>8.0189280936515298E-2</v>
      </c>
      <c r="I1489">
        <v>5.1105314927252302E-2</v>
      </c>
      <c r="J1489">
        <v>4.7819083534872797E-2</v>
      </c>
      <c r="K1489">
        <v>2.3947890013488099E-2</v>
      </c>
      <c r="L1489">
        <v>1435.38776002909</v>
      </c>
      <c r="M1489">
        <v>28.035261224626499</v>
      </c>
      <c r="N1489">
        <v>51.394282764624101</v>
      </c>
      <c r="O1489">
        <v>50.940996271058097</v>
      </c>
      <c r="P1489">
        <v>-0.13064843425224401</v>
      </c>
      <c r="Q1489">
        <v>5.0438013947333299E-2</v>
      </c>
      <c r="R1489">
        <v>0.99804545981832504</v>
      </c>
      <c r="S1489" t="s">
        <v>6229</v>
      </c>
      <c r="T1489" t="s">
        <v>9478</v>
      </c>
      <c r="U1489" t="s">
        <v>9478</v>
      </c>
      <c r="V1489" t="s">
        <v>9478</v>
      </c>
      <c r="W1489">
        <v>6</v>
      </c>
      <c r="X1489" t="s">
        <v>10967</v>
      </c>
      <c r="Y1489">
        <v>0.41177721163097142</v>
      </c>
      <c r="Z1489" t="str">
        <f>HYPERLINK("Melting_Curves/meltCurve_sp_P61326_MGN_HUMAN_.pdf", "Melting_Curves/meltCurve_sp_P61326_MGN_HUMAN_.pdf")</f>
        <v>Melting_Curves/meltCurve_sp_P61326_MGN_HUMAN_.pdf</v>
      </c>
      <c r="AA1489" t="s">
        <v>15681</v>
      </c>
      <c r="AB1489" t="s">
        <v>20323</v>
      </c>
    </row>
    <row r="1490" spans="1:28" x14ac:dyDescent="0.25">
      <c r="A1490" t="s">
        <v>1494</v>
      </c>
      <c r="B1490">
        <v>0.99904790336628502</v>
      </c>
      <c r="C1490">
        <v>1.14416202957848</v>
      </c>
      <c r="D1490">
        <v>1.08600474806541</v>
      </c>
      <c r="E1490">
        <v>1.1626547737018</v>
      </c>
      <c r="F1490">
        <v>0.82505974902090595</v>
      </c>
      <c r="G1490">
        <v>0.96072726338542702</v>
      </c>
      <c r="H1490">
        <v>0.49178000261319399</v>
      </c>
      <c r="I1490">
        <v>0.3447603084493</v>
      </c>
      <c r="J1490">
        <v>0.28682865421964099</v>
      </c>
      <c r="K1490">
        <v>0.250634172966123</v>
      </c>
      <c r="L1490">
        <v>2693.4704770418698</v>
      </c>
      <c r="M1490">
        <v>44.9150588647585</v>
      </c>
      <c r="N1490">
        <v>61.052672133668203</v>
      </c>
      <c r="O1490">
        <v>59.849584701920101</v>
      </c>
      <c r="P1490">
        <v>-0.13604765404178901</v>
      </c>
      <c r="Q1490">
        <v>0.27486373090511002</v>
      </c>
      <c r="R1490">
        <v>0.93018316738967899</v>
      </c>
      <c r="S1490" t="s">
        <v>6230</v>
      </c>
      <c r="T1490" t="s">
        <v>9478</v>
      </c>
      <c r="U1490" t="s">
        <v>9478</v>
      </c>
      <c r="V1490" t="s">
        <v>9478</v>
      </c>
      <c r="W1490">
        <v>8</v>
      </c>
      <c r="X1490" t="s">
        <v>10968</v>
      </c>
      <c r="Y1490">
        <v>0.7598226307057695</v>
      </c>
      <c r="Z1490" t="str">
        <f>HYPERLINK("Melting_Curves/meltCurve_sp_P61457_PHS_HUMAN_.pdf", "Melting_Curves/meltCurve_sp_P61457_PHS_HUMAN_.pdf")</f>
        <v>Melting_Curves/meltCurve_sp_P61457_PHS_HUMAN_.pdf</v>
      </c>
      <c r="AA1490" t="s">
        <v>15682</v>
      </c>
      <c r="AB1490" t="s">
        <v>20324</v>
      </c>
    </row>
    <row r="1491" spans="1:28" x14ac:dyDescent="0.25">
      <c r="A1491" t="s">
        <v>1495</v>
      </c>
      <c r="B1491">
        <v>0.99904790336628502</v>
      </c>
      <c r="C1491">
        <v>0.875505957159048</v>
      </c>
      <c r="D1491">
        <v>0.74419579693487203</v>
      </c>
      <c r="E1491">
        <v>0.47466429736551402</v>
      </c>
      <c r="F1491">
        <v>0.24238806952713299</v>
      </c>
      <c r="G1491">
        <v>0.13049239434739901</v>
      </c>
      <c r="H1491">
        <v>9.4182024853642604E-2</v>
      </c>
      <c r="I1491">
        <v>6.7410143316758694E-2</v>
      </c>
      <c r="J1491">
        <v>6.2211039541605499E-2</v>
      </c>
      <c r="K1491">
        <v>4.4806928168761799E-2</v>
      </c>
      <c r="L1491">
        <v>760.96640480379995</v>
      </c>
      <c r="M1491">
        <v>15.5286643994081</v>
      </c>
      <c r="N1491">
        <v>49.2750329629745</v>
      </c>
      <c r="O1491">
        <v>48.212889872070299</v>
      </c>
      <c r="P1491">
        <v>-7.7231886347902304E-2</v>
      </c>
      <c r="Q1491">
        <v>4.0936438081705703E-2</v>
      </c>
      <c r="R1491">
        <v>0.99735661535694797</v>
      </c>
      <c r="S1491" t="s">
        <v>6231</v>
      </c>
      <c r="T1491" t="s">
        <v>9478</v>
      </c>
      <c r="U1491" t="s">
        <v>9478</v>
      </c>
      <c r="V1491" t="s">
        <v>9478</v>
      </c>
      <c r="W1491">
        <v>12</v>
      </c>
      <c r="X1491" t="s">
        <v>10969</v>
      </c>
      <c r="Y1491">
        <v>0.35094702189461657</v>
      </c>
      <c r="Z1491" t="str">
        <f>HYPERLINK("Melting_Curves/meltCurve_sp_P61586_RHOA_HUMAN_.pdf", "Melting_Curves/meltCurve_sp_P61586_RHOA_HUMAN_.pdf")</f>
        <v>Melting_Curves/meltCurve_sp_P61586_RHOA_HUMAN_.pdf</v>
      </c>
      <c r="AA1491" t="s">
        <v>15683</v>
      </c>
      <c r="AB1491" t="s">
        <v>20325</v>
      </c>
    </row>
    <row r="1492" spans="1:28" x14ac:dyDescent="0.25">
      <c r="A1492" t="s">
        <v>1496</v>
      </c>
      <c r="B1492">
        <v>0.99904790336628502</v>
      </c>
      <c r="C1492">
        <v>0.953034829013232</v>
      </c>
      <c r="D1492">
        <v>1.0180059473699401</v>
      </c>
      <c r="E1492">
        <v>0.975873363733476</v>
      </c>
      <c r="F1492">
        <v>1.0218751116917999</v>
      </c>
      <c r="G1492">
        <v>0.80079603382283204</v>
      </c>
      <c r="H1492">
        <v>0.775755497386313</v>
      </c>
      <c r="I1492">
        <v>0.77132391505322095</v>
      </c>
      <c r="J1492">
        <v>0.81964591893862904</v>
      </c>
      <c r="K1492">
        <v>0.67050093102925501</v>
      </c>
      <c r="L1492">
        <v>14160.57330665</v>
      </c>
      <c r="M1492">
        <v>250</v>
      </c>
      <c r="O1492">
        <v>56.638668801990299</v>
      </c>
      <c r="P1492">
        <v>-0.26560193279363398</v>
      </c>
      <c r="Q1492">
        <v>0.75930656310967704</v>
      </c>
      <c r="R1492">
        <v>0.89239002559195002</v>
      </c>
      <c r="S1492" t="s">
        <v>6232</v>
      </c>
      <c r="T1492" t="s">
        <v>9478</v>
      </c>
      <c r="U1492" t="s">
        <v>9478</v>
      </c>
      <c r="V1492" t="s">
        <v>9478</v>
      </c>
      <c r="W1492">
        <v>16</v>
      </c>
      <c r="X1492" t="s">
        <v>10970</v>
      </c>
      <c r="Y1492">
        <v>0.89285351471226759</v>
      </c>
      <c r="Z1492" t="str">
        <f>HYPERLINK("Melting_Curves/meltCurve_sp_P61604_CH10_HUMAN_.pdf", "Melting_Curves/meltCurve_sp_P61604_CH10_HUMAN_.pdf")</f>
        <v>Melting_Curves/meltCurve_sp_P61604_CH10_HUMAN_.pdf</v>
      </c>
      <c r="AA1492" t="s">
        <v>15684</v>
      </c>
      <c r="AB1492" t="s">
        <v>20326</v>
      </c>
    </row>
    <row r="1493" spans="1:28" x14ac:dyDescent="0.25">
      <c r="A1493" t="s">
        <v>1497</v>
      </c>
      <c r="B1493">
        <v>0.99904790336628502</v>
      </c>
      <c r="C1493">
        <v>1.05345376408236</v>
      </c>
      <c r="D1493">
        <v>1.0540800877541401</v>
      </c>
      <c r="E1493">
        <v>1.02843217918917</v>
      </c>
      <c r="F1493">
        <v>0.88982424901832302</v>
      </c>
      <c r="G1493">
        <v>0.80489881126669305</v>
      </c>
      <c r="H1493">
        <v>0.59517061955984296</v>
      </c>
      <c r="I1493">
        <v>0.49321911475804298</v>
      </c>
      <c r="J1493">
        <v>0.475383675832594</v>
      </c>
      <c r="K1493">
        <v>0.40484738916872798</v>
      </c>
      <c r="L1493">
        <v>1120.4491944050101</v>
      </c>
      <c r="M1493">
        <v>19.0251209141217</v>
      </c>
      <c r="N1493">
        <v>64.097105813986602</v>
      </c>
      <c r="O1493">
        <v>58.254049714442203</v>
      </c>
      <c r="P1493">
        <v>-4.9537004055734003E-2</v>
      </c>
      <c r="Q1493">
        <v>0.39330390051448499</v>
      </c>
      <c r="R1493">
        <v>0.98092973174654496</v>
      </c>
      <c r="S1493" t="s">
        <v>6233</v>
      </c>
      <c r="T1493" t="s">
        <v>9478</v>
      </c>
      <c r="U1493" t="s">
        <v>9478</v>
      </c>
      <c r="V1493" t="s">
        <v>9478</v>
      </c>
      <c r="W1493">
        <v>8</v>
      </c>
      <c r="X1493" t="s">
        <v>10971</v>
      </c>
      <c r="Y1493">
        <v>0.78177672923531938</v>
      </c>
      <c r="Z1493" t="str">
        <f>HYPERLINK("Melting_Curves/meltCurve_sp_P61758_PFD3_HUMAN_.pdf", "Melting_Curves/meltCurve_sp_P61758_PFD3_HUMAN_.pdf")</f>
        <v>Melting_Curves/meltCurve_sp_P61758_PFD3_HUMAN_.pdf</v>
      </c>
      <c r="AA1493" t="s">
        <v>15685</v>
      </c>
      <c r="AB1493" t="s">
        <v>20327</v>
      </c>
    </row>
    <row r="1494" spans="1:28" x14ac:dyDescent="0.25">
      <c r="A1494" t="s">
        <v>1498</v>
      </c>
      <c r="B1494">
        <v>0.99904790336628502</v>
      </c>
      <c r="C1494">
        <v>1.1550925049784999</v>
      </c>
      <c r="D1494">
        <v>1.31987174105371</v>
      </c>
      <c r="E1494">
        <v>1.1997210278212</v>
      </c>
      <c r="F1494">
        <v>0.67494897571316603</v>
      </c>
      <c r="G1494">
        <v>0.59548061736643099</v>
      </c>
      <c r="H1494">
        <v>0.61899017396624501</v>
      </c>
      <c r="I1494">
        <v>0.30828078818124199</v>
      </c>
      <c r="J1494">
        <v>7.5505301007595199E-2</v>
      </c>
      <c r="K1494">
        <v>3.2978409783569897E-2</v>
      </c>
      <c r="L1494">
        <v>937.40362231125096</v>
      </c>
      <c r="M1494">
        <v>15.5963019088252</v>
      </c>
      <c r="N1494">
        <v>60.104224045093098</v>
      </c>
      <c r="O1494">
        <v>59.142109202601603</v>
      </c>
      <c r="P1494">
        <v>-6.5932946004936793E-2</v>
      </c>
      <c r="Q1494">
        <v>0</v>
      </c>
      <c r="R1494">
        <v>0.84913314288223696</v>
      </c>
      <c r="S1494" t="s">
        <v>6234</v>
      </c>
      <c r="T1494" t="s">
        <v>9478</v>
      </c>
      <c r="U1494" t="s">
        <v>9478</v>
      </c>
      <c r="V1494" t="s">
        <v>9478</v>
      </c>
      <c r="W1494">
        <v>7</v>
      </c>
      <c r="X1494" t="s">
        <v>10972</v>
      </c>
      <c r="Y1494">
        <v>0.67707832249263411</v>
      </c>
      <c r="Z1494" t="str">
        <f>HYPERLINK("Melting_Curves/meltCurve_sp_P61923_COPZ1_HUMAN_.pdf", "Melting_Curves/meltCurve_sp_P61923_COPZ1_HUMAN_.pdf")</f>
        <v>Melting_Curves/meltCurve_sp_P61923_COPZ1_HUMAN_.pdf</v>
      </c>
      <c r="AA1494" t="s">
        <v>15686</v>
      </c>
      <c r="AB1494" t="s">
        <v>20328</v>
      </c>
    </row>
    <row r="1495" spans="1:28" x14ac:dyDescent="0.25">
      <c r="A1495" t="s">
        <v>1499</v>
      </c>
      <c r="B1495">
        <v>0.99904790336628502</v>
      </c>
      <c r="C1495">
        <v>0.93918951576991205</v>
      </c>
      <c r="D1495">
        <v>0.95364801167861901</v>
      </c>
      <c r="E1495">
        <v>0.86684305419513696</v>
      </c>
      <c r="F1495">
        <v>0.95327830995741403</v>
      </c>
      <c r="G1495">
        <v>0.75241388626207295</v>
      </c>
      <c r="H1495">
        <v>0.71378542421342905</v>
      </c>
      <c r="I1495">
        <v>0.68364409660733805</v>
      </c>
      <c r="J1495">
        <v>0.73301730036736501</v>
      </c>
      <c r="K1495">
        <v>0.76895506981142303</v>
      </c>
      <c r="L1495">
        <v>695.08245022526501</v>
      </c>
      <c r="M1495">
        <v>13.0937712093806</v>
      </c>
      <c r="O1495">
        <v>51.892553247587202</v>
      </c>
      <c r="P1495">
        <v>-1.8783741355097399E-2</v>
      </c>
      <c r="Q1495">
        <v>0.70228015836899704</v>
      </c>
      <c r="R1495">
        <v>0.82424024384629202</v>
      </c>
      <c r="S1495" t="s">
        <v>6235</v>
      </c>
      <c r="T1495" t="s">
        <v>9478</v>
      </c>
      <c r="U1495" t="s">
        <v>9478</v>
      </c>
      <c r="V1495" t="s">
        <v>9478</v>
      </c>
      <c r="W1495">
        <v>3</v>
      </c>
      <c r="X1495" t="s">
        <v>10973</v>
      </c>
      <c r="Y1495">
        <v>0.83974758059840704</v>
      </c>
      <c r="Z1495" t="str">
        <f>HYPERLINK("Melting_Curves/meltCurve_sp_P61956_2_SUMO2_HUMAN_.pdf", "Melting_Curves/meltCurve_sp_P61956_2_SUMO2_HUMAN_.pdf")</f>
        <v>Melting_Curves/meltCurve_sp_P61956_2_SUMO2_HUMAN_.pdf</v>
      </c>
      <c r="AA1495" t="s">
        <v>15687</v>
      </c>
      <c r="AB1495" t="s">
        <v>20329</v>
      </c>
    </row>
    <row r="1496" spans="1:28" x14ac:dyDescent="0.25">
      <c r="A1496" t="s">
        <v>1500</v>
      </c>
      <c r="B1496">
        <v>0.99904790336628502</v>
      </c>
      <c r="C1496">
        <v>1.04007223070851</v>
      </c>
      <c r="D1496">
        <v>1.0650985207082599</v>
      </c>
      <c r="E1496">
        <v>0.854333190839485</v>
      </c>
      <c r="F1496">
        <v>0.63580642540440702</v>
      </c>
      <c r="G1496">
        <v>0.38433053941136502</v>
      </c>
      <c r="H1496">
        <v>0.24072332751011999</v>
      </c>
      <c r="I1496">
        <v>0.17993899679886899</v>
      </c>
      <c r="J1496">
        <v>0.127223288157228</v>
      </c>
      <c r="K1496">
        <v>9.0967113297454605E-2</v>
      </c>
      <c r="L1496">
        <v>1014.42793019932</v>
      </c>
      <c r="M1496">
        <v>18.626693550409399</v>
      </c>
      <c r="N1496">
        <v>55.180004119050899</v>
      </c>
      <c r="O1496">
        <v>53.844903841725802</v>
      </c>
      <c r="P1496">
        <v>-7.7167581633175594E-2</v>
      </c>
      <c r="Q1496">
        <v>0.107753193083664</v>
      </c>
      <c r="R1496">
        <v>0.990493365446936</v>
      </c>
      <c r="S1496" t="s">
        <v>6236</v>
      </c>
      <c r="T1496" t="s">
        <v>9478</v>
      </c>
      <c r="U1496" t="s">
        <v>9478</v>
      </c>
      <c r="V1496" t="s">
        <v>9478</v>
      </c>
      <c r="W1496">
        <v>4</v>
      </c>
      <c r="X1496" t="s">
        <v>10974</v>
      </c>
      <c r="Y1496">
        <v>0.55124271158325355</v>
      </c>
      <c r="Z1496" t="str">
        <f>HYPERLINK("Melting_Curves/meltCurve_sp_P61962_DCAF7_HUMAN_.pdf", "Melting_Curves/meltCurve_sp_P61962_DCAF7_HUMAN_.pdf")</f>
        <v>Melting_Curves/meltCurve_sp_P61962_DCAF7_HUMAN_.pdf</v>
      </c>
      <c r="AA1496" t="s">
        <v>15688</v>
      </c>
      <c r="AB1496" t="s">
        <v>20330</v>
      </c>
    </row>
    <row r="1497" spans="1:28" x14ac:dyDescent="0.25">
      <c r="A1497" t="s">
        <v>1501</v>
      </c>
      <c r="B1497">
        <v>0.99904790336628502</v>
      </c>
      <c r="C1497">
        <v>1.0186727017931601</v>
      </c>
      <c r="D1497">
        <v>1.0085981200981899</v>
      </c>
      <c r="E1497">
        <v>0.92220485565431298</v>
      </c>
      <c r="F1497">
        <v>0.758118559843171</v>
      </c>
      <c r="G1497">
        <v>0.55044827148112896</v>
      </c>
      <c r="H1497">
        <v>0.37069071021607702</v>
      </c>
      <c r="I1497">
        <v>0.260048302180998</v>
      </c>
      <c r="J1497">
        <v>0.14900015893254101</v>
      </c>
      <c r="K1497">
        <v>9.9140371538019703E-2</v>
      </c>
      <c r="L1497">
        <v>776.96299206267099</v>
      </c>
      <c r="M1497">
        <v>13.390976321207599</v>
      </c>
      <c r="N1497">
        <v>58.1933592496963</v>
      </c>
      <c r="O1497">
        <v>56.773266047972797</v>
      </c>
      <c r="P1497">
        <v>-5.7832039214101703E-2</v>
      </c>
      <c r="Q1497">
        <v>1.9400251294438699E-2</v>
      </c>
      <c r="R1497">
        <v>0.99621563761193599</v>
      </c>
      <c r="S1497" t="s">
        <v>6237</v>
      </c>
      <c r="T1497" t="s">
        <v>9478</v>
      </c>
      <c r="U1497" t="s">
        <v>9478</v>
      </c>
      <c r="V1497" t="s">
        <v>9478</v>
      </c>
      <c r="W1497">
        <v>6</v>
      </c>
      <c r="X1497" t="s">
        <v>10975</v>
      </c>
      <c r="Y1497">
        <v>0.62152019494880972</v>
      </c>
      <c r="Z1497" t="str">
        <f>HYPERLINK("Melting_Curves/meltCurve_sp_P61964_WDR5_HUMAN_.pdf", "Melting_Curves/meltCurve_sp_P61964_WDR5_HUMAN_.pdf")</f>
        <v>Melting_Curves/meltCurve_sp_P61964_WDR5_HUMAN_.pdf</v>
      </c>
      <c r="AA1497" t="s">
        <v>15689</v>
      </c>
      <c r="AB1497" t="s">
        <v>20331</v>
      </c>
    </row>
    <row r="1498" spans="1:28" x14ac:dyDescent="0.25">
      <c r="A1498" t="s">
        <v>1502</v>
      </c>
      <c r="B1498">
        <v>0.99904790336628502</v>
      </c>
      <c r="C1498">
        <v>0.868335515402759</v>
      </c>
      <c r="D1498">
        <v>0.94265310450420503</v>
      </c>
      <c r="E1498">
        <v>0.84048800022023096</v>
      </c>
      <c r="F1498">
        <v>0.58731227377773099</v>
      </c>
      <c r="G1498">
        <v>0.29590834975164299</v>
      </c>
      <c r="H1498">
        <v>8.9856737886368498E-2</v>
      </c>
      <c r="I1498">
        <v>3.2804842965465701E-2</v>
      </c>
      <c r="J1498">
        <v>1.8742766139780102E-2</v>
      </c>
      <c r="K1498">
        <v>8.1127787175107203E-3</v>
      </c>
      <c r="L1498">
        <v>1014.05995348695</v>
      </c>
      <c r="M1498">
        <v>18.7482764990642</v>
      </c>
      <c r="N1498">
        <v>54.088169482189301</v>
      </c>
      <c r="O1498">
        <v>53.484077614386599</v>
      </c>
      <c r="P1498">
        <v>-8.7638531878018303E-2</v>
      </c>
      <c r="Q1498">
        <v>0</v>
      </c>
      <c r="R1498">
        <v>0.989117080973556</v>
      </c>
      <c r="S1498" t="s">
        <v>6238</v>
      </c>
      <c r="T1498" t="s">
        <v>9478</v>
      </c>
      <c r="U1498" t="s">
        <v>9478</v>
      </c>
      <c r="V1498" t="s">
        <v>9478</v>
      </c>
      <c r="W1498">
        <v>4</v>
      </c>
      <c r="X1498" t="s">
        <v>10976</v>
      </c>
      <c r="Y1498">
        <v>0.48462059737851632</v>
      </c>
      <c r="Z1498" t="str">
        <f>HYPERLINK("Melting_Curves/meltCurve_sp_P61966_AP1S1_HUMAN_.pdf", "Melting_Curves/meltCurve_sp_P61966_AP1S1_HUMAN_.pdf")</f>
        <v>Melting_Curves/meltCurve_sp_P61966_AP1S1_HUMAN_.pdf</v>
      </c>
      <c r="AA1498" t="s">
        <v>15690</v>
      </c>
      <c r="AB1498" t="s">
        <v>20332</v>
      </c>
    </row>
    <row r="1499" spans="1:28" x14ac:dyDescent="0.25">
      <c r="A1499" t="s">
        <v>1503</v>
      </c>
      <c r="B1499">
        <v>0.99904790336628502</v>
      </c>
      <c r="C1499">
        <v>0.93256512653774704</v>
      </c>
      <c r="D1499">
        <v>0.91214322302871298</v>
      </c>
      <c r="E1499">
        <v>0.91791499461075798</v>
      </c>
      <c r="F1499">
        <v>0.87502887336871304</v>
      </c>
      <c r="G1499">
        <v>0.77581044394134102</v>
      </c>
      <c r="H1499">
        <v>0.60020125963742199</v>
      </c>
      <c r="I1499">
        <v>0.44748386390454897</v>
      </c>
      <c r="J1499">
        <v>0.28943347322992602</v>
      </c>
      <c r="K1499">
        <v>0.15510237869048499</v>
      </c>
      <c r="L1499">
        <v>777.05291313759005</v>
      </c>
      <c r="M1499">
        <v>12.452708784173</v>
      </c>
      <c r="N1499">
        <v>62.400312007321702</v>
      </c>
      <c r="O1499">
        <v>60.856642648801298</v>
      </c>
      <c r="P1499">
        <v>-5.1166588918901301E-2</v>
      </c>
      <c r="Q1499">
        <v>0</v>
      </c>
      <c r="R1499">
        <v>0.97994044495806398</v>
      </c>
      <c r="S1499" t="s">
        <v>6239</v>
      </c>
      <c r="T1499" t="s">
        <v>9478</v>
      </c>
      <c r="U1499" t="s">
        <v>9478</v>
      </c>
      <c r="V1499" t="s">
        <v>9478</v>
      </c>
      <c r="W1499">
        <v>4</v>
      </c>
      <c r="X1499" t="s">
        <v>10977</v>
      </c>
      <c r="Y1499">
        <v>0.73393070533508298</v>
      </c>
      <c r="Z1499" t="str">
        <f>HYPERLINK("Melting_Curves/meltCurve_sp_P61970_NTF2_HUMAN_.pdf", "Melting_Curves/meltCurve_sp_P61970_NTF2_HUMAN_.pdf")</f>
        <v>Melting_Curves/meltCurve_sp_P61970_NTF2_HUMAN_.pdf</v>
      </c>
      <c r="AA1499" t="s">
        <v>15691</v>
      </c>
      <c r="AB1499" t="s">
        <v>20333</v>
      </c>
    </row>
    <row r="1500" spans="1:28" x14ac:dyDescent="0.25">
      <c r="A1500" t="s">
        <v>1504</v>
      </c>
      <c r="B1500">
        <v>0.99904790336628502</v>
      </c>
      <c r="C1500">
        <v>1.04163882878306</v>
      </c>
      <c r="D1500">
        <v>0.95664775532827595</v>
      </c>
      <c r="E1500">
        <v>0.94886574892291997</v>
      </c>
      <c r="F1500">
        <v>0.93809859204770096</v>
      </c>
      <c r="G1500">
        <v>0.68155760012439504</v>
      </c>
      <c r="H1500">
        <v>0.554825360721375</v>
      </c>
      <c r="I1500">
        <v>0.49627772173859902</v>
      </c>
      <c r="J1500">
        <v>0.49767454960526503</v>
      </c>
      <c r="K1500">
        <v>0.46643542575799002</v>
      </c>
      <c r="L1500">
        <v>1443.9949789310999</v>
      </c>
      <c r="M1500">
        <v>25.651518636711501</v>
      </c>
      <c r="N1500">
        <v>64.014507766981296</v>
      </c>
      <c r="O1500">
        <v>55.953988079557</v>
      </c>
      <c r="P1500">
        <v>-5.9902173889282199E-2</v>
      </c>
      <c r="Q1500">
        <v>0.47734479524981399</v>
      </c>
      <c r="R1500">
        <v>0.98842604248053401</v>
      </c>
      <c r="S1500" t="s">
        <v>6240</v>
      </c>
      <c r="T1500" t="s">
        <v>9478</v>
      </c>
      <c r="U1500" t="s">
        <v>9478</v>
      </c>
      <c r="V1500" t="s">
        <v>9478</v>
      </c>
      <c r="W1500">
        <v>24</v>
      </c>
      <c r="X1500" t="s">
        <v>10978</v>
      </c>
      <c r="Y1500">
        <v>0.76577448402243742</v>
      </c>
      <c r="Z1500" t="str">
        <f>HYPERLINK("Melting_Curves/meltCurve_sp_P61978_3_HNRPK_HUMAN_.pdf", "Melting_Curves/meltCurve_sp_P61978_3_HNRPK_HUMAN_.pdf")</f>
        <v>Melting_Curves/meltCurve_sp_P61978_3_HNRPK_HUMAN_.pdf</v>
      </c>
      <c r="AA1500" t="s">
        <v>15692</v>
      </c>
      <c r="AB1500" t="s">
        <v>20334</v>
      </c>
    </row>
    <row r="1501" spans="1:28" x14ac:dyDescent="0.25">
      <c r="A1501" t="s">
        <v>1505</v>
      </c>
      <c r="B1501">
        <v>0.99904790336628502</v>
      </c>
      <c r="C1501">
        <v>1.0105010433869399</v>
      </c>
      <c r="D1501">
        <v>1.0382413371886801</v>
      </c>
      <c r="E1501">
        <v>1.0253684805699601</v>
      </c>
      <c r="F1501">
        <v>1.07322315165409</v>
      </c>
      <c r="G1501">
        <v>0.86866241307051295</v>
      </c>
      <c r="H1501">
        <v>0.49243929032022998</v>
      </c>
      <c r="I1501">
        <v>0.21772923890960499</v>
      </c>
      <c r="J1501">
        <v>8.97525720027047E-2</v>
      </c>
      <c r="K1501">
        <v>5.4417020413652699E-2</v>
      </c>
      <c r="L1501">
        <v>1839.0676293653801</v>
      </c>
      <c r="M1501">
        <v>30.259351054932502</v>
      </c>
      <c r="N1501">
        <v>60.938353101202502</v>
      </c>
      <c r="O1501">
        <v>60.513227037331703</v>
      </c>
      <c r="P1501">
        <v>-0.120194701231849</v>
      </c>
      <c r="Q1501">
        <v>3.8535152794526302E-2</v>
      </c>
      <c r="R1501">
        <v>0.99402151467210897</v>
      </c>
      <c r="S1501" t="s">
        <v>6241</v>
      </c>
      <c r="T1501" t="s">
        <v>9478</v>
      </c>
      <c r="U1501" t="s">
        <v>9478</v>
      </c>
      <c r="V1501" t="s">
        <v>9478</v>
      </c>
      <c r="W1501">
        <v>19</v>
      </c>
      <c r="X1501" t="s">
        <v>10979</v>
      </c>
      <c r="Y1501">
        <v>0.70981002821317507</v>
      </c>
      <c r="Z1501" t="str">
        <f>HYPERLINK("Melting_Curves/meltCurve_sp_P61981_1433G_HUMAN_.pdf", "Melting_Curves/meltCurve_sp_P61981_1433G_HUMAN_.pdf")</f>
        <v>Melting_Curves/meltCurve_sp_P61981_1433G_HUMAN_.pdf</v>
      </c>
      <c r="AA1501" t="s">
        <v>15693</v>
      </c>
      <c r="AB1501" t="s">
        <v>20335</v>
      </c>
    </row>
    <row r="1502" spans="1:28" x14ac:dyDescent="0.25">
      <c r="A1502" t="s">
        <v>1506</v>
      </c>
      <c r="B1502">
        <v>0.99904790336628502</v>
      </c>
      <c r="C1502">
        <v>0.80440729961999702</v>
      </c>
      <c r="D1502">
        <v>0.58223055697964199</v>
      </c>
      <c r="E1502">
        <v>0.37543811312279302</v>
      </c>
      <c r="F1502">
        <v>0.25625765751705898</v>
      </c>
      <c r="G1502">
        <v>0.13652827980040699</v>
      </c>
      <c r="H1502">
        <v>6.24329916441098E-2</v>
      </c>
      <c r="I1502">
        <v>3.9647318701370199E-2</v>
      </c>
      <c r="J1502">
        <v>3.5144120554893403E-2</v>
      </c>
      <c r="K1502">
        <v>2.4681356216909599E-2</v>
      </c>
      <c r="L1502">
        <v>611.132248134919</v>
      </c>
      <c r="M1502">
        <v>12.791852011621</v>
      </c>
      <c r="N1502">
        <v>47.869785530364503</v>
      </c>
      <c r="O1502">
        <v>46.652702393122503</v>
      </c>
      <c r="P1502">
        <v>-6.7704881051660407E-2</v>
      </c>
      <c r="Q1502">
        <v>1.24896439776471E-2</v>
      </c>
      <c r="R1502">
        <v>0.99226727614009902</v>
      </c>
      <c r="S1502" t="s">
        <v>6242</v>
      </c>
      <c r="T1502" t="s">
        <v>9478</v>
      </c>
      <c r="U1502" t="s">
        <v>9478</v>
      </c>
      <c r="V1502" t="s">
        <v>9478</v>
      </c>
      <c r="W1502">
        <v>7</v>
      </c>
      <c r="X1502" t="s">
        <v>10980</v>
      </c>
      <c r="Y1502">
        <v>0.30335145108459433</v>
      </c>
      <c r="Z1502" t="str">
        <f>HYPERLINK("Melting_Curves/meltCurve_sp_P62070_RRAS2_HUMAN_.pdf", "Melting_Curves/meltCurve_sp_P62070_RRAS2_HUMAN_.pdf")</f>
        <v>Melting_Curves/meltCurve_sp_P62070_RRAS2_HUMAN_.pdf</v>
      </c>
      <c r="AA1502" t="s">
        <v>15694</v>
      </c>
      <c r="AB1502" t="s">
        <v>20336</v>
      </c>
    </row>
    <row r="1503" spans="1:28" x14ac:dyDescent="0.25">
      <c r="A1503" t="s">
        <v>1507</v>
      </c>
      <c r="B1503">
        <v>0.99904790336628502</v>
      </c>
      <c r="C1503">
        <v>0.94635352430996</v>
      </c>
      <c r="D1503">
        <v>0.98129755878219005</v>
      </c>
      <c r="E1503">
        <v>0.85953440581687501</v>
      </c>
      <c r="F1503">
        <v>0.87890483500355199</v>
      </c>
      <c r="G1503">
        <v>0.70187584616742005</v>
      </c>
      <c r="H1503">
        <v>0.61876232881325099</v>
      </c>
      <c r="I1503">
        <v>0.54198559222562104</v>
      </c>
      <c r="J1503">
        <v>0.56297541042546195</v>
      </c>
      <c r="K1503">
        <v>0.56584362635905205</v>
      </c>
      <c r="L1503">
        <v>745.50975948783605</v>
      </c>
      <c r="M1503">
        <v>13.484935870491199</v>
      </c>
      <c r="O1503">
        <v>54.111324543735499</v>
      </c>
      <c r="P1503">
        <v>-3.02729364809931E-2</v>
      </c>
      <c r="Q1503">
        <v>0.51416667448324105</v>
      </c>
      <c r="R1503">
        <v>0.97033195977190301</v>
      </c>
      <c r="S1503" t="s">
        <v>6243</v>
      </c>
      <c r="T1503" t="s">
        <v>9478</v>
      </c>
      <c r="U1503" t="s">
        <v>9478</v>
      </c>
      <c r="V1503" t="s">
        <v>9478</v>
      </c>
      <c r="W1503">
        <v>5</v>
      </c>
      <c r="X1503" t="s">
        <v>10981</v>
      </c>
      <c r="Y1503">
        <v>0.77180203913840439</v>
      </c>
      <c r="Z1503" t="str">
        <f>HYPERLINK("Melting_Curves/meltCurve_sp_P62072_TIM10_HUMAN_.pdf", "Melting_Curves/meltCurve_sp_P62072_TIM10_HUMAN_.pdf")</f>
        <v>Melting_Curves/meltCurve_sp_P62072_TIM10_HUMAN_.pdf</v>
      </c>
      <c r="AA1503" t="s">
        <v>15695</v>
      </c>
      <c r="AB1503" t="s">
        <v>20337</v>
      </c>
    </row>
    <row r="1504" spans="1:28" x14ac:dyDescent="0.25">
      <c r="A1504" t="s">
        <v>1508</v>
      </c>
      <c r="B1504">
        <v>0.99904790336628502</v>
      </c>
      <c r="C1504">
        <v>0.92636249005689697</v>
      </c>
      <c r="D1504">
        <v>0.86002806317723601</v>
      </c>
      <c r="E1504">
        <v>0.68375468795329597</v>
      </c>
      <c r="F1504">
        <v>0.49768700359260498</v>
      </c>
      <c r="G1504">
        <v>0.322571582862758</v>
      </c>
      <c r="H1504">
        <v>0.158823098359065</v>
      </c>
      <c r="I1504">
        <v>9.7260541150827107E-2</v>
      </c>
      <c r="J1504">
        <v>5.5003881881033702E-2</v>
      </c>
      <c r="K1504">
        <v>4.7332605359851197E-2</v>
      </c>
      <c r="L1504">
        <v>652.34682696685104</v>
      </c>
      <c r="M1504">
        <v>12.299664948793501</v>
      </c>
      <c r="N1504">
        <v>53.037777813497797</v>
      </c>
      <c r="O1504">
        <v>51.694237610000897</v>
      </c>
      <c r="P1504">
        <v>-5.9495797717107599E-2</v>
      </c>
      <c r="Q1504">
        <v>0</v>
      </c>
      <c r="R1504">
        <v>0.99851479430591294</v>
      </c>
      <c r="S1504" t="s">
        <v>6244</v>
      </c>
      <c r="T1504" t="s">
        <v>9478</v>
      </c>
      <c r="U1504" t="s">
        <v>9478</v>
      </c>
      <c r="V1504" t="s">
        <v>9478</v>
      </c>
      <c r="W1504">
        <v>16</v>
      </c>
      <c r="X1504" t="s">
        <v>10982</v>
      </c>
      <c r="Y1504">
        <v>0.46220204859374558</v>
      </c>
      <c r="Z1504" t="str">
        <f>HYPERLINK("Melting_Curves/meltCurve_sp_P62136_PP1A_HUMAN_.pdf", "Melting_Curves/meltCurve_sp_P62136_PP1A_HUMAN_.pdf")</f>
        <v>Melting_Curves/meltCurve_sp_P62136_PP1A_HUMAN_.pdf</v>
      </c>
      <c r="AA1504" t="s">
        <v>15696</v>
      </c>
      <c r="AB1504" t="s">
        <v>20338</v>
      </c>
    </row>
    <row r="1505" spans="1:28" x14ac:dyDescent="0.25">
      <c r="A1505" t="s">
        <v>1509</v>
      </c>
      <c r="B1505">
        <v>0.99904790336628502</v>
      </c>
      <c r="C1505">
        <v>0.88007270024823503</v>
      </c>
      <c r="D1505">
        <v>0.85370938085752601</v>
      </c>
      <c r="E1505">
        <v>0.70579536473715798</v>
      </c>
      <c r="F1505">
        <v>0.55760213591182295</v>
      </c>
      <c r="G1505">
        <v>0.305467748886879</v>
      </c>
      <c r="H1505">
        <v>0.129611558635853</v>
      </c>
      <c r="I1505">
        <v>6.3825064551265201E-2</v>
      </c>
      <c r="J1505">
        <v>4.0628891242750299E-2</v>
      </c>
      <c r="K1505">
        <v>4.79053650525205E-2</v>
      </c>
      <c r="L1505">
        <v>698.00863315544302</v>
      </c>
      <c r="M1505">
        <v>13.114559301418501</v>
      </c>
      <c r="N1505">
        <v>53.223952965691801</v>
      </c>
      <c r="O1505">
        <v>52.032057729658703</v>
      </c>
      <c r="P1505">
        <v>-6.3022677754905998E-2</v>
      </c>
      <c r="Q1505">
        <v>0</v>
      </c>
      <c r="R1505">
        <v>0.99084416584227597</v>
      </c>
      <c r="S1505" t="s">
        <v>6245</v>
      </c>
      <c r="T1505" t="s">
        <v>9478</v>
      </c>
      <c r="U1505" t="s">
        <v>9478</v>
      </c>
      <c r="V1505" t="s">
        <v>9478</v>
      </c>
      <c r="W1505">
        <v>14</v>
      </c>
      <c r="X1505" t="s">
        <v>10983</v>
      </c>
      <c r="Y1505">
        <v>0.46608879792819491</v>
      </c>
      <c r="Z1505" t="str">
        <f>HYPERLINK("Melting_Curves/meltCurve_sp_P62140_PP1B_HUMAN_.pdf", "Melting_Curves/meltCurve_sp_P62140_PP1B_HUMAN_.pdf")</f>
        <v>Melting_Curves/meltCurve_sp_P62140_PP1B_HUMAN_.pdf</v>
      </c>
      <c r="AA1505" t="s">
        <v>15697</v>
      </c>
      <c r="AB1505" t="s">
        <v>20339</v>
      </c>
    </row>
    <row r="1506" spans="1:28" x14ac:dyDescent="0.25">
      <c r="A1506" t="s">
        <v>1510</v>
      </c>
      <c r="B1506">
        <v>0.99904790336628502</v>
      </c>
      <c r="C1506">
        <v>1.0747521849345201</v>
      </c>
      <c r="D1506">
        <v>1.0555417124167299</v>
      </c>
      <c r="E1506">
        <v>1.03327825078306</v>
      </c>
      <c r="F1506">
        <v>0.99467336283042296</v>
      </c>
      <c r="G1506">
        <v>0.79973840023613196</v>
      </c>
      <c r="H1506">
        <v>0.68452829106444102</v>
      </c>
      <c r="I1506">
        <v>0.72763789483881702</v>
      </c>
      <c r="J1506">
        <v>0.79252979349702302</v>
      </c>
      <c r="K1506">
        <v>0.77863252372664005</v>
      </c>
      <c r="L1506">
        <v>14175.1944630179</v>
      </c>
      <c r="M1506">
        <v>250</v>
      </c>
      <c r="O1506">
        <v>56.697172580775899</v>
      </c>
      <c r="P1506">
        <v>-0.28018149511308399</v>
      </c>
      <c r="Q1506">
        <v>0.74583212632963003</v>
      </c>
      <c r="R1506">
        <v>0.91565005429865998</v>
      </c>
      <c r="S1506" t="s">
        <v>6246</v>
      </c>
      <c r="T1506" t="s">
        <v>9478</v>
      </c>
      <c r="U1506" t="s">
        <v>9478</v>
      </c>
      <c r="V1506" t="s">
        <v>9478</v>
      </c>
      <c r="W1506">
        <v>11</v>
      </c>
      <c r="X1506" t="s">
        <v>10984</v>
      </c>
      <c r="Y1506">
        <v>0.88735079149290841</v>
      </c>
      <c r="Z1506" t="str">
        <f>HYPERLINK("Melting_Curves/meltCurve_sp_P62158_CALM_HUMAN_.pdf", "Melting_Curves/meltCurve_sp_P62158_CALM_HUMAN_.pdf")</f>
        <v>Melting_Curves/meltCurve_sp_P62158_CALM_HUMAN_.pdf</v>
      </c>
      <c r="AA1506" t="s">
        <v>15698</v>
      </c>
      <c r="AB1506" t="s">
        <v>20340</v>
      </c>
    </row>
    <row r="1507" spans="1:28" x14ac:dyDescent="0.25">
      <c r="A1507" t="s">
        <v>1511</v>
      </c>
      <c r="B1507">
        <v>0.99904790336628502</v>
      </c>
      <c r="C1507">
        <v>0.96871235661185195</v>
      </c>
      <c r="D1507">
        <v>0.82120691101759902</v>
      </c>
      <c r="E1507">
        <v>0.45538441829187298</v>
      </c>
      <c r="F1507">
        <v>0.24014950881323199</v>
      </c>
      <c r="G1507">
        <v>0.120346658328312</v>
      </c>
      <c r="H1507">
        <v>7.2515042719848599E-2</v>
      </c>
      <c r="I1507">
        <v>6.3245341922033904E-2</v>
      </c>
      <c r="J1507">
        <v>5.5993276245422802E-2</v>
      </c>
      <c r="K1507">
        <v>5.4461489503985001E-2</v>
      </c>
      <c r="L1507">
        <v>1009.01463660106</v>
      </c>
      <c r="M1507">
        <v>20.468589196621402</v>
      </c>
      <c r="N1507">
        <v>49.579805560808701</v>
      </c>
      <c r="O1507">
        <v>48.832468000973698</v>
      </c>
      <c r="P1507">
        <v>-9.8995221408233997E-2</v>
      </c>
      <c r="Q1507">
        <v>5.5325729682212797E-2</v>
      </c>
      <c r="R1507">
        <v>0.999777009113475</v>
      </c>
      <c r="S1507" t="s">
        <v>6247</v>
      </c>
      <c r="T1507" t="s">
        <v>9478</v>
      </c>
      <c r="U1507" t="s">
        <v>9478</v>
      </c>
      <c r="V1507" t="s">
        <v>9478</v>
      </c>
      <c r="W1507">
        <v>14</v>
      </c>
      <c r="X1507" t="s">
        <v>10985</v>
      </c>
      <c r="Y1507">
        <v>0.36064090389585918</v>
      </c>
      <c r="Z1507" t="str">
        <f>HYPERLINK("Melting_Curves/meltCurve_sp_P62191_PRS4_HUMAN_.pdf", "Melting_Curves/meltCurve_sp_P62191_PRS4_HUMAN_.pdf")</f>
        <v>Melting_Curves/meltCurve_sp_P62191_PRS4_HUMAN_.pdf</v>
      </c>
      <c r="AA1507" t="s">
        <v>15699</v>
      </c>
      <c r="AB1507" t="s">
        <v>20341</v>
      </c>
    </row>
    <row r="1508" spans="1:28" x14ac:dyDescent="0.25">
      <c r="A1508" t="s">
        <v>1512</v>
      </c>
      <c r="B1508">
        <v>0.99904790336628502</v>
      </c>
      <c r="C1508">
        <v>0.89483805310120701</v>
      </c>
      <c r="D1508">
        <v>0.69228526515089905</v>
      </c>
      <c r="E1508">
        <v>0.37982746508137699</v>
      </c>
      <c r="F1508">
        <v>0.18576246632474899</v>
      </c>
      <c r="G1508">
        <v>0.107384715341518</v>
      </c>
      <c r="H1508">
        <v>6.2676774106425401E-2</v>
      </c>
      <c r="I1508">
        <v>4.1680673467005498E-2</v>
      </c>
      <c r="J1508">
        <v>3.3612360711977603E-2</v>
      </c>
      <c r="K1508">
        <v>3.09410573041024E-2</v>
      </c>
      <c r="L1508">
        <v>826.86840568694299</v>
      </c>
      <c r="M1508">
        <v>17.161502875371799</v>
      </c>
      <c r="N1508">
        <v>48.360484063343797</v>
      </c>
      <c r="O1508">
        <v>47.5416408709848</v>
      </c>
      <c r="P1508">
        <v>-8.7473859729674697E-2</v>
      </c>
      <c r="Q1508">
        <v>3.07601250882917E-2</v>
      </c>
      <c r="R1508">
        <v>0.99892666934171004</v>
      </c>
      <c r="S1508" t="s">
        <v>6248</v>
      </c>
      <c r="T1508" t="s">
        <v>9478</v>
      </c>
      <c r="U1508" t="s">
        <v>9478</v>
      </c>
      <c r="V1508" t="s">
        <v>9478</v>
      </c>
      <c r="W1508">
        <v>12</v>
      </c>
      <c r="X1508" t="s">
        <v>10986</v>
      </c>
      <c r="Y1508">
        <v>0.31396422012778769</v>
      </c>
      <c r="Z1508" t="str">
        <f>HYPERLINK("Melting_Curves/meltCurve_sp_P62195_2_PRS8_HUMAN_.pdf", "Melting_Curves/meltCurve_sp_P62195_2_PRS8_HUMAN_.pdf")</f>
        <v>Melting_Curves/meltCurve_sp_P62195_2_PRS8_HUMAN_.pdf</v>
      </c>
      <c r="AA1508" t="s">
        <v>15700</v>
      </c>
      <c r="AB1508" t="s">
        <v>20342</v>
      </c>
    </row>
    <row r="1509" spans="1:28" x14ac:dyDescent="0.25">
      <c r="A1509" t="s">
        <v>1513</v>
      </c>
      <c r="B1509">
        <v>0.99904790336628502</v>
      </c>
      <c r="C1509">
        <v>1.04379387035672</v>
      </c>
      <c r="D1509">
        <v>0.90299319143770296</v>
      </c>
      <c r="E1509">
        <v>0.61829972593050297</v>
      </c>
      <c r="F1509">
        <v>0.48826510022386299</v>
      </c>
      <c r="G1509">
        <v>0.33947203650421598</v>
      </c>
      <c r="H1509">
        <v>0.200291070801661</v>
      </c>
      <c r="I1509">
        <v>0.100661528185696</v>
      </c>
      <c r="J1509">
        <v>6.3616433412835099E-2</v>
      </c>
      <c r="K1509">
        <v>5.50769757322375E-2</v>
      </c>
      <c r="L1509">
        <v>686.39225326515202</v>
      </c>
      <c r="M1509">
        <v>12.995525801259101</v>
      </c>
      <c r="N1509">
        <v>53.018368462779499</v>
      </c>
      <c r="O1509">
        <v>51.613848836069401</v>
      </c>
      <c r="P1509">
        <v>-6.1445520104539901E-2</v>
      </c>
      <c r="Q1509">
        <v>2.4009199819914999E-2</v>
      </c>
      <c r="R1509">
        <v>0.98776338142481601</v>
      </c>
      <c r="S1509" t="s">
        <v>6249</v>
      </c>
      <c r="T1509" t="s">
        <v>9478</v>
      </c>
      <c r="U1509" t="s">
        <v>9478</v>
      </c>
      <c r="V1509" t="s">
        <v>9478</v>
      </c>
      <c r="W1509">
        <v>4</v>
      </c>
      <c r="X1509" t="s">
        <v>10987</v>
      </c>
      <c r="Y1509">
        <v>0.46662010041582502</v>
      </c>
      <c r="Z1509" t="str">
        <f>HYPERLINK("Melting_Curves/meltCurve_sp_P62241_RS8_HUMAN_.pdf", "Melting_Curves/meltCurve_sp_P62241_RS8_HUMAN_.pdf")</f>
        <v>Melting_Curves/meltCurve_sp_P62241_RS8_HUMAN_.pdf</v>
      </c>
      <c r="AA1509" t="s">
        <v>15701</v>
      </c>
      <c r="AB1509" t="s">
        <v>20343</v>
      </c>
    </row>
    <row r="1510" spans="1:28" x14ac:dyDescent="0.25">
      <c r="A1510" t="s">
        <v>1514</v>
      </c>
      <c r="B1510">
        <v>0.99904790336628502</v>
      </c>
      <c r="C1510">
        <v>1.0059680854470801</v>
      </c>
      <c r="D1510">
        <v>1.0213058302862601</v>
      </c>
      <c r="E1510">
        <v>1.0043155603923499</v>
      </c>
      <c r="F1510">
        <v>0.96689084539341397</v>
      </c>
      <c r="G1510">
        <v>0.86579070799101798</v>
      </c>
      <c r="H1510">
        <v>0.43787925135956501</v>
      </c>
      <c r="I1510">
        <v>0.122593095520591</v>
      </c>
      <c r="J1510">
        <v>4.8719788347539303E-2</v>
      </c>
      <c r="K1510">
        <v>3.4382666174635403E-2</v>
      </c>
      <c r="L1510">
        <v>1976.0010072877301</v>
      </c>
      <c r="M1510">
        <v>32.733721314959503</v>
      </c>
      <c r="N1510">
        <v>60.409286837759403</v>
      </c>
      <c r="O1510">
        <v>60.141958694373599</v>
      </c>
      <c r="P1510">
        <v>-0.134488880782692</v>
      </c>
      <c r="Q1510">
        <v>1.1614131402995101E-2</v>
      </c>
      <c r="R1510">
        <v>0.99883788408225604</v>
      </c>
      <c r="S1510" t="s">
        <v>6250</v>
      </c>
      <c r="T1510" t="s">
        <v>9478</v>
      </c>
      <c r="U1510" t="s">
        <v>9478</v>
      </c>
      <c r="V1510" t="s">
        <v>9478</v>
      </c>
      <c r="W1510">
        <v>24</v>
      </c>
      <c r="X1510" t="s">
        <v>10988</v>
      </c>
      <c r="Y1510">
        <v>0.68781133082431567</v>
      </c>
      <c r="Z1510" t="str">
        <f>HYPERLINK("Melting_Curves/meltCurve_sp_P62258_1433E_HUMAN_.pdf", "Melting_Curves/meltCurve_sp_P62258_1433E_HUMAN_.pdf")</f>
        <v>Melting_Curves/meltCurve_sp_P62258_1433E_HUMAN_.pdf</v>
      </c>
      <c r="AA1510" t="s">
        <v>15702</v>
      </c>
      <c r="AB1510" t="s">
        <v>20344</v>
      </c>
    </row>
    <row r="1511" spans="1:28" x14ac:dyDescent="0.25">
      <c r="A1511" t="s">
        <v>1515</v>
      </c>
      <c r="B1511">
        <v>0.99904790336628502</v>
      </c>
      <c r="C1511">
        <v>1.1506113121844299</v>
      </c>
      <c r="D1511">
        <v>0.94875879655573003</v>
      </c>
      <c r="E1511">
        <v>0.63567920394155997</v>
      </c>
      <c r="F1511">
        <v>0.59372548712602802</v>
      </c>
      <c r="G1511">
        <v>0.26722720476154399</v>
      </c>
      <c r="H1511">
        <v>0.27074259890006502</v>
      </c>
      <c r="I1511">
        <v>0.27580819611885699</v>
      </c>
      <c r="J1511">
        <v>0.28542038007815801</v>
      </c>
      <c r="K1511">
        <v>0.25315513405475398</v>
      </c>
      <c r="L1511">
        <v>1090.2652729844399</v>
      </c>
      <c r="M1511">
        <v>21.319433031027501</v>
      </c>
      <c r="N1511">
        <v>52.927563561882501</v>
      </c>
      <c r="O1511">
        <v>50.695936211996802</v>
      </c>
      <c r="P1511">
        <v>-7.81499761373977E-2</v>
      </c>
      <c r="Q1511">
        <v>0.25668068772319602</v>
      </c>
      <c r="R1511">
        <v>0.95728484992484797</v>
      </c>
      <c r="S1511" t="s">
        <v>6251</v>
      </c>
      <c r="T1511" t="s">
        <v>9478</v>
      </c>
      <c r="U1511" t="s">
        <v>9478</v>
      </c>
      <c r="V1511" t="s">
        <v>9478</v>
      </c>
      <c r="W1511">
        <v>1</v>
      </c>
      <c r="X1511" t="s">
        <v>10989</v>
      </c>
      <c r="Y1511">
        <v>0.54183565738611628</v>
      </c>
      <c r="Z1511" t="str">
        <f>HYPERLINK("Melting_Curves/meltCurve_sp_P62263_RS14_HUMAN_.pdf", "Melting_Curves/meltCurve_sp_P62263_RS14_HUMAN_.pdf")</f>
        <v>Melting_Curves/meltCurve_sp_P62263_RS14_HUMAN_.pdf</v>
      </c>
      <c r="AA1511" t="s">
        <v>15703</v>
      </c>
      <c r="AB1511" t="s">
        <v>20345</v>
      </c>
    </row>
    <row r="1512" spans="1:28" x14ac:dyDescent="0.25">
      <c r="A1512" t="s">
        <v>1516</v>
      </c>
      <c r="B1512">
        <v>0.99904790336628502</v>
      </c>
      <c r="C1512">
        <v>0.877678003527117</v>
      </c>
      <c r="D1512">
        <v>0.68398858334143198</v>
      </c>
      <c r="E1512">
        <v>0.36912463342566498</v>
      </c>
      <c r="F1512">
        <v>0.30610701697647003</v>
      </c>
      <c r="G1512">
        <v>0.176475112493202</v>
      </c>
      <c r="H1512">
        <v>0.11272293337168</v>
      </c>
      <c r="I1512">
        <v>0.111356477721473</v>
      </c>
      <c r="J1512">
        <v>0.103570742424432</v>
      </c>
      <c r="K1512">
        <v>0.107907455710121</v>
      </c>
      <c r="L1512">
        <v>756.52007758212801</v>
      </c>
      <c r="M1512">
        <v>15.8088958532538</v>
      </c>
      <c r="N1512">
        <v>48.540722000338</v>
      </c>
      <c r="O1512">
        <v>47.107969684766097</v>
      </c>
      <c r="P1512">
        <v>-7.5497224051026907E-2</v>
      </c>
      <c r="Q1512">
        <v>0.10019519575605899</v>
      </c>
      <c r="R1512">
        <v>0.99511557886839397</v>
      </c>
      <c r="S1512" t="s">
        <v>6252</v>
      </c>
      <c r="T1512" t="s">
        <v>9478</v>
      </c>
      <c r="U1512" t="s">
        <v>9478</v>
      </c>
      <c r="V1512" t="s">
        <v>9478</v>
      </c>
      <c r="W1512">
        <v>2</v>
      </c>
      <c r="X1512" t="s">
        <v>10990</v>
      </c>
      <c r="Y1512">
        <v>0.35674617968206312</v>
      </c>
      <c r="Z1512" t="str">
        <f>HYPERLINK("Melting_Curves/meltCurve_sp_P62269_RS18_HUMAN_.pdf", "Melting_Curves/meltCurve_sp_P62269_RS18_HUMAN_.pdf")</f>
        <v>Melting_Curves/meltCurve_sp_P62269_RS18_HUMAN_.pdf</v>
      </c>
      <c r="AA1512" t="s">
        <v>15704</v>
      </c>
      <c r="AB1512" t="s">
        <v>20346</v>
      </c>
    </row>
    <row r="1513" spans="1:28" x14ac:dyDescent="0.25">
      <c r="A1513" t="s">
        <v>1517</v>
      </c>
      <c r="B1513">
        <v>0.99904790336628502</v>
      </c>
      <c r="C1513">
        <v>0.97654421186238405</v>
      </c>
      <c r="D1513">
        <v>0.90211350437078797</v>
      </c>
      <c r="E1513">
        <v>0.55390120711730195</v>
      </c>
      <c r="F1513">
        <v>0.40609175473304998</v>
      </c>
      <c r="G1513">
        <v>0.32348062813308698</v>
      </c>
      <c r="H1513">
        <v>0.15977429688487799</v>
      </c>
      <c r="I1513">
        <v>0.223889692508949</v>
      </c>
      <c r="J1513">
        <v>0.12627116613825101</v>
      </c>
      <c r="K1513">
        <v>0.16379826592803601</v>
      </c>
      <c r="L1513">
        <v>881.54138943790201</v>
      </c>
      <c r="M1513">
        <v>17.532092365900599</v>
      </c>
      <c r="N1513">
        <v>51.430700303769399</v>
      </c>
      <c r="O1513">
        <v>49.641117096918101</v>
      </c>
      <c r="P1513">
        <v>-7.3990131051437702E-2</v>
      </c>
      <c r="Q1513">
        <v>0.16205094719572299</v>
      </c>
      <c r="R1513">
        <v>0.98738605860184203</v>
      </c>
      <c r="S1513" t="s">
        <v>6253</v>
      </c>
      <c r="T1513" t="s">
        <v>9478</v>
      </c>
      <c r="U1513" t="s">
        <v>9478</v>
      </c>
      <c r="V1513" t="s">
        <v>9478</v>
      </c>
      <c r="W1513">
        <v>3</v>
      </c>
      <c r="X1513" t="s">
        <v>10991</v>
      </c>
      <c r="Y1513">
        <v>0.46418812619363192</v>
      </c>
      <c r="Z1513" t="str">
        <f>HYPERLINK("Melting_Curves/meltCurve_sp_P62277_RS13_HUMAN_.pdf", "Melting_Curves/meltCurve_sp_P62277_RS13_HUMAN_.pdf")</f>
        <v>Melting_Curves/meltCurve_sp_P62277_RS13_HUMAN_.pdf</v>
      </c>
      <c r="AA1513" t="s">
        <v>15705</v>
      </c>
      <c r="AB1513" t="s">
        <v>20347</v>
      </c>
    </row>
    <row r="1514" spans="1:28" x14ac:dyDescent="0.25">
      <c r="A1514" t="s">
        <v>1518</v>
      </c>
      <c r="B1514">
        <v>0.99904790336628502</v>
      </c>
      <c r="C1514">
        <v>0.90054560789344096</v>
      </c>
      <c r="D1514">
        <v>0.69980320519874395</v>
      </c>
      <c r="E1514">
        <v>0.36515103962148598</v>
      </c>
      <c r="F1514">
        <v>0.171075582853219</v>
      </c>
      <c r="G1514">
        <v>8.8926327115568707E-2</v>
      </c>
      <c r="H1514">
        <v>4.68923294947272E-2</v>
      </c>
      <c r="I1514">
        <v>3.7265157398958103E-2</v>
      </c>
      <c r="J1514">
        <v>2.7382271889996701E-2</v>
      </c>
      <c r="K1514">
        <v>2.5412842712671201E-2</v>
      </c>
      <c r="L1514">
        <v>868.12078558283599</v>
      </c>
      <c r="M1514">
        <v>18.028316991589701</v>
      </c>
      <c r="N1514">
        <v>48.2879920411402</v>
      </c>
      <c r="O1514">
        <v>47.572437306388501</v>
      </c>
      <c r="P1514">
        <v>-9.2420276475886701E-2</v>
      </c>
      <c r="Q1514">
        <v>2.4547388893348499E-2</v>
      </c>
      <c r="R1514">
        <v>0.99933793330252396</v>
      </c>
      <c r="S1514" t="s">
        <v>6254</v>
      </c>
      <c r="T1514" t="s">
        <v>9478</v>
      </c>
      <c r="U1514" t="s">
        <v>9478</v>
      </c>
      <c r="V1514" t="s">
        <v>9478</v>
      </c>
      <c r="W1514">
        <v>1</v>
      </c>
      <c r="X1514" t="s">
        <v>10992</v>
      </c>
      <c r="Y1514">
        <v>0.30682233252944519</v>
      </c>
      <c r="Z1514" t="str">
        <f>HYPERLINK("Melting_Curves/meltCurve_sp_P62280_RS11_HUMAN_.pdf", "Melting_Curves/meltCurve_sp_P62280_RS11_HUMAN_.pdf")</f>
        <v>Melting_Curves/meltCurve_sp_P62280_RS11_HUMAN_.pdf</v>
      </c>
      <c r="AA1514" t="s">
        <v>15706</v>
      </c>
      <c r="AB1514" t="s">
        <v>20348</v>
      </c>
    </row>
    <row r="1515" spans="1:28" x14ac:dyDescent="0.25">
      <c r="A1515" t="s">
        <v>1519</v>
      </c>
      <c r="B1515">
        <v>0.99904790336628502</v>
      </c>
      <c r="C1515">
        <v>0.96246873787610798</v>
      </c>
      <c r="D1515">
        <v>0.96852479791437796</v>
      </c>
      <c r="E1515">
        <v>0.91253279543199695</v>
      </c>
      <c r="F1515">
        <v>0.73099774538414797</v>
      </c>
      <c r="G1515">
        <v>0.54377456380265099</v>
      </c>
      <c r="H1515">
        <v>0.45170063447970199</v>
      </c>
      <c r="I1515">
        <v>0.344876842896157</v>
      </c>
      <c r="J1515">
        <v>0.19373518928578301</v>
      </c>
      <c r="K1515">
        <v>9.2573183998388195E-2</v>
      </c>
      <c r="L1515">
        <v>640.46178747954605</v>
      </c>
      <c r="M1515">
        <v>10.886617905783</v>
      </c>
      <c r="N1515">
        <v>58.8301665369642</v>
      </c>
      <c r="O1515">
        <v>56.949584981744202</v>
      </c>
      <c r="P1515">
        <v>-4.7807373735353702E-2</v>
      </c>
      <c r="Q1515">
        <v>0</v>
      </c>
      <c r="R1515">
        <v>0.98679828894589405</v>
      </c>
      <c r="S1515" t="s">
        <v>6255</v>
      </c>
      <c r="T1515" t="s">
        <v>9478</v>
      </c>
      <c r="U1515" t="s">
        <v>9478</v>
      </c>
      <c r="V1515" t="s">
        <v>9478</v>
      </c>
      <c r="W1515">
        <v>3</v>
      </c>
      <c r="X1515" t="s">
        <v>10993</v>
      </c>
      <c r="Y1515">
        <v>0.63445851829249811</v>
      </c>
      <c r="Z1515" t="str">
        <f>HYPERLINK("Melting_Curves/meltCurve_sp_P62304_RUXE_HUMAN_.pdf", "Melting_Curves/meltCurve_sp_P62304_RUXE_HUMAN_.pdf")</f>
        <v>Melting_Curves/meltCurve_sp_P62304_RUXE_HUMAN_.pdf</v>
      </c>
      <c r="AA1515" t="s">
        <v>15707</v>
      </c>
      <c r="AB1515" t="s">
        <v>20349</v>
      </c>
    </row>
    <row r="1516" spans="1:28" x14ac:dyDescent="0.25">
      <c r="A1516" t="s">
        <v>1520</v>
      </c>
      <c r="B1516">
        <v>0.99904790336628502</v>
      </c>
      <c r="C1516">
        <v>1.14705052348683</v>
      </c>
      <c r="D1516">
        <v>1.1641463442757101</v>
      </c>
      <c r="E1516">
        <v>1.0922941742757799</v>
      </c>
      <c r="F1516">
        <v>0.92886111492788803</v>
      </c>
      <c r="G1516">
        <v>0.79971490899923303</v>
      </c>
      <c r="H1516">
        <v>0.67785127818396096</v>
      </c>
      <c r="I1516">
        <v>0.58348704047683497</v>
      </c>
      <c r="J1516">
        <v>0.49115585067834</v>
      </c>
      <c r="K1516">
        <v>0.28097404436522999</v>
      </c>
      <c r="L1516">
        <v>801.553700241152</v>
      </c>
      <c r="M1516">
        <v>12.318593288275601</v>
      </c>
      <c r="N1516">
        <v>65.457572032980195</v>
      </c>
      <c r="O1516">
        <v>63.425168691148102</v>
      </c>
      <c r="P1516">
        <v>-4.6852242164029001E-2</v>
      </c>
      <c r="Q1516">
        <v>3.52911333806257E-2</v>
      </c>
      <c r="R1516">
        <v>0.90990124633144698</v>
      </c>
      <c r="S1516" t="s">
        <v>6256</v>
      </c>
      <c r="T1516" t="s">
        <v>9478</v>
      </c>
      <c r="U1516" t="s">
        <v>9478</v>
      </c>
      <c r="V1516" t="s">
        <v>9478</v>
      </c>
      <c r="W1516">
        <v>2</v>
      </c>
      <c r="X1516" t="s">
        <v>10994</v>
      </c>
      <c r="Y1516">
        <v>0.80402236524871673</v>
      </c>
      <c r="Z1516" t="str">
        <f>HYPERLINK("Melting_Curves/meltCurve_sp_P62306_RUXF_HUMAN_.pdf", "Melting_Curves/meltCurve_sp_P62306_RUXF_HUMAN_.pdf")</f>
        <v>Melting_Curves/meltCurve_sp_P62306_RUXF_HUMAN_.pdf</v>
      </c>
      <c r="AA1516" t="s">
        <v>15708</v>
      </c>
      <c r="AB1516" t="s">
        <v>20350</v>
      </c>
    </row>
    <row r="1517" spans="1:28" x14ac:dyDescent="0.25">
      <c r="A1517" t="s">
        <v>1521</v>
      </c>
      <c r="B1517">
        <v>0.99904790336628502</v>
      </c>
      <c r="C1517">
        <v>1.30587191335043</v>
      </c>
      <c r="D1517">
        <v>1.1549800101944501</v>
      </c>
      <c r="E1517">
        <v>1.3112645900609201</v>
      </c>
      <c r="F1517">
        <v>1.25137389049224</v>
      </c>
      <c r="G1517">
        <v>0.97665879300529701</v>
      </c>
      <c r="H1517">
        <v>0.843549110956065</v>
      </c>
      <c r="I1517">
        <v>0.67186983538813405</v>
      </c>
      <c r="J1517">
        <v>0.51324732244869198</v>
      </c>
      <c r="K1517">
        <v>0.27017076264418199</v>
      </c>
      <c r="L1517">
        <v>1431.68156571951</v>
      </c>
      <c r="M1517">
        <v>21.648654226416401</v>
      </c>
      <c r="N1517">
        <v>66.613537416708695</v>
      </c>
      <c r="O1517">
        <v>65.576055141564595</v>
      </c>
      <c r="P1517">
        <v>-7.6563218512576303E-2</v>
      </c>
      <c r="Q1517">
        <v>7.2349849321110798E-2</v>
      </c>
      <c r="R1517">
        <v>0.74897171410751195</v>
      </c>
      <c r="S1517" t="s">
        <v>6257</v>
      </c>
      <c r="T1517" t="s">
        <v>9478</v>
      </c>
      <c r="U1517" t="s">
        <v>9478</v>
      </c>
      <c r="V1517" t="s">
        <v>9478</v>
      </c>
      <c r="W1517">
        <v>3</v>
      </c>
      <c r="X1517" t="s">
        <v>10995</v>
      </c>
      <c r="Y1517">
        <v>0.86378038603387564</v>
      </c>
      <c r="Z1517" t="str">
        <f>HYPERLINK("Melting_Curves/meltCurve_sp_P62308_RUXG_HUMAN_.pdf", "Melting_Curves/meltCurve_sp_P62308_RUXG_HUMAN_.pdf")</f>
        <v>Melting_Curves/meltCurve_sp_P62308_RUXG_HUMAN_.pdf</v>
      </c>
      <c r="AA1517" t="s">
        <v>15709</v>
      </c>
      <c r="AB1517" t="s">
        <v>20351</v>
      </c>
    </row>
    <row r="1518" spans="1:28" x14ac:dyDescent="0.25">
      <c r="A1518" t="s">
        <v>1522</v>
      </c>
      <c r="B1518">
        <v>0.99904790336628502</v>
      </c>
      <c r="C1518">
        <v>1.04224367707794</v>
      </c>
      <c r="D1518">
        <v>1.01697134967353</v>
      </c>
      <c r="E1518">
        <v>1.0307547474352501</v>
      </c>
      <c r="F1518">
        <v>0.89522008628382199</v>
      </c>
      <c r="G1518">
        <v>0.88923622489969201</v>
      </c>
      <c r="H1518">
        <v>0.64376446390444797</v>
      </c>
      <c r="I1518">
        <v>0.84677624184002098</v>
      </c>
      <c r="J1518">
        <v>0.90895352087521497</v>
      </c>
      <c r="K1518">
        <v>0.59353782985428905</v>
      </c>
      <c r="L1518">
        <v>1396.55702746323</v>
      </c>
      <c r="M1518">
        <v>25.152081787056499</v>
      </c>
      <c r="O1518">
        <v>55.177092545940297</v>
      </c>
      <c r="P1518">
        <v>-2.8728796184703299E-2</v>
      </c>
      <c r="Q1518">
        <v>0.74790943038573898</v>
      </c>
      <c r="R1518">
        <v>0.62550965717695906</v>
      </c>
      <c r="S1518" t="s">
        <v>6258</v>
      </c>
      <c r="T1518" t="s">
        <v>9478</v>
      </c>
      <c r="U1518" t="s">
        <v>9478</v>
      </c>
      <c r="V1518" t="s">
        <v>9478</v>
      </c>
      <c r="W1518">
        <v>3</v>
      </c>
      <c r="X1518" t="s">
        <v>10996</v>
      </c>
      <c r="Y1518">
        <v>0.88066355750718339</v>
      </c>
      <c r="Z1518" t="str">
        <f>HYPERLINK("Melting_Curves/meltCurve_sp_P62310_LSM3_HUMAN_.pdf", "Melting_Curves/meltCurve_sp_P62310_LSM3_HUMAN_.pdf")</f>
        <v>Melting_Curves/meltCurve_sp_P62310_LSM3_HUMAN_.pdf</v>
      </c>
      <c r="AA1518" t="s">
        <v>15710</v>
      </c>
      <c r="AB1518" t="s">
        <v>20352</v>
      </c>
    </row>
    <row r="1519" spans="1:28" x14ac:dyDescent="0.25">
      <c r="A1519" t="s">
        <v>1523</v>
      </c>
      <c r="B1519">
        <v>0.99904790336628502</v>
      </c>
      <c r="C1519">
        <v>0.94033841899692805</v>
      </c>
      <c r="D1519">
        <v>0.97129580032882801</v>
      </c>
      <c r="E1519">
        <v>0.96895712048640004</v>
      </c>
      <c r="F1519">
        <v>0.925281893007872</v>
      </c>
      <c r="G1519">
        <v>0.76252441903400403</v>
      </c>
      <c r="H1519">
        <v>0.52683782707640803</v>
      </c>
      <c r="I1519">
        <v>0.401250264948115</v>
      </c>
      <c r="J1519">
        <v>0.23811623154047101</v>
      </c>
      <c r="K1519">
        <v>0.115374223848667</v>
      </c>
      <c r="L1519">
        <v>911.566816346981</v>
      </c>
      <c r="M1519">
        <v>14.7835944451126</v>
      </c>
      <c r="N1519">
        <v>61.660677690909097</v>
      </c>
      <c r="O1519">
        <v>60.565433082282702</v>
      </c>
      <c r="P1519">
        <v>-6.1029751078278502E-2</v>
      </c>
      <c r="Q1519">
        <v>0</v>
      </c>
      <c r="R1519">
        <v>0.99388525447107401</v>
      </c>
      <c r="S1519" t="s">
        <v>6259</v>
      </c>
      <c r="T1519" t="s">
        <v>9478</v>
      </c>
      <c r="U1519" t="s">
        <v>9478</v>
      </c>
      <c r="V1519" t="s">
        <v>9478</v>
      </c>
      <c r="W1519">
        <v>8</v>
      </c>
      <c r="X1519" t="s">
        <v>10997</v>
      </c>
      <c r="Y1519">
        <v>0.72071623881631164</v>
      </c>
      <c r="Z1519" t="str">
        <f>HYPERLINK("Melting_Curves/meltCurve_sp_P62312_LSM6_HUMAN_.pdf", "Melting_Curves/meltCurve_sp_P62312_LSM6_HUMAN_.pdf")</f>
        <v>Melting_Curves/meltCurve_sp_P62312_LSM6_HUMAN_.pdf</v>
      </c>
      <c r="AA1519" t="s">
        <v>15711</v>
      </c>
      <c r="AB1519" t="s">
        <v>20353</v>
      </c>
    </row>
    <row r="1520" spans="1:28" x14ac:dyDescent="0.25">
      <c r="A1520" t="s">
        <v>1524</v>
      </c>
      <c r="B1520">
        <v>0.99904790336628502</v>
      </c>
      <c r="C1520">
        <v>1.13616210595807</v>
      </c>
      <c r="D1520">
        <v>1.12230847864469</v>
      </c>
      <c r="E1520">
        <v>0.94843648877827502</v>
      </c>
      <c r="F1520">
        <v>0.77491344409062202</v>
      </c>
      <c r="G1520">
        <v>0.58658177610386797</v>
      </c>
      <c r="H1520">
        <v>0.37591033752908098</v>
      </c>
      <c r="I1520">
        <v>0.31944142290900102</v>
      </c>
      <c r="J1520">
        <v>0.208195139142443</v>
      </c>
      <c r="K1520">
        <v>0.11856335214645999</v>
      </c>
      <c r="L1520">
        <v>896.01391586338798</v>
      </c>
      <c r="M1520">
        <v>15.5118904680875</v>
      </c>
      <c r="N1520">
        <v>58.655255267822398</v>
      </c>
      <c r="O1520">
        <v>56.828579217467698</v>
      </c>
      <c r="P1520">
        <v>-6.10737963075412E-2</v>
      </c>
      <c r="Q1520">
        <v>0.105091744257145</v>
      </c>
      <c r="R1520">
        <v>0.96558345264805301</v>
      </c>
      <c r="S1520" t="s">
        <v>6260</v>
      </c>
      <c r="T1520" t="s">
        <v>9478</v>
      </c>
      <c r="U1520" t="s">
        <v>9478</v>
      </c>
      <c r="V1520" t="s">
        <v>9478</v>
      </c>
      <c r="W1520">
        <v>3</v>
      </c>
      <c r="X1520" t="s">
        <v>10998</v>
      </c>
      <c r="Y1520">
        <v>0.64739588412264193</v>
      </c>
      <c r="Z1520" t="str">
        <f>HYPERLINK("Melting_Curves/meltCurve_sp_P62314_SMD1_HUMAN_.pdf", "Melting_Curves/meltCurve_sp_P62314_SMD1_HUMAN_.pdf")</f>
        <v>Melting_Curves/meltCurve_sp_P62314_SMD1_HUMAN_.pdf</v>
      </c>
      <c r="AA1520" t="s">
        <v>15712</v>
      </c>
      <c r="AB1520" t="s">
        <v>20354</v>
      </c>
    </row>
    <row r="1521" spans="1:28" x14ac:dyDescent="0.25">
      <c r="A1521" t="s">
        <v>1525</v>
      </c>
      <c r="B1521">
        <v>0.99904790336628502</v>
      </c>
      <c r="C1521">
        <v>1.04077487487815</v>
      </c>
      <c r="D1521">
        <v>1.09534044583971</v>
      </c>
      <c r="E1521">
        <v>1.06104688845776</v>
      </c>
      <c r="F1521">
        <v>0.92325107616659796</v>
      </c>
      <c r="G1521">
        <v>0.77923091482609497</v>
      </c>
      <c r="H1521">
        <v>0.57719462261571597</v>
      </c>
      <c r="I1521">
        <v>0.510681140930074</v>
      </c>
      <c r="J1521">
        <v>0.33740265241314399</v>
      </c>
      <c r="K1521">
        <v>0.15423758271730101</v>
      </c>
      <c r="L1521">
        <v>875.18342095104595</v>
      </c>
      <c r="M1521">
        <v>13.868559935006299</v>
      </c>
      <c r="N1521">
        <v>63.105562962687799</v>
      </c>
      <c r="O1521">
        <v>61.836924109073202</v>
      </c>
      <c r="P1521">
        <v>-5.60767868500772E-2</v>
      </c>
      <c r="Q1521">
        <v>0</v>
      </c>
      <c r="R1521">
        <v>0.97089892804661504</v>
      </c>
      <c r="S1521" t="s">
        <v>6261</v>
      </c>
      <c r="T1521" t="s">
        <v>9478</v>
      </c>
      <c r="U1521" t="s">
        <v>9478</v>
      </c>
      <c r="V1521" t="s">
        <v>9478</v>
      </c>
      <c r="W1521">
        <v>6</v>
      </c>
      <c r="X1521" t="s">
        <v>10999</v>
      </c>
      <c r="Y1521">
        <v>0.75694878485918116</v>
      </c>
      <c r="Z1521" t="str">
        <f>HYPERLINK("Melting_Curves/meltCurve_sp_P62316_SMD2_HUMAN_.pdf", "Melting_Curves/meltCurve_sp_P62316_SMD2_HUMAN_.pdf")</f>
        <v>Melting_Curves/meltCurve_sp_P62316_SMD2_HUMAN_.pdf</v>
      </c>
      <c r="AA1521" t="s">
        <v>15713</v>
      </c>
      <c r="AB1521" t="s">
        <v>20355</v>
      </c>
    </row>
    <row r="1522" spans="1:28" x14ac:dyDescent="0.25">
      <c r="A1522" t="s">
        <v>1526</v>
      </c>
      <c r="B1522">
        <v>0.99904790336628502</v>
      </c>
      <c r="C1522">
        <v>1.1226016445525699</v>
      </c>
      <c r="D1522">
        <v>1.0375050254479099</v>
      </c>
      <c r="E1522">
        <v>1.1165968050514401</v>
      </c>
      <c r="F1522">
        <v>1.1146308118150701</v>
      </c>
      <c r="G1522">
        <v>0.96973948527304199</v>
      </c>
      <c r="H1522">
        <v>0.88867123464119502</v>
      </c>
      <c r="I1522">
        <v>0.88801195082296602</v>
      </c>
      <c r="J1522">
        <v>0.94969799813836997</v>
      </c>
      <c r="K1522">
        <v>1.0349272785726999</v>
      </c>
      <c r="L1522">
        <v>14248.379537524601</v>
      </c>
      <c r="M1522">
        <v>250</v>
      </c>
      <c r="O1522">
        <v>56.989870974102701</v>
      </c>
      <c r="P1522">
        <v>-6.5442422183471904E-2</v>
      </c>
      <c r="Q1522">
        <v>0.94032711695904503</v>
      </c>
      <c r="R1522">
        <v>0.191928210669875</v>
      </c>
      <c r="S1522" t="s">
        <v>6262</v>
      </c>
      <c r="T1522" t="s">
        <v>9478</v>
      </c>
      <c r="U1522" t="s">
        <v>9478</v>
      </c>
      <c r="V1522" t="s">
        <v>9478</v>
      </c>
      <c r="W1522">
        <v>5</v>
      </c>
      <c r="X1522" t="s">
        <v>11000</v>
      </c>
      <c r="Y1522">
        <v>0.9741348263049906</v>
      </c>
      <c r="Z1522" t="str">
        <f>HYPERLINK("Melting_Curves/meltCurve_sp_P62328_TYB4_HUMAN_.pdf", "Melting_Curves/meltCurve_sp_P62328_TYB4_HUMAN_.pdf")</f>
        <v>Melting_Curves/meltCurve_sp_P62328_TYB4_HUMAN_.pdf</v>
      </c>
      <c r="AA1522" t="s">
        <v>15714</v>
      </c>
      <c r="AB1522" t="s">
        <v>20356</v>
      </c>
    </row>
    <row r="1523" spans="1:28" x14ac:dyDescent="0.25">
      <c r="A1523" t="s">
        <v>1527</v>
      </c>
      <c r="B1523">
        <v>0.99904790336628502</v>
      </c>
      <c r="C1523">
        <v>1.09219034134305</v>
      </c>
      <c r="D1523">
        <v>0.88451316271275604</v>
      </c>
      <c r="E1523">
        <v>0.55256996463421004</v>
      </c>
      <c r="F1523">
        <v>0.281695748884632</v>
      </c>
      <c r="G1523">
        <v>0.121976321566232</v>
      </c>
      <c r="H1523">
        <v>6.9977129813724906E-2</v>
      </c>
      <c r="I1523">
        <v>4.6139148431038397E-2</v>
      </c>
      <c r="J1523">
        <v>3.7722506497878699E-2</v>
      </c>
      <c r="K1523">
        <v>2.7329726774122098E-2</v>
      </c>
      <c r="L1523">
        <v>1146.0626200494701</v>
      </c>
      <c r="M1523">
        <v>22.745865411300699</v>
      </c>
      <c r="N1523">
        <v>50.577589307048797</v>
      </c>
      <c r="O1523">
        <v>50.000934976956401</v>
      </c>
      <c r="P1523">
        <v>-0.10902411260105099</v>
      </c>
      <c r="Q1523">
        <v>4.1372882323887403E-2</v>
      </c>
      <c r="R1523">
        <v>0.99218551561495905</v>
      </c>
      <c r="S1523" t="s">
        <v>6263</v>
      </c>
      <c r="T1523" t="s">
        <v>9478</v>
      </c>
      <c r="U1523" t="s">
        <v>9478</v>
      </c>
      <c r="V1523" t="s">
        <v>9478</v>
      </c>
      <c r="W1523">
        <v>4</v>
      </c>
      <c r="X1523" t="s">
        <v>11001</v>
      </c>
      <c r="Y1523">
        <v>0.38360991035051251</v>
      </c>
      <c r="Z1523" t="str">
        <f>HYPERLINK("Melting_Curves/meltCurve_sp_P62330_ARF6_HUMAN_.pdf", "Melting_Curves/meltCurve_sp_P62330_ARF6_HUMAN_.pdf")</f>
        <v>Melting_Curves/meltCurve_sp_P62330_ARF6_HUMAN_.pdf</v>
      </c>
      <c r="AA1523" t="s">
        <v>15715</v>
      </c>
      <c r="AB1523" t="s">
        <v>20357</v>
      </c>
    </row>
    <row r="1524" spans="1:28" x14ac:dyDescent="0.25">
      <c r="A1524" t="s">
        <v>1528</v>
      </c>
      <c r="B1524">
        <v>0.99904790336628502</v>
      </c>
      <c r="C1524">
        <v>0.83568403097078903</v>
      </c>
      <c r="D1524">
        <v>0.62135746005191905</v>
      </c>
      <c r="E1524">
        <v>0.31626718930306802</v>
      </c>
      <c r="F1524">
        <v>0.174857540454321</v>
      </c>
      <c r="G1524">
        <v>9.0574908932233605E-2</v>
      </c>
      <c r="H1524">
        <v>5.9380869330881797E-2</v>
      </c>
      <c r="I1524">
        <v>4.2936358954118299E-2</v>
      </c>
      <c r="J1524">
        <v>3.7282625023608601E-2</v>
      </c>
      <c r="K1524">
        <v>3.2016221151051197E-2</v>
      </c>
      <c r="L1524">
        <v>784.780686148359</v>
      </c>
      <c r="M1524">
        <v>16.594188639675298</v>
      </c>
      <c r="N1524">
        <v>47.486527684666697</v>
      </c>
      <c r="O1524">
        <v>46.621690550088701</v>
      </c>
      <c r="P1524">
        <v>-8.6072362345355993E-2</v>
      </c>
      <c r="Q1524">
        <v>3.2777562980904999E-2</v>
      </c>
      <c r="R1524">
        <v>0.99810975214946596</v>
      </c>
      <c r="S1524" t="s">
        <v>6264</v>
      </c>
      <c r="T1524" t="s">
        <v>9478</v>
      </c>
      <c r="U1524" t="s">
        <v>9478</v>
      </c>
      <c r="V1524" t="s">
        <v>9478</v>
      </c>
      <c r="W1524">
        <v>23</v>
      </c>
      <c r="X1524" t="s">
        <v>11002</v>
      </c>
      <c r="Y1524">
        <v>0.28883315549865612</v>
      </c>
      <c r="Z1524" t="str">
        <f>HYPERLINK("Melting_Curves/meltCurve_sp_P62333_PRS10_HUMAN_.pdf", "Melting_Curves/meltCurve_sp_P62333_PRS10_HUMAN_.pdf")</f>
        <v>Melting_Curves/meltCurve_sp_P62333_PRS10_HUMAN_.pdf</v>
      </c>
      <c r="AA1524" t="s">
        <v>15716</v>
      </c>
      <c r="AB1524" t="s">
        <v>20358</v>
      </c>
    </row>
    <row r="1525" spans="1:28" x14ac:dyDescent="0.25">
      <c r="A1525" t="s">
        <v>1529</v>
      </c>
      <c r="B1525">
        <v>0.99904790336628502</v>
      </c>
      <c r="C1525">
        <v>1.14906757417167</v>
      </c>
      <c r="D1525">
        <v>1.06101057136087</v>
      </c>
      <c r="E1525">
        <v>0.76973286675213204</v>
      </c>
      <c r="F1525">
        <v>0.62824731455418203</v>
      </c>
      <c r="G1525">
        <v>0.34647884417993302</v>
      </c>
      <c r="H1525">
        <v>0.30318312837695199</v>
      </c>
      <c r="I1525">
        <v>0.143551586151446</v>
      </c>
      <c r="J1525">
        <v>0.14686663844206599</v>
      </c>
      <c r="K1525">
        <v>9.5342892476136296E-2</v>
      </c>
      <c r="L1525">
        <v>954.06780083595197</v>
      </c>
      <c r="M1525">
        <v>17.679438915560699</v>
      </c>
      <c r="N1525">
        <v>54.788444711327699</v>
      </c>
      <c r="O1525">
        <v>53.288588682936599</v>
      </c>
      <c r="P1525">
        <v>-7.3266977274956097E-2</v>
      </c>
      <c r="Q1525">
        <v>0.116694342559714</v>
      </c>
      <c r="R1525">
        <v>0.96840550113531498</v>
      </c>
      <c r="S1525" t="s">
        <v>6265</v>
      </c>
      <c r="T1525" t="s">
        <v>9478</v>
      </c>
      <c r="U1525" t="s">
        <v>9478</v>
      </c>
      <c r="V1525" t="s">
        <v>9478</v>
      </c>
      <c r="W1525">
        <v>1</v>
      </c>
      <c r="X1525" t="s">
        <v>11003</v>
      </c>
      <c r="Y1525">
        <v>0.54239499627897392</v>
      </c>
      <c r="Z1525" t="str">
        <f>HYPERLINK("Melting_Curves/meltCurve_sp_P62424_RL7A_HUMAN_.pdf", "Melting_Curves/meltCurve_sp_P62424_RL7A_HUMAN_.pdf")</f>
        <v>Melting_Curves/meltCurve_sp_P62424_RL7A_HUMAN_.pdf</v>
      </c>
      <c r="AA1525" t="s">
        <v>15717</v>
      </c>
      <c r="AB1525" t="s">
        <v>20359</v>
      </c>
    </row>
    <row r="1526" spans="1:28" x14ac:dyDescent="0.25">
      <c r="A1526" t="s">
        <v>1530</v>
      </c>
      <c r="B1526">
        <v>0.99904790336628502</v>
      </c>
      <c r="C1526">
        <v>0.79103912689143097</v>
      </c>
      <c r="D1526">
        <v>0.79163214122805403</v>
      </c>
      <c r="E1526">
        <v>0.80687268458170502</v>
      </c>
      <c r="F1526">
        <v>0.70380399945225403</v>
      </c>
      <c r="G1526">
        <v>0.635202509447645</v>
      </c>
      <c r="H1526">
        <v>0.61217352104622202</v>
      </c>
      <c r="I1526">
        <v>0.30187917669272901</v>
      </c>
      <c r="J1526">
        <v>0.153667965515081</v>
      </c>
      <c r="K1526">
        <v>0.10097348057868399</v>
      </c>
      <c r="L1526">
        <v>478.384294638386</v>
      </c>
      <c r="M1526">
        <v>8.1526363837238396</v>
      </c>
      <c r="N1526">
        <v>58.678481246130701</v>
      </c>
      <c r="O1526">
        <v>55.464869616886602</v>
      </c>
      <c r="P1526">
        <v>-3.6785569696545298E-2</v>
      </c>
      <c r="Q1526">
        <v>0</v>
      </c>
      <c r="R1526">
        <v>0.87036389982628604</v>
      </c>
      <c r="S1526" t="s">
        <v>6266</v>
      </c>
      <c r="T1526" t="s">
        <v>9478</v>
      </c>
      <c r="U1526" t="s">
        <v>9478</v>
      </c>
      <c r="V1526" t="s">
        <v>9478</v>
      </c>
      <c r="W1526">
        <v>2</v>
      </c>
      <c r="X1526" t="s">
        <v>11004</v>
      </c>
      <c r="Y1526">
        <v>0.62096385662762843</v>
      </c>
      <c r="Z1526" t="str">
        <f>HYPERLINK("Melting_Curves/meltCurve_sp_P62487_RPB7_HUMAN_.pdf", "Melting_Curves/meltCurve_sp_P62487_RPB7_HUMAN_.pdf")</f>
        <v>Melting_Curves/meltCurve_sp_P62487_RPB7_HUMAN_.pdf</v>
      </c>
      <c r="AA1526" t="s">
        <v>15718</v>
      </c>
      <c r="AB1526" t="s">
        <v>20360</v>
      </c>
    </row>
    <row r="1527" spans="1:28" x14ac:dyDescent="0.25">
      <c r="A1527" t="s">
        <v>1531</v>
      </c>
      <c r="B1527">
        <v>0.99904790336628502</v>
      </c>
      <c r="C1527">
        <v>0.99538851816204799</v>
      </c>
      <c r="D1527">
        <v>0.97713612413085704</v>
      </c>
      <c r="E1527">
        <v>0.93199902268540102</v>
      </c>
      <c r="F1527">
        <v>0.40909196813374799</v>
      </c>
      <c r="G1527">
        <v>0.137409089678041</v>
      </c>
      <c r="H1527">
        <v>8.3523609317907296E-2</v>
      </c>
      <c r="I1527">
        <v>6.7118275475365793E-2</v>
      </c>
      <c r="J1527">
        <v>4.5467857031111697E-2</v>
      </c>
      <c r="K1527">
        <v>4.6087946353277599E-2</v>
      </c>
      <c r="L1527">
        <v>2501.81998123425</v>
      </c>
      <c r="M1527">
        <v>47.717620383514003</v>
      </c>
      <c r="N1527">
        <v>52.597402432089801</v>
      </c>
      <c r="O1527">
        <v>52.337835645705802</v>
      </c>
      <c r="P1527">
        <v>-0.21184542636334899</v>
      </c>
      <c r="Q1527">
        <v>7.0571970996026898E-2</v>
      </c>
      <c r="R1527">
        <v>0.99756779878956103</v>
      </c>
      <c r="S1527" t="s">
        <v>6267</v>
      </c>
      <c r="T1527" t="s">
        <v>9478</v>
      </c>
      <c r="U1527" t="s">
        <v>9478</v>
      </c>
      <c r="V1527" t="s">
        <v>9478</v>
      </c>
      <c r="W1527">
        <v>8</v>
      </c>
      <c r="X1527" t="s">
        <v>11005</v>
      </c>
      <c r="Y1527">
        <v>0.45801627360823272</v>
      </c>
      <c r="Z1527" t="str">
        <f>HYPERLINK("Melting_Curves/meltCurve_sp_P62495_ERF1_HUMAN_.pdf", "Melting_Curves/meltCurve_sp_P62495_ERF1_HUMAN_.pdf")</f>
        <v>Melting_Curves/meltCurve_sp_P62495_ERF1_HUMAN_.pdf</v>
      </c>
      <c r="AA1527" t="s">
        <v>15719</v>
      </c>
      <c r="AB1527" t="s">
        <v>20361</v>
      </c>
    </row>
    <row r="1528" spans="1:28" x14ac:dyDescent="0.25">
      <c r="A1528" t="s">
        <v>1532</v>
      </c>
      <c r="B1528">
        <v>0.99904790336628502</v>
      </c>
      <c r="C1528">
        <v>0.99964773761894199</v>
      </c>
      <c r="D1528">
        <v>1.0365237552484099</v>
      </c>
      <c r="E1528">
        <v>1.03440774696986</v>
      </c>
      <c r="F1528">
        <v>1.02259713031426</v>
      </c>
      <c r="G1528">
        <v>1.0192515203321899</v>
      </c>
      <c r="H1528">
        <v>0.84216103703739198</v>
      </c>
      <c r="I1528">
        <v>0.83938945012978805</v>
      </c>
      <c r="J1528">
        <v>0.96600643980348</v>
      </c>
      <c r="K1528">
        <v>1.1019396012085001</v>
      </c>
      <c r="L1528">
        <v>5022.14741171481</v>
      </c>
      <c r="M1528">
        <v>85.962438509715199</v>
      </c>
      <c r="O1528">
        <v>58.390983748401197</v>
      </c>
      <c r="P1528">
        <v>-2.2707781994328501E-2</v>
      </c>
      <c r="Q1528">
        <v>0.93830190851929896</v>
      </c>
      <c r="R1528">
        <v>0.20629065771698199</v>
      </c>
      <c r="S1528" t="s">
        <v>6268</v>
      </c>
      <c r="T1528" t="s">
        <v>9478</v>
      </c>
      <c r="U1528" t="s">
        <v>9478</v>
      </c>
      <c r="V1528" t="s">
        <v>9478</v>
      </c>
      <c r="W1528">
        <v>5</v>
      </c>
      <c r="X1528" t="s">
        <v>11006</v>
      </c>
      <c r="Y1528">
        <v>0.97624343351531495</v>
      </c>
      <c r="Z1528" t="str">
        <f>HYPERLINK("Melting_Curves/meltCurve_sp_P62633_2_CNBP_HUMAN_.pdf", "Melting_Curves/meltCurve_sp_P62633_2_CNBP_HUMAN_.pdf")</f>
        <v>Melting_Curves/meltCurve_sp_P62633_2_CNBP_HUMAN_.pdf</v>
      </c>
      <c r="AA1528" t="s">
        <v>15720</v>
      </c>
      <c r="AB1528" t="s">
        <v>20362</v>
      </c>
    </row>
    <row r="1529" spans="1:28" x14ac:dyDescent="0.25">
      <c r="A1529" t="s">
        <v>1533</v>
      </c>
      <c r="B1529">
        <v>0.99904790336628502</v>
      </c>
      <c r="C1529">
        <v>0.97405148903216099</v>
      </c>
      <c r="D1529">
        <v>0.78751844195644505</v>
      </c>
      <c r="E1529">
        <v>0.38881832803042798</v>
      </c>
      <c r="F1529">
        <v>0.282120474454291</v>
      </c>
      <c r="G1529">
        <v>0.15119681271562799</v>
      </c>
      <c r="H1529">
        <v>8.6902744071482102E-2</v>
      </c>
      <c r="I1529">
        <v>7.81477353944941E-2</v>
      </c>
      <c r="J1529">
        <v>4.7775794344110202E-2</v>
      </c>
      <c r="K1529">
        <v>4.7450322426939202E-2</v>
      </c>
      <c r="L1529">
        <v>919.42632547883898</v>
      </c>
      <c r="M1529">
        <v>18.7988566956525</v>
      </c>
      <c r="N1529">
        <v>49.262281936285902</v>
      </c>
      <c r="O1529">
        <v>48.365281292914901</v>
      </c>
      <c r="P1529">
        <v>-9.1041314805331702E-2</v>
      </c>
      <c r="Q1529">
        <v>6.3122902310949705E-2</v>
      </c>
      <c r="R1529">
        <v>0.99476173095685505</v>
      </c>
      <c r="S1529" t="s">
        <v>6269</v>
      </c>
      <c r="T1529" t="s">
        <v>9478</v>
      </c>
      <c r="U1529" t="s">
        <v>9478</v>
      </c>
      <c r="V1529" t="s">
        <v>9478</v>
      </c>
      <c r="W1529">
        <v>3</v>
      </c>
      <c r="X1529" t="s">
        <v>11007</v>
      </c>
      <c r="Y1529">
        <v>0.35622868320601192</v>
      </c>
      <c r="Z1529" t="str">
        <f>HYPERLINK("Melting_Curves/meltCurve_sp_P62701_RS4X_HUMAN_.pdf", "Melting_Curves/meltCurve_sp_P62701_RS4X_HUMAN_.pdf")</f>
        <v>Melting_Curves/meltCurve_sp_P62701_RS4X_HUMAN_.pdf</v>
      </c>
      <c r="AA1529" t="s">
        <v>15721</v>
      </c>
      <c r="AB1529" t="s">
        <v>20363</v>
      </c>
    </row>
    <row r="1530" spans="1:28" x14ac:dyDescent="0.25">
      <c r="A1530" t="s">
        <v>1534</v>
      </c>
      <c r="B1530">
        <v>0.99904790336628502</v>
      </c>
      <c r="C1530">
        <v>1.0376092960499199</v>
      </c>
      <c r="D1530">
        <v>1.06092772370264</v>
      </c>
      <c r="E1530">
        <v>1.00829012898625</v>
      </c>
      <c r="F1530">
        <v>0.92353475122690099</v>
      </c>
      <c r="G1530">
        <v>0.52055239792536501</v>
      </c>
      <c r="H1530">
        <v>0.33323790915239698</v>
      </c>
      <c r="I1530">
        <v>0.13306628822136099</v>
      </c>
      <c r="J1530">
        <v>7.1183311752957806E-2</v>
      </c>
      <c r="K1530">
        <v>4.9414437084368802E-2</v>
      </c>
      <c r="L1530">
        <v>1261.80699741635</v>
      </c>
      <c r="M1530">
        <v>21.848238286666401</v>
      </c>
      <c r="N1530">
        <v>57.966231634061302</v>
      </c>
      <c r="O1530">
        <v>57.275958926785798</v>
      </c>
      <c r="P1530">
        <v>-9.1688320616640395E-2</v>
      </c>
      <c r="Q1530">
        <v>3.8564860619051698E-2</v>
      </c>
      <c r="R1530">
        <v>0.98937526619731098</v>
      </c>
      <c r="S1530" t="s">
        <v>6270</v>
      </c>
      <c r="T1530" t="s">
        <v>9478</v>
      </c>
      <c r="U1530" t="s">
        <v>9478</v>
      </c>
      <c r="V1530" t="s">
        <v>9478</v>
      </c>
      <c r="W1530">
        <v>18</v>
      </c>
      <c r="X1530" t="s">
        <v>11008</v>
      </c>
      <c r="Y1530">
        <v>0.61761446149041044</v>
      </c>
      <c r="Z1530" t="str">
        <f>HYPERLINK("Melting_Curves/meltCurve_sp_P62714_PP2AB_HUMAN_.pdf", "Melting_Curves/meltCurve_sp_P62714_PP2AB_HUMAN_.pdf")</f>
        <v>Melting_Curves/meltCurve_sp_P62714_PP2AB_HUMAN_.pdf</v>
      </c>
      <c r="AA1530" t="s">
        <v>15722</v>
      </c>
      <c r="AB1530" t="s">
        <v>20364</v>
      </c>
    </row>
    <row r="1531" spans="1:28" x14ac:dyDescent="0.25">
      <c r="A1531" t="s">
        <v>1535</v>
      </c>
      <c r="B1531">
        <v>0.99904790336628502</v>
      </c>
      <c r="C1531">
        <v>0.20835184159488099</v>
      </c>
      <c r="D1531">
        <v>1.16295466822397</v>
      </c>
      <c r="E1531">
        <v>1.0296929206801799</v>
      </c>
      <c r="F1531">
        <v>1.02007613312818</v>
      </c>
      <c r="G1531">
        <v>0.85596767551032804</v>
      </c>
      <c r="H1531">
        <v>0.79984239961721204</v>
      </c>
      <c r="I1531">
        <v>0.76666207176983703</v>
      </c>
      <c r="J1531">
        <v>0.83566529028676495</v>
      </c>
      <c r="K1531">
        <v>0.75130663424141997</v>
      </c>
      <c r="L1531">
        <v>5.66589252458063</v>
      </c>
      <c r="M1531">
        <v>1.0000000000000001E-5</v>
      </c>
      <c r="Q1531">
        <v>0.66829753517629398</v>
      </c>
      <c r="R1531">
        <v>4.0554732023911897E-5</v>
      </c>
      <c r="S1531" t="s">
        <v>6271</v>
      </c>
      <c r="T1531" t="s">
        <v>9478</v>
      </c>
      <c r="U1531" t="s">
        <v>9478</v>
      </c>
      <c r="V1531" t="s">
        <v>9478</v>
      </c>
      <c r="W1531">
        <v>3</v>
      </c>
      <c r="X1531" t="s">
        <v>11009</v>
      </c>
      <c r="Y1531">
        <v>0.84290360634744854</v>
      </c>
      <c r="Z1531" t="str">
        <f>HYPERLINK("Melting_Curves/meltCurve_sp_P62750_RL23A_HUMAN_.pdf", "Melting_Curves/meltCurve_sp_P62750_RL23A_HUMAN_.pdf")</f>
        <v>Melting_Curves/meltCurve_sp_P62750_RL23A_HUMAN_.pdf</v>
      </c>
      <c r="AA1531" t="s">
        <v>15723</v>
      </c>
      <c r="AB1531" t="s">
        <v>20365</v>
      </c>
    </row>
    <row r="1532" spans="1:28" x14ac:dyDescent="0.25">
      <c r="A1532" t="s">
        <v>1536</v>
      </c>
      <c r="B1532">
        <v>0.99904790336628502</v>
      </c>
      <c r="C1532">
        <v>0.91026606187174597</v>
      </c>
      <c r="D1532">
        <v>0.87443206036166599</v>
      </c>
      <c r="E1532">
        <v>0.82075192937853503</v>
      </c>
      <c r="F1532">
        <v>0.70251981205070801</v>
      </c>
      <c r="G1532">
        <v>0.44573721442400099</v>
      </c>
      <c r="H1532">
        <v>0.34578555663858701</v>
      </c>
      <c r="I1532">
        <v>0.24633198024032699</v>
      </c>
      <c r="J1532">
        <v>0.22743271813365201</v>
      </c>
      <c r="K1532">
        <v>0.18766707555340101</v>
      </c>
      <c r="L1532">
        <v>600.17334185742504</v>
      </c>
      <c r="M1532">
        <v>10.7968232702053</v>
      </c>
      <c r="N1532">
        <v>56.623757272783202</v>
      </c>
      <c r="O1532">
        <v>53.7828858744735</v>
      </c>
      <c r="P1532">
        <v>-4.5706308591911E-2</v>
      </c>
      <c r="Q1532">
        <v>8.9611142377503103E-2</v>
      </c>
      <c r="R1532">
        <v>0.98974937850466704</v>
      </c>
      <c r="S1532" t="s">
        <v>6272</v>
      </c>
      <c r="T1532" t="s">
        <v>9478</v>
      </c>
      <c r="U1532" t="s">
        <v>9478</v>
      </c>
      <c r="V1532" t="s">
        <v>9478</v>
      </c>
      <c r="W1532">
        <v>5</v>
      </c>
      <c r="X1532" t="s">
        <v>11010</v>
      </c>
      <c r="Y1532">
        <v>0.58330630591269816</v>
      </c>
      <c r="Z1532" t="str">
        <f>HYPERLINK("Melting_Curves/meltCurve_sp_P62753_RS6_HUMAN_.pdf", "Melting_Curves/meltCurve_sp_P62753_RS6_HUMAN_.pdf")</f>
        <v>Melting_Curves/meltCurve_sp_P62753_RS6_HUMAN_.pdf</v>
      </c>
      <c r="AA1532" t="s">
        <v>15724</v>
      </c>
      <c r="AB1532" t="s">
        <v>20366</v>
      </c>
    </row>
    <row r="1533" spans="1:28" x14ac:dyDescent="0.25">
      <c r="A1533" t="s">
        <v>1537</v>
      </c>
      <c r="B1533">
        <v>0.99904790336628502</v>
      </c>
      <c r="C1533">
        <v>0.99587030456619796</v>
      </c>
      <c r="D1533">
        <v>0.95584215780880799</v>
      </c>
      <c r="E1533">
        <v>0.86936085831409704</v>
      </c>
      <c r="F1533">
        <v>0.68838506286564805</v>
      </c>
      <c r="G1533">
        <v>0.42633516778095398</v>
      </c>
      <c r="H1533">
        <v>0.32753596123710399</v>
      </c>
      <c r="I1533">
        <v>0.29450026114473199</v>
      </c>
      <c r="J1533">
        <v>0.210621057047399</v>
      </c>
      <c r="K1533">
        <v>0.17747212754463401</v>
      </c>
      <c r="L1533">
        <v>890.46164165812695</v>
      </c>
      <c r="M1533">
        <v>16.311592035720501</v>
      </c>
      <c r="N1533">
        <v>56.167928563264901</v>
      </c>
      <c r="O1533">
        <v>53.790009780023503</v>
      </c>
      <c r="P1533">
        <v>-6.1886634713259503E-2</v>
      </c>
      <c r="Q1533">
        <v>0.18373616136920001</v>
      </c>
      <c r="R1533">
        <v>0.99576537273001797</v>
      </c>
      <c r="S1533" t="s">
        <v>6273</v>
      </c>
      <c r="T1533" t="s">
        <v>9478</v>
      </c>
      <c r="U1533" t="s">
        <v>9478</v>
      </c>
      <c r="V1533" t="s">
        <v>9478</v>
      </c>
      <c r="W1533">
        <v>9</v>
      </c>
      <c r="X1533" t="s">
        <v>11011</v>
      </c>
      <c r="Y1533">
        <v>0.59535978451897698</v>
      </c>
      <c r="Z1533" t="str">
        <f>HYPERLINK("Melting_Curves/meltCurve_sp_P62760_VISL1_HUMAN_.pdf", "Melting_Curves/meltCurve_sp_P62760_VISL1_HUMAN_.pdf")</f>
        <v>Melting_Curves/meltCurve_sp_P62760_VISL1_HUMAN_.pdf</v>
      </c>
      <c r="AA1533" t="s">
        <v>15725</v>
      </c>
      <c r="AB1533" t="s">
        <v>20367</v>
      </c>
    </row>
    <row r="1534" spans="1:28" x14ac:dyDescent="0.25">
      <c r="A1534" t="s">
        <v>1538</v>
      </c>
      <c r="B1534">
        <v>0.99904790336628502</v>
      </c>
      <c r="C1534">
        <v>0.97148869757610401</v>
      </c>
      <c r="D1534">
        <v>1.05772109919319</v>
      </c>
      <c r="E1534">
        <v>0.54646138520916199</v>
      </c>
      <c r="F1534">
        <v>0.336159194833835</v>
      </c>
      <c r="G1534">
        <v>0.16799268464275199</v>
      </c>
      <c r="H1534">
        <v>9.7727469295569705E-2</v>
      </c>
      <c r="I1534">
        <v>6.9080213742330199E-2</v>
      </c>
      <c r="J1534">
        <v>6.1672068764117197E-2</v>
      </c>
      <c r="K1534">
        <v>4.85968334704939E-2</v>
      </c>
      <c r="L1534">
        <v>1309.35436036699</v>
      </c>
      <c r="M1534">
        <v>25.855326007653002</v>
      </c>
      <c r="N1534">
        <v>50.970566957360496</v>
      </c>
      <c r="O1534">
        <v>50.341519211789603</v>
      </c>
      <c r="P1534">
        <v>-0.118533198927737</v>
      </c>
      <c r="Q1534">
        <v>7.6851880499105907E-2</v>
      </c>
      <c r="R1534">
        <v>0.98510313187456999</v>
      </c>
      <c r="S1534" t="s">
        <v>6274</v>
      </c>
      <c r="T1534" t="s">
        <v>9478</v>
      </c>
      <c r="U1534" t="s">
        <v>9478</v>
      </c>
      <c r="V1534" t="s">
        <v>9478</v>
      </c>
      <c r="W1534">
        <v>3</v>
      </c>
      <c r="X1534" t="s">
        <v>11012</v>
      </c>
      <c r="Y1534">
        <v>0.41208025197421061</v>
      </c>
      <c r="Z1534" t="str">
        <f>HYPERLINK("Melting_Curves/meltCurve_sp_P62805_H4_HUMAN_.pdf", "Melting_Curves/meltCurve_sp_P62805_H4_HUMAN_.pdf")</f>
        <v>Melting_Curves/meltCurve_sp_P62805_H4_HUMAN_.pdf</v>
      </c>
      <c r="AA1534" t="s">
        <v>15726</v>
      </c>
      <c r="AB1534" t="s">
        <v>20368</v>
      </c>
    </row>
    <row r="1535" spans="1:28" x14ac:dyDescent="0.25">
      <c r="A1535" t="s">
        <v>1539</v>
      </c>
      <c r="B1535">
        <v>0.99904790336628502</v>
      </c>
      <c r="C1535">
        <v>0.77071758281854497</v>
      </c>
      <c r="D1535">
        <v>0.78152812405885097</v>
      </c>
      <c r="E1535">
        <v>0.72919938333133705</v>
      </c>
      <c r="F1535">
        <v>0.52922320639102904</v>
      </c>
      <c r="G1535">
        <v>0.355722588198427</v>
      </c>
      <c r="H1535">
        <v>0.273085265404512</v>
      </c>
      <c r="I1535">
        <v>0.202805851201001</v>
      </c>
      <c r="J1535">
        <v>0.148329754514195</v>
      </c>
      <c r="K1535">
        <v>6.8634680010089905E-2</v>
      </c>
      <c r="L1535">
        <v>457.24668269812599</v>
      </c>
      <c r="M1535">
        <v>8.5346633244759307</v>
      </c>
      <c r="N1535">
        <v>53.57524512626</v>
      </c>
      <c r="O1535">
        <v>50.8769389872555</v>
      </c>
      <c r="P1535">
        <v>-4.1974999954786499E-2</v>
      </c>
      <c r="Q1535">
        <v>0</v>
      </c>
      <c r="R1535">
        <v>0.96990462273138101</v>
      </c>
      <c r="S1535" t="s">
        <v>6275</v>
      </c>
      <c r="T1535" t="s">
        <v>9478</v>
      </c>
      <c r="U1535" t="s">
        <v>9478</v>
      </c>
      <c r="V1535" t="s">
        <v>9478</v>
      </c>
      <c r="W1535">
        <v>5</v>
      </c>
      <c r="X1535" t="s">
        <v>11013</v>
      </c>
      <c r="Y1535">
        <v>0.48812626883052979</v>
      </c>
      <c r="Z1535" t="str">
        <f>HYPERLINK("Melting_Curves/meltCurve_sp_P62807_H2B1C_HUMAN_.pdf", "Melting_Curves/meltCurve_sp_P62807_H2B1C_HUMAN_.pdf")</f>
        <v>Melting_Curves/meltCurve_sp_P62807_H2B1C_HUMAN_.pdf</v>
      </c>
      <c r="AA1535" t="s">
        <v>15727</v>
      </c>
      <c r="AB1535" t="s">
        <v>20369</v>
      </c>
    </row>
    <row r="1536" spans="1:28" x14ac:dyDescent="0.25">
      <c r="A1536" t="s">
        <v>1540</v>
      </c>
      <c r="B1536">
        <v>0.99904790336628502</v>
      </c>
      <c r="C1536">
        <v>1.04012239834877</v>
      </c>
      <c r="D1536">
        <v>0.968216327651095</v>
      </c>
      <c r="E1536">
        <v>0.77649099965342006</v>
      </c>
      <c r="F1536">
        <v>0.56301393702430302</v>
      </c>
      <c r="G1536">
        <v>0.186246383033775</v>
      </c>
      <c r="H1536">
        <v>8.8421914402515803E-2</v>
      </c>
      <c r="I1536">
        <v>6.2935779002226494E-2</v>
      </c>
      <c r="J1536">
        <v>4.5048884741691102E-2</v>
      </c>
      <c r="K1536">
        <v>3.1906442418329399E-2</v>
      </c>
      <c r="L1536">
        <v>1158.9150393300699</v>
      </c>
      <c r="M1536">
        <v>21.799657332469302</v>
      </c>
      <c r="N1536">
        <v>53.315929813095103</v>
      </c>
      <c r="O1536">
        <v>52.720784931372698</v>
      </c>
      <c r="P1536">
        <v>-0.100224179501747</v>
      </c>
      <c r="Q1536">
        <v>3.0484741337767199E-2</v>
      </c>
      <c r="R1536">
        <v>0.997299134455222</v>
      </c>
      <c r="S1536" t="s">
        <v>6276</v>
      </c>
      <c r="T1536" t="s">
        <v>9478</v>
      </c>
      <c r="U1536" t="s">
        <v>9478</v>
      </c>
      <c r="V1536" t="s">
        <v>9478</v>
      </c>
      <c r="W1536">
        <v>13</v>
      </c>
      <c r="X1536" t="s">
        <v>11014</v>
      </c>
      <c r="Y1536">
        <v>0.46731530675551453</v>
      </c>
      <c r="Z1536" t="str">
        <f>HYPERLINK("Melting_Curves/meltCurve_sp_P62820_RAB1A_HUMAN_.pdf", "Melting_Curves/meltCurve_sp_P62820_RAB1A_HUMAN_.pdf")</f>
        <v>Melting_Curves/meltCurve_sp_P62820_RAB1A_HUMAN_.pdf</v>
      </c>
      <c r="AA1536" t="s">
        <v>15728</v>
      </c>
      <c r="AB1536" t="s">
        <v>20370</v>
      </c>
    </row>
    <row r="1537" spans="1:28" x14ac:dyDescent="0.25">
      <c r="A1537" t="s">
        <v>1541</v>
      </c>
      <c r="B1537">
        <v>0.99904790336628502</v>
      </c>
      <c r="C1537">
        <v>0.92125566877669596</v>
      </c>
      <c r="D1537">
        <v>0.87176539113081397</v>
      </c>
      <c r="E1537">
        <v>0.83541259996087203</v>
      </c>
      <c r="F1537">
        <v>0.71630424098652501</v>
      </c>
      <c r="G1537">
        <v>0.37321075261891101</v>
      </c>
      <c r="H1537">
        <v>9.8391537767422599E-2</v>
      </c>
      <c r="I1537">
        <v>4.8547754170876201E-2</v>
      </c>
      <c r="J1537">
        <v>3.577924538242E-2</v>
      </c>
      <c r="K1537">
        <v>3.0866633680671499E-2</v>
      </c>
      <c r="L1537">
        <v>1006.45659552163</v>
      </c>
      <c r="M1537">
        <v>18.2643555397018</v>
      </c>
      <c r="N1537">
        <v>55.104960294362002</v>
      </c>
      <c r="O1537">
        <v>54.457111383430203</v>
      </c>
      <c r="P1537">
        <v>-8.3851336189634307E-2</v>
      </c>
      <c r="Q1537">
        <v>0</v>
      </c>
      <c r="R1537">
        <v>0.98575816580119502</v>
      </c>
      <c r="S1537" t="s">
        <v>6277</v>
      </c>
      <c r="T1537" t="s">
        <v>9478</v>
      </c>
      <c r="U1537" t="s">
        <v>9478</v>
      </c>
      <c r="V1537" t="s">
        <v>9478</v>
      </c>
      <c r="W1537">
        <v>9</v>
      </c>
      <c r="X1537" t="s">
        <v>11015</v>
      </c>
      <c r="Y1537">
        <v>0.51860314482543146</v>
      </c>
      <c r="Z1537" t="str">
        <f>HYPERLINK("Melting_Curves/meltCurve_sp_P62826_RAN_HUMAN_.pdf", "Melting_Curves/meltCurve_sp_P62826_RAN_HUMAN_.pdf")</f>
        <v>Melting_Curves/meltCurve_sp_P62826_RAN_HUMAN_.pdf</v>
      </c>
      <c r="AA1537" t="s">
        <v>15729</v>
      </c>
      <c r="AB1537" t="s">
        <v>20371</v>
      </c>
    </row>
    <row r="1538" spans="1:28" x14ac:dyDescent="0.25">
      <c r="A1538" t="s">
        <v>1542</v>
      </c>
      <c r="B1538">
        <v>0.99904790336628502</v>
      </c>
      <c r="C1538">
        <v>1.08050824924946</v>
      </c>
      <c r="D1538">
        <v>0.88394985465616505</v>
      </c>
      <c r="E1538">
        <v>0.80299899770088501</v>
      </c>
      <c r="F1538">
        <v>0.58712522733598804</v>
      </c>
      <c r="G1538">
        <v>0.47182730820786001</v>
      </c>
      <c r="H1538">
        <v>0.34439797085352902</v>
      </c>
      <c r="I1538">
        <v>0.40362908065885</v>
      </c>
      <c r="J1538">
        <v>0.32633577936389901</v>
      </c>
      <c r="K1538">
        <v>0.40062765457322602</v>
      </c>
      <c r="L1538">
        <v>1002.17182866998</v>
      </c>
      <c r="M1538">
        <v>19.4009887798607</v>
      </c>
      <c r="N1538">
        <v>55.256335752932003</v>
      </c>
      <c r="O1538">
        <v>51.116290048783199</v>
      </c>
      <c r="P1538">
        <v>-6.0846405386632697E-2</v>
      </c>
      <c r="Q1538">
        <v>0.35876910298012399</v>
      </c>
      <c r="R1538">
        <v>0.97321726341411496</v>
      </c>
      <c r="S1538" t="s">
        <v>6278</v>
      </c>
      <c r="T1538" t="s">
        <v>9478</v>
      </c>
      <c r="U1538" t="s">
        <v>9478</v>
      </c>
      <c r="V1538" t="s">
        <v>9478</v>
      </c>
      <c r="W1538">
        <v>2</v>
      </c>
      <c r="X1538" t="s">
        <v>11016</v>
      </c>
      <c r="Y1538">
        <v>0.61729012570132902</v>
      </c>
      <c r="Z1538" t="str">
        <f>HYPERLINK("Melting_Curves/meltCurve_sp_P62829_RL23_HUMAN_.pdf", "Melting_Curves/meltCurve_sp_P62829_RL23_HUMAN_.pdf")</f>
        <v>Melting_Curves/meltCurve_sp_P62829_RL23_HUMAN_.pdf</v>
      </c>
      <c r="AA1538" t="s">
        <v>15730</v>
      </c>
      <c r="AB1538" t="s">
        <v>20372</v>
      </c>
    </row>
    <row r="1539" spans="1:28" x14ac:dyDescent="0.25">
      <c r="A1539" t="s">
        <v>1543</v>
      </c>
      <c r="B1539">
        <v>0.99904790336628502</v>
      </c>
      <c r="C1539">
        <v>0.85354206133994304</v>
      </c>
      <c r="D1539">
        <v>0.67336595746623595</v>
      </c>
      <c r="E1539">
        <v>0.38289235804522997</v>
      </c>
      <c r="F1539">
        <v>0.215314866842099</v>
      </c>
      <c r="G1539">
        <v>0.117478071853144</v>
      </c>
      <c r="H1539">
        <v>7.0982190315372201E-2</v>
      </c>
      <c r="I1539">
        <v>4.7115526472800102E-2</v>
      </c>
      <c r="J1539">
        <v>3.7445779887917703E-2</v>
      </c>
      <c r="K1539">
        <v>2.9046012877220299E-2</v>
      </c>
      <c r="L1539">
        <v>733.43852589925405</v>
      </c>
      <c r="M1539">
        <v>15.2399897114613</v>
      </c>
      <c r="N1539">
        <v>48.302760630211303</v>
      </c>
      <c r="O1539">
        <v>47.320113768829202</v>
      </c>
      <c r="P1539">
        <v>-7.8338177528535294E-2</v>
      </c>
      <c r="Q1539">
        <v>2.7133328997465601E-2</v>
      </c>
      <c r="R1539">
        <v>0.99826249348451701</v>
      </c>
      <c r="S1539" t="s">
        <v>6279</v>
      </c>
      <c r="T1539" t="s">
        <v>9478</v>
      </c>
      <c r="U1539" t="s">
        <v>9478</v>
      </c>
      <c r="V1539" t="s">
        <v>9478</v>
      </c>
      <c r="W1539">
        <v>10</v>
      </c>
      <c r="X1539" t="s">
        <v>11017</v>
      </c>
      <c r="Y1539">
        <v>0.31476966123117162</v>
      </c>
      <c r="Z1539" t="str">
        <f>HYPERLINK("Melting_Curves/meltCurve_sp_P62834_RAP1A_HUMAN_.pdf", "Melting_Curves/meltCurve_sp_P62834_RAP1A_HUMAN_.pdf")</f>
        <v>Melting_Curves/meltCurve_sp_P62834_RAP1A_HUMAN_.pdf</v>
      </c>
      <c r="AA1539" t="s">
        <v>15731</v>
      </c>
      <c r="AB1539" t="s">
        <v>20373</v>
      </c>
    </row>
    <row r="1540" spans="1:28" x14ac:dyDescent="0.25">
      <c r="A1540" t="s">
        <v>1544</v>
      </c>
      <c r="B1540">
        <v>0.99904790336628502</v>
      </c>
      <c r="C1540">
        <v>0.90791643727964799</v>
      </c>
      <c r="D1540">
        <v>0.97647565230308397</v>
      </c>
      <c r="E1540">
        <v>1.17642027625505</v>
      </c>
      <c r="F1540">
        <v>0.74920779709112395</v>
      </c>
      <c r="G1540">
        <v>1.2436457604445701</v>
      </c>
      <c r="H1540">
        <v>0.58224266694773197</v>
      </c>
      <c r="I1540">
        <v>0.20494555836310699</v>
      </c>
      <c r="J1540">
        <v>7.5532846994334005E-2</v>
      </c>
      <c r="K1540">
        <v>8.3535460948663903E-2</v>
      </c>
      <c r="L1540">
        <v>4127.5282235553404</v>
      </c>
      <c r="M1540">
        <v>67.447299450164905</v>
      </c>
      <c r="N1540">
        <v>61.405515308635202</v>
      </c>
      <c r="O1540">
        <v>61.142599645980297</v>
      </c>
      <c r="P1540">
        <v>-0.247474437366248</v>
      </c>
      <c r="Q1540">
        <v>0.10263388276134</v>
      </c>
      <c r="R1540">
        <v>0.90335399675219596</v>
      </c>
      <c r="S1540" t="s">
        <v>6280</v>
      </c>
      <c r="T1540" t="s">
        <v>9478</v>
      </c>
      <c r="U1540" t="s">
        <v>9478</v>
      </c>
      <c r="V1540" t="s">
        <v>9478</v>
      </c>
      <c r="W1540">
        <v>4</v>
      </c>
      <c r="X1540" t="s">
        <v>11018</v>
      </c>
      <c r="Y1540">
        <v>0.73798352141249002</v>
      </c>
      <c r="Z1540" t="str">
        <f>HYPERLINK("Melting_Curves/meltCurve_sp_P62837_UB2D2_HUMAN_.pdf", "Melting_Curves/meltCurve_sp_P62837_UB2D2_HUMAN_.pdf")</f>
        <v>Melting_Curves/meltCurve_sp_P62837_UB2D2_HUMAN_.pdf</v>
      </c>
      <c r="AA1540" t="s">
        <v>15732</v>
      </c>
      <c r="AB1540" t="s">
        <v>20374</v>
      </c>
    </row>
    <row r="1541" spans="1:28" x14ac:dyDescent="0.25">
      <c r="A1541" t="s">
        <v>1545</v>
      </c>
      <c r="B1541">
        <v>0.99904790336628502</v>
      </c>
      <c r="C1541">
        <v>0.96776590806814</v>
      </c>
      <c r="D1541">
        <v>0.84627074006814496</v>
      </c>
      <c r="E1541">
        <v>0.85608327964157804</v>
      </c>
      <c r="F1541">
        <v>0.64388718590821103</v>
      </c>
      <c r="G1541">
        <v>0.34828112873783001</v>
      </c>
      <c r="H1541">
        <v>0.16627525346452701</v>
      </c>
      <c r="I1541">
        <v>0.13280449290587401</v>
      </c>
      <c r="J1541">
        <v>0.113692632217799</v>
      </c>
      <c r="K1541">
        <v>7.6626621444301199E-2</v>
      </c>
      <c r="L1541">
        <v>866.41925386106197</v>
      </c>
      <c r="M1541">
        <v>15.9108208199389</v>
      </c>
      <c r="N1541">
        <v>54.803163378832799</v>
      </c>
      <c r="O1541">
        <v>53.616290712769903</v>
      </c>
      <c r="P1541">
        <v>-7.0625049567483597E-2</v>
      </c>
      <c r="Q1541">
        <v>4.8107029272175597E-2</v>
      </c>
      <c r="R1541">
        <v>0.98883415245691197</v>
      </c>
      <c r="S1541" t="s">
        <v>6281</v>
      </c>
      <c r="T1541" t="s">
        <v>9478</v>
      </c>
      <c r="U1541" t="s">
        <v>9478</v>
      </c>
      <c r="V1541" t="s">
        <v>9478</v>
      </c>
      <c r="W1541">
        <v>1</v>
      </c>
      <c r="X1541" t="s">
        <v>11019</v>
      </c>
      <c r="Y1541">
        <v>0.52447268509207878</v>
      </c>
      <c r="Z1541" t="str">
        <f>HYPERLINK("Melting_Curves/meltCurve_sp_P62851_RS25_HUMAN_.pdf", "Melting_Curves/meltCurve_sp_P62851_RS25_HUMAN_.pdf")</f>
        <v>Melting_Curves/meltCurve_sp_P62851_RS25_HUMAN_.pdf</v>
      </c>
      <c r="AA1541" t="s">
        <v>15733</v>
      </c>
      <c r="AB1541" t="s">
        <v>20375</v>
      </c>
    </row>
    <row r="1542" spans="1:28" x14ac:dyDescent="0.25">
      <c r="A1542" t="s">
        <v>1546</v>
      </c>
      <c r="B1542">
        <v>0.99904790336628502</v>
      </c>
      <c r="C1542">
        <v>0.84867368986902103</v>
      </c>
      <c r="D1542">
        <v>0.55631004962118302</v>
      </c>
      <c r="E1542">
        <v>0.38682581654569598</v>
      </c>
      <c r="F1542">
        <v>0.27183315959492099</v>
      </c>
      <c r="G1542">
        <v>0.20444726395519999</v>
      </c>
      <c r="H1542">
        <v>0.118031624261734</v>
      </c>
      <c r="I1542">
        <v>0.103642753459304</v>
      </c>
      <c r="J1542">
        <v>4.7094270572168799E-2</v>
      </c>
      <c r="K1542">
        <v>3.06168533699114E-2</v>
      </c>
      <c r="L1542">
        <v>614.51769466308099</v>
      </c>
      <c r="M1542">
        <v>12.905716356953301</v>
      </c>
      <c r="N1542">
        <v>48.042919651328504</v>
      </c>
      <c r="O1542">
        <v>46.5161592954776</v>
      </c>
      <c r="P1542">
        <v>-6.5614944163435399E-2</v>
      </c>
      <c r="Q1542">
        <v>5.4186380301845902E-2</v>
      </c>
      <c r="R1542">
        <v>0.983071236032938</v>
      </c>
      <c r="S1542" t="s">
        <v>6282</v>
      </c>
      <c r="T1542" t="s">
        <v>9478</v>
      </c>
      <c r="U1542" t="s">
        <v>9478</v>
      </c>
      <c r="V1542" t="s">
        <v>9478</v>
      </c>
      <c r="W1542">
        <v>2</v>
      </c>
      <c r="X1542" t="s">
        <v>11020</v>
      </c>
      <c r="Y1542">
        <v>0.32753486081702998</v>
      </c>
      <c r="Z1542" t="str">
        <f>HYPERLINK("Melting_Curves/meltCurve_sp_P62854_RS26_HUMAN_.pdf", "Melting_Curves/meltCurve_sp_P62854_RS26_HUMAN_.pdf")</f>
        <v>Melting_Curves/meltCurve_sp_P62854_RS26_HUMAN_.pdf</v>
      </c>
      <c r="AA1542" t="s">
        <v>15734</v>
      </c>
      <c r="AB1542" t="s">
        <v>20376</v>
      </c>
    </row>
    <row r="1543" spans="1:28" x14ac:dyDescent="0.25">
      <c r="A1543" t="s">
        <v>1547</v>
      </c>
      <c r="B1543">
        <v>0.99904790336628502</v>
      </c>
      <c r="C1543">
        <v>0.95461151907808495</v>
      </c>
      <c r="D1543">
        <v>0.95180366777254199</v>
      </c>
      <c r="E1543">
        <v>0.81694614962909495</v>
      </c>
      <c r="F1543">
        <v>0.75621311070508002</v>
      </c>
      <c r="G1543">
        <v>0.52422983173587001</v>
      </c>
      <c r="H1543">
        <v>0.46561973164041598</v>
      </c>
      <c r="I1543">
        <v>0.37864304971639601</v>
      </c>
      <c r="J1543">
        <v>0.39380123257349198</v>
      </c>
      <c r="K1543">
        <v>0.41331629021892002</v>
      </c>
      <c r="L1543">
        <v>814.25789951265904</v>
      </c>
      <c r="M1543">
        <v>15.1814227010653</v>
      </c>
      <c r="N1543">
        <v>58.718437145874702</v>
      </c>
      <c r="O1543">
        <v>52.7303700196534</v>
      </c>
      <c r="P1543">
        <v>-4.5661808318989999E-2</v>
      </c>
      <c r="Q1543">
        <v>0.36566390490307099</v>
      </c>
      <c r="R1543">
        <v>0.98863056118461501</v>
      </c>
      <c r="S1543" t="s">
        <v>6283</v>
      </c>
      <c r="T1543" t="s">
        <v>9478</v>
      </c>
      <c r="U1543" t="s">
        <v>9478</v>
      </c>
      <c r="V1543" t="s">
        <v>9478</v>
      </c>
      <c r="W1543">
        <v>3</v>
      </c>
      <c r="X1543" t="s">
        <v>11021</v>
      </c>
      <c r="Y1543">
        <v>0.66702791550592577</v>
      </c>
      <c r="Z1543" t="str">
        <f>HYPERLINK("Melting_Curves/meltCurve_sp_P62857_RS28_HUMAN_.pdf", "Melting_Curves/meltCurve_sp_P62857_RS28_HUMAN_.pdf")</f>
        <v>Melting_Curves/meltCurve_sp_P62857_RS28_HUMAN_.pdf</v>
      </c>
      <c r="AA1543" t="s">
        <v>15735</v>
      </c>
      <c r="AB1543" t="s">
        <v>20377</v>
      </c>
    </row>
    <row r="1544" spans="1:28" x14ac:dyDescent="0.25">
      <c r="A1544" t="s">
        <v>1548</v>
      </c>
      <c r="B1544">
        <v>0.99904790336628502</v>
      </c>
      <c r="C1544">
        <v>0.97049358995791202</v>
      </c>
      <c r="D1544">
        <v>0.96059571640760699</v>
      </c>
      <c r="E1544">
        <v>0.65716703113863295</v>
      </c>
      <c r="F1544">
        <v>0.35958542799855098</v>
      </c>
      <c r="G1544">
        <v>0.154649784604969</v>
      </c>
      <c r="H1544">
        <v>8.6723171000526303E-2</v>
      </c>
      <c r="I1544">
        <v>7.5190689658023599E-2</v>
      </c>
      <c r="J1544">
        <v>5.5483677943936903E-2</v>
      </c>
      <c r="K1544">
        <v>4.88860919429734E-2</v>
      </c>
      <c r="L1544">
        <v>1175.4745714272001</v>
      </c>
      <c r="M1544">
        <v>22.918317068505502</v>
      </c>
      <c r="N1544">
        <v>51.567640814453704</v>
      </c>
      <c r="O1544">
        <v>50.904013463867798</v>
      </c>
      <c r="P1544">
        <v>-0.10602008169999901</v>
      </c>
      <c r="Q1544">
        <v>5.8090094159674498E-2</v>
      </c>
      <c r="R1544">
        <v>0.99914328065515101</v>
      </c>
      <c r="S1544" t="s">
        <v>6284</v>
      </c>
      <c r="T1544" t="s">
        <v>9478</v>
      </c>
      <c r="U1544" t="s">
        <v>9478</v>
      </c>
      <c r="V1544" t="s">
        <v>9478</v>
      </c>
      <c r="W1544">
        <v>3</v>
      </c>
      <c r="X1544" t="s">
        <v>11022</v>
      </c>
      <c r="Y1544">
        <v>0.42265769275420129</v>
      </c>
      <c r="Z1544" t="str">
        <f>HYPERLINK("Melting_Curves/meltCurve_sp_P62873_GBB1_HUMAN_.pdf", "Melting_Curves/meltCurve_sp_P62873_GBB1_HUMAN_.pdf")</f>
        <v>Melting_Curves/meltCurve_sp_P62873_GBB1_HUMAN_.pdf</v>
      </c>
      <c r="AA1544" t="s">
        <v>15736</v>
      </c>
      <c r="AB1544" t="s">
        <v>20378</v>
      </c>
    </row>
    <row r="1545" spans="1:28" x14ac:dyDescent="0.25">
      <c r="A1545" t="s">
        <v>1549</v>
      </c>
      <c r="B1545">
        <v>0.99904790336628502</v>
      </c>
      <c r="C1545">
        <v>0.99916384311054696</v>
      </c>
      <c r="D1545">
        <v>0.98839052588018905</v>
      </c>
      <c r="E1545">
        <v>0.78707723919788497</v>
      </c>
      <c r="F1545">
        <v>0.69229106028592302</v>
      </c>
      <c r="G1545">
        <v>0.44762282000298798</v>
      </c>
      <c r="H1545">
        <v>0.46425930133121501</v>
      </c>
      <c r="I1545">
        <v>0.60063551390931402</v>
      </c>
      <c r="J1545">
        <v>0.96792376225045196</v>
      </c>
      <c r="K1545">
        <v>1.20709215158826</v>
      </c>
      <c r="L1545">
        <v>12434.1993510379</v>
      </c>
      <c r="M1545">
        <v>250</v>
      </c>
      <c r="O1545">
        <v>49.733614666462898</v>
      </c>
      <c r="P1545">
        <v>-0.33934447127392398</v>
      </c>
      <c r="Q1545">
        <v>0.72997076601479105</v>
      </c>
      <c r="R1545">
        <v>0.23854777257184001</v>
      </c>
      <c r="S1545" t="s">
        <v>6285</v>
      </c>
      <c r="T1545" t="s">
        <v>9478</v>
      </c>
      <c r="U1545" t="s">
        <v>9478</v>
      </c>
      <c r="V1545" t="s">
        <v>9478</v>
      </c>
      <c r="W1545">
        <v>2</v>
      </c>
      <c r="X1545" t="s">
        <v>11023</v>
      </c>
      <c r="Y1545">
        <v>0.81763500095607067</v>
      </c>
      <c r="Z1545" t="str">
        <f>HYPERLINK("Melting_Curves/meltCurve_sp_P62877_RBX1_HUMAN_.pdf", "Melting_Curves/meltCurve_sp_P62877_RBX1_HUMAN_.pdf")</f>
        <v>Melting_Curves/meltCurve_sp_P62877_RBX1_HUMAN_.pdf</v>
      </c>
      <c r="AA1545" t="s">
        <v>15737</v>
      </c>
      <c r="AB1545" t="s">
        <v>20379</v>
      </c>
    </row>
    <row r="1546" spans="1:28" x14ac:dyDescent="0.25">
      <c r="A1546" t="s">
        <v>1550</v>
      </c>
      <c r="B1546">
        <v>0.99904790336628502</v>
      </c>
      <c r="C1546">
        <v>0.88187819475894502</v>
      </c>
      <c r="D1546">
        <v>0.73386678911032099</v>
      </c>
      <c r="E1546">
        <v>0.46491188355837199</v>
      </c>
      <c r="F1546">
        <v>0.28308566447424399</v>
      </c>
      <c r="G1546">
        <v>0.208871182688674</v>
      </c>
      <c r="H1546">
        <v>9.6236037651706699E-2</v>
      </c>
      <c r="I1546">
        <v>4.7609594482445103E-2</v>
      </c>
      <c r="J1546">
        <v>2.9974254361812201E-2</v>
      </c>
      <c r="K1546">
        <v>2.8888933836244999E-2</v>
      </c>
      <c r="L1546">
        <v>651.08406010123701</v>
      </c>
      <c r="M1546">
        <v>13.151867308211299</v>
      </c>
      <c r="N1546">
        <v>49.599152377895599</v>
      </c>
      <c r="O1546">
        <v>48.402505351258398</v>
      </c>
      <c r="P1546">
        <v>-6.7104131613211299E-2</v>
      </c>
      <c r="Q1546">
        <v>1.2319799937735E-2</v>
      </c>
      <c r="R1546">
        <v>0.99607200465263501</v>
      </c>
      <c r="S1546" t="s">
        <v>6286</v>
      </c>
      <c r="T1546" t="s">
        <v>9478</v>
      </c>
      <c r="U1546" t="s">
        <v>9478</v>
      </c>
      <c r="V1546" t="s">
        <v>9478</v>
      </c>
      <c r="W1546">
        <v>1</v>
      </c>
      <c r="X1546" t="s">
        <v>11024</v>
      </c>
      <c r="Y1546">
        <v>0.35547036253256831</v>
      </c>
      <c r="Z1546" t="str">
        <f>HYPERLINK("Melting_Curves/meltCurve_sp_P62913_2_RL11_HUMAN_.pdf", "Melting_Curves/meltCurve_sp_P62913_2_RL11_HUMAN_.pdf")</f>
        <v>Melting_Curves/meltCurve_sp_P62913_2_RL11_HUMAN_.pdf</v>
      </c>
      <c r="AA1546" t="s">
        <v>15738</v>
      </c>
      <c r="AB1546" t="s">
        <v>20380</v>
      </c>
    </row>
    <row r="1547" spans="1:28" x14ac:dyDescent="0.25">
      <c r="A1547" t="s">
        <v>1551</v>
      </c>
      <c r="B1547">
        <v>0.99904790336628502</v>
      </c>
      <c r="C1547">
        <v>0.96156901162142305</v>
      </c>
      <c r="D1547">
        <v>0.92555571309991003</v>
      </c>
      <c r="E1547">
        <v>0.89795273442852697</v>
      </c>
      <c r="F1547">
        <v>0.929229729110429</v>
      </c>
      <c r="G1547">
        <v>0.71675030627827996</v>
      </c>
      <c r="H1547">
        <v>0.61801224768957197</v>
      </c>
      <c r="I1547">
        <v>0.54368698054532805</v>
      </c>
      <c r="J1547">
        <v>0.56424092454074803</v>
      </c>
      <c r="K1547">
        <v>0.46106252830790501</v>
      </c>
      <c r="L1547">
        <v>637.92694902771598</v>
      </c>
      <c r="M1547">
        <v>10.878386903028099</v>
      </c>
      <c r="N1547">
        <v>68.175929687406096</v>
      </c>
      <c r="O1547">
        <v>56.764419242508701</v>
      </c>
      <c r="P1547">
        <v>-2.9197773814326301E-2</v>
      </c>
      <c r="Q1547">
        <v>0.39078789729965302</v>
      </c>
      <c r="R1547">
        <v>0.96493448907610702</v>
      </c>
      <c r="S1547" t="s">
        <v>6287</v>
      </c>
      <c r="T1547" t="s">
        <v>9478</v>
      </c>
      <c r="U1547" t="s">
        <v>9478</v>
      </c>
      <c r="V1547" t="s">
        <v>9478</v>
      </c>
      <c r="W1547">
        <v>7</v>
      </c>
      <c r="X1547" t="s">
        <v>11025</v>
      </c>
      <c r="Y1547">
        <v>0.77414543941267333</v>
      </c>
      <c r="Z1547" t="str">
        <f>HYPERLINK("Melting_Curves/meltCurve_sp_P62942_FKB1A_HUMAN_.pdf", "Melting_Curves/meltCurve_sp_P62942_FKB1A_HUMAN_.pdf")</f>
        <v>Melting_Curves/meltCurve_sp_P62942_FKB1A_HUMAN_.pdf</v>
      </c>
      <c r="AA1547" t="s">
        <v>15739</v>
      </c>
      <c r="AB1547" t="s">
        <v>20381</v>
      </c>
    </row>
    <row r="1548" spans="1:28" x14ac:dyDescent="0.25">
      <c r="A1548" t="s">
        <v>1552</v>
      </c>
      <c r="B1548">
        <v>0.99904790336628502</v>
      </c>
      <c r="C1548">
        <v>1.0602563744259099</v>
      </c>
      <c r="D1548">
        <v>0.97419741280821903</v>
      </c>
      <c r="E1548">
        <v>1.0081284999931099</v>
      </c>
      <c r="F1548">
        <v>0.927025052056756</v>
      </c>
      <c r="G1548">
        <v>0.77928513753567097</v>
      </c>
      <c r="H1548">
        <v>0.24241442669235899</v>
      </c>
      <c r="I1548">
        <v>0.13956181565887599</v>
      </c>
      <c r="J1548">
        <v>9.2003462076922699E-2</v>
      </c>
      <c r="K1548">
        <v>8.19977530079989E-2</v>
      </c>
      <c r="L1548">
        <v>2204.3751670117199</v>
      </c>
      <c r="M1548">
        <v>37.605570607138503</v>
      </c>
      <c r="N1548">
        <v>58.911902114084398</v>
      </c>
      <c r="O1548">
        <v>58.453290573700997</v>
      </c>
      <c r="P1548">
        <v>-0.14709344784035899</v>
      </c>
      <c r="Q1548">
        <v>8.5446853842560996E-2</v>
      </c>
      <c r="R1548">
        <v>0.99506709457773401</v>
      </c>
      <c r="S1548" t="s">
        <v>6288</v>
      </c>
      <c r="T1548" t="s">
        <v>9478</v>
      </c>
      <c r="U1548" t="s">
        <v>9478</v>
      </c>
      <c r="V1548" t="s">
        <v>9478</v>
      </c>
      <c r="W1548">
        <v>10</v>
      </c>
      <c r="X1548" t="s">
        <v>11026</v>
      </c>
      <c r="Y1548">
        <v>0.65706663901388607</v>
      </c>
      <c r="Z1548" t="str">
        <f>HYPERLINK("Melting_Curves/meltCurve_sp_P62993_GRB2_HUMAN_.pdf", "Melting_Curves/meltCurve_sp_P62993_GRB2_HUMAN_.pdf")</f>
        <v>Melting_Curves/meltCurve_sp_P62993_GRB2_HUMAN_.pdf</v>
      </c>
      <c r="AA1548" t="s">
        <v>15740</v>
      </c>
      <c r="AB1548" t="s">
        <v>20382</v>
      </c>
    </row>
    <row r="1549" spans="1:28" x14ac:dyDescent="0.25">
      <c r="A1549" t="s">
        <v>1553</v>
      </c>
      <c r="B1549">
        <v>0.99904790336628502</v>
      </c>
      <c r="C1549">
        <v>0.97958604193642396</v>
      </c>
      <c r="D1549">
        <v>1.0019658060354799</v>
      </c>
      <c r="E1549">
        <v>0.902411379357697</v>
      </c>
      <c r="F1549">
        <v>0.88203930449285695</v>
      </c>
      <c r="G1549">
        <v>0.656974535613982</v>
      </c>
      <c r="H1549">
        <v>0.56396933161991503</v>
      </c>
      <c r="I1549">
        <v>0.52777966628824202</v>
      </c>
      <c r="J1549">
        <v>0.446854167990131</v>
      </c>
      <c r="K1549">
        <v>0.36884023811253502</v>
      </c>
      <c r="L1549">
        <v>711.75782283839101</v>
      </c>
      <c r="M1549">
        <v>12.230702451502101</v>
      </c>
      <c r="N1549">
        <v>63.520431405492502</v>
      </c>
      <c r="O1549">
        <v>56.7042312295169</v>
      </c>
      <c r="P1549">
        <v>-3.6638496631328503E-2</v>
      </c>
      <c r="Q1549">
        <v>0.32069560233425298</v>
      </c>
      <c r="R1549">
        <v>0.98644992965433997</v>
      </c>
      <c r="S1549" t="s">
        <v>6289</v>
      </c>
      <c r="T1549" t="s">
        <v>9478</v>
      </c>
      <c r="U1549" t="s">
        <v>9478</v>
      </c>
      <c r="V1549" t="s">
        <v>9478</v>
      </c>
      <c r="W1549">
        <v>5</v>
      </c>
      <c r="X1549" t="s">
        <v>11027</v>
      </c>
      <c r="Y1549">
        <v>0.74085167806958552</v>
      </c>
      <c r="Z1549" t="str">
        <f>HYPERLINK("Melting_Curves/meltCurve_sp_P62995_3_TRA2B_HUMAN_.pdf", "Melting_Curves/meltCurve_sp_P62995_3_TRA2B_HUMAN_.pdf")</f>
        <v>Melting_Curves/meltCurve_sp_P62995_3_TRA2B_HUMAN_.pdf</v>
      </c>
      <c r="AA1549" t="s">
        <v>15741</v>
      </c>
      <c r="AB1549" t="s">
        <v>20383</v>
      </c>
    </row>
    <row r="1550" spans="1:28" x14ac:dyDescent="0.25">
      <c r="A1550" t="s">
        <v>1554</v>
      </c>
      <c r="B1550">
        <v>0.99904790336628502</v>
      </c>
      <c r="C1550">
        <v>0.96843792162114894</v>
      </c>
      <c r="D1550">
        <v>0.96296173275270602</v>
      </c>
      <c r="E1550">
        <v>0.86482076902555605</v>
      </c>
      <c r="F1550">
        <v>0.46526977551368298</v>
      </c>
      <c r="G1550">
        <v>0.100706556653155</v>
      </c>
      <c r="H1550">
        <v>5.2625905851376699E-2</v>
      </c>
      <c r="I1550">
        <v>3.38627321468703E-2</v>
      </c>
      <c r="J1550">
        <v>2.4263922136239801E-2</v>
      </c>
      <c r="K1550">
        <v>2.4165686334737299E-2</v>
      </c>
      <c r="L1550">
        <v>1737.4318164701499</v>
      </c>
      <c r="M1550">
        <v>32.978324833457101</v>
      </c>
      <c r="N1550">
        <v>52.780890427073103</v>
      </c>
      <c r="O1550">
        <v>52.491464410143699</v>
      </c>
      <c r="P1550">
        <v>-0.152455049406238</v>
      </c>
      <c r="Q1550">
        <v>2.9356027345830898E-2</v>
      </c>
      <c r="R1550">
        <v>0.99885793776717402</v>
      </c>
      <c r="S1550" t="s">
        <v>6290</v>
      </c>
      <c r="T1550" t="s">
        <v>9478</v>
      </c>
      <c r="U1550" t="s">
        <v>9478</v>
      </c>
      <c r="V1550" t="s">
        <v>9478</v>
      </c>
      <c r="W1550">
        <v>11</v>
      </c>
      <c r="X1550" t="s">
        <v>11028</v>
      </c>
      <c r="Y1550">
        <v>0.44494209678522789</v>
      </c>
      <c r="Z1550" t="str">
        <f>HYPERLINK("Melting_Curves/meltCurve_sp_P63000_RAC1_HUMAN_.pdf", "Melting_Curves/meltCurve_sp_P63000_RAC1_HUMAN_.pdf")</f>
        <v>Melting_Curves/meltCurve_sp_P63000_RAC1_HUMAN_.pdf</v>
      </c>
      <c r="AA1550" t="s">
        <v>15742</v>
      </c>
      <c r="AB1550" t="s">
        <v>20384</v>
      </c>
    </row>
    <row r="1551" spans="1:28" x14ac:dyDescent="0.25">
      <c r="A1551" t="s">
        <v>1555</v>
      </c>
      <c r="B1551">
        <v>0.99904790336628502</v>
      </c>
      <c r="C1551">
        <v>0.916816722572665</v>
      </c>
      <c r="D1551">
        <v>0.92963834885726804</v>
      </c>
      <c r="E1551">
        <v>0.85777872924584198</v>
      </c>
      <c r="F1551">
        <v>0.621467552603302</v>
      </c>
      <c r="G1551">
        <v>0.26601471018042899</v>
      </c>
      <c r="H1551">
        <v>9.9135974440486996E-2</v>
      </c>
      <c r="I1551">
        <v>5.24858299780274E-2</v>
      </c>
      <c r="J1551">
        <v>3.87454258054412E-2</v>
      </c>
      <c r="K1551">
        <v>3.6366948050919397E-2</v>
      </c>
      <c r="L1551">
        <v>1111.1629902129901</v>
      </c>
      <c r="M1551">
        <v>20.535582550013</v>
      </c>
      <c r="N1551">
        <v>54.203320375733199</v>
      </c>
      <c r="O1551">
        <v>53.603872690267004</v>
      </c>
      <c r="P1551">
        <v>-9.4099131407015604E-2</v>
      </c>
      <c r="Q1551">
        <v>1.75236034894313E-2</v>
      </c>
      <c r="R1551">
        <v>0.99459013542679597</v>
      </c>
      <c r="S1551" t="s">
        <v>6291</v>
      </c>
      <c r="T1551" t="s">
        <v>9478</v>
      </c>
      <c r="U1551" t="s">
        <v>9478</v>
      </c>
      <c r="V1551" t="s">
        <v>9478</v>
      </c>
      <c r="W1551">
        <v>39</v>
      </c>
      <c r="X1551" t="s">
        <v>11029</v>
      </c>
      <c r="Y1551">
        <v>0.49236041830500832</v>
      </c>
      <c r="Z1551" t="str">
        <f>HYPERLINK("Melting_Curves/meltCurve_sp_P63010_AP2B1_HUMAN_.pdf", "Melting_Curves/meltCurve_sp_P63010_AP2B1_HUMAN_.pdf")</f>
        <v>Melting_Curves/meltCurve_sp_P63010_AP2B1_HUMAN_.pdf</v>
      </c>
      <c r="AA1551" t="s">
        <v>15743</v>
      </c>
      <c r="AB1551" t="s">
        <v>20385</v>
      </c>
    </row>
    <row r="1552" spans="1:28" x14ac:dyDescent="0.25">
      <c r="A1552" t="s">
        <v>1556</v>
      </c>
      <c r="B1552">
        <v>0.99904790336628502</v>
      </c>
      <c r="C1552">
        <v>0.64544338298920401</v>
      </c>
      <c r="D1552">
        <v>0.49801021360435499</v>
      </c>
      <c r="E1552">
        <v>0.33366793908388298</v>
      </c>
      <c r="F1552">
        <v>0.322393999151042</v>
      </c>
      <c r="G1552">
        <v>0.15732359154513001</v>
      </c>
      <c r="H1552">
        <v>0.161805469222781</v>
      </c>
      <c r="I1552">
        <v>0.118177200883716</v>
      </c>
      <c r="J1552">
        <v>5.8613925008753898E-2</v>
      </c>
      <c r="K1552">
        <v>5.7185927972709501E-2</v>
      </c>
      <c r="L1552">
        <v>531.93319384993003</v>
      </c>
      <c r="M1552">
        <v>11.5415574269649</v>
      </c>
      <c r="N1552">
        <v>46.732648068202003</v>
      </c>
      <c r="O1552">
        <v>44.770069058038999</v>
      </c>
      <c r="P1552">
        <v>-5.97264380610961E-2</v>
      </c>
      <c r="Q1552">
        <v>7.3537015194652E-2</v>
      </c>
      <c r="R1552">
        <v>0.955013079591988</v>
      </c>
      <c r="S1552" t="s">
        <v>6292</v>
      </c>
      <c r="T1552" t="s">
        <v>9478</v>
      </c>
      <c r="U1552" t="s">
        <v>9478</v>
      </c>
      <c r="V1552" t="s">
        <v>9478</v>
      </c>
      <c r="W1552">
        <v>2</v>
      </c>
      <c r="X1552" t="s">
        <v>11030</v>
      </c>
      <c r="Y1552">
        <v>0.30650169402111382</v>
      </c>
      <c r="Z1552" t="str">
        <f>HYPERLINK("Melting_Curves/meltCurve_sp_P63092_3_GNAS2_HUMAN_.pdf", "Melting_Curves/meltCurve_sp_P63092_3_GNAS2_HUMAN_.pdf")</f>
        <v>Melting_Curves/meltCurve_sp_P63092_3_GNAS2_HUMAN_.pdf</v>
      </c>
      <c r="AA1552" t="s">
        <v>15744</v>
      </c>
      <c r="AB1552" t="s">
        <v>20386</v>
      </c>
    </row>
    <row r="1553" spans="1:28" x14ac:dyDescent="0.25">
      <c r="A1553" t="s">
        <v>1557</v>
      </c>
      <c r="B1553">
        <v>0.99904790336628502</v>
      </c>
      <c r="C1553">
        <v>0.88460320976721496</v>
      </c>
      <c r="D1553">
        <v>0.80807152154875905</v>
      </c>
      <c r="E1553">
        <v>0.49254931039799599</v>
      </c>
      <c r="F1553">
        <v>0.29208708902280101</v>
      </c>
      <c r="G1553">
        <v>0.114047680791015</v>
      </c>
      <c r="H1553">
        <v>7.6124285617511195E-2</v>
      </c>
      <c r="I1553">
        <v>4.5816549230973398E-2</v>
      </c>
      <c r="J1553">
        <v>5.6109253972552703E-2</v>
      </c>
      <c r="K1553">
        <v>4.3226045055452897E-2</v>
      </c>
      <c r="L1553">
        <v>805.08778566362901</v>
      </c>
      <c r="M1553">
        <v>16.205703722168501</v>
      </c>
      <c r="N1553">
        <v>49.859378554406902</v>
      </c>
      <c r="O1553">
        <v>48.9413157263836</v>
      </c>
      <c r="P1553">
        <v>-8.0434079176789006E-2</v>
      </c>
      <c r="Q1553">
        <v>2.8427496004500698E-2</v>
      </c>
      <c r="R1553">
        <v>0.99737670951246504</v>
      </c>
      <c r="S1553" t="s">
        <v>6293</v>
      </c>
      <c r="T1553" t="s">
        <v>9478</v>
      </c>
      <c r="U1553" t="s">
        <v>9478</v>
      </c>
      <c r="V1553" t="s">
        <v>9478</v>
      </c>
      <c r="W1553">
        <v>3</v>
      </c>
      <c r="X1553" t="s">
        <v>11031</v>
      </c>
      <c r="Y1553">
        <v>0.36221184805944712</v>
      </c>
      <c r="Z1553" t="str">
        <f>HYPERLINK("Melting_Curves/meltCurve_sp_P63096_GNAI1_HUMAN_.pdf", "Melting_Curves/meltCurve_sp_P63096_GNAI1_HUMAN_.pdf")</f>
        <v>Melting_Curves/meltCurve_sp_P63096_GNAI1_HUMAN_.pdf</v>
      </c>
      <c r="AA1553" t="s">
        <v>15745</v>
      </c>
      <c r="AB1553" t="s">
        <v>20387</v>
      </c>
    </row>
    <row r="1554" spans="1:28" x14ac:dyDescent="0.25">
      <c r="A1554" t="s">
        <v>1558</v>
      </c>
      <c r="B1554">
        <v>0.99904790336628502</v>
      </c>
      <c r="C1554">
        <v>1.0783097211373101</v>
      </c>
      <c r="D1554">
        <v>1.0965958014686199</v>
      </c>
      <c r="E1554">
        <v>1.0449164037434999</v>
      </c>
      <c r="F1554">
        <v>1.08864246734935</v>
      </c>
      <c r="G1554">
        <v>0.92096971387956805</v>
      </c>
      <c r="H1554">
        <v>0.557970788721313</v>
      </c>
      <c r="I1554">
        <v>0.11270334503306501</v>
      </c>
      <c r="J1554">
        <v>5.2406268851316502E-2</v>
      </c>
      <c r="K1554">
        <v>4.3349931698570203E-2</v>
      </c>
      <c r="L1554">
        <v>2898.9637311943402</v>
      </c>
      <c r="M1554">
        <v>47.407486307226499</v>
      </c>
      <c r="N1554">
        <v>61.233347828447698</v>
      </c>
      <c r="O1554">
        <v>61.0414035694563</v>
      </c>
      <c r="P1554">
        <v>-0.18808928810213499</v>
      </c>
      <c r="Q1554">
        <v>3.1273511915608398E-2</v>
      </c>
      <c r="R1554">
        <v>0.98505781666638403</v>
      </c>
      <c r="S1554" t="s">
        <v>6294</v>
      </c>
      <c r="T1554" t="s">
        <v>9478</v>
      </c>
      <c r="U1554" t="s">
        <v>9478</v>
      </c>
      <c r="V1554" t="s">
        <v>9478</v>
      </c>
      <c r="W1554">
        <v>23</v>
      </c>
      <c r="X1554" t="s">
        <v>11032</v>
      </c>
      <c r="Y1554">
        <v>0.71698829052441182</v>
      </c>
      <c r="Z1554" t="str">
        <f>HYPERLINK("Melting_Curves/meltCurve_sp_P63104_1433Z_HUMAN_.pdf", "Melting_Curves/meltCurve_sp_P63104_1433Z_HUMAN_.pdf")</f>
        <v>Melting_Curves/meltCurve_sp_P63104_1433Z_HUMAN_.pdf</v>
      </c>
      <c r="AA1554" t="s">
        <v>15746</v>
      </c>
      <c r="AB1554" t="s">
        <v>20388</v>
      </c>
    </row>
    <row r="1555" spans="1:28" x14ac:dyDescent="0.25">
      <c r="A1555" t="s">
        <v>1559</v>
      </c>
      <c r="B1555">
        <v>0.99904790336628502</v>
      </c>
      <c r="C1555">
        <v>1.03452392398215</v>
      </c>
      <c r="D1555">
        <v>1.0516268992342399</v>
      </c>
      <c r="E1555">
        <v>1.0152678001945801</v>
      </c>
      <c r="F1555">
        <v>0.88750553454002401</v>
      </c>
      <c r="G1555">
        <v>0.399729367650765</v>
      </c>
      <c r="H1555">
        <v>0.13651122940475599</v>
      </c>
      <c r="I1555">
        <v>9.3246257519779496E-2</v>
      </c>
      <c r="J1555">
        <v>7.8522420360431999E-2</v>
      </c>
      <c r="K1555">
        <v>6.6641290052313895E-2</v>
      </c>
      <c r="L1555">
        <v>1973.22599155434</v>
      </c>
      <c r="M1555">
        <v>35.224988850377201</v>
      </c>
      <c r="N1555">
        <v>56.2853728449629</v>
      </c>
      <c r="O1555">
        <v>55.838168694162903</v>
      </c>
      <c r="P1555">
        <v>-0.145551940442431</v>
      </c>
      <c r="Q1555">
        <v>7.7095446836387596E-2</v>
      </c>
      <c r="R1555">
        <v>0.99733389894999103</v>
      </c>
      <c r="S1555" t="s">
        <v>6295</v>
      </c>
      <c r="T1555" t="s">
        <v>9478</v>
      </c>
      <c r="U1555" t="s">
        <v>9478</v>
      </c>
      <c r="V1555" t="s">
        <v>9478</v>
      </c>
      <c r="W1555">
        <v>10</v>
      </c>
      <c r="X1555" t="s">
        <v>11033</v>
      </c>
      <c r="Y1555">
        <v>0.57440735431196499</v>
      </c>
      <c r="Z1555" t="str">
        <f>HYPERLINK("Melting_Curves/meltCurve_sp_P63151_2ABA_HUMAN_.pdf", "Melting_Curves/meltCurve_sp_P63151_2ABA_HUMAN_.pdf")</f>
        <v>Melting_Curves/meltCurve_sp_P63151_2ABA_HUMAN_.pdf</v>
      </c>
      <c r="AA1555" t="s">
        <v>15747</v>
      </c>
      <c r="AB1555" t="s">
        <v>20389</v>
      </c>
    </row>
    <row r="1556" spans="1:28" x14ac:dyDescent="0.25">
      <c r="A1556" t="s">
        <v>1560</v>
      </c>
      <c r="B1556">
        <v>0.99904790336628502</v>
      </c>
      <c r="C1556">
        <v>0.85591031802286099</v>
      </c>
      <c r="D1556">
        <v>0.90548301526500696</v>
      </c>
      <c r="E1556">
        <v>0.78504054792550704</v>
      </c>
      <c r="F1556">
        <v>0.56831352726994899</v>
      </c>
      <c r="G1556">
        <v>0.32732335067354701</v>
      </c>
      <c r="H1556">
        <v>0.16690815651365201</v>
      </c>
      <c r="I1556">
        <v>9.7568365359408105E-2</v>
      </c>
      <c r="J1556">
        <v>6.4310532647732302E-2</v>
      </c>
      <c r="K1556">
        <v>4.6572715402297099E-2</v>
      </c>
      <c r="L1556">
        <v>731.386472065661</v>
      </c>
      <c r="M1556">
        <v>13.533375241692999</v>
      </c>
      <c r="N1556">
        <v>54.043168435560602</v>
      </c>
      <c r="O1556">
        <v>52.904138966964098</v>
      </c>
      <c r="P1556">
        <v>-6.3962033694585696E-2</v>
      </c>
      <c r="Q1556">
        <v>0</v>
      </c>
      <c r="R1556">
        <v>0.98868967538685504</v>
      </c>
      <c r="S1556" t="s">
        <v>6296</v>
      </c>
      <c r="T1556" t="s">
        <v>9478</v>
      </c>
      <c r="U1556" t="s">
        <v>9478</v>
      </c>
      <c r="V1556" t="s">
        <v>9478</v>
      </c>
      <c r="W1556">
        <v>6</v>
      </c>
      <c r="X1556" t="s">
        <v>11034</v>
      </c>
      <c r="Y1556">
        <v>0.49116862813890422</v>
      </c>
      <c r="Z1556" t="str">
        <f>HYPERLINK("Melting_Curves/meltCurve_sp_P63167_DYL1_HUMAN_.pdf", "Melting_Curves/meltCurve_sp_P63167_DYL1_HUMAN_.pdf")</f>
        <v>Melting_Curves/meltCurve_sp_P63167_DYL1_HUMAN_.pdf</v>
      </c>
      <c r="AA1556" t="s">
        <v>15748</v>
      </c>
      <c r="AB1556" t="s">
        <v>20390</v>
      </c>
    </row>
    <row r="1557" spans="1:28" x14ac:dyDescent="0.25">
      <c r="A1557" t="s">
        <v>1561</v>
      </c>
      <c r="B1557">
        <v>0.99904790336628502</v>
      </c>
      <c r="C1557">
        <v>0.83656092180626496</v>
      </c>
      <c r="D1557">
        <v>0.62062877059579402</v>
      </c>
      <c r="E1557">
        <v>0.28780637685879101</v>
      </c>
      <c r="F1557">
        <v>0.13705753859258701</v>
      </c>
      <c r="G1557">
        <v>9.0561118725709794E-2</v>
      </c>
      <c r="H1557">
        <v>5.7010746830416098E-2</v>
      </c>
      <c r="I1557">
        <v>4.7646806269888597E-2</v>
      </c>
      <c r="J1557">
        <v>3.9897952508982502E-2</v>
      </c>
      <c r="K1557">
        <v>2.3837973693665401E-2</v>
      </c>
      <c r="L1557">
        <v>848.88849227563799</v>
      </c>
      <c r="M1557">
        <v>18.039340863125801</v>
      </c>
      <c r="N1557">
        <v>47.254141997717902</v>
      </c>
      <c r="O1557">
        <v>46.490772517935</v>
      </c>
      <c r="P1557">
        <v>-9.3504014492968301E-2</v>
      </c>
      <c r="Q1557">
        <v>3.6137459523651799E-2</v>
      </c>
      <c r="R1557">
        <v>0.99796515565182597</v>
      </c>
      <c r="S1557" t="s">
        <v>6297</v>
      </c>
      <c r="T1557" t="s">
        <v>9478</v>
      </c>
      <c r="U1557" t="s">
        <v>9478</v>
      </c>
      <c r="V1557" t="s">
        <v>9478</v>
      </c>
      <c r="W1557">
        <v>7</v>
      </c>
      <c r="X1557" t="s">
        <v>11035</v>
      </c>
      <c r="Y1557">
        <v>0.28053931772006901</v>
      </c>
      <c r="Z1557" t="str">
        <f>HYPERLINK("Melting_Curves/meltCurve_sp_P63244_GBLP_HUMAN_.pdf", "Melting_Curves/meltCurve_sp_P63244_GBLP_HUMAN_.pdf")</f>
        <v>Melting_Curves/meltCurve_sp_P63244_GBLP_HUMAN_.pdf</v>
      </c>
      <c r="AA1557" t="s">
        <v>15749</v>
      </c>
      <c r="AB1557" t="s">
        <v>20391</v>
      </c>
    </row>
    <row r="1558" spans="1:28" x14ac:dyDescent="0.25">
      <c r="A1558" t="s">
        <v>1562</v>
      </c>
      <c r="B1558">
        <v>0.99904790336628502</v>
      </c>
      <c r="C1558">
        <v>0.725778036236014</v>
      </c>
      <c r="D1558">
        <v>0.48075752593550902</v>
      </c>
      <c r="E1558">
        <v>0.26633175145584498</v>
      </c>
      <c r="F1558">
        <v>0.179915201090254</v>
      </c>
      <c r="G1558">
        <v>0.127913936181802</v>
      </c>
      <c r="H1558">
        <v>9.2439706477314101E-2</v>
      </c>
      <c r="I1558">
        <v>5.5655542391366997E-2</v>
      </c>
      <c r="J1558">
        <v>4.1854398246968599E-2</v>
      </c>
      <c r="K1558">
        <v>4.2017168024394799E-2</v>
      </c>
      <c r="L1558">
        <v>730.32691227797102</v>
      </c>
      <c r="M1558">
        <v>15.971940907049801</v>
      </c>
      <c r="N1558">
        <v>46.099682976998402</v>
      </c>
      <c r="O1558">
        <v>45.026839849277401</v>
      </c>
      <c r="P1558">
        <v>-8.3297027302545804E-2</v>
      </c>
      <c r="Q1558">
        <v>6.0776543012643999E-2</v>
      </c>
      <c r="R1558">
        <v>0.98752336992932399</v>
      </c>
      <c r="S1558" t="s">
        <v>6298</v>
      </c>
      <c r="T1558" t="s">
        <v>9478</v>
      </c>
      <c r="U1558" t="s">
        <v>9478</v>
      </c>
      <c r="V1558" t="s">
        <v>9478</v>
      </c>
      <c r="W1558">
        <v>30</v>
      </c>
      <c r="X1558" t="s">
        <v>11036</v>
      </c>
      <c r="Y1558">
        <v>0.26459115882752182</v>
      </c>
      <c r="Z1558" t="str">
        <f>HYPERLINK("Melting_Curves/meltCurve_sp_P63261_ACTG_HUMAN_.pdf", "Melting_Curves/meltCurve_sp_P63261_ACTG_HUMAN_.pdf")</f>
        <v>Melting_Curves/meltCurve_sp_P63261_ACTG_HUMAN_.pdf</v>
      </c>
      <c r="AA1558" t="s">
        <v>15750</v>
      </c>
      <c r="AB1558" t="s">
        <v>20392</v>
      </c>
    </row>
    <row r="1559" spans="1:28" x14ac:dyDescent="0.25">
      <c r="A1559" t="s">
        <v>1563</v>
      </c>
      <c r="B1559">
        <v>0.99904790336628502</v>
      </c>
      <c r="C1559">
        <v>1.12748667343749</v>
      </c>
      <c r="D1559">
        <v>1.0888878186725299</v>
      </c>
      <c r="E1559">
        <v>1.14659882517437</v>
      </c>
      <c r="F1559">
        <v>1.23223726972461</v>
      </c>
      <c r="G1559">
        <v>1.0473960822820501</v>
      </c>
      <c r="H1559">
        <v>0.90959753115600706</v>
      </c>
      <c r="I1559">
        <v>0.98435197132333896</v>
      </c>
      <c r="J1559">
        <v>1.12707744338914</v>
      </c>
      <c r="K1559">
        <v>1.2640670688139699</v>
      </c>
      <c r="L1559">
        <v>10284.898540213901</v>
      </c>
      <c r="M1559">
        <v>250</v>
      </c>
      <c r="O1559">
        <v>41.1369614857907</v>
      </c>
      <c r="P1559">
        <v>0.156608047428689</v>
      </c>
      <c r="Q1559">
        <v>1.1030780673610601</v>
      </c>
      <c r="R1559">
        <v>8.8343177600148495E-2</v>
      </c>
      <c r="S1559" t="s">
        <v>6299</v>
      </c>
      <c r="T1559" t="s">
        <v>9478</v>
      </c>
      <c r="U1559" t="s">
        <v>9478</v>
      </c>
      <c r="V1559" t="s">
        <v>9478</v>
      </c>
      <c r="W1559">
        <v>4</v>
      </c>
      <c r="X1559" t="s">
        <v>11037</v>
      </c>
      <c r="Y1559">
        <v>1.099154625318941</v>
      </c>
      <c r="Z1559" t="str">
        <f>HYPERLINK("Melting_Curves/meltCurve_sp_P63313_TYB10_HUMAN_.pdf", "Melting_Curves/meltCurve_sp_P63313_TYB10_HUMAN_.pdf")</f>
        <v>Melting_Curves/meltCurve_sp_P63313_TYB10_HUMAN_.pdf</v>
      </c>
      <c r="AA1559" t="s">
        <v>15751</v>
      </c>
      <c r="AB1559" t="s">
        <v>20393</v>
      </c>
    </row>
    <row r="1560" spans="1:28" x14ac:dyDescent="0.25">
      <c r="A1560" t="s">
        <v>1564</v>
      </c>
      <c r="B1560">
        <v>0.99904790336628502</v>
      </c>
      <c r="C1560">
        <v>0.85254144006183696</v>
      </c>
      <c r="D1560">
        <v>0.87202526148139003</v>
      </c>
      <c r="E1560">
        <v>0.850319504752583</v>
      </c>
      <c r="F1560">
        <v>0.68088991332331705</v>
      </c>
      <c r="G1560">
        <v>0.46852981671279298</v>
      </c>
      <c r="H1560">
        <v>0.244677479105366</v>
      </c>
      <c r="I1560">
        <v>0.107015511710675</v>
      </c>
      <c r="J1560">
        <v>5.4012708708752397E-2</v>
      </c>
      <c r="K1560">
        <v>4.2491349853320197E-2</v>
      </c>
      <c r="L1560">
        <v>767.03798413796403</v>
      </c>
      <c r="M1560">
        <v>13.7414408016979</v>
      </c>
      <c r="N1560">
        <v>55.8193089210598</v>
      </c>
      <c r="O1560">
        <v>54.676985360912298</v>
      </c>
      <c r="P1560">
        <v>-6.2839015345127203E-2</v>
      </c>
      <c r="Q1560">
        <v>0</v>
      </c>
      <c r="R1560">
        <v>0.97786898741236306</v>
      </c>
      <c r="S1560" t="s">
        <v>6300</v>
      </c>
      <c r="T1560" t="s">
        <v>9478</v>
      </c>
      <c r="U1560" t="s">
        <v>9478</v>
      </c>
      <c r="V1560" t="s">
        <v>9478</v>
      </c>
      <c r="W1560">
        <v>19</v>
      </c>
      <c r="X1560" t="s">
        <v>11038</v>
      </c>
      <c r="Y1560">
        <v>0.54667937227781205</v>
      </c>
      <c r="Z1560" t="str">
        <f>HYPERLINK("Melting_Curves/meltCurve_sp_P67775_PP2AA_HUMAN_.pdf", "Melting_Curves/meltCurve_sp_P67775_PP2AA_HUMAN_.pdf")</f>
        <v>Melting_Curves/meltCurve_sp_P67775_PP2AA_HUMAN_.pdf</v>
      </c>
      <c r="AA1560" t="s">
        <v>15752</v>
      </c>
      <c r="AB1560" t="s">
        <v>20394</v>
      </c>
    </row>
    <row r="1561" spans="1:28" x14ac:dyDescent="0.25">
      <c r="A1561" t="s">
        <v>1565</v>
      </c>
      <c r="B1561">
        <v>0.99904790336628502</v>
      </c>
      <c r="C1561">
        <v>1.0845500211958601</v>
      </c>
      <c r="D1561">
        <v>1.0973731454801301</v>
      </c>
      <c r="E1561">
        <v>1.0932339464409599</v>
      </c>
      <c r="F1561">
        <v>0.98560521662956302</v>
      </c>
      <c r="G1561">
        <v>0.91094873602906301</v>
      </c>
      <c r="H1561">
        <v>0.78921855721022705</v>
      </c>
      <c r="I1561">
        <v>0.74573216241771201</v>
      </c>
      <c r="J1561">
        <v>0.72412198041630205</v>
      </c>
      <c r="K1561">
        <v>0.58142847728606795</v>
      </c>
      <c r="L1561">
        <v>1013.35972093762</v>
      </c>
      <c r="M1561">
        <v>16.184235958815599</v>
      </c>
      <c r="O1561">
        <v>61.6814473928764</v>
      </c>
      <c r="P1561">
        <v>-2.9365245647024599E-2</v>
      </c>
      <c r="Q1561">
        <v>0.55236563549072404</v>
      </c>
      <c r="R1561">
        <v>0.88749192466775795</v>
      </c>
      <c r="S1561" t="s">
        <v>6301</v>
      </c>
      <c r="T1561" t="s">
        <v>9478</v>
      </c>
      <c r="U1561" t="s">
        <v>9478</v>
      </c>
      <c r="V1561" t="s">
        <v>9478</v>
      </c>
      <c r="W1561">
        <v>13</v>
      </c>
      <c r="X1561" t="s">
        <v>11039</v>
      </c>
      <c r="Y1561">
        <v>0.88795910754913743</v>
      </c>
      <c r="Z1561" t="str">
        <f>HYPERLINK("Melting_Curves/meltCurve_sp_P67809_YBOX1_HUMAN_.pdf", "Melting_Curves/meltCurve_sp_P67809_YBOX1_HUMAN_.pdf")</f>
        <v>Melting_Curves/meltCurve_sp_P67809_YBOX1_HUMAN_.pdf</v>
      </c>
      <c r="AA1561" t="s">
        <v>15753</v>
      </c>
      <c r="AB1561" t="s">
        <v>20395</v>
      </c>
    </row>
    <row r="1562" spans="1:28" x14ac:dyDescent="0.25">
      <c r="A1562" t="s">
        <v>1566</v>
      </c>
      <c r="B1562">
        <v>0.99904790336628502</v>
      </c>
      <c r="C1562">
        <v>1.1340998786418399</v>
      </c>
      <c r="D1562">
        <v>1.1426417625434899</v>
      </c>
      <c r="E1562">
        <v>0.90788512718306502</v>
      </c>
      <c r="F1562">
        <v>0.52095931868479906</v>
      </c>
      <c r="G1562">
        <v>0.16548000755287101</v>
      </c>
      <c r="H1562">
        <v>6.1572800796744098E-2</v>
      </c>
      <c r="I1562">
        <v>4.1977160869906702E-2</v>
      </c>
      <c r="J1562">
        <v>3.8138524367550802E-2</v>
      </c>
      <c r="K1562">
        <v>3.5447464588344899E-2</v>
      </c>
      <c r="L1562">
        <v>1801.4390799708899</v>
      </c>
      <c r="M1562">
        <v>33.920374093984599</v>
      </c>
      <c r="N1562">
        <v>53.2602603550569</v>
      </c>
      <c r="O1562">
        <v>52.924325699613398</v>
      </c>
      <c r="P1562">
        <v>-0.15282130747026301</v>
      </c>
      <c r="Q1562">
        <v>4.6245153426586097E-2</v>
      </c>
      <c r="R1562">
        <v>0.98079996294873995</v>
      </c>
      <c r="S1562" t="s">
        <v>6302</v>
      </c>
      <c r="T1562" t="s">
        <v>9478</v>
      </c>
      <c r="U1562" t="s">
        <v>9478</v>
      </c>
      <c r="V1562" t="s">
        <v>9478</v>
      </c>
      <c r="W1562">
        <v>5</v>
      </c>
      <c r="X1562" t="s">
        <v>11040</v>
      </c>
      <c r="Y1562">
        <v>0.46782996248418368</v>
      </c>
      <c r="Z1562" t="str">
        <f>HYPERLINK("Melting_Curves/meltCurve_sp_P67870_CSK2B_HUMAN_.pdf", "Melting_Curves/meltCurve_sp_P67870_CSK2B_HUMAN_.pdf")</f>
        <v>Melting_Curves/meltCurve_sp_P67870_CSK2B_HUMAN_.pdf</v>
      </c>
      <c r="AA1562" t="s">
        <v>15754</v>
      </c>
      <c r="AB1562" t="s">
        <v>20396</v>
      </c>
    </row>
    <row r="1563" spans="1:28" x14ac:dyDescent="0.25">
      <c r="A1563" t="s">
        <v>1567</v>
      </c>
      <c r="B1563">
        <v>0.99904790336628502</v>
      </c>
      <c r="C1563">
        <v>1.07484393261647</v>
      </c>
      <c r="D1563">
        <v>1.0201950636524799</v>
      </c>
      <c r="E1563">
        <v>1.02007239490409</v>
      </c>
      <c r="F1563">
        <v>0.99465487119253504</v>
      </c>
      <c r="G1563">
        <v>0.83712983509801397</v>
      </c>
      <c r="H1563">
        <v>0.77937748638780102</v>
      </c>
      <c r="I1563">
        <v>0.78919909825025902</v>
      </c>
      <c r="J1563">
        <v>0.77726594789265402</v>
      </c>
      <c r="K1563">
        <v>0.71506153376005599</v>
      </c>
      <c r="L1563">
        <v>2981.3771552397302</v>
      </c>
      <c r="M1563">
        <v>53.0685187951659</v>
      </c>
      <c r="O1563">
        <v>56.100146372508199</v>
      </c>
      <c r="P1563">
        <v>-5.5829109676549998E-2</v>
      </c>
      <c r="Q1563">
        <v>0.76392631871544303</v>
      </c>
      <c r="R1563">
        <v>0.93822877858910603</v>
      </c>
      <c r="S1563" t="s">
        <v>6303</v>
      </c>
      <c r="T1563" t="s">
        <v>9478</v>
      </c>
      <c r="U1563" t="s">
        <v>9478</v>
      </c>
      <c r="V1563" t="s">
        <v>9478</v>
      </c>
      <c r="W1563">
        <v>26</v>
      </c>
      <c r="X1563" t="s">
        <v>11041</v>
      </c>
      <c r="Y1563">
        <v>0.89176551953632488</v>
      </c>
      <c r="Z1563" t="str">
        <f>HYPERLINK("Melting_Curves/meltCurve_sp_P67936_TPM4_HUMAN_.pdf", "Melting_Curves/meltCurve_sp_P67936_TPM4_HUMAN_.pdf")</f>
        <v>Melting_Curves/meltCurve_sp_P67936_TPM4_HUMAN_.pdf</v>
      </c>
      <c r="AA1563" t="s">
        <v>15755</v>
      </c>
      <c r="AB1563" t="s">
        <v>20397</v>
      </c>
    </row>
    <row r="1564" spans="1:28" x14ac:dyDescent="0.25">
      <c r="A1564" t="s">
        <v>1568</v>
      </c>
      <c r="B1564">
        <v>0.99904790336628502</v>
      </c>
      <c r="C1564">
        <v>1.08396196906964</v>
      </c>
      <c r="D1564">
        <v>0.97841732692026495</v>
      </c>
      <c r="E1564">
        <v>1.0385622517313799</v>
      </c>
      <c r="F1564">
        <v>1.0440383929729999</v>
      </c>
      <c r="G1564">
        <v>0.91953308294031799</v>
      </c>
      <c r="H1564">
        <v>0.73860388557352696</v>
      </c>
      <c r="I1564">
        <v>0.61817021266662697</v>
      </c>
      <c r="J1564">
        <v>0.44421215821471</v>
      </c>
      <c r="K1564">
        <v>0.33236444359213702</v>
      </c>
      <c r="L1564">
        <v>1206.76864006545</v>
      </c>
      <c r="M1564">
        <v>18.913998336981098</v>
      </c>
      <c r="N1564">
        <v>65.757131466214105</v>
      </c>
      <c r="O1564">
        <v>63.102547501417902</v>
      </c>
      <c r="P1564">
        <v>-5.8825904715690602E-2</v>
      </c>
      <c r="Q1564">
        <v>0.214991152516744</v>
      </c>
      <c r="R1564">
        <v>0.97818798267109996</v>
      </c>
      <c r="S1564" t="s">
        <v>6304</v>
      </c>
      <c r="T1564" t="s">
        <v>9478</v>
      </c>
      <c r="U1564" t="s">
        <v>9478</v>
      </c>
      <c r="V1564" t="s">
        <v>9478</v>
      </c>
      <c r="W1564">
        <v>10</v>
      </c>
      <c r="X1564" t="s">
        <v>11042</v>
      </c>
      <c r="Y1564">
        <v>0.83286127655658837</v>
      </c>
      <c r="Z1564" t="str">
        <f>HYPERLINK("Melting_Curves/meltCurve_sp_P68036_UB2L3_HUMAN_.pdf", "Melting_Curves/meltCurve_sp_P68036_UB2L3_HUMAN_.pdf")</f>
        <v>Melting_Curves/meltCurve_sp_P68036_UB2L3_HUMAN_.pdf</v>
      </c>
      <c r="AA1564" t="s">
        <v>15756</v>
      </c>
      <c r="AB1564" t="s">
        <v>20398</v>
      </c>
    </row>
    <row r="1565" spans="1:28" x14ac:dyDescent="0.25">
      <c r="A1565" t="s">
        <v>1569</v>
      </c>
      <c r="B1565">
        <v>0.99904790336628502</v>
      </c>
      <c r="C1565">
        <v>0.66514355072268705</v>
      </c>
      <c r="D1565">
        <v>0.40532806076602401</v>
      </c>
      <c r="E1565">
        <v>0.22490110076624201</v>
      </c>
      <c r="F1565">
        <v>0.13183996893342201</v>
      </c>
      <c r="G1565">
        <v>9.7405589913923299E-2</v>
      </c>
      <c r="H1565">
        <v>7.0964711947402406E-2</v>
      </c>
      <c r="I1565">
        <v>3.3828733601855003E-2</v>
      </c>
      <c r="J1565">
        <v>2.02594046761672E-2</v>
      </c>
      <c r="K1565">
        <v>1.41311737706731E-2</v>
      </c>
      <c r="L1565">
        <v>780.21832135339605</v>
      </c>
      <c r="M1565">
        <v>17.349947392451998</v>
      </c>
      <c r="N1565">
        <v>45.216069358500299</v>
      </c>
      <c r="O1565">
        <v>44.384837301748099</v>
      </c>
      <c r="P1565">
        <v>-9.3318403780544998E-2</v>
      </c>
      <c r="Q1565">
        <v>4.5141556132804697E-2</v>
      </c>
      <c r="R1565">
        <v>0.98205240685309503</v>
      </c>
      <c r="S1565" t="s">
        <v>6305</v>
      </c>
      <c r="T1565" t="s">
        <v>9478</v>
      </c>
      <c r="U1565" t="s">
        <v>9478</v>
      </c>
      <c r="V1565" t="s">
        <v>9478</v>
      </c>
      <c r="W1565">
        <v>19</v>
      </c>
      <c r="X1565" t="s">
        <v>11043</v>
      </c>
      <c r="Y1565">
        <v>0.2257591476641565</v>
      </c>
      <c r="Z1565" t="str">
        <f>HYPERLINK("Melting_Curves/meltCurve_sp_P68133_ACTS_HUMAN_.pdf", "Melting_Curves/meltCurve_sp_P68133_ACTS_HUMAN_.pdf")</f>
        <v>Melting_Curves/meltCurve_sp_P68133_ACTS_HUMAN_.pdf</v>
      </c>
      <c r="AA1565" t="s">
        <v>15757</v>
      </c>
      <c r="AB1565" t="s">
        <v>20399</v>
      </c>
    </row>
    <row r="1566" spans="1:28" x14ac:dyDescent="0.25">
      <c r="A1566" t="s">
        <v>1570</v>
      </c>
      <c r="B1566">
        <v>0.99904790336628502</v>
      </c>
      <c r="C1566">
        <v>0.84934299820346804</v>
      </c>
      <c r="D1566">
        <v>0.67742919712636596</v>
      </c>
      <c r="E1566">
        <v>0.40105412467198398</v>
      </c>
      <c r="F1566">
        <v>0.20554786558875399</v>
      </c>
      <c r="G1566">
        <v>8.9944258003794894E-2</v>
      </c>
      <c r="H1566">
        <v>3.4153199673838099E-2</v>
      </c>
      <c r="I1566">
        <v>2.0814015916282801E-2</v>
      </c>
      <c r="J1566">
        <v>1.26668569657764E-2</v>
      </c>
      <c r="K1566">
        <v>8.7854898818630501E-3</v>
      </c>
      <c r="L1566">
        <v>728.19170626040795</v>
      </c>
      <c r="M1566">
        <v>15.049600246984401</v>
      </c>
      <c r="N1566">
        <v>48.386116194371802</v>
      </c>
      <c r="O1566">
        <v>47.555908859676499</v>
      </c>
      <c r="P1566">
        <v>-7.9123191062437107E-2</v>
      </c>
      <c r="Q1566">
        <v>0</v>
      </c>
      <c r="R1566">
        <v>0.99787643704380702</v>
      </c>
      <c r="S1566" t="s">
        <v>6306</v>
      </c>
      <c r="T1566" t="s">
        <v>9478</v>
      </c>
      <c r="U1566" t="s">
        <v>9478</v>
      </c>
      <c r="V1566" t="s">
        <v>9478</v>
      </c>
      <c r="W1566">
        <v>17</v>
      </c>
      <c r="X1566" t="s">
        <v>11044</v>
      </c>
      <c r="Y1566">
        <v>0.30466685372985441</v>
      </c>
      <c r="Z1566" t="str">
        <f>HYPERLINK("Melting_Curves/meltCurve_sp_P68363_TBA1B_HUMAN_.pdf", "Melting_Curves/meltCurve_sp_P68363_TBA1B_HUMAN_.pdf")</f>
        <v>Melting_Curves/meltCurve_sp_P68363_TBA1B_HUMAN_.pdf</v>
      </c>
      <c r="AA1566" t="s">
        <v>15758</v>
      </c>
      <c r="AB1566" t="s">
        <v>20400</v>
      </c>
    </row>
    <row r="1567" spans="1:28" x14ac:dyDescent="0.25">
      <c r="A1567" t="s">
        <v>1571</v>
      </c>
      <c r="B1567">
        <v>0.99904790336628502</v>
      </c>
      <c r="C1567">
        <v>0.79267307496301098</v>
      </c>
      <c r="D1567">
        <v>0.60517389425529799</v>
      </c>
      <c r="E1567">
        <v>0.34282939110112398</v>
      </c>
      <c r="F1567">
        <v>0.189727488795227</v>
      </c>
      <c r="G1567">
        <v>0.100977708059102</v>
      </c>
      <c r="H1567">
        <v>5.3199415272405001E-2</v>
      </c>
      <c r="I1567">
        <v>3.87683719676487E-2</v>
      </c>
      <c r="J1567">
        <v>3.2243725999853597E-2</v>
      </c>
      <c r="K1567">
        <v>2.8401941305249701E-2</v>
      </c>
      <c r="L1567">
        <v>691.77485196595001</v>
      </c>
      <c r="M1567">
        <v>14.6097998475507</v>
      </c>
      <c r="N1567">
        <v>47.484666350372798</v>
      </c>
      <c r="O1567">
        <v>46.489477561547801</v>
      </c>
      <c r="P1567">
        <v>-7.6980183254521994E-2</v>
      </c>
      <c r="Q1567">
        <v>2.0283116016427599E-2</v>
      </c>
      <c r="R1567">
        <v>0.99561243564045898</v>
      </c>
      <c r="S1567" t="s">
        <v>6307</v>
      </c>
      <c r="T1567" t="s">
        <v>9478</v>
      </c>
      <c r="U1567" t="s">
        <v>9478</v>
      </c>
      <c r="V1567" t="s">
        <v>9478</v>
      </c>
      <c r="W1567">
        <v>19</v>
      </c>
      <c r="X1567" t="s">
        <v>11045</v>
      </c>
      <c r="Y1567">
        <v>0.28781412957305058</v>
      </c>
      <c r="Z1567" t="str">
        <f>HYPERLINK("Melting_Curves/meltCurve_sp_P68371_TBB4B_HUMAN_.pdf", "Melting_Curves/meltCurve_sp_P68371_TBB4B_HUMAN_.pdf")</f>
        <v>Melting_Curves/meltCurve_sp_P68371_TBB4B_HUMAN_.pdf</v>
      </c>
      <c r="AA1567" t="s">
        <v>15759</v>
      </c>
      <c r="AB1567" t="s">
        <v>20401</v>
      </c>
    </row>
    <row r="1568" spans="1:28" x14ac:dyDescent="0.25">
      <c r="A1568" t="s">
        <v>1572</v>
      </c>
      <c r="B1568">
        <v>0.99904790336628502</v>
      </c>
      <c r="C1568">
        <v>1.0105830808104499</v>
      </c>
      <c r="D1568">
        <v>0.90855947905876999</v>
      </c>
      <c r="E1568">
        <v>0.81243835701975597</v>
      </c>
      <c r="F1568">
        <v>0.55030785107247004</v>
      </c>
      <c r="G1568">
        <v>0.38127689471084097</v>
      </c>
      <c r="H1568">
        <v>0.20632024124470999</v>
      </c>
      <c r="I1568">
        <v>0.14242752877412801</v>
      </c>
      <c r="J1568">
        <v>7.4704820628430604E-2</v>
      </c>
      <c r="K1568">
        <v>5.3653425382533503E-2</v>
      </c>
      <c r="L1568">
        <v>742.88663750355204</v>
      </c>
      <c r="M1568">
        <v>13.6402065852274</v>
      </c>
      <c r="N1568">
        <v>54.5846814829452</v>
      </c>
      <c r="O1568">
        <v>53.332404176863001</v>
      </c>
      <c r="P1568">
        <v>-6.2991373460969904E-2</v>
      </c>
      <c r="Q1568">
        <v>1.4974103569338501E-2</v>
      </c>
      <c r="R1568">
        <v>0.99559967047724396</v>
      </c>
      <c r="S1568" t="s">
        <v>6308</v>
      </c>
      <c r="T1568" t="s">
        <v>9478</v>
      </c>
      <c r="U1568" t="s">
        <v>9478</v>
      </c>
      <c r="V1568" t="s">
        <v>9478</v>
      </c>
      <c r="W1568">
        <v>2</v>
      </c>
      <c r="X1568" t="s">
        <v>11046</v>
      </c>
      <c r="Y1568">
        <v>0.51168186818541272</v>
      </c>
      <c r="Z1568" t="str">
        <f>HYPERLINK("Melting_Curves/meltCurve_sp_P68402_PA1B2_HUMAN_.pdf", "Melting_Curves/meltCurve_sp_P68402_PA1B2_HUMAN_.pdf")</f>
        <v>Melting_Curves/meltCurve_sp_P68402_PA1B2_HUMAN_.pdf</v>
      </c>
      <c r="AA1568" t="s">
        <v>15760</v>
      </c>
      <c r="AB1568" t="s">
        <v>20402</v>
      </c>
    </row>
    <row r="1569" spans="1:28" x14ac:dyDescent="0.25">
      <c r="A1569" t="s">
        <v>1573</v>
      </c>
      <c r="B1569">
        <v>0.99904790336628502</v>
      </c>
      <c r="C1569">
        <v>0.89431139417475103</v>
      </c>
      <c r="D1569">
        <v>0.83899432912687399</v>
      </c>
      <c r="E1569">
        <v>0.82937383743142801</v>
      </c>
      <c r="F1569">
        <v>0.68718824062033201</v>
      </c>
      <c r="G1569">
        <v>0.33378893492429701</v>
      </c>
      <c r="H1569">
        <v>0.15178933089957</v>
      </c>
      <c r="I1569">
        <v>0.106372686310598</v>
      </c>
      <c r="J1569">
        <v>8.7627051546132401E-2</v>
      </c>
      <c r="K1569">
        <v>0.103981198534201</v>
      </c>
      <c r="L1569">
        <v>851.19113136957696</v>
      </c>
      <c r="M1569">
        <v>15.6063285188955</v>
      </c>
      <c r="N1569">
        <v>54.788447310640997</v>
      </c>
      <c r="O1569">
        <v>53.669456197900601</v>
      </c>
      <c r="P1569">
        <v>-7.02327676468356E-2</v>
      </c>
      <c r="Q1569">
        <v>3.3974763644647597E-2</v>
      </c>
      <c r="R1569">
        <v>0.97770222004895502</v>
      </c>
      <c r="S1569" t="s">
        <v>6309</v>
      </c>
      <c r="T1569" t="s">
        <v>9478</v>
      </c>
      <c r="U1569" t="s">
        <v>9478</v>
      </c>
      <c r="V1569" t="s">
        <v>9478</v>
      </c>
      <c r="W1569">
        <v>6</v>
      </c>
      <c r="X1569" t="s">
        <v>11047</v>
      </c>
      <c r="Y1569">
        <v>0.52055151371517172</v>
      </c>
      <c r="Z1569" t="str">
        <f>HYPERLINK("Melting_Curves/meltCurve_sp_P78314_3BP2_HUMAN_.pdf", "Melting_Curves/meltCurve_sp_P78314_3BP2_HUMAN_.pdf")</f>
        <v>Melting_Curves/meltCurve_sp_P78314_3BP2_HUMAN_.pdf</v>
      </c>
      <c r="AA1569" t="s">
        <v>15761</v>
      </c>
      <c r="AB1569" t="s">
        <v>20403</v>
      </c>
    </row>
    <row r="1570" spans="1:28" x14ac:dyDescent="0.25">
      <c r="A1570" t="s">
        <v>1574</v>
      </c>
      <c r="B1570">
        <v>0.99904790336628502</v>
      </c>
      <c r="C1570">
        <v>0.99146371581297399</v>
      </c>
      <c r="D1570">
        <v>0.91774552091828399</v>
      </c>
      <c r="E1570">
        <v>0.88877923033513895</v>
      </c>
      <c r="F1570">
        <v>0.83640289445092897</v>
      </c>
      <c r="G1570">
        <v>0.61276601888234805</v>
      </c>
      <c r="H1570">
        <v>0.29210714793701797</v>
      </c>
      <c r="I1570">
        <v>0.12312414775146401</v>
      </c>
      <c r="J1570">
        <v>7.3121173630858696E-2</v>
      </c>
      <c r="K1570">
        <v>6.6975259161432696E-2</v>
      </c>
      <c r="L1570">
        <v>1013.07240549397</v>
      </c>
      <c r="M1570">
        <v>17.478414790908499</v>
      </c>
      <c r="N1570">
        <v>57.961344539347103</v>
      </c>
      <c r="O1570">
        <v>57.218582530272499</v>
      </c>
      <c r="P1570">
        <v>-7.6371094732158598E-2</v>
      </c>
      <c r="Q1570">
        <v>0</v>
      </c>
      <c r="R1570">
        <v>0.99190893583981499</v>
      </c>
      <c r="S1570" t="s">
        <v>6310</v>
      </c>
      <c r="T1570" t="s">
        <v>9478</v>
      </c>
      <c r="U1570" t="s">
        <v>9478</v>
      </c>
      <c r="V1570" t="s">
        <v>9478</v>
      </c>
      <c r="W1570">
        <v>8</v>
      </c>
      <c r="X1570" t="s">
        <v>11048</v>
      </c>
      <c r="Y1570">
        <v>0.6113915766675615</v>
      </c>
      <c r="Z1570" t="str">
        <f>HYPERLINK("Melting_Curves/meltCurve_sp_P78318_IGBP1_HUMAN_.pdf", "Melting_Curves/meltCurve_sp_P78318_IGBP1_HUMAN_.pdf")</f>
        <v>Melting_Curves/meltCurve_sp_P78318_IGBP1_HUMAN_.pdf</v>
      </c>
      <c r="AA1570" t="s">
        <v>15762</v>
      </c>
      <c r="AB1570" t="s">
        <v>20404</v>
      </c>
    </row>
    <row r="1571" spans="1:28" x14ac:dyDescent="0.25">
      <c r="A1571" t="s">
        <v>1575</v>
      </c>
      <c r="B1571">
        <v>0.99904790336628502</v>
      </c>
      <c r="C1571">
        <v>1.06367412918061</v>
      </c>
      <c r="D1571">
        <v>0.80622028129957002</v>
      </c>
      <c r="E1571">
        <v>0.536157943980764</v>
      </c>
      <c r="F1571">
        <v>0.196732575091603</v>
      </c>
      <c r="G1571">
        <v>0.20820337135196301</v>
      </c>
      <c r="H1571">
        <v>9.3797453117076102E-2</v>
      </c>
      <c r="I1571">
        <v>3.1602206129557497E-2</v>
      </c>
      <c r="J1571">
        <v>2.68989925231106E-2</v>
      </c>
      <c r="K1571">
        <v>2.8000822107292399E-2</v>
      </c>
      <c r="L1571">
        <v>1009.79944627367</v>
      </c>
      <c r="M1571">
        <v>20.2731714404234</v>
      </c>
      <c r="N1571">
        <v>50.051397161622901</v>
      </c>
      <c r="O1571">
        <v>49.332616886679197</v>
      </c>
      <c r="P1571">
        <v>-9.7948559318363396E-2</v>
      </c>
      <c r="Q1571">
        <v>4.6639948284742799E-2</v>
      </c>
      <c r="R1571">
        <v>0.98203087944286205</v>
      </c>
      <c r="S1571" t="s">
        <v>6311</v>
      </c>
      <c r="T1571" t="s">
        <v>9478</v>
      </c>
      <c r="U1571" t="s">
        <v>9478</v>
      </c>
      <c r="V1571" t="s">
        <v>9478</v>
      </c>
      <c r="W1571">
        <v>8</v>
      </c>
      <c r="X1571" t="s">
        <v>11049</v>
      </c>
      <c r="Y1571">
        <v>0.37130990707435529</v>
      </c>
      <c r="Z1571" t="str">
        <f>HYPERLINK("Melting_Curves/meltCurve_sp_P78329_CP4F2_HUMAN_.pdf", "Melting_Curves/meltCurve_sp_P78329_CP4F2_HUMAN_.pdf")</f>
        <v>Melting_Curves/meltCurve_sp_P78329_CP4F2_HUMAN_.pdf</v>
      </c>
      <c r="AA1571" t="s">
        <v>15763</v>
      </c>
      <c r="AB1571" t="s">
        <v>20405</v>
      </c>
    </row>
    <row r="1572" spans="1:28" x14ac:dyDescent="0.25">
      <c r="A1572" t="s">
        <v>1576</v>
      </c>
      <c r="B1572">
        <v>0.99904790336628502</v>
      </c>
      <c r="C1572">
        <v>0.88396623438784305</v>
      </c>
      <c r="D1572">
        <v>0.91778145821164603</v>
      </c>
      <c r="E1572">
        <v>0.77281181618824601</v>
      </c>
      <c r="F1572">
        <v>0.75166140080619404</v>
      </c>
      <c r="G1572">
        <v>0.51525242311166597</v>
      </c>
      <c r="H1572">
        <v>0.471818889820592</v>
      </c>
      <c r="I1572">
        <v>0.45657338077453902</v>
      </c>
      <c r="J1572">
        <v>0.41480784475716898</v>
      </c>
      <c r="K1572">
        <v>0.42266682053861798</v>
      </c>
      <c r="L1572">
        <v>574.97412823454295</v>
      </c>
      <c r="M1572">
        <v>10.814274886715699</v>
      </c>
      <c r="N1572">
        <v>60.209873120308899</v>
      </c>
      <c r="O1572">
        <v>51.446861051455102</v>
      </c>
      <c r="P1572">
        <v>-3.3705088730215299E-2</v>
      </c>
      <c r="Q1572">
        <v>0.35884870743973502</v>
      </c>
      <c r="R1572">
        <v>0.97050094412638999</v>
      </c>
      <c r="S1572" t="s">
        <v>6312</v>
      </c>
      <c r="T1572" t="s">
        <v>9478</v>
      </c>
      <c r="U1572" t="s">
        <v>9478</v>
      </c>
      <c r="V1572" t="s">
        <v>9478</v>
      </c>
      <c r="W1572">
        <v>4</v>
      </c>
      <c r="X1572" t="s">
        <v>11050</v>
      </c>
      <c r="Y1572">
        <v>0.66030568556172764</v>
      </c>
      <c r="Z1572" t="str">
        <f>HYPERLINK("Melting_Curves/meltCurve_sp_P78332_RBM6_HUMAN_.pdf", "Melting_Curves/meltCurve_sp_P78332_RBM6_HUMAN_.pdf")</f>
        <v>Melting_Curves/meltCurve_sp_P78332_RBM6_HUMAN_.pdf</v>
      </c>
      <c r="AA1572" t="s">
        <v>15764</v>
      </c>
      <c r="AB1572" t="s">
        <v>20406</v>
      </c>
    </row>
    <row r="1573" spans="1:28" x14ac:dyDescent="0.25">
      <c r="A1573" t="s">
        <v>1577</v>
      </c>
      <c r="B1573">
        <v>0.99904790336628502</v>
      </c>
      <c r="C1573">
        <v>0.92499453842249202</v>
      </c>
      <c r="D1573">
        <v>0.92820452595838399</v>
      </c>
      <c r="E1573">
        <v>0.89571815642902897</v>
      </c>
      <c r="F1573">
        <v>0.62668766938946996</v>
      </c>
      <c r="G1573">
        <v>0.51251737007467102</v>
      </c>
      <c r="H1573">
        <v>0.23320712057977899</v>
      </c>
      <c r="I1573">
        <v>0.211419045215997</v>
      </c>
      <c r="J1573">
        <v>0.11771843378443</v>
      </c>
      <c r="K1573">
        <v>2.96405936464787E-2</v>
      </c>
      <c r="L1573">
        <v>725.70973315428205</v>
      </c>
      <c r="M1573">
        <v>12.8851534426001</v>
      </c>
      <c r="N1573">
        <v>56.321388445817099</v>
      </c>
      <c r="O1573">
        <v>55.016552639104802</v>
      </c>
      <c r="P1573">
        <v>-5.85619651051534E-2</v>
      </c>
      <c r="Q1573">
        <v>0</v>
      </c>
      <c r="R1573">
        <v>0.98535389933476902</v>
      </c>
      <c r="S1573" t="s">
        <v>6313</v>
      </c>
      <c r="T1573" t="s">
        <v>9478</v>
      </c>
      <c r="U1573" t="s">
        <v>9478</v>
      </c>
      <c r="V1573" t="s">
        <v>9478</v>
      </c>
      <c r="W1573">
        <v>5</v>
      </c>
      <c r="X1573" t="s">
        <v>11051</v>
      </c>
      <c r="Y1573">
        <v>0.56286653422985156</v>
      </c>
      <c r="Z1573" t="str">
        <f>HYPERLINK("Melting_Curves/meltCurve_sp_P78346_RPP30_HUMAN_.pdf", "Melting_Curves/meltCurve_sp_P78346_RPP30_HUMAN_.pdf")</f>
        <v>Melting_Curves/meltCurve_sp_P78346_RPP30_HUMAN_.pdf</v>
      </c>
      <c r="AA1573" t="s">
        <v>15765</v>
      </c>
      <c r="AB1573" t="s">
        <v>20407</v>
      </c>
    </row>
    <row r="1574" spans="1:28" x14ac:dyDescent="0.25">
      <c r="A1574" t="s">
        <v>1578</v>
      </c>
      <c r="B1574">
        <v>0.99904790336628502</v>
      </c>
      <c r="C1574">
        <v>1.0175593965657701</v>
      </c>
      <c r="D1574">
        <v>0.92464962647957105</v>
      </c>
      <c r="E1574">
        <v>0.75971822618048002</v>
      </c>
      <c r="F1574">
        <v>0.60895903408273599</v>
      </c>
      <c r="G1574">
        <v>0.45971853746844399</v>
      </c>
      <c r="H1574">
        <v>0.28479883278566498</v>
      </c>
      <c r="I1574">
        <v>0.203432147590458</v>
      </c>
      <c r="J1574">
        <v>0.16060366046031099</v>
      </c>
      <c r="K1574">
        <v>0.130138152624963</v>
      </c>
      <c r="L1574">
        <v>657.11846232794096</v>
      </c>
      <c r="M1574">
        <v>11.9746782869193</v>
      </c>
      <c r="N1574">
        <v>55.539332309122599</v>
      </c>
      <c r="O1574">
        <v>53.412453376120602</v>
      </c>
      <c r="P1574">
        <v>-5.2324566458507998E-2</v>
      </c>
      <c r="Q1574">
        <v>6.6662404223778601E-2</v>
      </c>
      <c r="R1574">
        <v>0.99617987995491097</v>
      </c>
      <c r="S1574" t="s">
        <v>6314</v>
      </c>
      <c r="T1574" t="s">
        <v>9478</v>
      </c>
      <c r="U1574" t="s">
        <v>9478</v>
      </c>
      <c r="V1574" t="s">
        <v>9478</v>
      </c>
      <c r="W1574">
        <v>29</v>
      </c>
      <c r="X1574" t="s">
        <v>11052</v>
      </c>
      <c r="Y1574">
        <v>0.55171296106851231</v>
      </c>
      <c r="Z1574" t="str">
        <f>HYPERLINK("Melting_Curves/meltCurve_sp_P78347_2_GTF2I_HUMAN_.pdf", "Melting_Curves/meltCurve_sp_P78347_2_GTF2I_HUMAN_.pdf")</f>
        <v>Melting_Curves/meltCurve_sp_P78347_2_GTF2I_HUMAN_.pdf</v>
      </c>
      <c r="AA1574" t="s">
        <v>15766</v>
      </c>
      <c r="AB1574" t="s">
        <v>20408</v>
      </c>
    </row>
    <row r="1575" spans="1:28" x14ac:dyDescent="0.25">
      <c r="A1575" t="s">
        <v>1579</v>
      </c>
      <c r="B1575">
        <v>0.99904790336628502</v>
      </c>
      <c r="C1575">
        <v>0.97386957816559205</v>
      </c>
      <c r="D1575">
        <v>0.90310410146879705</v>
      </c>
      <c r="E1575">
        <v>0.70133042307091997</v>
      </c>
      <c r="F1575">
        <v>0.47274540972983198</v>
      </c>
      <c r="G1575">
        <v>0.32059076314275797</v>
      </c>
      <c r="H1575">
        <v>0.19979045330852399</v>
      </c>
      <c r="I1575">
        <v>0.13359622359121401</v>
      </c>
      <c r="J1575">
        <v>9.6806835823354198E-2</v>
      </c>
      <c r="K1575">
        <v>6.7109819590694494E-2</v>
      </c>
      <c r="L1575">
        <v>729.62217649702995</v>
      </c>
      <c r="M1575">
        <v>13.845702838876299</v>
      </c>
      <c r="N1575">
        <v>53.140871047207902</v>
      </c>
      <c r="O1575">
        <v>51.633875129792102</v>
      </c>
      <c r="P1575">
        <v>-6.3383243483835394E-2</v>
      </c>
      <c r="Q1575">
        <v>5.46466753701466E-2</v>
      </c>
      <c r="R1575">
        <v>0.99770889891155701</v>
      </c>
      <c r="S1575" t="s">
        <v>6315</v>
      </c>
      <c r="T1575" t="s">
        <v>9478</v>
      </c>
      <c r="U1575" t="s">
        <v>9478</v>
      </c>
      <c r="V1575" t="s">
        <v>9478</v>
      </c>
      <c r="W1575">
        <v>5</v>
      </c>
      <c r="X1575" t="s">
        <v>11053</v>
      </c>
      <c r="Y1575">
        <v>0.47775776597730801</v>
      </c>
      <c r="Z1575" t="str">
        <f>HYPERLINK("Melting_Curves/meltCurve_sp_P78356_PI42B_HUMAN_.pdf", "Melting_Curves/meltCurve_sp_P78356_PI42B_HUMAN_.pdf")</f>
        <v>Melting_Curves/meltCurve_sp_P78356_PI42B_HUMAN_.pdf</v>
      </c>
      <c r="AA1575" t="s">
        <v>15767</v>
      </c>
      <c r="AB1575" t="s">
        <v>20409</v>
      </c>
    </row>
    <row r="1576" spans="1:28" x14ac:dyDescent="0.25">
      <c r="A1576" t="s">
        <v>1580</v>
      </c>
      <c r="B1576">
        <v>0.99904790336628502</v>
      </c>
      <c r="C1576">
        <v>1.7644689342287201</v>
      </c>
      <c r="D1576">
        <v>1.60912891439227</v>
      </c>
      <c r="E1576">
        <v>1.3186503151959299</v>
      </c>
      <c r="F1576">
        <v>1.10898191903542</v>
      </c>
      <c r="G1576">
        <v>0.641968108859025</v>
      </c>
      <c r="H1576">
        <v>0.39580643599723597</v>
      </c>
      <c r="I1576">
        <v>0.37821361968025202</v>
      </c>
      <c r="J1576">
        <v>0.28752262275143098</v>
      </c>
      <c r="K1576">
        <v>0.166354916135249</v>
      </c>
      <c r="L1576">
        <v>2982.6701947275901</v>
      </c>
      <c r="M1576">
        <v>52.253804461547197</v>
      </c>
      <c r="N1576">
        <v>58.087202559226697</v>
      </c>
      <c r="O1576">
        <v>56.997024041416502</v>
      </c>
      <c r="P1576">
        <v>-0.16092708522107399</v>
      </c>
      <c r="Q1576">
        <v>0.29786100551848599</v>
      </c>
      <c r="R1576">
        <v>0.62971658432327604</v>
      </c>
      <c r="S1576" t="s">
        <v>6316</v>
      </c>
      <c r="T1576" t="s">
        <v>9478</v>
      </c>
      <c r="U1576" t="s">
        <v>9478</v>
      </c>
      <c r="V1576" t="s">
        <v>9478</v>
      </c>
      <c r="W1576">
        <v>2</v>
      </c>
      <c r="X1576" t="s">
        <v>11054</v>
      </c>
      <c r="Y1576">
        <v>0.69923773227263675</v>
      </c>
      <c r="Z1576" t="str">
        <f>HYPERLINK("Melting_Curves/meltCurve_sp_P78362_SRPK2_HUMAN_.pdf", "Melting_Curves/meltCurve_sp_P78362_SRPK2_HUMAN_.pdf")</f>
        <v>Melting_Curves/meltCurve_sp_P78362_SRPK2_HUMAN_.pdf</v>
      </c>
      <c r="AA1576" t="s">
        <v>15768</v>
      </c>
      <c r="AB1576" t="s">
        <v>20410</v>
      </c>
    </row>
    <row r="1577" spans="1:28" x14ac:dyDescent="0.25">
      <c r="A1577" t="s">
        <v>1581</v>
      </c>
      <c r="B1577">
        <v>0.99904790336628502</v>
      </c>
      <c r="C1577">
        <v>1.10471612841966</v>
      </c>
      <c r="D1577">
        <v>1.1018334705413899</v>
      </c>
      <c r="E1577">
        <v>1.0340454420462899</v>
      </c>
      <c r="F1577">
        <v>0.83313378137835103</v>
      </c>
      <c r="G1577">
        <v>0.28792875947361202</v>
      </c>
      <c r="H1577">
        <v>8.9134499051361199E-2</v>
      </c>
      <c r="I1577">
        <v>6.0587178937864999E-2</v>
      </c>
      <c r="J1577">
        <v>4.1482974816562303E-2</v>
      </c>
      <c r="K1577">
        <v>4.1402497064013499E-2</v>
      </c>
      <c r="L1577">
        <v>2065.5056200173799</v>
      </c>
      <c r="M1577">
        <v>37.336663304146001</v>
      </c>
      <c r="N1577">
        <v>55.474417701444203</v>
      </c>
      <c r="O1577">
        <v>55.163119465186597</v>
      </c>
      <c r="P1577">
        <v>-0.16091713151623099</v>
      </c>
      <c r="Q1577">
        <v>4.9013267202603399E-2</v>
      </c>
      <c r="R1577">
        <v>0.98866100582595995</v>
      </c>
      <c r="S1577" t="s">
        <v>6317</v>
      </c>
      <c r="T1577" t="s">
        <v>9478</v>
      </c>
      <c r="U1577" t="s">
        <v>9478</v>
      </c>
      <c r="V1577" t="s">
        <v>9478</v>
      </c>
      <c r="W1577">
        <v>28</v>
      </c>
      <c r="X1577" t="s">
        <v>11055</v>
      </c>
      <c r="Y1577">
        <v>0.53883404267144241</v>
      </c>
      <c r="Z1577" t="str">
        <f>HYPERLINK("Melting_Curves/meltCurve_sp_P78371_TCPB_HUMAN_.pdf", "Melting_Curves/meltCurve_sp_P78371_TCPB_HUMAN_.pdf")</f>
        <v>Melting_Curves/meltCurve_sp_P78371_TCPB_HUMAN_.pdf</v>
      </c>
      <c r="AA1577" t="s">
        <v>15769</v>
      </c>
      <c r="AB1577" t="s">
        <v>20411</v>
      </c>
    </row>
    <row r="1578" spans="1:28" x14ac:dyDescent="0.25">
      <c r="A1578" t="s">
        <v>1582</v>
      </c>
      <c r="B1578">
        <v>0.99904790336628502</v>
      </c>
      <c r="C1578">
        <v>0.95144032117949595</v>
      </c>
      <c r="D1578">
        <v>0.850916571114126</v>
      </c>
      <c r="E1578">
        <v>0.604632819585884</v>
      </c>
      <c r="F1578">
        <v>0.264656185050757</v>
      </c>
      <c r="G1578">
        <v>0.16349179242284201</v>
      </c>
      <c r="H1578">
        <v>8.3160139617116505E-2</v>
      </c>
      <c r="I1578">
        <v>6.0189310647006798E-2</v>
      </c>
      <c r="J1578">
        <v>3.51741172556473E-2</v>
      </c>
      <c r="K1578">
        <v>9.9114368474628994E-3</v>
      </c>
      <c r="L1578">
        <v>931.34976607507099</v>
      </c>
      <c r="M1578">
        <v>18.423966490596001</v>
      </c>
      <c r="N1578">
        <v>50.713095598186001</v>
      </c>
      <c r="O1578">
        <v>49.966740679507502</v>
      </c>
      <c r="P1578">
        <v>-8.9549190361070896E-2</v>
      </c>
      <c r="Q1578">
        <v>2.8595818564901902E-2</v>
      </c>
      <c r="R1578">
        <v>0.99540359868374095</v>
      </c>
      <c r="S1578" t="s">
        <v>6318</v>
      </c>
      <c r="T1578" t="s">
        <v>9478</v>
      </c>
      <c r="U1578" t="s">
        <v>9478</v>
      </c>
      <c r="V1578" t="s">
        <v>9478</v>
      </c>
      <c r="W1578">
        <v>6</v>
      </c>
      <c r="X1578" t="s">
        <v>11056</v>
      </c>
      <c r="Y1578">
        <v>0.38599695684686691</v>
      </c>
      <c r="Z1578" t="str">
        <f>HYPERLINK("Melting_Curves/meltCurve_sp_P78406_RAE1L_HUMAN_.pdf", "Melting_Curves/meltCurve_sp_P78406_RAE1L_HUMAN_.pdf")</f>
        <v>Melting_Curves/meltCurve_sp_P78406_RAE1L_HUMAN_.pdf</v>
      </c>
      <c r="AA1578" t="s">
        <v>15770</v>
      </c>
      <c r="AB1578" t="s">
        <v>20412</v>
      </c>
    </row>
    <row r="1579" spans="1:28" x14ac:dyDescent="0.25">
      <c r="A1579" t="s">
        <v>1583</v>
      </c>
      <c r="B1579">
        <v>0.99904790336628502</v>
      </c>
      <c r="C1579">
        <v>1.03293194529484</v>
      </c>
      <c r="D1579">
        <v>1.04720542040144</v>
      </c>
      <c r="E1579">
        <v>1.00753843431917</v>
      </c>
      <c r="F1579">
        <v>1.0050835672362901</v>
      </c>
      <c r="G1579">
        <v>0.72906600413210598</v>
      </c>
      <c r="H1579">
        <v>0.40733051050382801</v>
      </c>
      <c r="I1579">
        <v>0.18825417472900199</v>
      </c>
      <c r="J1579">
        <v>9.1654750433550397E-2</v>
      </c>
      <c r="K1579">
        <v>5.6728791817626599E-2</v>
      </c>
      <c r="L1579">
        <v>1431.18749454971</v>
      </c>
      <c r="M1579">
        <v>23.988683978386199</v>
      </c>
      <c r="N1579">
        <v>59.816082484946499</v>
      </c>
      <c r="O1579">
        <v>59.250998463833</v>
      </c>
      <c r="P1579">
        <v>-9.8165197352486397E-2</v>
      </c>
      <c r="Q1579">
        <v>3.0160710061752301E-2</v>
      </c>
      <c r="R1579">
        <v>0.99533013265011006</v>
      </c>
      <c r="S1579" t="s">
        <v>6319</v>
      </c>
      <c r="T1579" t="s">
        <v>9478</v>
      </c>
      <c r="U1579" t="s">
        <v>9478</v>
      </c>
      <c r="V1579" t="s">
        <v>9478</v>
      </c>
      <c r="W1579">
        <v>20</v>
      </c>
      <c r="X1579" t="s">
        <v>11057</v>
      </c>
      <c r="Y1579">
        <v>0.67354206026204932</v>
      </c>
      <c r="Z1579" t="str">
        <f>HYPERLINK("Melting_Curves/meltCurve_sp_P78417_GSTO1_HUMAN_.pdf", "Melting_Curves/meltCurve_sp_P78417_GSTO1_HUMAN_.pdf")</f>
        <v>Melting_Curves/meltCurve_sp_P78417_GSTO1_HUMAN_.pdf</v>
      </c>
      <c r="AA1579" t="s">
        <v>15771</v>
      </c>
      <c r="AB1579" t="s">
        <v>20413</v>
      </c>
    </row>
    <row r="1580" spans="1:28" x14ac:dyDescent="0.25">
      <c r="A1580" t="s">
        <v>1584</v>
      </c>
      <c r="B1580">
        <v>0.99904790336628502</v>
      </c>
      <c r="C1580">
        <v>1.1615920651829399</v>
      </c>
      <c r="D1580">
        <v>1.0668195458269401</v>
      </c>
      <c r="E1580">
        <v>0.960756328824933</v>
      </c>
      <c r="F1580">
        <v>1.070676651596</v>
      </c>
      <c r="G1580">
        <v>0.78084946976952196</v>
      </c>
      <c r="H1580">
        <v>0.73460178494430195</v>
      </c>
      <c r="I1580">
        <v>0.65988656514556299</v>
      </c>
      <c r="J1580">
        <v>0.76035846369668303</v>
      </c>
      <c r="K1580">
        <v>0.85473312196509699</v>
      </c>
      <c r="L1580">
        <v>14133.6372880089</v>
      </c>
      <c r="M1580">
        <v>250</v>
      </c>
      <c r="O1580">
        <v>56.530946755092501</v>
      </c>
      <c r="P1580">
        <v>-0.27374949761224798</v>
      </c>
      <c r="Q1580">
        <v>0.75239497524565102</v>
      </c>
      <c r="R1580">
        <v>0.78210160230787795</v>
      </c>
      <c r="S1580" t="s">
        <v>6320</v>
      </c>
      <c r="T1580" t="s">
        <v>9478</v>
      </c>
      <c r="U1580" t="s">
        <v>9478</v>
      </c>
      <c r="V1580" t="s">
        <v>9478</v>
      </c>
      <c r="W1580">
        <v>1</v>
      </c>
      <c r="X1580" t="s">
        <v>11058</v>
      </c>
      <c r="Y1580">
        <v>0.88888745700598248</v>
      </c>
      <c r="Z1580" t="str">
        <f>HYPERLINK("Melting_Curves/meltCurve_sp_P78524_ST5_HUMAN_.pdf", "Melting_Curves/meltCurve_sp_P78524_ST5_HUMAN_.pdf")</f>
        <v>Melting_Curves/meltCurve_sp_P78524_ST5_HUMAN_.pdf</v>
      </c>
      <c r="AA1580" t="s">
        <v>15772</v>
      </c>
      <c r="AB1580" t="s">
        <v>20414</v>
      </c>
    </row>
    <row r="1581" spans="1:28" x14ac:dyDescent="0.25">
      <c r="A1581" t="s">
        <v>1585</v>
      </c>
      <c r="B1581">
        <v>0.99904790336628502</v>
      </c>
      <c r="C1581">
        <v>0.993969138451123</v>
      </c>
      <c r="D1581">
        <v>0.84155643448494</v>
      </c>
      <c r="E1581">
        <v>0.67427669016191205</v>
      </c>
      <c r="F1581">
        <v>0.19684161625298599</v>
      </c>
      <c r="G1581">
        <v>0.12612513903625899</v>
      </c>
      <c r="H1581">
        <v>7.3164095348735705E-2</v>
      </c>
      <c r="I1581">
        <v>6.3929523360864507E-2</v>
      </c>
      <c r="J1581">
        <v>5.3711963684136901E-2</v>
      </c>
      <c r="K1581">
        <v>3.2739854016076902E-2</v>
      </c>
      <c r="L1581">
        <v>1395.67085374515</v>
      </c>
      <c r="M1581">
        <v>27.567768893757599</v>
      </c>
      <c r="N1581">
        <v>50.830701819210198</v>
      </c>
      <c r="O1581">
        <v>50.362741815910802</v>
      </c>
      <c r="P1581">
        <v>-0.12968760086463499</v>
      </c>
      <c r="Q1581">
        <v>5.2318589438880202E-2</v>
      </c>
      <c r="R1581">
        <v>0.98633628560090703</v>
      </c>
      <c r="S1581" t="s">
        <v>6321</v>
      </c>
      <c r="T1581" t="s">
        <v>9478</v>
      </c>
      <c r="U1581" t="s">
        <v>9478</v>
      </c>
      <c r="V1581" t="s">
        <v>9478</v>
      </c>
      <c r="W1581">
        <v>2</v>
      </c>
      <c r="X1581" t="s">
        <v>11059</v>
      </c>
      <c r="Y1581">
        <v>0.39503281368220761</v>
      </c>
      <c r="Z1581" t="str">
        <f>HYPERLINK("Melting_Curves/meltCurve_sp_P78560_CRADD_HUMAN_.pdf", "Melting_Curves/meltCurve_sp_P78560_CRADD_HUMAN_.pdf")</f>
        <v>Melting_Curves/meltCurve_sp_P78560_CRADD_HUMAN_.pdf</v>
      </c>
      <c r="AA1581" t="s">
        <v>15773</v>
      </c>
      <c r="AB1581" t="s">
        <v>20415</v>
      </c>
    </row>
    <row r="1582" spans="1:28" x14ac:dyDescent="0.25">
      <c r="A1582" t="s">
        <v>1586</v>
      </c>
      <c r="B1582">
        <v>0.99904790336628502</v>
      </c>
      <c r="C1582">
        <v>0.93785616393535198</v>
      </c>
      <c r="D1582">
        <v>0.93078430966499504</v>
      </c>
      <c r="E1582">
        <v>1.0065738845298</v>
      </c>
      <c r="F1582">
        <v>0.92880360363162096</v>
      </c>
      <c r="G1582">
        <v>0.88304182334083703</v>
      </c>
      <c r="H1582">
        <v>0.67384098456877894</v>
      </c>
      <c r="I1582">
        <v>0.54440305701740699</v>
      </c>
      <c r="J1582">
        <v>0.58661240773580903</v>
      </c>
      <c r="K1582">
        <v>0.53601069432306203</v>
      </c>
      <c r="L1582">
        <v>1563.37434237615</v>
      </c>
      <c r="M1582">
        <v>26.529783503205799</v>
      </c>
      <c r="O1582">
        <v>58.597261249109501</v>
      </c>
      <c r="P1582">
        <v>-5.2789063366445198E-2</v>
      </c>
      <c r="Q1582">
        <v>0.53361675407851705</v>
      </c>
      <c r="R1582">
        <v>0.95788840834325095</v>
      </c>
      <c r="S1582" t="s">
        <v>6322</v>
      </c>
      <c r="T1582" t="s">
        <v>9478</v>
      </c>
      <c r="U1582" t="s">
        <v>9478</v>
      </c>
      <c r="V1582" t="s">
        <v>9478</v>
      </c>
      <c r="W1582">
        <v>2</v>
      </c>
      <c r="X1582" t="s">
        <v>11060</v>
      </c>
      <c r="Y1582">
        <v>0.83145524757731182</v>
      </c>
      <c r="Z1582" t="str">
        <f>HYPERLINK("Melting_Curves/meltCurve_sp_P80188_2_NGAL_HUMAN_.pdf", "Melting_Curves/meltCurve_sp_P80188_2_NGAL_HUMAN_.pdf")</f>
        <v>Melting_Curves/meltCurve_sp_P80188_2_NGAL_HUMAN_.pdf</v>
      </c>
      <c r="AA1582" t="s">
        <v>15774</v>
      </c>
      <c r="AB1582" t="s">
        <v>20416</v>
      </c>
    </row>
    <row r="1583" spans="1:28" x14ac:dyDescent="0.25">
      <c r="A1583" t="s">
        <v>1587</v>
      </c>
      <c r="B1583">
        <v>0.99904790336628502</v>
      </c>
      <c r="C1583">
        <v>1.00331906861105</v>
      </c>
      <c r="D1583">
        <v>1.0630969756730799</v>
      </c>
      <c r="E1583">
        <v>0.96809928271072798</v>
      </c>
      <c r="F1583">
        <v>0.75441735554018896</v>
      </c>
      <c r="G1583">
        <v>0.29985699821721701</v>
      </c>
      <c r="H1583">
        <v>7.0122855272970505E-2</v>
      </c>
      <c r="I1583">
        <v>4.4942867331061002E-2</v>
      </c>
      <c r="J1583">
        <v>2.40278623705115E-2</v>
      </c>
      <c r="K1583">
        <v>2.4699901730397301E-2</v>
      </c>
      <c r="L1583">
        <v>1604.90211875507</v>
      </c>
      <c r="M1583">
        <v>29.1211552319266</v>
      </c>
      <c r="N1583">
        <v>55.196640678877998</v>
      </c>
      <c r="O1583">
        <v>54.853289914452603</v>
      </c>
      <c r="P1583">
        <v>-0.129799134995919</v>
      </c>
      <c r="Q1583">
        <v>2.20364091590796E-2</v>
      </c>
      <c r="R1583">
        <v>0.99750360298284302</v>
      </c>
      <c r="S1583" t="s">
        <v>6323</v>
      </c>
      <c r="T1583" t="s">
        <v>9478</v>
      </c>
      <c r="U1583" t="s">
        <v>9478</v>
      </c>
      <c r="V1583" t="s">
        <v>9478</v>
      </c>
      <c r="W1583">
        <v>11</v>
      </c>
      <c r="X1583" t="s">
        <v>11061</v>
      </c>
      <c r="Y1583">
        <v>0.52150805863739624</v>
      </c>
      <c r="Z1583" t="str">
        <f>HYPERLINK("Melting_Curves/meltCurve_sp_P80217_IN35_HUMAN_.pdf", "Melting_Curves/meltCurve_sp_P80217_IN35_HUMAN_.pdf")</f>
        <v>Melting_Curves/meltCurve_sp_P80217_IN35_HUMAN_.pdf</v>
      </c>
      <c r="AA1583" t="s">
        <v>15775</v>
      </c>
      <c r="AB1583" t="s">
        <v>20417</v>
      </c>
    </row>
    <row r="1584" spans="1:28" x14ac:dyDescent="0.25">
      <c r="A1584" t="s">
        <v>1588</v>
      </c>
      <c r="B1584">
        <v>0.99904790336628502</v>
      </c>
      <c r="C1584">
        <v>0.95597328371850598</v>
      </c>
      <c r="D1584">
        <v>0.97754074588165396</v>
      </c>
      <c r="E1584">
        <v>1.0678730183265901</v>
      </c>
      <c r="F1584">
        <v>1.0963490643813301</v>
      </c>
      <c r="G1584">
        <v>1.0281418788983101</v>
      </c>
      <c r="H1584">
        <v>1.0823840613911799</v>
      </c>
      <c r="I1584">
        <v>1.48556743047243</v>
      </c>
      <c r="J1584">
        <v>2.00208011010267</v>
      </c>
      <c r="K1584">
        <v>2.8338200929644599</v>
      </c>
      <c r="L1584">
        <v>7376.2453211533102</v>
      </c>
      <c r="M1584">
        <v>119.294077722791</v>
      </c>
      <c r="O1584">
        <v>61.815080614444597</v>
      </c>
      <c r="P1584">
        <v>0.24123175113678699</v>
      </c>
      <c r="Q1584">
        <v>1.5</v>
      </c>
      <c r="R1584">
        <v>0.39424602381722201</v>
      </c>
      <c r="S1584" t="s">
        <v>6324</v>
      </c>
      <c r="T1584" t="s">
        <v>9478</v>
      </c>
      <c r="U1584" t="s">
        <v>9478</v>
      </c>
      <c r="V1584" t="s">
        <v>9478</v>
      </c>
      <c r="W1584">
        <v>6</v>
      </c>
      <c r="X1584" t="s">
        <v>11062</v>
      </c>
      <c r="Y1584">
        <v>1.1358873450403419</v>
      </c>
      <c r="Z1584" t="str">
        <f>HYPERLINK("Melting_Curves/meltCurve_sp_P80294_MT1H_HUMAN_.pdf", "Melting_Curves/meltCurve_sp_P80294_MT1H_HUMAN_.pdf")</f>
        <v>Melting_Curves/meltCurve_sp_P80294_MT1H_HUMAN_.pdf</v>
      </c>
      <c r="AA1584" t="s">
        <v>15776</v>
      </c>
      <c r="AB1584" t="s">
        <v>20418</v>
      </c>
    </row>
    <row r="1585" spans="1:28" x14ac:dyDescent="0.25">
      <c r="A1585" t="s">
        <v>1589</v>
      </c>
      <c r="B1585">
        <v>0.99904790336628502</v>
      </c>
      <c r="C1585">
        <v>0.76526802145607298</v>
      </c>
      <c r="D1585">
        <v>0.74248501919107401</v>
      </c>
      <c r="E1585">
        <v>0.73001235490045702</v>
      </c>
      <c r="F1585">
        <v>1.0642049770250099</v>
      </c>
      <c r="G1585">
        <v>0.521084499578927</v>
      </c>
      <c r="H1585">
        <v>1.27905056693679</v>
      </c>
      <c r="I1585">
        <v>1.04020479195747</v>
      </c>
      <c r="J1585">
        <v>2.0320493110033802</v>
      </c>
      <c r="K1585">
        <v>2.2925761990839901</v>
      </c>
      <c r="L1585">
        <v>15000</v>
      </c>
      <c r="M1585">
        <v>231.99277558734099</v>
      </c>
      <c r="O1585">
        <v>64.652381290113198</v>
      </c>
      <c r="P1585">
        <v>0.44853873188017801</v>
      </c>
      <c r="Q1585">
        <v>1.5</v>
      </c>
      <c r="R1585">
        <v>0.53204690973352398</v>
      </c>
      <c r="S1585" t="s">
        <v>6325</v>
      </c>
      <c r="T1585" t="s">
        <v>9478</v>
      </c>
      <c r="U1585" t="s">
        <v>9478</v>
      </c>
      <c r="V1585" t="s">
        <v>9478</v>
      </c>
      <c r="W1585">
        <v>5</v>
      </c>
      <c r="X1585" t="s">
        <v>11063</v>
      </c>
      <c r="Y1585">
        <v>1.088981015064201</v>
      </c>
      <c r="Z1585" t="str">
        <f>HYPERLINK("Melting_Curves/meltCurve_sp_P80297_MT1X_HUMAN_.pdf", "Melting_Curves/meltCurve_sp_P80297_MT1X_HUMAN_.pdf")</f>
        <v>Melting_Curves/meltCurve_sp_P80297_MT1X_HUMAN_.pdf</v>
      </c>
      <c r="AA1585" t="s">
        <v>15777</v>
      </c>
      <c r="AB1585" t="s">
        <v>20419</v>
      </c>
    </row>
    <row r="1586" spans="1:28" x14ac:dyDescent="0.25">
      <c r="A1586" t="s">
        <v>1590</v>
      </c>
      <c r="B1586">
        <v>0.99904790336628502</v>
      </c>
      <c r="C1586">
        <v>0.951501297685581</v>
      </c>
      <c r="D1586">
        <v>0.94132959654355597</v>
      </c>
      <c r="E1586">
        <v>0.90345792672706104</v>
      </c>
      <c r="F1586">
        <v>0.874283671512598</v>
      </c>
      <c r="G1586">
        <v>0.69707281748719196</v>
      </c>
      <c r="H1586">
        <v>0.60655009886199696</v>
      </c>
      <c r="I1586">
        <v>0.55770783837176796</v>
      </c>
      <c r="J1586">
        <v>0.55990799956287496</v>
      </c>
      <c r="K1586">
        <v>0.46756770442409301</v>
      </c>
      <c r="L1586">
        <v>608.21399780998695</v>
      </c>
      <c r="M1586">
        <v>10.554360706161701</v>
      </c>
      <c r="N1586">
        <v>68.781271359246006</v>
      </c>
      <c r="O1586">
        <v>55.673397954907998</v>
      </c>
      <c r="P1586">
        <v>-2.7987113066954498E-2</v>
      </c>
      <c r="Q1586">
        <v>0.40971446612978302</v>
      </c>
      <c r="R1586">
        <v>0.98229057487087801</v>
      </c>
      <c r="S1586" t="s">
        <v>6326</v>
      </c>
      <c r="T1586" t="s">
        <v>9478</v>
      </c>
      <c r="U1586" t="s">
        <v>9478</v>
      </c>
      <c r="V1586" t="s">
        <v>9478</v>
      </c>
      <c r="W1586">
        <v>18</v>
      </c>
      <c r="X1586" t="s">
        <v>11064</v>
      </c>
      <c r="Y1586">
        <v>0.76423481961062101</v>
      </c>
      <c r="Z1586" t="str">
        <f>HYPERLINK("Melting_Curves/meltCurve_sp_P80303_NUCB2_HUMAN_.pdf", "Melting_Curves/meltCurve_sp_P80303_NUCB2_HUMAN_.pdf")</f>
        <v>Melting_Curves/meltCurve_sp_P80303_NUCB2_HUMAN_.pdf</v>
      </c>
      <c r="AA1586" t="s">
        <v>15778</v>
      </c>
      <c r="AB1586" t="s">
        <v>20420</v>
      </c>
    </row>
    <row r="1587" spans="1:28" x14ac:dyDescent="0.25">
      <c r="A1587" t="s">
        <v>1591</v>
      </c>
      <c r="B1587">
        <v>0.99904790336628502</v>
      </c>
      <c r="C1587">
        <v>1.0735709970685501</v>
      </c>
      <c r="D1587">
        <v>1.1412231881833399</v>
      </c>
      <c r="E1587">
        <v>1.09061525227849</v>
      </c>
      <c r="F1587">
        <v>1.05904740892133</v>
      </c>
      <c r="G1587">
        <v>0.742186895345046</v>
      </c>
      <c r="H1587">
        <v>0.360614882475006</v>
      </c>
      <c r="I1587">
        <v>0.149070793194338</v>
      </c>
      <c r="J1587">
        <v>6.7019871143124105E-2</v>
      </c>
      <c r="K1587">
        <v>4.9131607802951303E-2</v>
      </c>
      <c r="L1587">
        <v>1730.58125495779</v>
      </c>
      <c r="M1587">
        <v>29.145384332420999</v>
      </c>
      <c r="N1587">
        <v>59.550851744504897</v>
      </c>
      <c r="O1587">
        <v>59.100113731647603</v>
      </c>
      <c r="P1587">
        <v>-0.11827615447129</v>
      </c>
      <c r="Q1587">
        <v>4.0660045339767401E-2</v>
      </c>
      <c r="R1587">
        <v>0.97745541153333804</v>
      </c>
      <c r="S1587" t="s">
        <v>6327</v>
      </c>
      <c r="T1587" t="s">
        <v>9478</v>
      </c>
      <c r="U1587" t="s">
        <v>9478</v>
      </c>
      <c r="V1587" t="s">
        <v>9478</v>
      </c>
      <c r="W1587">
        <v>45</v>
      </c>
      <c r="X1587" t="s">
        <v>11065</v>
      </c>
      <c r="Y1587">
        <v>0.66661260897308516</v>
      </c>
      <c r="Z1587" t="str">
        <f>HYPERLINK("Melting_Curves/meltCurve_sp_P80404_GABT_HUMAN_.pdf", "Melting_Curves/meltCurve_sp_P80404_GABT_HUMAN_.pdf")</f>
        <v>Melting_Curves/meltCurve_sp_P80404_GABT_HUMAN_.pdf</v>
      </c>
      <c r="AA1587" t="s">
        <v>15779</v>
      </c>
      <c r="AB1587" t="s">
        <v>20421</v>
      </c>
    </row>
    <row r="1588" spans="1:28" x14ac:dyDescent="0.25">
      <c r="A1588" t="s">
        <v>1592</v>
      </c>
      <c r="B1588">
        <v>0.99904790336628502</v>
      </c>
      <c r="C1588">
        <v>0.937041593263095</v>
      </c>
      <c r="D1588">
        <v>0.88617797342650695</v>
      </c>
      <c r="E1588">
        <v>0.94795800458782897</v>
      </c>
      <c r="F1588">
        <v>1.0404461686356199</v>
      </c>
      <c r="G1588">
        <v>0.86791722455906195</v>
      </c>
      <c r="H1588">
        <v>0.82549112288885296</v>
      </c>
      <c r="I1588">
        <v>0.83024885090834</v>
      </c>
      <c r="J1588">
        <v>0.90694149406799696</v>
      </c>
      <c r="K1588">
        <v>0.97952434557743295</v>
      </c>
      <c r="L1588">
        <v>349.84166563222698</v>
      </c>
      <c r="M1588">
        <v>7.6938083843310201</v>
      </c>
      <c r="O1588">
        <v>42.704542817158199</v>
      </c>
      <c r="P1588">
        <v>-5.00187320295571E-3</v>
      </c>
      <c r="Q1588">
        <v>0.88909335191577299</v>
      </c>
      <c r="R1588">
        <v>0.14661846972665199</v>
      </c>
      <c r="S1588" t="s">
        <v>6328</v>
      </c>
      <c r="T1588" t="s">
        <v>9478</v>
      </c>
      <c r="U1588" t="s">
        <v>9478</v>
      </c>
      <c r="V1588" t="s">
        <v>9478</v>
      </c>
      <c r="W1588">
        <v>10</v>
      </c>
      <c r="X1588" t="s">
        <v>11066</v>
      </c>
      <c r="Y1588">
        <v>0.9200008140690602</v>
      </c>
      <c r="Z1588" t="str">
        <f>HYPERLINK("Melting_Curves/meltCurve_sp_P80723_BASP1_HUMAN_.pdf", "Melting_Curves/meltCurve_sp_P80723_BASP1_HUMAN_.pdf")</f>
        <v>Melting_Curves/meltCurve_sp_P80723_BASP1_HUMAN_.pdf</v>
      </c>
      <c r="AA1588" t="s">
        <v>15780</v>
      </c>
      <c r="AB1588" t="s">
        <v>20422</v>
      </c>
    </row>
    <row r="1589" spans="1:28" x14ac:dyDescent="0.25">
      <c r="A1589" t="s">
        <v>1593</v>
      </c>
      <c r="B1589">
        <v>0.99904790336628502</v>
      </c>
      <c r="C1589">
        <v>0.98134063830118901</v>
      </c>
      <c r="D1589">
        <v>0.57101484791913404</v>
      </c>
      <c r="E1589">
        <v>0.66247000472304296</v>
      </c>
      <c r="F1589">
        <v>0.237682277847519</v>
      </c>
      <c r="G1589">
        <v>0.55566289447110995</v>
      </c>
      <c r="H1589">
        <v>0.30980411390405899</v>
      </c>
      <c r="I1589">
        <v>0.20769578410546899</v>
      </c>
      <c r="J1589">
        <v>0.186021908008138</v>
      </c>
      <c r="K1589">
        <v>9.1204569033675104E-2</v>
      </c>
      <c r="L1589">
        <v>451.31710195475603</v>
      </c>
      <c r="M1589">
        <v>8.9093876936947698</v>
      </c>
      <c r="N1589">
        <v>51.917931842606301</v>
      </c>
      <c r="O1589">
        <v>48.299252126343497</v>
      </c>
      <c r="P1589">
        <v>-4.1658494938329398E-2</v>
      </c>
      <c r="Q1589">
        <v>9.7330995557202996E-2</v>
      </c>
      <c r="R1589">
        <v>0.83125975960147702</v>
      </c>
      <c r="S1589" t="s">
        <v>6329</v>
      </c>
      <c r="T1589" t="s">
        <v>9478</v>
      </c>
      <c r="U1589" t="s">
        <v>9478</v>
      </c>
      <c r="V1589" t="s">
        <v>9478</v>
      </c>
      <c r="W1589">
        <v>6</v>
      </c>
      <c r="X1589" t="s">
        <v>11067</v>
      </c>
      <c r="Y1589">
        <v>0.46248148388983978</v>
      </c>
      <c r="Z1589" t="str">
        <f>HYPERLINK("Melting_Curves/meltCurve_sp_P81605_DCD_HUMAN_.pdf", "Melting_Curves/meltCurve_sp_P81605_DCD_HUMAN_.pdf")</f>
        <v>Melting_Curves/meltCurve_sp_P81605_DCD_HUMAN_.pdf</v>
      </c>
      <c r="AA1589" t="s">
        <v>15781</v>
      </c>
      <c r="AB1589" t="s">
        <v>20423</v>
      </c>
    </row>
    <row r="1590" spans="1:28" x14ac:dyDescent="0.25">
      <c r="A1590" t="s">
        <v>1594</v>
      </c>
      <c r="B1590">
        <v>0.99904790336628502</v>
      </c>
      <c r="C1590">
        <v>0.99068772215087597</v>
      </c>
      <c r="D1590">
        <v>0.97798358909833405</v>
      </c>
      <c r="E1590">
        <v>0.88411091766098204</v>
      </c>
      <c r="F1590">
        <v>0.81453034119976198</v>
      </c>
      <c r="G1590">
        <v>0.60143015934801103</v>
      </c>
      <c r="H1590">
        <v>0.46352115159250201</v>
      </c>
      <c r="I1590">
        <v>0.41609417835740498</v>
      </c>
      <c r="J1590">
        <v>0.44056629734191</v>
      </c>
      <c r="K1590">
        <v>0.38519882869385402</v>
      </c>
      <c r="L1590">
        <v>956.08404109304104</v>
      </c>
      <c r="M1590">
        <v>17.360597728199799</v>
      </c>
      <c r="N1590">
        <v>60.021598445009097</v>
      </c>
      <c r="O1590">
        <v>54.3569304253624</v>
      </c>
      <c r="P1590">
        <v>-4.9464149561288598E-2</v>
      </c>
      <c r="Q1590">
        <v>0.38053601046214802</v>
      </c>
      <c r="R1590">
        <v>0.995418178679219</v>
      </c>
      <c r="S1590" t="s">
        <v>6330</v>
      </c>
      <c r="T1590" t="s">
        <v>9478</v>
      </c>
      <c r="U1590" t="s">
        <v>9478</v>
      </c>
      <c r="V1590" t="s">
        <v>9478</v>
      </c>
      <c r="W1590">
        <v>7</v>
      </c>
      <c r="X1590" t="s">
        <v>11068</v>
      </c>
      <c r="Y1590">
        <v>0.70177495321914363</v>
      </c>
      <c r="Z1590" t="str">
        <f>HYPERLINK("Melting_Curves/meltCurve_sp_P82094_TMF1_HUMAN_.pdf", "Melting_Curves/meltCurve_sp_P82094_TMF1_HUMAN_.pdf")</f>
        <v>Melting_Curves/meltCurve_sp_P82094_TMF1_HUMAN_.pdf</v>
      </c>
      <c r="AA1590" t="s">
        <v>15782</v>
      </c>
      <c r="AB1590" t="s">
        <v>20424</v>
      </c>
    </row>
    <row r="1591" spans="1:28" x14ac:dyDescent="0.25">
      <c r="A1591" t="s">
        <v>1595</v>
      </c>
      <c r="B1591">
        <v>0.99904790336628502</v>
      </c>
      <c r="C1591">
        <v>1.11209306905109</v>
      </c>
      <c r="D1591">
        <v>0.94812651476777898</v>
      </c>
      <c r="E1591">
        <v>0.45428646804329498</v>
      </c>
      <c r="F1591">
        <v>0.24104534235758601</v>
      </c>
      <c r="G1591">
        <v>0.121499080894415</v>
      </c>
      <c r="H1591">
        <v>8.1954641726220204E-2</v>
      </c>
      <c r="I1591">
        <v>6.3605252060810594E-2</v>
      </c>
      <c r="J1591">
        <v>7.0912716873582707E-2</v>
      </c>
      <c r="K1591">
        <v>6.0718031381781397E-2</v>
      </c>
      <c r="L1591">
        <v>1509.68969496511</v>
      </c>
      <c r="M1591">
        <v>30.421407119478399</v>
      </c>
      <c r="N1591">
        <v>49.911858852129001</v>
      </c>
      <c r="O1591">
        <v>49.412941065697602</v>
      </c>
      <c r="P1591">
        <v>-0.14160646613090699</v>
      </c>
      <c r="Q1591">
        <v>7.9970396746291195E-2</v>
      </c>
      <c r="R1591">
        <v>0.98859310917324095</v>
      </c>
      <c r="S1591" t="s">
        <v>6331</v>
      </c>
      <c r="T1591" t="s">
        <v>9478</v>
      </c>
      <c r="U1591" t="s">
        <v>9478</v>
      </c>
      <c r="V1591" t="s">
        <v>9478</v>
      </c>
      <c r="W1591">
        <v>3</v>
      </c>
      <c r="X1591" t="s">
        <v>11069</v>
      </c>
      <c r="Y1591">
        <v>0.38067266455816279</v>
      </c>
      <c r="Z1591" t="str">
        <f>HYPERLINK("Melting_Curves/meltCurve_sp_P82673_RT35_HUMAN_.pdf", "Melting_Curves/meltCurve_sp_P82673_RT35_HUMAN_.pdf")</f>
        <v>Melting_Curves/meltCurve_sp_P82673_RT35_HUMAN_.pdf</v>
      </c>
      <c r="AA1591" t="s">
        <v>15783</v>
      </c>
      <c r="AB1591" t="s">
        <v>20425</v>
      </c>
    </row>
    <row r="1592" spans="1:28" x14ac:dyDescent="0.25">
      <c r="A1592" t="s">
        <v>1596</v>
      </c>
      <c r="B1592">
        <v>0.99904790336628502</v>
      </c>
      <c r="C1592">
        <v>0.86272125760099605</v>
      </c>
      <c r="D1592">
        <v>0.75496903519602399</v>
      </c>
      <c r="E1592">
        <v>0.50747394910625299</v>
      </c>
      <c r="F1592">
        <v>0.373706870030939</v>
      </c>
      <c r="G1592">
        <v>0.15305127119901299</v>
      </c>
      <c r="H1592">
        <v>7.2045222363475506E-2</v>
      </c>
      <c r="I1592">
        <v>9.0002010954471995E-2</v>
      </c>
      <c r="J1592">
        <v>5.4110974435779099E-2</v>
      </c>
      <c r="K1592">
        <v>5.7851347046724198E-2</v>
      </c>
      <c r="L1592">
        <v>644.80581617090797</v>
      </c>
      <c r="M1592">
        <v>12.8986538062807</v>
      </c>
      <c r="N1592">
        <v>50.127426067004599</v>
      </c>
      <c r="O1592">
        <v>48.834338363460397</v>
      </c>
      <c r="P1592">
        <v>-6.4898739625989202E-2</v>
      </c>
      <c r="Q1592">
        <v>1.7351744928746402E-2</v>
      </c>
      <c r="R1592">
        <v>0.99466240654238902</v>
      </c>
      <c r="S1592" t="s">
        <v>6332</v>
      </c>
      <c r="T1592" t="s">
        <v>9478</v>
      </c>
      <c r="U1592" t="s">
        <v>9478</v>
      </c>
      <c r="V1592" t="s">
        <v>9478</v>
      </c>
      <c r="W1592">
        <v>2</v>
      </c>
      <c r="X1592" t="s">
        <v>11070</v>
      </c>
      <c r="Y1592">
        <v>0.37490205749526379</v>
      </c>
      <c r="Z1592" t="str">
        <f>HYPERLINK("Melting_Curves/meltCurve_sp_P82675_RT05_HUMAN_.pdf", "Melting_Curves/meltCurve_sp_P82675_RT05_HUMAN_.pdf")</f>
        <v>Melting_Curves/meltCurve_sp_P82675_RT05_HUMAN_.pdf</v>
      </c>
      <c r="AA1592" t="s">
        <v>15784</v>
      </c>
      <c r="AB1592" t="s">
        <v>20426</v>
      </c>
    </row>
    <row r="1593" spans="1:28" x14ac:dyDescent="0.25">
      <c r="A1593" t="s">
        <v>1597</v>
      </c>
      <c r="B1593">
        <v>0.99904790336628502</v>
      </c>
      <c r="C1593">
        <v>1.0061213060057801</v>
      </c>
      <c r="D1593">
        <v>1.06316188062367</v>
      </c>
      <c r="E1593">
        <v>1.0536087491655299</v>
      </c>
      <c r="F1593">
        <v>1.03758610861836</v>
      </c>
      <c r="G1593">
        <v>0.87943858983141798</v>
      </c>
      <c r="H1593">
        <v>0.80843201694432598</v>
      </c>
      <c r="I1593">
        <v>0.84039856600753704</v>
      </c>
      <c r="J1593">
        <v>0.80366905715024195</v>
      </c>
      <c r="K1593">
        <v>0.66347567689528397</v>
      </c>
      <c r="L1593">
        <v>844.79147867773304</v>
      </c>
      <c r="M1593">
        <v>13.3049529352921</v>
      </c>
      <c r="O1593">
        <v>62.111592881336598</v>
      </c>
      <c r="P1593">
        <v>-2.0183577545240101E-2</v>
      </c>
      <c r="Q1593">
        <v>0.62316846323095498</v>
      </c>
      <c r="R1593">
        <v>0.85204236886881302</v>
      </c>
      <c r="S1593" t="s">
        <v>6333</v>
      </c>
      <c r="T1593" t="s">
        <v>9478</v>
      </c>
      <c r="U1593" t="s">
        <v>9478</v>
      </c>
      <c r="V1593" t="s">
        <v>9478</v>
      </c>
      <c r="W1593">
        <v>5</v>
      </c>
      <c r="X1593" t="s">
        <v>11071</v>
      </c>
      <c r="Y1593">
        <v>0.91133603871463853</v>
      </c>
      <c r="Z1593" t="str">
        <f>HYPERLINK("Melting_Curves/meltCurve_sp_P82909_RT36_HUMAN_.pdf", "Melting_Curves/meltCurve_sp_P82909_RT36_HUMAN_.pdf")</f>
        <v>Melting_Curves/meltCurve_sp_P82909_RT36_HUMAN_.pdf</v>
      </c>
      <c r="AA1593" t="s">
        <v>15785</v>
      </c>
      <c r="AB1593" t="s">
        <v>20427</v>
      </c>
    </row>
    <row r="1594" spans="1:28" x14ac:dyDescent="0.25">
      <c r="A1594" t="s">
        <v>1598</v>
      </c>
      <c r="B1594">
        <v>0.99904790336628502</v>
      </c>
      <c r="C1594">
        <v>1.00029078575847</v>
      </c>
      <c r="D1594">
        <v>0.85718972177764796</v>
      </c>
      <c r="E1594">
        <v>0.485173862001402</v>
      </c>
      <c r="F1594">
        <v>0.23646248185556001</v>
      </c>
      <c r="G1594">
        <v>9.6826837391746606E-2</v>
      </c>
      <c r="H1594">
        <v>3.9767563128380201E-2</v>
      </c>
      <c r="I1594">
        <v>3.8759292657688398E-2</v>
      </c>
      <c r="J1594">
        <v>3.2794036106835199E-2</v>
      </c>
      <c r="K1594">
        <v>3.5872357653189198E-2</v>
      </c>
      <c r="L1594">
        <v>1096.1549813336501</v>
      </c>
      <c r="M1594">
        <v>22.030175775802</v>
      </c>
      <c r="N1594">
        <v>49.907577814255902</v>
      </c>
      <c r="O1594">
        <v>49.352435010821601</v>
      </c>
      <c r="P1594">
        <v>-0.108009881570075</v>
      </c>
      <c r="Q1594">
        <v>3.2158007075119198E-2</v>
      </c>
      <c r="R1594">
        <v>0.99933417400698898</v>
      </c>
      <c r="S1594" t="s">
        <v>6334</v>
      </c>
      <c r="T1594" t="s">
        <v>9478</v>
      </c>
      <c r="U1594" t="s">
        <v>9478</v>
      </c>
      <c r="V1594" t="s">
        <v>9478</v>
      </c>
      <c r="W1594">
        <v>2</v>
      </c>
      <c r="X1594" t="s">
        <v>11072</v>
      </c>
      <c r="Y1594">
        <v>0.35806274890581358</v>
      </c>
      <c r="Z1594" t="str">
        <f>HYPERLINK("Melting_Curves/meltCurve_sp_P82914_RT15_HUMAN_.pdf", "Melting_Curves/meltCurve_sp_P82914_RT15_HUMAN_.pdf")</f>
        <v>Melting_Curves/meltCurve_sp_P82914_RT15_HUMAN_.pdf</v>
      </c>
      <c r="AA1594" t="s">
        <v>15786</v>
      </c>
      <c r="AB1594" t="s">
        <v>20428</v>
      </c>
    </row>
    <row r="1595" spans="1:28" x14ac:dyDescent="0.25">
      <c r="A1595" t="s">
        <v>1599</v>
      </c>
      <c r="B1595">
        <v>0.99904790336628502</v>
      </c>
      <c r="C1595">
        <v>1.0158398710077901</v>
      </c>
      <c r="D1595">
        <v>0.79815782577761196</v>
      </c>
      <c r="E1595">
        <v>0.370026525060978</v>
      </c>
      <c r="F1595">
        <v>0.23355854096214501</v>
      </c>
      <c r="G1595">
        <v>9.1467169867630996E-2</v>
      </c>
      <c r="H1595">
        <v>5.0641007174915702E-2</v>
      </c>
      <c r="I1595">
        <v>3.0397472942712101E-2</v>
      </c>
      <c r="J1595">
        <v>1.9306467218519301E-2</v>
      </c>
      <c r="K1595">
        <v>2.98476557004612E-2</v>
      </c>
      <c r="L1595">
        <v>1053.0294076554501</v>
      </c>
      <c r="M1595">
        <v>21.529548379316701</v>
      </c>
      <c r="N1595">
        <v>49.0730186495881</v>
      </c>
      <c r="O1595">
        <v>48.494794872409898</v>
      </c>
      <c r="P1595">
        <v>-0.10718144001372799</v>
      </c>
      <c r="Q1595">
        <v>3.4329168427946199E-2</v>
      </c>
      <c r="R1595">
        <v>0.99498635676133196</v>
      </c>
      <c r="S1595" t="s">
        <v>6335</v>
      </c>
      <c r="T1595" t="s">
        <v>9478</v>
      </c>
      <c r="U1595" t="s">
        <v>9478</v>
      </c>
      <c r="V1595" t="s">
        <v>9478</v>
      </c>
      <c r="W1595">
        <v>3</v>
      </c>
      <c r="X1595" t="s">
        <v>11073</v>
      </c>
      <c r="Y1595">
        <v>0.33280321095441251</v>
      </c>
      <c r="Z1595" t="str">
        <f>HYPERLINK("Melting_Curves/meltCurve_sp_P82930_RT34_HUMAN_.pdf", "Melting_Curves/meltCurve_sp_P82930_RT34_HUMAN_.pdf")</f>
        <v>Melting_Curves/meltCurve_sp_P82930_RT34_HUMAN_.pdf</v>
      </c>
      <c r="AA1595" t="s">
        <v>15787</v>
      </c>
      <c r="AB1595" t="s">
        <v>20429</v>
      </c>
    </row>
    <row r="1596" spans="1:28" x14ac:dyDescent="0.25">
      <c r="A1596" t="s">
        <v>1600</v>
      </c>
      <c r="B1596">
        <v>0.99904790336628502</v>
      </c>
      <c r="C1596">
        <v>0.941856900178206</v>
      </c>
      <c r="D1596">
        <v>0.71825088707436802</v>
      </c>
      <c r="E1596">
        <v>0.50108435871208701</v>
      </c>
      <c r="F1596">
        <v>0.31370197576542203</v>
      </c>
      <c r="G1596">
        <v>0.17952842317369799</v>
      </c>
      <c r="H1596">
        <v>0.14329279262812</v>
      </c>
      <c r="I1596">
        <v>0.13845765304086699</v>
      </c>
      <c r="J1596">
        <v>0.161756994763506</v>
      </c>
      <c r="K1596">
        <v>0.14533754518590999</v>
      </c>
      <c r="L1596">
        <v>806.93019354887394</v>
      </c>
      <c r="M1596">
        <v>16.574056478647002</v>
      </c>
      <c r="N1596">
        <v>49.589343202520503</v>
      </c>
      <c r="O1596">
        <v>47.9941411915214</v>
      </c>
      <c r="P1596">
        <v>-7.5093098352627702E-2</v>
      </c>
      <c r="Q1596">
        <v>0.13025935448701401</v>
      </c>
      <c r="R1596">
        <v>0.99511709556147798</v>
      </c>
      <c r="S1596" t="s">
        <v>6336</v>
      </c>
      <c r="T1596" t="s">
        <v>9478</v>
      </c>
      <c r="U1596" t="s">
        <v>9478</v>
      </c>
      <c r="V1596" t="s">
        <v>9478</v>
      </c>
      <c r="W1596">
        <v>2</v>
      </c>
      <c r="X1596" t="s">
        <v>11074</v>
      </c>
      <c r="Y1596">
        <v>0.39997506876991618</v>
      </c>
      <c r="Z1596" t="str">
        <f>HYPERLINK("Melting_Curves/meltCurve_sp_P82932_RT06_HUMAN_.pdf", "Melting_Curves/meltCurve_sp_P82932_RT06_HUMAN_.pdf")</f>
        <v>Melting_Curves/meltCurve_sp_P82932_RT06_HUMAN_.pdf</v>
      </c>
      <c r="AA1596" t="s">
        <v>15788</v>
      </c>
      <c r="AB1596" t="s">
        <v>20430</v>
      </c>
    </row>
    <row r="1597" spans="1:28" x14ac:dyDescent="0.25">
      <c r="A1597" t="s">
        <v>1601</v>
      </c>
      <c r="B1597">
        <v>0.99904790336628502</v>
      </c>
      <c r="C1597">
        <v>0.82604669809495301</v>
      </c>
      <c r="D1597">
        <v>0.75623277286497104</v>
      </c>
      <c r="E1597">
        <v>0.400860519441818</v>
      </c>
      <c r="F1597">
        <v>0.109636326458463</v>
      </c>
      <c r="G1597">
        <v>9.3715201448030902E-2</v>
      </c>
      <c r="H1597">
        <v>6.1225625101309598E-2</v>
      </c>
      <c r="I1597">
        <v>5.1147923001806803E-2</v>
      </c>
      <c r="J1597">
        <v>3.0181682714351999E-2</v>
      </c>
      <c r="K1597">
        <v>2.63393486481046E-2</v>
      </c>
      <c r="L1597">
        <v>886.15220718078001</v>
      </c>
      <c r="M1597">
        <v>18.355859048110599</v>
      </c>
      <c r="N1597">
        <v>48.417262176110697</v>
      </c>
      <c r="O1597">
        <v>47.714228367236501</v>
      </c>
      <c r="P1597">
        <v>-9.3677392646001598E-2</v>
      </c>
      <c r="Q1597">
        <v>2.60242585002614E-2</v>
      </c>
      <c r="R1597">
        <v>0.98740317394077104</v>
      </c>
      <c r="S1597" t="s">
        <v>6337</v>
      </c>
      <c r="T1597" t="s">
        <v>9478</v>
      </c>
      <c r="U1597" t="s">
        <v>9478</v>
      </c>
      <c r="V1597" t="s">
        <v>9478</v>
      </c>
      <c r="W1597">
        <v>3</v>
      </c>
      <c r="X1597" t="s">
        <v>11075</v>
      </c>
      <c r="Y1597">
        <v>0.31118613820780688</v>
      </c>
      <c r="Z1597" t="str">
        <f>HYPERLINK("Melting_Curves/meltCurve_sp_P82933_RT09_HUMAN_.pdf", "Melting_Curves/meltCurve_sp_P82933_RT09_HUMAN_.pdf")</f>
        <v>Melting_Curves/meltCurve_sp_P82933_RT09_HUMAN_.pdf</v>
      </c>
      <c r="AA1597" t="s">
        <v>15789</v>
      </c>
      <c r="AB1597" t="s">
        <v>20431</v>
      </c>
    </row>
    <row r="1598" spans="1:28" x14ac:dyDescent="0.25">
      <c r="A1598" t="s">
        <v>1602</v>
      </c>
      <c r="B1598">
        <v>0.99904790336628502</v>
      </c>
      <c r="C1598">
        <v>1.02410359109223</v>
      </c>
      <c r="D1598">
        <v>0.98571236621823299</v>
      </c>
      <c r="E1598">
        <v>0.93135392188821597</v>
      </c>
      <c r="F1598">
        <v>0.97707011324422899</v>
      </c>
      <c r="G1598">
        <v>0.77476442451234295</v>
      </c>
      <c r="H1598">
        <v>0.75538676437957997</v>
      </c>
      <c r="I1598">
        <v>0.71493877319813603</v>
      </c>
      <c r="J1598">
        <v>0.82060926721125105</v>
      </c>
      <c r="K1598">
        <v>0.83644298139789297</v>
      </c>
      <c r="L1598">
        <v>10241.569121656799</v>
      </c>
      <c r="M1598">
        <v>191.08828115226899</v>
      </c>
      <c r="O1598">
        <v>53.590138053417498</v>
      </c>
      <c r="P1598">
        <v>-0.19573395543968899</v>
      </c>
      <c r="Q1598">
        <v>0.78042798568509597</v>
      </c>
      <c r="R1598">
        <v>0.87054984947570702</v>
      </c>
      <c r="S1598" t="s">
        <v>6338</v>
      </c>
      <c r="T1598" t="s">
        <v>9478</v>
      </c>
      <c r="U1598" t="s">
        <v>9478</v>
      </c>
      <c r="V1598" t="s">
        <v>9478</v>
      </c>
      <c r="W1598">
        <v>7</v>
      </c>
      <c r="X1598" t="s">
        <v>11076</v>
      </c>
      <c r="Y1598">
        <v>0.8799734400387671</v>
      </c>
      <c r="Z1598" t="str">
        <f>HYPERLINK("Melting_Curves/meltCurve_sp_P82979_SARNP_HUMAN_.pdf", "Melting_Curves/meltCurve_sp_P82979_SARNP_HUMAN_.pdf")</f>
        <v>Melting_Curves/meltCurve_sp_P82979_SARNP_HUMAN_.pdf</v>
      </c>
      <c r="AA1598" t="s">
        <v>15790</v>
      </c>
      <c r="AB1598" t="s">
        <v>20432</v>
      </c>
    </row>
    <row r="1599" spans="1:28" x14ac:dyDescent="0.25">
      <c r="A1599" t="s">
        <v>1603</v>
      </c>
      <c r="B1599">
        <v>0.99904790336628502</v>
      </c>
      <c r="C1599">
        <v>0.86077405286985398</v>
      </c>
      <c r="D1599">
        <v>0.85121443906281702</v>
      </c>
      <c r="E1599">
        <v>0.83482106830305602</v>
      </c>
      <c r="F1599">
        <v>0.72949284792018798</v>
      </c>
      <c r="G1599">
        <v>0.37266459415576703</v>
      </c>
      <c r="H1599">
        <v>0.1175346632155</v>
      </c>
      <c r="I1599">
        <v>8.7334919072216702E-2</v>
      </c>
      <c r="J1599">
        <v>6.74946756737453E-2</v>
      </c>
      <c r="K1599">
        <v>5.4283072630282397E-2</v>
      </c>
      <c r="L1599">
        <v>898.02548057375202</v>
      </c>
      <c r="M1599">
        <v>16.266811367834801</v>
      </c>
      <c r="N1599">
        <v>55.205992583846601</v>
      </c>
      <c r="O1599">
        <v>54.391896035264701</v>
      </c>
      <c r="P1599">
        <v>-7.4772197411751798E-2</v>
      </c>
      <c r="Q1599">
        <v>0</v>
      </c>
      <c r="R1599">
        <v>0.97253871185176</v>
      </c>
      <c r="S1599" t="s">
        <v>6339</v>
      </c>
      <c r="T1599" t="s">
        <v>9478</v>
      </c>
      <c r="U1599" t="s">
        <v>9478</v>
      </c>
      <c r="V1599" t="s">
        <v>9478</v>
      </c>
      <c r="W1599">
        <v>6</v>
      </c>
      <c r="X1599" t="s">
        <v>11077</v>
      </c>
      <c r="Y1599">
        <v>0.52425219993350636</v>
      </c>
      <c r="Z1599" t="str">
        <f>HYPERLINK("Melting_Curves/meltCurve_sp_P82980_RET5_HUMAN_.pdf", "Melting_Curves/meltCurve_sp_P82980_RET5_HUMAN_.pdf")</f>
        <v>Melting_Curves/meltCurve_sp_P82980_RET5_HUMAN_.pdf</v>
      </c>
      <c r="AA1599" t="s">
        <v>15791</v>
      </c>
      <c r="AB1599" t="s">
        <v>20433</v>
      </c>
    </row>
    <row r="1600" spans="1:28" x14ac:dyDescent="0.25">
      <c r="A1600" t="s">
        <v>1604</v>
      </c>
      <c r="B1600">
        <v>0.99904790336628502</v>
      </c>
      <c r="C1600">
        <v>1.09283769509205</v>
      </c>
      <c r="D1600">
        <v>1.0781733448636901</v>
      </c>
      <c r="E1600">
        <v>0.86999154231394904</v>
      </c>
      <c r="F1600">
        <v>0.55935702331078896</v>
      </c>
      <c r="G1600">
        <v>0.25042998155018997</v>
      </c>
      <c r="H1600">
        <v>9.3197614030508802E-2</v>
      </c>
      <c r="I1600">
        <v>5.0570020508266499E-2</v>
      </c>
      <c r="J1600">
        <v>3.3829123784701397E-2</v>
      </c>
      <c r="K1600">
        <v>3.2552294270259997E-2</v>
      </c>
      <c r="L1600">
        <v>1316.82910256373</v>
      </c>
      <c r="M1600">
        <v>24.5466348318458</v>
      </c>
      <c r="N1600">
        <v>53.814699090907297</v>
      </c>
      <c r="O1600">
        <v>53.293773029169799</v>
      </c>
      <c r="P1600">
        <v>-0.110885600897009</v>
      </c>
      <c r="Q1600">
        <v>3.7028688119879902E-2</v>
      </c>
      <c r="R1600">
        <v>0.98968774549906302</v>
      </c>
      <c r="S1600" t="s">
        <v>6340</v>
      </c>
      <c r="T1600" t="s">
        <v>9478</v>
      </c>
      <c r="U1600" t="s">
        <v>9478</v>
      </c>
      <c r="V1600" t="s">
        <v>9478</v>
      </c>
      <c r="W1600">
        <v>10</v>
      </c>
      <c r="X1600" t="s">
        <v>11078</v>
      </c>
      <c r="Y1600">
        <v>0.48425642149453751</v>
      </c>
      <c r="Z1600" t="str">
        <f>HYPERLINK("Melting_Curves/meltCurve_sp_P83111_LACTB_HUMAN_.pdf", "Melting_Curves/meltCurve_sp_P83111_LACTB_HUMAN_.pdf")</f>
        <v>Melting_Curves/meltCurve_sp_P83111_LACTB_HUMAN_.pdf</v>
      </c>
      <c r="AA1600" t="s">
        <v>15792</v>
      </c>
      <c r="AB1600" t="s">
        <v>20434</v>
      </c>
    </row>
    <row r="1601" spans="1:28" x14ac:dyDescent="0.25">
      <c r="A1601" t="s">
        <v>1605</v>
      </c>
      <c r="B1601">
        <v>0.99904790336628502</v>
      </c>
      <c r="C1601">
        <v>0.88451586899406198</v>
      </c>
      <c r="D1601">
        <v>0.87178784139679599</v>
      </c>
      <c r="E1601">
        <v>0.45609959151346702</v>
      </c>
      <c r="F1601">
        <v>0.29563712907650702</v>
      </c>
      <c r="G1601">
        <v>0.19403521913868399</v>
      </c>
      <c r="H1601">
        <v>0.14208001901672801</v>
      </c>
      <c r="I1601">
        <v>8.7983901480973695E-2</v>
      </c>
      <c r="J1601">
        <v>7.2989109493178994E-2</v>
      </c>
      <c r="K1601">
        <v>6.2110095131411497E-2</v>
      </c>
      <c r="L1601">
        <v>874.53919528334302</v>
      </c>
      <c r="M1601">
        <v>17.675383126360199</v>
      </c>
      <c r="N1601">
        <v>49.968570127790002</v>
      </c>
      <c r="O1601">
        <v>48.857540914086897</v>
      </c>
      <c r="P1601">
        <v>-8.3241169483711894E-2</v>
      </c>
      <c r="Q1601">
        <v>7.9682382293026599E-2</v>
      </c>
      <c r="R1601">
        <v>0.99035612639774495</v>
      </c>
      <c r="S1601" t="s">
        <v>6341</v>
      </c>
      <c r="T1601" t="s">
        <v>9478</v>
      </c>
      <c r="U1601" t="s">
        <v>9478</v>
      </c>
      <c r="V1601" t="s">
        <v>9478</v>
      </c>
      <c r="W1601">
        <v>8</v>
      </c>
      <c r="X1601" t="s">
        <v>11079</v>
      </c>
      <c r="Y1601">
        <v>0.38681599992562737</v>
      </c>
      <c r="Z1601" t="str">
        <f>HYPERLINK("Melting_Curves/meltCurve_sp_P83436_COG7_HUMAN_.pdf", "Melting_Curves/meltCurve_sp_P83436_COG7_HUMAN_.pdf")</f>
        <v>Melting_Curves/meltCurve_sp_P83436_COG7_HUMAN_.pdf</v>
      </c>
      <c r="AA1601" t="s">
        <v>15793</v>
      </c>
      <c r="AB1601" t="s">
        <v>20435</v>
      </c>
    </row>
    <row r="1602" spans="1:28" x14ac:dyDescent="0.25">
      <c r="A1602" t="s">
        <v>1606</v>
      </c>
      <c r="B1602">
        <v>0.99904790336628502</v>
      </c>
      <c r="C1602">
        <v>0.91403481347054305</v>
      </c>
      <c r="D1602">
        <v>0.91553587310005602</v>
      </c>
      <c r="E1602">
        <v>0.93606688502333102</v>
      </c>
      <c r="F1602">
        <v>0.64998283198528595</v>
      </c>
      <c r="G1602">
        <v>0.51171452280549201</v>
      </c>
      <c r="H1602">
        <v>0.242280532243382</v>
      </c>
      <c r="I1602">
        <v>0.11556061548401</v>
      </c>
      <c r="J1602">
        <v>7.5593293576808898E-2</v>
      </c>
      <c r="K1602">
        <v>4.42170632220776E-2</v>
      </c>
      <c r="L1602">
        <v>837.83421550945104</v>
      </c>
      <c r="M1602">
        <v>14.869836192531199</v>
      </c>
      <c r="N1602">
        <v>56.344539986722097</v>
      </c>
      <c r="O1602">
        <v>55.354958047044803</v>
      </c>
      <c r="P1602">
        <v>-6.7163769837150694E-2</v>
      </c>
      <c r="Q1602">
        <v>0</v>
      </c>
      <c r="R1602">
        <v>0.98442506912738803</v>
      </c>
      <c r="S1602" t="s">
        <v>6342</v>
      </c>
      <c r="T1602" t="s">
        <v>9478</v>
      </c>
      <c r="U1602" t="s">
        <v>9478</v>
      </c>
      <c r="V1602" t="s">
        <v>9478</v>
      </c>
      <c r="W1602">
        <v>1</v>
      </c>
      <c r="X1602" t="s">
        <v>11080</v>
      </c>
      <c r="Y1602">
        <v>0.56205793149977168</v>
      </c>
      <c r="Z1602" t="str">
        <f>HYPERLINK("Melting_Curves/meltCurve_sp_P83876_TXN4A_HUMAN_.pdf", "Melting_Curves/meltCurve_sp_P83876_TXN4A_HUMAN_.pdf")</f>
        <v>Melting_Curves/meltCurve_sp_P83876_TXN4A_HUMAN_.pdf</v>
      </c>
      <c r="AA1602" t="s">
        <v>15794</v>
      </c>
      <c r="AB1602" t="s">
        <v>20436</v>
      </c>
    </row>
    <row r="1603" spans="1:28" x14ac:dyDescent="0.25">
      <c r="A1603" t="s">
        <v>1607</v>
      </c>
      <c r="B1603">
        <v>0.99904790336628502</v>
      </c>
      <c r="C1603">
        <v>1.5513429482144301</v>
      </c>
      <c r="D1603">
        <v>1.3770722265112001</v>
      </c>
      <c r="E1603">
        <v>1.06609661728403</v>
      </c>
      <c r="F1603">
        <v>0.63228362689934303</v>
      </c>
      <c r="G1603">
        <v>0.31946132267537303</v>
      </c>
      <c r="H1603">
        <v>0.150825300014678</v>
      </c>
      <c r="I1603">
        <v>0.10071540762161101</v>
      </c>
      <c r="J1603">
        <v>7.5664870176263499E-2</v>
      </c>
      <c r="K1603">
        <v>6.0881580982879102E-2</v>
      </c>
      <c r="L1603">
        <v>1687.8994796239001</v>
      </c>
      <c r="M1603">
        <v>31.0641803869031</v>
      </c>
      <c r="N1603">
        <v>54.6995677864765</v>
      </c>
      <c r="O1603">
        <v>54.112191980431803</v>
      </c>
      <c r="P1603">
        <v>-0.13012739628822201</v>
      </c>
      <c r="Q1603">
        <v>9.3304454770215803E-2</v>
      </c>
      <c r="R1603">
        <v>0.83966065538128698</v>
      </c>
      <c r="S1603" t="s">
        <v>6343</v>
      </c>
      <c r="T1603" t="s">
        <v>9478</v>
      </c>
      <c r="U1603" t="s">
        <v>9478</v>
      </c>
      <c r="V1603" t="s">
        <v>9478</v>
      </c>
      <c r="W1603">
        <v>8</v>
      </c>
      <c r="X1603" t="s">
        <v>11081</v>
      </c>
      <c r="Y1603">
        <v>0.53217034554781861</v>
      </c>
      <c r="Z1603" t="str">
        <f>HYPERLINK("Melting_Curves/meltCurve_sp_P84077_ARF1_HUMAN_.pdf", "Melting_Curves/meltCurve_sp_P84077_ARF1_HUMAN_.pdf")</f>
        <v>Melting_Curves/meltCurve_sp_P84077_ARF1_HUMAN_.pdf</v>
      </c>
      <c r="AA1603" t="s">
        <v>15795</v>
      </c>
      <c r="AB1603" t="s">
        <v>20437</v>
      </c>
    </row>
    <row r="1604" spans="1:28" x14ac:dyDescent="0.25">
      <c r="A1604" t="s">
        <v>1608</v>
      </c>
      <c r="B1604">
        <v>0.99904790336628502</v>
      </c>
      <c r="C1604">
        <v>1.08569403876811</v>
      </c>
      <c r="D1604">
        <v>0.78286352454168695</v>
      </c>
      <c r="E1604">
        <v>0.41160767002623</v>
      </c>
      <c r="F1604">
        <v>0.21617315620188199</v>
      </c>
      <c r="G1604">
        <v>0.102200159499231</v>
      </c>
      <c r="H1604">
        <v>5.9951658982694597E-2</v>
      </c>
      <c r="I1604">
        <v>4.1673957309892602E-2</v>
      </c>
      <c r="J1604">
        <v>3.7668274644322798E-2</v>
      </c>
      <c r="K1604">
        <v>2.4422758959195899E-2</v>
      </c>
      <c r="L1604">
        <v>1096.56925112411</v>
      </c>
      <c r="M1604">
        <v>22.357115960055602</v>
      </c>
      <c r="N1604">
        <v>49.244826993393097</v>
      </c>
      <c r="O1604">
        <v>48.660551006350403</v>
      </c>
      <c r="P1604">
        <v>-0.109952833325675</v>
      </c>
      <c r="Q1604">
        <v>4.2765373311113401E-2</v>
      </c>
      <c r="R1604">
        <v>0.98871215109209498</v>
      </c>
      <c r="S1604" t="s">
        <v>6344</v>
      </c>
      <c r="T1604" t="s">
        <v>9478</v>
      </c>
      <c r="U1604" t="s">
        <v>9478</v>
      </c>
      <c r="V1604" t="s">
        <v>9478</v>
      </c>
      <c r="W1604">
        <v>6</v>
      </c>
      <c r="X1604" t="s">
        <v>11082</v>
      </c>
      <c r="Y1604">
        <v>0.34213974298212663</v>
      </c>
      <c r="Z1604" t="str">
        <f>HYPERLINK("Melting_Curves/meltCurve_sp_P84085_ARF5_HUMAN_.pdf", "Melting_Curves/meltCurve_sp_P84085_ARF5_HUMAN_.pdf")</f>
        <v>Melting_Curves/meltCurve_sp_P84085_ARF5_HUMAN_.pdf</v>
      </c>
      <c r="AA1604" t="s">
        <v>15796</v>
      </c>
      <c r="AB1604" t="s">
        <v>20438</v>
      </c>
    </row>
    <row r="1605" spans="1:28" x14ac:dyDescent="0.25">
      <c r="A1605" t="s">
        <v>1609</v>
      </c>
      <c r="B1605">
        <v>0.99904790336628502</v>
      </c>
      <c r="C1605">
        <v>0.93721850155943598</v>
      </c>
      <c r="D1605">
        <v>0.94839228845964196</v>
      </c>
      <c r="E1605">
        <v>0.87442124517758402</v>
      </c>
      <c r="F1605">
        <v>0.91136374626234795</v>
      </c>
      <c r="G1605">
        <v>0.67924766630960398</v>
      </c>
      <c r="H1605">
        <v>0.48762569901444403</v>
      </c>
      <c r="I1605">
        <v>0.40404076838582398</v>
      </c>
      <c r="J1605">
        <v>0.324933806514144</v>
      </c>
      <c r="K1605">
        <v>0.28529311913143401</v>
      </c>
      <c r="L1605">
        <v>754.59258303441402</v>
      </c>
      <c r="M1605">
        <v>12.777044977684501</v>
      </c>
      <c r="N1605">
        <v>61.183794533643102</v>
      </c>
      <c r="O1605">
        <v>57.667861240236398</v>
      </c>
      <c r="P1605">
        <v>-4.5472445428152999E-2</v>
      </c>
      <c r="Q1605">
        <v>0.179214519412741</v>
      </c>
      <c r="R1605">
        <v>0.98404714617846401</v>
      </c>
      <c r="S1605" t="s">
        <v>6345</v>
      </c>
      <c r="T1605" t="s">
        <v>9478</v>
      </c>
      <c r="U1605" t="s">
        <v>9478</v>
      </c>
      <c r="V1605" t="s">
        <v>9478</v>
      </c>
      <c r="W1605">
        <v>7</v>
      </c>
      <c r="X1605" t="s">
        <v>11083</v>
      </c>
      <c r="Y1605">
        <v>0.70777280715669055</v>
      </c>
      <c r="Z1605" t="str">
        <f>HYPERLINK("Melting_Curves/meltCurve_sp_P84090_ERH_HUMAN_.pdf", "Melting_Curves/meltCurve_sp_P84090_ERH_HUMAN_.pdf")</f>
        <v>Melting_Curves/meltCurve_sp_P84090_ERH_HUMAN_.pdf</v>
      </c>
      <c r="AA1605" t="s">
        <v>15797</v>
      </c>
      <c r="AB1605" t="s">
        <v>20439</v>
      </c>
    </row>
    <row r="1606" spans="1:28" x14ac:dyDescent="0.25">
      <c r="A1606" t="s">
        <v>1610</v>
      </c>
      <c r="B1606">
        <v>0.99904790336628502</v>
      </c>
      <c r="C1606">
        <v>0.93802923867180599</v>
      </c>
      <c r="D1606">
        <v>0.62129670035288898</v>
      </c>
      <c r="E1606">
        <v>0.33065917296432901</v>
      </c>
      <c r="F1606">
        <v>0.20260620335818799</v>
      </c>
      <c r="G1606">
        <v>5.9176573374110197E-2</v>
      </c>
      <c r="H1606">
        <v>3.95379614528555E-2</v>
      </c>
      <c r="I1606">
        <v>1.9545055363256399E-2</v>
      </c>
      <c r="J1606">
        <v>2.7073060747571001E-2</v>
      </c>
      <c r="K1606">
        <v>1.3840603622325399E-2</v>
      </c>
      <c r="L1606">
        <v>843.18519208405996</v>
      </c>
      <c r="M1606">
        <v>17.640342468702201</v>
      </c>
      <c r="N1606">
        <v>47.896320690260197</v>
      </c>
      <c r="O1606">
        <v>47.197124097748201</v>
      </c>
      <c r="P1606">
        <v>-9.17945013669971E-2</v>
      </c>
      <c r="Q1606">
        <v>1.7659794744765301E-2</v>
      </c>
      <c r="R1606">
        <v>0.99413124108998796</v>
      </c>
      <c r="S1606" t="s">
        <v>6346</v>
      </c>
      <c r="T1606" t="s">
        <v>9478</v>
      </c>
      <c r="U1606" t="s">
        <v>9478</v>
      </c>
      <c r="V1606" t="s">
        <v>9478</v>
      </c>
      <c r="W1606">
        <v>3</v>
      </c>
      <c r="X1606" t="s">
        <v>11084</v>
      </c>
      <c r="Y1606">
        <v>0.29132716207615927</v>
      </c>
      <c r="Z1606" t="str">
        <f>HYPERLINK("Melting_Curves/meltCurve_sp_P84095_RHOG_HUMAN_.pdf", "Melting_Curves/meltCurve_sp_P84095_RHOG_HUMAN_.pdf")</f>
        <v>Melting_Curves/meltCurve_sp_P84095_RHOG_HUMAN_.pdf</v>
      </c>
      <c r="AA1606" t="s">
        <v>15798</v>
      </c>
      <c r="AB1606" t="s">
        <v>20440</v>
      </c>
    </row>
    <row r="1607" spans="1:28" x14ac:dyDescent="0.25">
      <c r="A1607" t="s">
        <v>1611</v>
      </c>
      <c r="B1607">
        <v>0.99904790336628502</v>
      </c>
      <c r="C1607">
        <v>0.93246212402870499</v>
      </c>
      <c r="D1607">
        <v>0.83958913446389405</v>
      </c>
      <c r="E1607">
        <v>0.84803555488193805</v>
      </c>
      <c r="F1607">
        <v>0.82694295973324705</v>
      </c>
      <c r="G1607">
        <v>0.61211996461210105</v>
      </c>
      <c r="H1607">
        <v>0.53875785094801598</v>
      </c>
      <c r="I1607">
        <v>0.47611276180718898</v>
      </c>
      <c r="J1607">
        <v>0.56412598861194396</v>
      </c>
      <c r="K1607">
        <v>0.57905244878347994</v>
      </c>
      <c r="L1607">
        <v>564.13018994613606</v>
      </c>
      <c r="M1607">
        <v>10.6644559467011</v>
      </c>
      <c r="O1607">
        <v>51.139899487701101</v>
      </c>
      <c r="P1607">
        <v>-2.6979413510536201E-2</v>
      </c>
      <c r="Q1607">
        <v>0.48269284078879399</v>
      </c>
      <c r="R1607">
        <v>0.90784027419541902</v>
      </c>
      <c r="S1607" t="s">
        <v>6347</v>
      </c>
      <c r="T1607" t="s">
        <v>9478</v>
      </c>
      <c r="U1607" t="s">
        <v>9478</v>
      </c>
      <c r="V1607" t="s">
        <v>9478</v>
      </c>
      <c r="W1607">
        <v>3</v>
      </c>
      <c r="X1607" t="s">
        <v>11085</v>
      </c>
      <c r="Y1607">
        <v>0.72193397786847435</v>
      </c>
      <c r="Z1607" t="str">
        <f>HYPERLINK("Melting_Curves/meltCurve_sp_P85037_FOXK1_HUMAN_.pdf", "Melting_Curves/meltCurve_sp_P85037_FOXK1_HUMAN_.pdf")</f>
        <v>Melting_Curves/meltCurve_sp_P85037_FOXK1_HUMAN_.pdf</v>
      </c>
      <c r="AA1607" t="s">
        <v>15799</v>
      </c>
      <c r="AB1607" t="s">
        <v>20441</v>
      </c>
    </row>
    <row r="1608" spans="1:28" x14ac:dyDescent="0.25">
      <c r="A1608" t="s">
        <v>1612</v>
      </c>
      <c r="B1608">
        <v>0.99904790336628502</v>
      </c>
      <c r="C1608">
        <v>0.92290079500946098</v>
      </c>
      <c r="D1608">
        <v>0.90353007138562902</v>
      </c>
      <c r="E1608">
        <v>0.84466158022124405</v>
      </c>
      <c r="F1608">
        <v>0.46779267209732101</v>
      </c>
      <c r="G1608">
        <v>0.36169331688545803</v>
      </c>
      <c r="H1608">
        <v>0.16632724789525699</v>
      </c>
      <c r="I1608">
        <v>0.20783567465175401</v>
      </c>
      <c r="J1608">
        <v>0.136585231673475</v>
      </c>
      <c r="K1608">
        <v>0</v>
      </c>
      <c r="L1608">
        <v>739.937545072131</v>
      </c>
      <c r="M1608">
        <v>13.7753004053982</v>
      </c>
      <c r="N1608">
        <v>54.038850454753998</v>
      </c>
      <c r="O1608">
        <v>52.620744458079201</v>
      </c>
      <c r="P1608">
        <v>-6.2860596665613999E-2</v>
      </c>
      <c r="Q1608">
        <v>3.9641580434038898E-2</v>
      </c>
      <c r="R1608">
        <v>0.97274009192142097</v>
      </c>
      <c r="S1608" t="s">
        <v>6348</v>
      </c>
      <c r="T1608" t="s">
        <v>9478</v>
      </c>
      <c r="U1608" t="s">
        <v>9478</v>
      </c>
      <c r="V1608" t="s">
        <v>9478</v>
      </c>
      <c r="W1608">
        <v>1</v>
      </c>
      <c r="X1608" t="s">
        <v>11086</v>
      </c>
      <c r="Y1608">
        <v>0.50088140834952688</v>
      </c>
      <c r="Z1608" t="str">
        <f>HYPERLINK("Melting_Curves/meltCurve_sp_P86397_HTD2_HUMAN_.pdf", "Melting_Curves/meltCurve_sp_P86397_HTD2_HUMAN_.pdf")</f>
        <v>Melting_Curves/meltCurve_sp_P86397_HTD2_HUMAN_.pdf</v>
      </c>
      <c r="AA1608" t="s">
        <v>15800</v>
      </c>
      <c r="AB1608" t="s">
        <v>20442</v>
      </c>
    </row>
    <row r="1609" spans="1:28" x14ac:dyDescent="0.25">
      <c r="A1609" t="s">
        <v>1613</v>
      </c>
      <c r="B1609">
        <v>0.99904790336628502</v>
      </c>
      <c r="C1609">
        <v>0.95659518567747104</v>
      </c>
      <c r="D1609">
        <v>0.97256803262754199</v>
      </c>
      <c r="E1609">
        <v>0.74769703975827095</v>
      </c>
      <c r="F1609">
        <v>0.411984511973151</v>
      </c>
      <c r="G1609">
        <v>0.19016822313773199</v>
      </c>
      <c r="H1609">
        <v>6.8299348725585102E-2</v>
      </c>
      <c r="I1609">
        <v>5.1548480418167203E-2</v>
      </c>
      <c r="J1609">
        <v>3.7138767119063998E-2</v>
      </c>
      <c r="K1609">
        <v>3.91578255108758E-2</v>
      </c>
      <c r="L1609">
        <v>1173.6642578091901</v>
      </c>
      <c r="M1609">
        <v>22.496567730748101</v>
      </c>
      <c r="N1609">
        <v>52.352907515702299</v>
      </c>
      <c r="O1609">
        <v>51.763847632599003</v>
      </c>
      <c r="P1609">
        <v>-0.104562960484336</v>
      </c>
      <c r="Q1609">
        <v>3.7636625386928503E-2</v>
      </c>
      <c r="R1609">
        <v>0.99809362565225701</v>
      </c>
      <c r="S1609" t="s">
        <v>6349</v>
      </c>
      <c r="T1609" t="s">
        <v>9478</v>
      </c>
      <c r="U1609" t="s">
        <v>9478</v>
      </c>
      <c r="V1609" t="s">
        <v>9478</v>
      </c>
      <c r="W1609">
        <v>5</v>
      </c>
      <c r="X1609" t="s">
        <v>11087</v>
      </c>
      <c r="Y1609">
        <v>0.43880348581058448</v>
      </c>
      <c r="Z1609" t="str">
        <f>HYPERLINK("Melting_Curves/meltCurve_sp_P86791_CCZ1_HUMAN_.pdf", "Melting_Curves/meltCurve_sp_P86791_CCZ1_HUMAN_.pdf")</f>
        <v>Melting_Curves/meltCurve_sp_P86791_CCZ1_HUMAN_.pdf</v>
      </c>
      <c r="AA1609" t="s">
        <v>15801</v>
      </c>
      <c r="AB1609" t="s">
        <v>20443</v>
      </c>
    </row>
    <row r="1610" spans="1:28" x14ac:dyDescent="0.25">
      <c r="A1610" t="s">
        <v>1614</v>
      </c>
      <c r="B1610">
        <v>0.99904790336628502</v>
      </c>
      <c r="C1610">
        <v>1.22797972017256</v>
      </c>
      <c r="D1610">
        <v>1.1913176613584999</v>
      </c>
      <c r="E1610">
        <v>1.01277692129352</v>
      </c>
      <c r="F1610">
        <v>1.06312142894053</v>
      </c>
      <c r="G1610">
        <v>0.54550597472152795</v>
      </c>
      <c r="H1610">
        <v>0.49482196461294697</v>
      </c>
      <c r="I1610">
        <v>0.48054947264188203</v>
      </c>
      <c r="J1610">
        <v>0.77452725345825801</v>
      </c>
      <c r="K1610">
        <v>0.65999804532916695</v>
      </c>
      <c r="L1610">
        <v>6104.9304521560698</v>
      </c>
      <c r="M1610">
        <v>110.98063714943601</v>
      </c>
      <c r="O1610">
        <v>54.9911141708739</v>
      </c>
      <c r="P1610">
        <v>-0.20693900415402899</v>
      </c>
      <c r="Q1610">
        <v>0.58984535432329099</v>
      </c>
      <c r="R1610">
        <v>0.79171085983075096</v>
      </c>
      <c r="S1610" t="s">
        <v>6350</v>
      </c>
      <c r="T1610" t="s">
        <v>9478</v>
      </c>
      <c r="U1610" t="s">
        <v>9478</v>
      </c>
      <c r="V1610" t="s">
        <v>9478</v>
      </c>
      <c r="W1610">
        <v>2</v>
      </c>
      <c r="X1610" t="s">
        <v>11088</v>
      </c>
      <c r="Y1610">
        <v>0.79524641192384826</v>
      </c>
      <c r="Z1610" t="str">
        <f>HYPERLINK("Melting_Curves/meltCurve_sp_P98082_2_DAB2_HUMAN_.pdf", "Melting_Curves/meltCurve_sp_P98082_2_DAB2_HUMAN_.pdf")</f>
        <v>Melting_Curves/meltCurve_sp_P98082_2_DAB2_HUMAN_.pdf</v>
      </c>
      <c r="AA1610" t="s">
        <v>15802</v>
      </c>
      <c r="AB1610" t="s">
        <v>20444</v>
      </c>
    </row>
    <row r="1611" spans="1:28" x14ac:dyDescent="0.25">
      <c r="A1611" t="s">
        <v>1615</v>
      </c>
      <c r="B1611">
        <v>0.99904790336628502</v>
      </c>
      <c r="C1611">
        <v>0.96579243242281898</v>
      </c>
      <c r="D1611">
        <v>0.982926712910421</v>
      </c>
      <c r="E1611">
        <v>0.93618114131862595</v>
      </c>
      <c r="F1611">
        <v>0.77568566864209598</v>
      </c>
      <c r="G1611">
        <v>0.72265408834504297</v>
      </c>
      <c r="H1611">
        <v>0.239802687469343</v>
      </c>
      <c r="I1611">
        <v>0.147874951626419</v>
      </c>
      <c r="J1611">
        <v>0.105784547068232</v>
      </c>
      <c r="K1611">
        <v>7.7288666131865802E-2</v>
      </c>
      <c r="L1611">
        <v>1092.5075366533399</v>
      </c>
      <c r="M1611">
        <v>18.749553694404501</v>
      </c>
      <c r="N1611">
        <v>58.352136964110898</v>
      </c>
      <c r="O1611">
        <v>57.617763682993797</v>
      </c>
      <c r="P1611">
        <v>-8.0277436886574904E-2</v>
      </c>
      <c r="Q1611">
        <v>1.32646090504821E-2</v>
      </c>
      <c r="R1611">
        <v>0.97971784591574396</v>
      </c>
      <c r="S1611" t="s">
        <v>6351</v>
      </c>
      <c r="T1611" t="s">
        <v>9478</v>
      </c>
      <c r="U1611" t="s">
        <v>9478</v>
      </c>
      <c r="V1611" t="s">
        <v>9478</v>
      </c>
      <c r="W1611">
        <v>8</v>
      </c>
      <c r="X1611" t="s">
        <v>11089</v>
      </c>
      <c r="Y1611">
        <v>0.62559803181138107</v>
      </c>
      <c r="Z1611" t="str">
        <f>HYPERLINK("Melting_Curves/meltCurve_sp_P98160_PGBM_HUMAN_.pdf", "Melting_Curves/meltCurve_sp_P98160_PGBM_HUMAN_.pdf")</f>
        <v>Melting_Curves/meltCurve_sp_P98160_PGBM_HUMAN_.pdf</v>
      </c>
      <c r="AA1611" t="s">
        <v>15803</v>
      </c>
      <c r="AB1611" t="s">
        <v>20445</v>
      </c>
    </row>
    <row r="1612" spans="1:28" x14ac:dyDescent="0.25">
      <c r="A1612" t="s">
        <v>1616</v>
      </c>
      <c r="B1612">
        <v>0.99904790336628502</v>
      </c>
      <c r="C1612">
        <v>1.03069601622736</v>
      </c>
      <c r="D1612">
        <v>1.0642198737686199</v>
      </c>
      <c r="E1612">
        <v>0.89120066518024899</v>
      </c>
      <c r="F1612">
        <v>0.77521658844286501</v>
      </c>
      <c r="G1612">
        <v>0.44032701063723401</v>
      </c>
      <c r="H1612">
        <v>0.27144895162444899</v>
      </c>
      <c r="I1612">
        <v>0.19829741356514699</v>
      </c>
      <c r="J1612">
        <v>0.184733497429453</v>
      </c>
      <c r="K1612">
        <v>0.16168641032265799</v>
      </c>
      <c r="L1612">
        <v>1193.6027446058699</v>
      </c>
      <c r="M1612">
        <v>21.587797851229102</v>
      </c>
      <c r="N1612">
        <v>56.301223990321603</v>
      </c>
      <c r="O1612">
        <v>54.822737310902099</v>
      </c>
      <c r="P1612">
        <v>-8.2633213411281103E-2</v>
      </c>
      <c r="Q1612">
        <v>0.16062400715682101</v>
      </c>
      <c r="R1612">
        <v>0.99392665228865296</v>
      </c>
      <c r="S1612" t="s">
        <v>6352</v>
      </c>
      <c r="T1612" t="s">
        <v>9478</v>
      </c>
      <c r="U1612" t="s">
        <v>9478</v>
      </c>
      <c r="V1612" t="s">
        <v>9478</v>
      </c>
      <c r="W1612">
        <v>9</v>
      </c>
      <c r="X1612" t="s">
        <v>11090</v>
      </c>
      <c r="Y1612">
        <v>0.59831997978106088</v>
      </c>
      <c r="Z1612" t="str">
        <f>HYPERLINK("Melting_Curves/meltCurve_sp_P98170_XIAP_HUMAN_.pdf", "Melting_Curves/meltCurve_sp_P98170_XIAP_HUMAN_.pdf")</f>
        <v>Melting_Curves/meltCurve_sp_P98170_XIAP_HUMAN_.pdf</v>
      </c>
      <c r="AA1612" t="s">
        <v>15804</v>
      </c>
      <c r="AB1612" t="s">
        <v>20446</v>
      </c>
    </row>
    <row r="1613" spans="1:28" x14ac:dyDescent="0.25">
      <c r="A1613" t="s">
        <v>1617</v>
      </c>
      <c r="B1613">
        <v>0.99904790336628502</v>
      </c>
      <c r="C1613">
        <v>0.944552857629541</v>
      </c>
      <c r="D1613">
        <v>0.89561057952270395</v>
      </c>
      <c r="E1613">
        <v>0.81199664272454297</v>
      </c>
      <c r="F1613">
        <v>0.688248361393061</v>
      </c>
      <c r="G1613">
        <v>0.50375233285204102</v>
      </c>
      <c r="H1613">
        <v>0.46570086862340898</v>
      </c>
      <c r="I1613">
        <v>0.38086177904136997</v>
      </c>
      <c r="J1613">
        <v>0.46691242361799301</v>
      </c>
      <c r="K1613">
        <v>0.43868021926290501</v>
      </c>
      <c r="L1613">
        <v>775.04045873172595</v>
      </c>
      <c r="M1613">
        <v>14.8842219513314</v>
      </c>
      <c r="N1613">
        <v>58.580839547392898</v>
      </c>
      <c r="O1613">
        <v>51.158455040326402</v>
      </c>
      <c r="P1613">
        <v>-4.3329384092146303E-2</v>
      </c>
      <c r="Q1613">
        <v>0.40435354099436299</v>
      </c>
      <c r="R1613">
        <v>0.98098905722660201</v>
      </c>
      <c r="S1613" t="s">
        <v>6353</v>
      </c>
      <c r="T1613" t="s">
        <v>9478</v>
      </c>
      <c r="U1613" t="s">
        <v>9478</v>
      </c>
      <c r="V1613" t="s">
        <v>9478</v>
      </c>
      <c r="W1613">
        <v>6</v>
      </c>
      <c r="X1613" t="s">
        <v>11091</v>
      </c>
      <c r="Y1613">
        <v>0.65746751329581676</v>
      </c>
      <c r="Z1613" t="str">
        <f>HYPERLINK("Melting_Curves/meltCurve_sp_P98175_2_RBM10_HUMAN_.pdf", "Melting_Curves/meltCurve_sp_P98175_2_RBM10_HUMAN_.pdf")</f>
        <v>Melting_Curves/meltCurve_sp_P98175_2_RBM10_HUMAN_.pdf</v>
      </c>
      <c r="AA1613" t="s">
        <v>15805</v>
      </c>
      <c r="AB1613" t="s">
        <v>20447</v>
      </c>
    </row>
    <row r="1614" spans="1:28" x14ac:dyDescent="0.25">
      <c r="A1614" t="s">
        <v>1618</v>
      </c>
      <c r="B1614">
        <v>0.99904790336628502</v>
      </c>
      <c r="C1614">
        <v>0.75848067681949105</v>
      </c>
      <c r="D1614">
        <v>0.78216450310459495</v>
      </c>
      <c r="E1614">
        <v>0.78402730568883106</v>
      </c>
      <c r="F1614">
        <v>0.77339851031820195</v>
      </c>
      <c r="G1614">
        <v>0.66867662459486399</v>
      </c>
      <c r="H1614">
        <v>0.62598514197828303</v>
      </c>
      <c r="I1614">
        <v>0.620358623508522</v>
      </c>
      <c r="J1614">
        <v>0.60265650061416898</v>
      </c>
      <c r="K1614">
        <v>0.60971283941332999</v>
      </c>
      <c r="L1614">
        <v>279.01684279858</v>
      </c>
      <c r="M1614">
        <v>5.5968457931699396</v>
      </c>
      <c r="O1614">
        <v>44.5777668966699</v>
      </c>
      <c r="P1614">
        <v>-1.5189737238814E-2</v>
      </c>
      <c r="Q1614">
        <v>0.51806372214885599</v>
      </c>
      <c r="R1614">
        <v>0.81657984610392598</v>
      </c>
      <c r="S1614" t="s">
        <v>6354</v>
      </c>
      <c r="T1614" t="s">
        <v>9478</v>
      </c>
      <c r="U1614" t="s">
        <v>9478</v>
      </c>
      <c r="V1614" t="s">
        <v>9478</v>
      </c>
      <c r="W1614">
        <v>2</v>
      </c>
      <c r="X1614" t="s">
        <v>11092</v>
      </c>
      <c r="Y1614">
        <v>0.71738325389786795</v>
      </c>
      <c r="Z1614" t="str">
        <f>HYPERLINK("Melting_Curves/meltCurve_sp_P98179_RBM3_HUMAN_.pdf", "Melting_Curves/meltCurve_sp_P98179_RBM3_HUMAN_.pdf")</f>
        <v>Melting_Curves/meltCurve_sp_P98179_RBM3_HUMAN_.pdf</v>
      </c>
      <c r="AA1614" t="s">
        <v>15806</v>
      </c>
      <c r="AB1614" t="s">
        <v>20448</v>
      </c>
    </row>
    <row r="1615" spans="1:28" x14ac:dyDescent="0.25">
      <c r="A1615" t="s">
        <v>1619</v>
      </c>
      <c r="B1615">
        <v>0.99904790336628502</v>
      </c>
      <c r="C1615">
        <v>1.07032424300602</v>
      </c>
      <c r="D1615">
        <v>0.86533050065776196</v>
      </c>
      <c r="E1615">
        <v>0.53254509036782804</v>
      </c>
      <c r="F1615">
        <v>0.273763281935058</v>
      </c>
      <c r="G1615">
        <v>0.17923407927323701</v>
      </c>
      <c r="H1615">
        <v>0.12598124811619199</v>
      </c>
      <c r="I1615">
        <v>7.3240493515848007E-2</v>
      </c>
      <c r="J1615">
        <v>5.7447543279202998E-2</v>
      </c>
      <c r="K1615">
        <v>6.3487170585537003E-2</v>
      </c>
      <c r="L1615">
        <v>1100.80350301419</v>
      </c>
      <c r="M1615">
        <v>22.0219244030664</v>
      </c>
      <c r="N1615">
        <v>50.384259119653997</v>
      </c>
      <c r="O1615">
        <v>49.580006890542101</v>
      </c>
      <c r="P1615">
        <v>-0.102188915883504</v>
      </c>
      <c r="Q1615">
        <v>7.9751013746557506E-2</v>
      </c>
      <c r="R1615">
        <v>0.99139258714637202</v>
      </c>
      <c r="S1615" t="s">
        <v>6355</v>
      </c>
      <c r="T1615" t="s">
        <v>9478</v>
      </c>
      <c r="U1615" t="s">
        <v>9478</v>
      </c>
      <c r="V1615" t="s">
        <v>9478</v>
      </c>
      <c r="W1615">
        <v>3</v>
      </c>
      <c r="X1615" t="s">
        <v>11093</v>
      </c>
      <c r="Y1615">
        <v>0.39669116085048761</v>
      </c>
      <c r="Z1615" t="str">
        <f>HYPERLINK("Melting_Curves/meltCurve_sp_Q00013_2_EM55_HUMAN_.pdf", "Melting_Curves/meltCurve_sp_Q00013_2_EM55_HUMAN_.pdf")</f>
        <v>Melting_Curves/meltCurve_sp_Q00013_2_EM55_HUMAN_.pdf</v>
      </c>
      <c r="AA1615" t="s">
        <v>15807</v>
      </c>
      <c r="AB1615" t="s">
        <v>20449</v>
      </c>
    </row>
    <row r="1616" spans="1:28" x14ac:dyDescent="0.25">
      <c r="A1616" t="s">
        <v>1620</v>
      </c>
      <c r="B1616">
        <v>0.99904790336628502</v>
      </c>
      <c r="C1616">
        <v>1.0248426967783899</v>
      </c>
      <c r="D1616">
        <v>1.0034130068867899</v>
      </c>
      <c r="E1616">
        <v>0.96972782362548804</v>
      </c>
      <c r="F1616">
        <v>0.96873669856134204</v>
      </c>
      <c r="G1616">
        <v>0.70260858398703097</v>
      </c>
      <c r="H1616">
        <v>0.54260278463693001</v>
      </c>
      <c r="I1616">
        <v>0.53367196225821001</v>
      </c>
      <c r="J1616">
        <v>0.48128130705319599</v>
      </c>
      <c r="K1616">
        <v>0.45298378303971798</v>
      </c>
      <c r="L1616">
        <v>1730.0158730093699</v>
      </c>
      <c r="M1616">
        <v>30.536118869638901</v>
      </c>
      <c r="N1616">
        <v>63.6135496624848</v>
      </c>
      <c r="O1616">
        <v>56.413429201978303</v>
      </c>
      <c r="P1616">
        <v>-7.0058629832898595E-2</v>
      </c>
      <c r="Q1616">
        <v>0.48228869228930599</v>
      </c>
      <c r="R1616">
        <v>0.99216184511608296</v>
      </c>
      <c r="S1616" t="s">
        <v>6356</v>
      </c>
      <c r="T1616" t="s">
        <v>9478</v>
      </c>
      <c r="U1616" t="s">
        <v>9478</v>
      </c>
      <c r="V1616" t="s">
        <v>9478</v>
      </c>
      <c r="W1616">
        <v>15</v>
      </c>
      <c r="X1616" t="s">
        <v>11094</v>
      </c>
      <c r="Y1616">
        <v>0.77304470374323631</v>
      </c>
      <c r="Z1616" t="str">
        <f>HYPERLINK("Melting_Curves/meltCurve_sp_Q00059_TFAM_HUMAN_.pdf", "Melting_Curves/meltCurve_sp_Q00059_TFAM_HUMAN_.pdf")</f>
        <v>Melting_Curves/meltCurve_sp_Q00059_TFAM_HUMAN_.pdf</v>
      </c>
      <c r="AA1616" t="s">
        <v>15808</v>
      </c>
      <c r="AB1616" t="s">
        <v>20450</v>
      </c>
    </row>
    <row r="1617" spans="1:28" x14ac:dyDescent="0.25">
      <c r="A1617" t="s">
        <v>1621</v>
      </c>
      <c r="B1617">
        <v>0.99904790336628502</v>
      </c>
      <c r="C1617">
        <v>0.96166515600970304</v>
      </c>
      <c r="D1617">
        <v>0.949178488987939</v>
      </c>
      <c r="E1617">
        <v>1.0128029895720401</v>
      </c>
      <c r="F1617">
        <v>0.87945725104448202</v>
      </c>
      <c r="G1617">
        <v>0.89971027061834696</v>
      </c>
      <c r="H1617">
        <v>0.56763589922820401</v>
      </c>
      <c r="I1617">
        <v>0.23405732852646699</v>
      </c>
      <c r="J1617">
        <v>3.1374782350874701E-2</v>
      </c>
      <c r="K1617">
        <v>2.9420301632395202E-2</v>
      </c>
      <c r="L1617">
        <v>1856.3998477273699</v>
      </c>
      <c r="M1617">
        <v>30.223157404557298</v>
      </c>
      <c r="N1617">
        <v>61.423094305067103</v>
      </c>
      <c r="O1617">
        <v>61.156078391418902</v>
      </c>
      <c r="P1617">
        <v>-0.123550084907188</v>
      </c>
      <c r="Q1617">
        <v>0</v>
      </c>
      <c r="R1617">
        <v>0.98720609681049698</v>
      </c>
      <c r="S1617" t="s">
        <v>6357</v>
      </c>
      <c r="T1617" t="s">
        <v>9478</v>
      </c>
      <c r="U1617" t="s">
        <v>9478</v>
      </c>
      <c r="V1617" t="s">
        <v>9478</v>
      </c>
      <c r="W1617">
        <v>10</v>
      </c>
      <c r="X1617" t="s">
        <v>11095</v>
      </c>
      <c r="Y1617">
        <v>0.71926630017323656</v>
      </c>
      <c r="Z1617" t="str">
        <f>HYPERLINK("Melting_Curves/meltCurve_sp_Q00169_PIPNA_HUMAN_.pdf", "Melting_Curves/meltCurve_sp_Q00169_PIPNA_HUMAN_.pdf")</f>
        <v>Melting_Curves/meltCurve_sp_Q00169_PIPNA_HUMAN_.pdf</v>
      </c>
      <c r="AA1617" t="s">
        <v>15809</v>
      </c>
      <c r="AB1617" t="s">
        <v>20451</v>
      </c>
    </row>
    <row r="1618" spans="1:28" x14ac:dyDescent="0.25">
      <c r="A1618" t="s">
        <v>1622</v>
      </c>
      <c r="B1618">
        <v>0.99904790336628502</v>
      </c>
      <c r="C1618">
        <v>0.92292470695182105</v>
      </c>
      <c r="D1618">
        <v>0.96261660978869701</v>
      </c>
      <c r="E1618">
        <v>0.68550100452583995</v>
      </c>
      <c r="F1618">
        <v>0.293943584900557</v>
      </c>
      <c r="G1618">
        <v>0.14991084768848101</v>
      </c>
      <c r="H1618">
        <v>9.5223363178629603E-2</v>
      </c>
      <c r="I1618">
        <v>6.8652901572868893E-2</v>
      </c>
      <c r="J1618">
        <v>4.8788848768125601E-2</v>
      </c>
      <c r="K1618">
        <v>3.3540881655114103E-2</v>
      </c>
      <c r="L1618">
        <v>1389.3517511984901</v>
      </c>
      <c r="M1618">
        <v>27.174801837008498</v>
      </c>
      <c r="N1618">
        <v>51.3751565359754</v>
      </c>
      <c r="O1618">
        <v>50.8520147600168</v>
      </c>
      <c r="P1618">
        <v>-0.12536528113481599</v>
      </c>
      <c r="Q1618">
        <v>6.1628401052545301E-2</v>
      </c>
      <c r="R1618">
        <v>0.99427005670631197</v>
      </c>
      <c r="S1618" t="s">
        <v>6358</v>
      </c>
      <c r="T1618" t="s">
        <v>9478</v>
      </c>
      <c r="U1618" t="s">
        <v>9478</v>
      </c>
      <c r="V1618" t="s">
        <v>9478</v>
      </c>
      <c r="W1618">
        <v>23</v>
      </c>
      <c r="X1618" t="s">
        <v>11096</v>
      </c>
      <c r="Y1618">
        <v>0.41685424353600958</v>
      </c>
      <c r="Z1618" t="str">
        <f>HYPERLINK("Melting_Curves/meltCurve_sp_Q00266_METK1_HUMAN_.pdf", "Melting_Curves/meltCurve_sp_Q00266_METK1_HUMAN_.pdf")</f>
        <v>Melting_Curves/meltCurve_sp_Q00266_METK1_HUMAN_.pdf</v>
      </c>
      <c r="AA1618" t="s">
        <v>15810</v>
      </c>
      <c r="AB1618" t="s">
        <v>20452</v>
      </c>
    </row>
    <row r="1619" spans="1:28" x14ac:dyDescent="0.25">
      <c r="A1619" t="s">
        <v>1623</v>
      </c>
      <c r="B1619">
        <v>0.99904790336628502</v>
      </c>
      <c r="C1619">
        <v>1.01237515170742</v>
      </c>
      <c r="D1619">
        <v>0.96888336419313903</v>
      </c>
      <c r="E1619">
        <v>0.525728542298458</v>
      </c>
      <c r="F1619">
        <v>0.28037055851714598</v>
      </c>
      <c r="G1619">
        <v>0.15855044543146701</v>
      </c>
      <c r="H1619">
        <v>0.10266085420728201</v>
      </c>
      <c r="I1619">
        <v>8.0251368480664401E-2</v>
      </c>
      <c r="J1619">
        <v>7.3325819423101901E-2</v>
      </c>
      <c r="K1619">
        <v>6.8314634993343198E-2</v>
      </c>
      <c r="L1619">
        <v>1345.6220798147999</v>
      </c>
      <c r="M1619">
        <v>26.8508876278019</v>
      </c>
      <c r="N1619">
        <v>50.4792943434352</v>
      </c>
      <c r="O1619">
        <v>49.839123319128198</v>
      </c>
      <c r="P1619">
        <v>-0.12281499050401</v>
      </c>
      <c r="Q1619">
        <v>8.8159784771413605E-2</v>
      </c>
      <c r="R1619">
        <v>0.99606210591322397</v>
      </c>
      <c r="S1619" t="s">
        <v>6359</v>
      </c>
      <c r="T1619" t="s">
        <v>9478</v>
      </c>
      <c r="U1619" t="s">
        <v>9478</v>
      </c>
      <c r="V1619" t="s">
        <v>9478</v>
      </c>
      <c r="W1619">
        <v>49</v>
      </c>
      <c r="X1619" t="s">
        <v>11097</v>
      </c>
      <c r="Y1619">
        <v>0.40265835916813481</v>
      </c>
      <c r="Z1619" t="str">
        <f>HYPERLINK("Melting_Curves/meltCurve_sp_Q00341_VIGLN_HUMAN_.pdf", "Melting_Curves/meltCurve_sp_Q00341_VIGLN_HUMAN_.pdf")</f>
        <v>Melting_Curves/meltCurve_sp_Q00341_VIGLN_HUMAN_.pdf</v>
      </c>
      <c r="AA1619" t="s">
        <v>15811</v>
      </c>
      <c r="AB1619" t="s">
        <v>20453</v>
      </c>
    </row>
    <row r="1620" spans="1:28" x14ac:dyDescent="0.25">
      <c r="A1620" t="s">
        <v>1624</v>
      </c>
      <c r="B1620">
        <v>0.99904790336628502</v>
      </c>
      <c r="C1620">
        <v>1.02118209449143</v>
      </c>
      <c r="D1620">
        <v>0.82530230957207595</v>
      </c>
      <c r="E1620">
        <v>0.54650670248474498</v>
      </c>
      <c r="F1620">
        <v>0.44208065181963302</v>
      </c>
      <c r="G1620">
        <v>0.28102155510059001</v>
      </c>
      <c r="H1620">
        <v>0.25622139552823597</v>
      </c>
      <c r="I1620">
        <v>0.186460678653218</v>
      </c>
      <c r="J1620">
        <v>0.15174929368312801</v>
      </c>
      <c r="K1620">
        <v>0.18538370699737799</v>
      </c>
      <c r="L1620">
        <v>815.08766261220899</v>
      </c>
      <c r="M1620">
        <v>16.300514841846098</v>
      </c>
      <c r="N1620">
        <v>51.370629374313999</v>
      </c>
      <c r="O1620">
        <v>49.269389650726097</v>
      </c>
      <c r="P1620">
        <v>-6.8163204248227902E-2</v>
      </c>
      <c r="Q1620">
        <v>0.17594881266009699</v>
      </c>
      <c r="R1620">
        <v>0.989085584233662</v>
      </c>
      <c r="S1620" t="s">
        <v>6360</v>
      </c>
      <c r="T1620" t="s">
        <v>9478</v>
      </c>
      <c r="U1620" t="s">
        <v>9478</v>
      </c>
      <c r="V1620" t="s">
        <v>9478</v>
      </c>
      <c r="W1620">
        <v>2</v>
      </c>
      <c r="X1620" t="s">
        <v>11098</v>
      </c>
      <c r="Y1620">
        <v>0.46764891092615912</v>
      </c>
      <c r="Z1620" t="str">
        <f>HYPERLINK("Melting_Curves/meltCurve_sp_Q00403_TF2B_HUMAN_.pdf", "Melting_Curves/meltCurve_sp_Q00403_TF2B_HUMAN_.pdf")</f>
        <v>Melting_Curves/meltCurve_sp_Q00403_TF2B_HUMAN_.pdf</v>
      </c>
      <c r="AA1620" t="s">
        <v>15812</v>
      </c>
      <c r="AB1620" t="s">
        <v>20454</v>
      </c>
    </row>
    <row r="1621" spans="1:28" x14ac:dyDescent="0.25">
      <c r="A1621" t="s">
        <v>1625</v>
      </c>
      <c r="B1621">
        <v>0.99904790336628502</v>
      </c>
      <c r="C1621">
        <v>0.95121749431427705</v>
      </c>
      <c r="D1621">
        <v>0.95824210516558905</v>
      </c>
      <c r="E1621">
        <v>0.91488110874758499</v>
      </c>
      <c r="F1621">
        <v>0.95018889646133797</v>
      </c>
      <c r="G1621">
        <v>0.66542304358549897</v>
      </c>
      <c r="H1621">
        <v>0.296002163854235</v>
      </c>
      <c r="I1621">
        <v>7.6714793546841603E-2</v>
      </c>
      <c r="J1621">
        <v>3.6809113883619897E-2</v>
      </c>
      <c r="K1621">
        <v>3.2794481715679502E-2</v>
      </c>
      <c r="L1621">
        <v>1458.7738256836401</v>
      </c>
      <c r="M1621">
        <v>24.8842294318111</v>
      </c>
      <c r="N1621">
        <v>58.622423972422602</v>
      </c>
      <c r="O1621">
        <v>58.247755556918001</v>
      </c>
      <c r="P1621">
        <v>-0.106804824133931</v>
      </c>
      <c r="Q1621">
        <v>0</v>
      </c>
      <c r="R1621">
        <v>0.99312136687887198</v>
      </c>
      <c r="S1621" t="s">
        <v>6361</v>
      </c>
      <c r="T1621" t="s">
        <v>9478</v>
      </c>
      <c r="U1621" t="s">
        <v>9478</v>
      </c>
      <c r="V1621" t="s">
        <v>9478</v>
      </c>
      <c r="W1621">
        <v>9</v>
      </c>
      <c r="X1621" t="s">
        <v>11099</v>
      </c>
      <c r="Y1621">
        <v>0.6292084221971106</v>
      </c>
      <c r="Z1621" t="str">
        <f>HYPERLINK("Melting_Curves/meltCurve_sp_Q00534_CDK6_HUMAN_.pdf", "Melting_Curves/meltCurve_sp_Q00534_CDK6_HUMAN_.pdf")</f>
        <v>Melting_Curves/meltCurve_sp_Q00534_CDK6_HUMAN_.pdf</v>
      </c>
      <c r="AA1621" t="s">
        <v>15813</v>
      </c>
      <c r="AB1621" t="s">
        <v>20455</v>
      </c>
    </row>
    <row r="1622" spans="1:28" x14ac:dyDescent="0.25">
      <c r="A1622" t="s">
        <v>1626</v>
      </c>
      <c r="B1622">
        <v>0.99904790336628502</v>
      </c>
      <c r="C1622">
        <v>0.95748006163337696</v>
      </c>
      <c r="D1622">
        <v>0.64570174686803905</v>
      </c>
      <c r="E1622">
        <v>0.29417891403836399</v>
      </c>
      <c r="F1622">
        <v>0.150222903132462</v>
      </c>
      <c r="G1622">
        <v>0.14368710830456999</v>
      </c>
      <c r="H1622">
        <v>8.9563043197914E-2</v>
      </c>
      <c r="I1622">
        <v>3.6179495732388302E-2</v>
      </c>
      <c r="J1622">
        <v>3.7888385216192998E-2</v>
      </c>
      <c r="K1622">
        <v>1.8684814719114599E-2</v>
      </c>
      <c r="L1622">
        <v>1002.43988615981</v>
      </c>
      <c r="M1622">
        <v>21.1429314256551</v>
      </c>
      <c r="N1622">
        <v>47.6810290700558</v>
      </c>
      <c r="O1622">
        <v>46.9944930470919</v>
      </c>
      <c r="P1622">
        <v>-0.106166008342</v>
      </c>
      <c r="Q1622">
        <v>5.6121774940526697E-2</v>
      </c>
      <c r="R1622">
        <v>0.99210163092207104</v>
      </c>
      <c r="S1622" t="s">
        <v>6362</v>
      </c>
      <c r="T1622" t="s">
        <v>9478</v>
      </c>
      <c r="U1622" t="s">
        <v>9478</v>
      </c>
      <c r="V1622" t="s">
        <v>9478</v>
      </c>
      <c r="W1622">
        <v>3</v>
      </c>
      <c r="X1622" t="s">
        <v>11100</v>
      </c>
      <c r="Y1622">
        <v>0.30140408824829851</v>
      </c>
      <c r="Z1622" t="str">
        <f>HYPERLINK("Melting_Curves/meltCurve_sp_Q00535_CDK5_HUMAN_.pdf", "Melting_Curves/meltCurve_sp_Q00535_CDK5_HUMAN_.pdf")</f>
        <v>Melting_Curves/meltCurve_sp_Q00535_CDK5_HUMAN_.pdf</v>
      </c>
      <c r="AA1622" t="s">
        <v>15814</v>
      </c>
      <c r="AB1622" t="s">
        <v>20456</v>
      </c>
    </row>
    <row r="1623" spans="1:28" x14ac:dyDescent="0.25">
      <c r="A1623" t="s">
        <v>1627</v>
      </c>
      <c r="B1623">
        <v>0.99904790336628502</v>
      </c>
      <c r="C1623">
        <v>1.0050240323875499</v>
      </c>
      <c r="D1623">
        <v>1.0629675777624601</v>
      </c>
      <c r="E1623">
        <v>1.0801460402202201</v>
      </c>
      <c r="F1623">
        <v>0.99912145848935796</v>
      </c>
      <c r="G1623">
        <v>0.82949057464770104</v>
      </c>
      <c r="H1623">
        <v>0.67696361126816895</v>
      </c>
      <c r="I1623">
        <v>0.73088151705587601</v>
      </c>
      <c r="J1623">
        <v>0.58739573516201904</v>
      </c>
      <c r="K1623">
        <v>0.32879596623595903</v>
      </c>
      <c r="L1623">
        <v>777.216844105419</v>
      </c>
      <c r="M1623">
        <v>11.5231357876633</v>
      </c>
      <c r="N1623">
        <v>67.448382580497807</v>
      </c>
      <c r="O1623">
        <v>65.512993193524096</v>
      </c>
      <c r="P1623">
        <v>-4.39851126281725E-2</v>
      </c>
      <c r="Q1623">
        <v>0</v>
      </c>
      <c r="R1623">
        <v>0.91895238518825495</v>
      </c>
      <c r="S1623" t="s">
        <v>6363</v>
      </c>
      <c r="T1623" t="s">
        <v>9478</v>
      </c>
      <c r="U1623" t="s">
        <v>9478</v>
      </c>
      <c r="V1623" t="s">
        <v>9478</v>
      </c>
      <c r="W1623">
        <v>10</v>
      </c>
      <c r="X1623" t="s">
        <v>11101</v>
      </c>
      <c r="Y1623">
        <v>0.8397101655778243</v>
      </c>
      <c r="Z1623" t="str">
        <f>HYPERLINK("Melting_Curves/meltCurve_sp_Q00577_PURA_HUMAN_.pdf", "Melting_Curves/meltCurve_sp_Q00577_PURA_HUMAN_.pdf")</f>
        <v>Melting_Curves/meltCurve_sp_Q00577_PURA_HUMAN_.pdf</v>
      </c>
      <c r="AA1623" t="s">
        <v>15815</v>
      </c>
      <c r="AB1623" t="s">
        <v>20457</v>
      </c>
    </row>
    <row r="1624" spans="1:28" x14ac:dyDescent="0.25">
      <c r="A1624" t="s">
        <v>1628</v>
      </c>
      <c r="B1624">
        <v>0.99904790336628502</v>
      </c>
      <c r="C1624">
        <v>1.0474990567984801</v>
      </c>
      <c r="D1624">
        <v>1.1256223253424</v>
      </c>
      <c r="E1624">
        <v>0.60474318991137299</v>
      </c>
      <c r="F1624">
        <v>0.17720530657316699</v>
      </c>
      <c r="G1624">
        <v>0.107838968795313</v>
      </c>
      <c r="H1624">
        <v>6.5021919785947305E-2</v>
      </c>
      <c r="I1624">
        <v>4.6834462874739101E-2</v>
      </c>
      <c r="J1624">
        <v>3.8992373366010601E-2</v>
      </c>
      <c r="K1624">
        <v>3.1431553689687398E-2</v>
      </c>
      <c r="L1624">
        <v>2295.8044157150298</v>
      </c>
      <c r="M1624">
        <v>45.5220963438288</v>
      </c>
      <c r="N1624">
        <v>50.575201855753001</v>
      </c>
      <c r="O1624">
        <v>50.3357121827489</v>
      </c>
      <c r="P1624">
        <v>-0.21248861908972799</v>
      </c>
      <c r="Q1624">
        <v>6.0170463610925803E-2</v>
      </c>
      <c r="R1624">
        <v>0.98724065044132903</v>
      </c>
      <c r="S1624" t="s">
        <v>6364</v>
      </c>
      <c r="T1624" t="s">
        <v>9478</v>
      </c>
      <c r="U1624" t="s">
        <v>9478</v>
      </c>
      <c r="V1624" t="s">
        <v>9478</v>
      </c>
      <c r="W1624">
        <v>66</v>
      </c>
      <c r="X1624" t="s">
        <v>11102</v>
      </c>
      <c r="Y1624">
        <v>0.38952914546415029</v>
      </c>
      <c r="Z1624" t="str">
        <f>HYPERLINK("Melting_Curves/meltCurve_sp_Q00610_2_CLH1_HUMAN_.pdf", "Melting_Curves/meltCurve_sp_Q00610_2_CLH1_HUMAN_.pdf")</f>
        <v>Melting_Curves/meltCurve_sp_Q00610_2_CLH1_HUMAN_.pdf</v>
      </c>
      <c r="AA1624" t="s">
        <v>15816</v>
      </c>
      <c r="AB1624" t="s">
        <v>20458</v>
      </c>
    </row>
    <row r="1625" spans="1:28" x14ac:dyDescent="0.25">
      <c r="A1625" t="s">
        <v>1629</v>
      </c>
      <c r="B1625">
        <v>0.99904790336628502</v>
      </c>
      <c r="C1625">
        <v>0.91135766945473895</v>
      </c>
      <c r="D1625">
        <v>0.94940096872086599</v>
      </c>
      <c r="E1625">
        <v>0.94017174005898396</v>
      </c>
      <c r="F1625">
        <v>0.95536532058777801</v>
      </c>
      <c r="G1625">
        <v>0.70932645065412303</v>
      </c>
      <c r="H1625">
        <v>0.57752094428683998</v>
      </c>
      <c r="I1625">
        <v>0.539049897956979</v>
      </c>
      <c r="J1625">
        <v>0.55121128206228998</v>
      </c>
      <c r="K1625">
        <v>0.51799843321691397</v>
      </c>
      <c r="L1625">
        <v>1660.1197723303801</v>
      </c>
      <c r="M1625">
        <v>29.538603893306799</v>
      </c>
      <c r="O1625">
        <v>55.9460024705891</v>
      </c>
      <c r="P1625">
        <v>-6.1948888530724298E-2</v>
      </c>
      <c r="Q1625">
        <v>0.53067942345220598</v>
      </c>
      <c r="R1625">
        <v>0.96313109643595696</v>
      </c>
      <c r="S1625" t="s">
        <v>6365</v>
      </c>
      <c r="T1625" t="s">
        <v>9478</v>
      </c>
      <c r="U1625" t="s">
        <v>9478</v>
      </c>
      <c r="V1625" t="s">
        <v>9478</v>
      </c>
      <c r="W1625">
        <v>16</v>
      </c>
      <c r="X1625" t="s">
        <v>11103</v>
      </c>
      <c r="Y1625">
        <v>0.78735908082763661</v>
      </c>
      <c r="Z1625" t="str">
        <f>HYPERLINK("Melting_Curves/meltCurve_sp_Q00688_FKBP3_HUMAN_.pdf", "Melting_Curves/meltCurve_sp_Q00688_FKBP3_HUMAN_.pdf")</f>
        <v>Melting_Curves/meltCurve_sp_Q00688_FKBP3_HUMAN_.pdf</v>
      </c>
      <c r="AA1625" t="s">
        <v>15817</v>
      </c>
      <c r="AB1625" t="s">
        <v>20459</v>
      </c>
    </row>
    <row r="1626" spans="1:28" x14ac:dyDescent="0.25">
      <c r="A1626" t="s">
        <v>1630</v>
      </c>
      <c r="B1626">
        <v>0.99904790336628502</v>
      </c>
      <c r="C1626">
        <v>0.98510831127785503</v>
      </c>
      <c r="D1626">
        <v>1.0703762737729901</v>
      </c>
      <c r="E1626">
        <v>1.05104135750609</v>
      </c>
      <c r="F1626">
        <v>1.01337911256479</v>
      </c>
      <c r="G1626">
        <v>0.86563351496791396</v>
      </c>
      <c r="H1626">
        <v>0.45314706565794599</v>
      </c>
      <c r="I1626">
        <v>8.5743565217160603E-2</v>
      </c>
      <c r="J1626">
        <v>3.75230151733007E-2</v>
      </c>
      <c r="K1626">
        <v>3.5456741489146897E-2</v>
      </c>
      <c r="L1626">
        <v>2159.8245521093199</v>
      </c>
      <c r="M1626">
        <v>35.727071254035998</v>
      </c>
      <c r="N1626">
        <v>60.475652805677001</v>
      </c>
      <c r="O1626">
        <v>60.2649653224396</v>
      </c>
      <c r="P1626">
        <v>-0.14724287302708999</v>
      </c>
      <c r="Q1626">
        <v>6.5169022984958597E-3</v>
      </c>
      <c r="R1626">
        <v>0.99340789509401095</v>
      </c>
      <c r="S1626" t="s">
        <v>6366</v>
      </c>
      <c r="T1626" t="s">
        <v>9478</v>
      </c>
      <c r="U1626" t="s">
        <v>9478</v>
      </c>
      <c r="V1626" t="s">
        <v>9478</v>
      </c>
      <c r="W1626">
        <v>27</v>
      </c>
      <c r="X1626" t="s">
        <v>11104</v>
      </c>
      <c r="Y1626">
        <v>0.6884582271934353</v>
      </c>
      <c r="Z1626" t="str">
        <f>HYPERLINK("Melting_Curves/meltCurve_sp_Q00796_DHSO_HUMAN_.pdf", "Melting_Curves/meltCurve_sp_Q00796_DHSO_HUMAN_.pdf")</f>
        <v>Melting_Curves/meltCurve_sp_Q00796_DHSO_HUMAN_.pdf</v>
      </c>
      <c r="AA1626" t="s">
        <v>15818</v>
      </c>
      <c r="AB1626" t="s">
        <v>20460</v>
      </c>
    </row>
    <row r="1627" spans="1:28" x14ac:dyDescent="0.25">
      <c r="A1627" t="s">
        <v>1631</v>
      </c>
      <c r="B1627">
        <v>0.99904790336628502</v>
      </c>
      <c r="C1627">
        <v>1.01775125806372</v>
      </c>
      <c r="D1627">
        <v>0.79664216166896396</v>
      </c>
      <c r="E1627">
        <v>0.84877269713101899</v>
      </c>
      <c r="F1627">
        <v>0.77537468038692203</v>
      </c>
      <c r="G1627">
        <v>0.47717802703999102</v>
      </c>
      <c r="H1627">
        <v>0.25047666130692903</v>
      </c>
      <c r="I1627">
        <v>0.18246739087703501</v>
      </c>
      <c r="J1627">
        <v>0.174619993149947</v>
      </c>
      <c r="K1627">
        <v>0.18147679904810499</v>
      </c>
      <c r="L1627">
        <v>801.461935391368</v>
      </c>
      <c r="M1627">
        <v>14.391023351736701</v>
      </c>
      <c r="N1627">
        <v>56.511963908585699</v>
      </c>
      <c r="O1627">
        <v>54.649552625065198</v>
      </c>
      <c r="P1627">
        <v>-5.96358374965371E-2</v>
      </c>
      <c r="Q1627">
        <v>9.4245343030707293E-2</v>
      </c>
      <c r="R1627">
        <v>0.96720308729485704</v>
      </c>
      <c r="S1627" t="s">
        <v>6367</v>
      </c>
      <c r="T1627" t="s">
        <v>9478</v>
      </c>
      <c r="U1627" t="s">
        <v>9478</v>
      </c>
      <c r="V1627" t="s">
        <v>9478</v>
      </c>
      <c r="W1627">
        <v>35</v>
      </c>
      <c r="X1627" t="s">
        <v>11105</v>
      </c>
      <c r="Y1627">
        <v>0.58515777535584002</v>
      </c>
      <c r="Z1627" t="str">
        <f>HYPERLINK("Melting_Curves/meltCurve_sp_Q00839_HNRPU_HUMAN_.pdf", "Melting_Curves/meltCurve_sp_Q00839_HNRPU_HUMAN_.pdf")</f>
        <v>Melting_Curves/meltCurve_sp_Q00839_HNRPU_HUMAN_.pdf</v>
      </c>
      <c r="AA1627" t="s">
        <v>15819</v>
      </c>
      <c r="AB1627" t="s">
        <v>20461</v>
      </c>
    </row>
    <row r="1628" spans="1:28" x14ac:dyDescent="0.25">
      <c r="A1628" t="s">
        <v>1632</v>
      </c>
      <c r="B1628">
        <v>0.99904790336628502</v>
      </c>
      <c r="C1628">
        <v>1.0982336912057</v>
      </c>
      <c r="D1628">
        <v>0.99983901060495195</v>
      </c>
      <c r="E1628">
        <v>0.84563861983199096</v>
      </c>
      <c r="F1628">
        <v>0.62142714538909405</v>
      </c>
      <c r="G1628">
        <v>0.351584604500773</v>
      </c>
      <c r="H1628">
        <v>0.22632662813281201</v>
      </c>
      <c r="I1628">
        <v>0.212079526778199</v>
      </c>
      <c r="J1628">
        <v>0.239861031378789</v>
      </c>
      <c r="K1628">
        <v>0.19641570596489999</v>
      </c>
      <c r="L1628">
        <v>1270.2587651101201</v>
      </c>
      <c r="M1628">
        <v>23.879326760350601</v>
      </c>
      <c r="N1628">
        <v>54.408167819540701</v>
      </c>
      <c r="O1628">
        <v>52.826057716933001</v>
      </c>
      <c r="P1628">
        <v>-8.9682309173139005E-2</v>
      </c>
      <c r="Q1628">
        <v>0.20642865984980599</v>
      </c>
      <c r="R1628">
        <v>0.99051831846928995</v>
      </c>
      <c r="S1628" t="s">
        <v>6368</v>
      </c>
      <c r="T1628" t="s">
        <v>9478</v>
      </c>
      <c r="U1628" t="s">
        <v>9478</v>
      </c>
      <c r="V1628" t="s">
        <v>9478</v>
      </c>
      <c r="W1628">
        <v>2</v>
      </c>
      <c r="X1628" t="s">
        <v>11106</v>
      </c>
      <c r="Y1628">
        <v>0.56343043462498932</v>
      </c>
      <c r="Z1628" t="str">
        <f>HYPERLINK("Melting_Curves/meltCurve_sp_Q00G26_PLIN5_HUMAN_.pdf", "Melting_Curves/meltCurve_sp_Q00G26_PLIN5_HUMAN_.pdf")</f>
        <v>Melting_Curves/meltCurve_sp_Q00G26_PLIN5_HUMAN_.pdf</v>
      </c>
      <c r="AA1628" t="s">
        <v>15820</v>
      </c>
      <c r="AB1628" t="s">
        <v>20462</v>
      </c>
    </row>
    <row r="1629" spans="1:28" x14ac:dyDescent="0.25">
      <c r="A1629" t="s">
        <v>1633</v>
      </c>
      <c r="B1629">
        <v>0.99904790336628502</v>
      </c>
      <c r="C1629">
        <v>1.0495542097053201</v>
      </c>
      <c r="D1629">
        <v>0.89725657750110399</v>
      </c>
      <c r="E1629">
        <v>0.60118308520971397</v>
      </c>
      <c r="F1629">
        <v>0.34033901138307898</v>
      </c>
      <c r="G1629">
        <v>0.23381230905699599</v>
      </c>
      <c r="H1629">
        <v>0.13085486127607199</v>
      </c>
      <c r="I1629">
        <v>0.13970190212922301</v>
      </c>
      <c r="J1629">
        <v>0.11538338707061301</v>
      </c>
      <c r="K1629">
        <v>0.11951792011197999</v>
      </c>
      <c r="L1629">
        <v>1098.35452768601</v>
      </c>
      <c r="M1629">
        <v>21.771358728492299</v>
      </c>
      <c r="N1629">
        <v>51.125886951777403</v>
      </c>
      <c r="O1629">
        <v>50.029670114558201</v>
      </c>
      <c r="P1629">
        <v>-9.5181710163130706E-2</v>
      </c>
      <c r="Q1629">
        <v>0.125126065764086</v>
      </c>
      <c r="R1629">
        <v>0.99474624055460703</v>
      </c>
      <c r="S1629" t="s">
        <v>6369</v>
      </c>
      <c r="T1629" t="s">
        <v>9478</v>
      </c>
      <c r="U1629" t="s">
        <v>9478</v>
      </c>
      <c r="V1629" t="s">
        <v>9478</v>
      </c>
      <c r="W1629">
        <v>1</v>
      </c>
      <c r="X1629" t="s">
        <v>11107</v>
      </c>
      <c r="Y1629">
        <v>0.44018048405848942</v>
      </c>
      <c r="Z1629" t="str">
        <f>HYPERLINK("Melting_Curves/meltCurve_sp_Q01081_U2AF1_HUMAN_.pdf", "Melting_Curves/meltCurve_sp_Q01081_U2AF1_HUMAN_.pdf")</f>
        <v>Melting_Curves/meltCurve_sp_Q01081_U2AF1_HUMAN_.pdf</v>
      </c>
      <c r="AA1629" t="s">
        <v>15821</v>
      </c>
      <c r="AB1629" t="s">
        <v>20463</v>
      </c>
    </row>
    <row r="1630" spans="1:28" x14ac:dyDescent="0.25">
      <c r="A1630" t="s">
        <v>1634</v>
      </c>
      <c r="B1630">
        <v>0.99904790336628502</v>
      </c>
      <c r="C1630">
        <v>1.0720393091966001</v>
      </c>
      <c r="D1630">
        <v>1.27808294938953</v>
      </c>
      <c r="E1630">
        <v>1.1131800489413699</v>
      </c>
      <c r="F1630">
        <v>1.0344444667221599</v>
      </c>
      <c r="G1630">
        <v>0.67262411249616105</v>
      </c>
      <c r="H1630">
        <v>9.7905748617829094E-2</v>
      </c>
      <c r="I1630">
        <v>8.2941146262995605E-2</v>
      </c>
      <c r="J1630">
        <v>5.2151192591796097E-2</v>
      </c>
      <c r="K1630">
        <v>4.4665844119948298E-2</v>
      </c>
      <c r="L1630">
        <v>3481.6219501322798</v>
      </c>
      <c r="M1630">
        <v>60.4464540238476</v>
      </c>
      <c r="N1630">
        <v>57.722321770827101</v>
      </c>
      <c r="O1630">
        <v>57.535514282541001</v>
      </c>
      <c r="P1630">
        <v>-0.246671919454755</v>
      </c>
      <c r="Q1630">
        <v>6.0829064291890597E-2</v>
      </c>
      <c r="R1630">
        <v>0.95942312584021805</v>
      </c>
      <c r="S1630" t="s">
        <v>6370</v>
      </c>
      <c r="T1630" t="s">
        <v>9478</v>
      </c>
      <c r="U1630" t="s">
        <v>9478</v>
      </c>
      <c r="V1630" t="s">
        <v>9478</v>
      </c>
      <c r="W1630">
        <v>128</v>
      </c>
      <c r="X1630" t="s">
        <v>11108</v>
      </c>
      <c r="Y1630">
        <v>0.61338950245737656</v>
      </c>
      <c r="Z1630" t="str">
        <f>HYPERLINK("Melting_Curves/meltCurve_sp_Q01082_3_SPTB2_HUMAN_.pdf", "Melting_Curves/meltCurve_sp_Q01082_3_SPTB2_HUMAN_.pdf")</f>
        <v>Melting_Curves/meltCurve_sp_Q01082_3_SPTB2_HUMAN_.pdf</v>
      </c>
      <c r="AA1630" t="s">
        <v>15822</v>
      </c>
      <c r="AB1630" t="s">
        <v>20464</v>
      </c>
    </row>
    <row r="1631" spans="1:28" x14ac:dyDescent="0.25">
      <c r="A1631" t="s">
        <v>1635</v>
      </c>
      <c r="B1631">
        <v>0.99904790336628502</v>
      </c>
      <c r="C1631">
        <v>1.09563209088241</v>
      </c>
      <c r="D1631">
        <v>1.1665742206301799</v>
      </c>
      <c r="E1631">
        <v>1.04993590910664</v>
      </c>
      <c r="F1631">
        <v>0.86395166044520999</v>
      </c>
      <c r="G1631">
        <v>0.65499359876776497</v>
      </c>
      <c r="H1631">
        <v>0.160460244318893</v>
      </c>
      <c r="I1631">
        <v>0.122404943870967</v>
      </c>
      <c r="J1631">
        <v>8.9238794760371401E-2</v>
      </c>
      <c r="K1631">
        <v>8.2188949823083002E-2</v>
      </c>
      <c r="L1631">
        <v>1890.65262714972</v>
      </c>
      <c r="M1631">
        <v>32.807370506585201</v>
      </c>
      <c r="N1631">
        <v>57.909333485509798</v>
      </c>
      <c r="O1631">
        <v>57.416048997780699</v>
      </c>
      <c r="P1631">
        <v>-0.132357180064304</v>
      </c>
      <c r="Q1631">
        <v>7.3453167991292506E-2</v>
      </c>
      <c r="R1631">
        <v>0.97379244978426505</v>
      </c>
      <c r="S1631" t="s">
        <v>6371</v>
      </c>
      <c r="T1631" t="s">
        <v>9478</v>
      </c>
      <c r="U1631" t="s">
        <v>9478</v>
      </c>
      <c r="V1631" t="s">
        <v>9478</v>
      </c>
      <c r="W1631">
        <v>137</v>
      </c>
      <c r="X1631" t="s">
        <v>11109</v>
      </c>
      <c r="Y1631">
        <v>0.62316935081638003</v>
      </c>
      <c r="Z1631" t="str">
        <f>HYPERLINK("Melting_Curves/meltCurve_sp_Q01082_SPTB2_HUMAN_.pdf", "Melting_Curves/meltCurve_sp_Q01082_SPTB2_HUMAN_.pdf")</f>
        <v>Melting_Curves/meltCurve_sp_Q01082_SPTB2_HUMAN_.pdf</v>
      </c>
      <c r="AA1631" t="s">
        <v>15822</v>
      </c>
      <c r="AB1631" t="s">
        <v>20465</v>
      </c>
    </row>
    <row r="1632" spans="1:28" x14ac:dyDescent="0.25">
      <c r="A1632" t="s">
        <v>1636</v>
      </c>
      <c r="B1632">
        <v>0.99904790336628502</v>
      </c>
      <c r="C1632">
        <v>1.0151725928462301</v>
      </c>
      <c r="D1632">
        <v>0.81728863170419597</v>
      </c>
      <c r="E1632">
        <v>0.86771251433153895</v>
      </c>
      <c r="F1632">
        <v>0.69787079506184702</v>
      </c>
      <c r="G1632">
        <v>0.465313472047862</v>
      </c>
      <c r="H1632">
        <v>0.189862619349047</v>
      </c>
      <c r="I1632">
        <v>0.106082009950083</v>
      </c>
      <c r="J1632">
        <v>6.7000192687554097E-2</v>
      </c>
      <c r="K1632">
        <v>5.7868776259547401E-2</v>
      </c>
      <c r="L1632">
        <v>825.63337150494306</v>
      </c>
      <c r="M1632">
        <v>14.785648343605599</v>
      </c>
      <c r="N1632">
        <v>55.840187914089597</v>
      </c>
      <c r="O1632">
        <v>54.848606610116597</v>
      </c>
      <c r="P1632">
        <v>-6.7400231739710201E-2</v>
      </c>
      <c r="Q1632">
        <v>0</v>
      </c>
      <c r="R1632">
        <v>0.98241818167069705</v>
      </c>
      <c r="S1632" t="s">
        <v>6372</v>
      </c>
      <c r="T1632" t="s">
        <v>9478</v>
      </c>
      <c r="U1632" t="s">
        <v>9478</v>
      </c>
      <c r="V1632" t="s">
        <v>9478</v>
      </c>
      <c r="W1632">
        <v>7</v>
      </c>
      <c r="X1632" t="s">
        <v>11110</v>
      </c>
      <c r="Y1632">
        <v>0.5462456857493958</v>
      </c>
      <c r="Z1632" t="str">
        <f>HYPERLINK("Melting_Curves/meltCurve_sp_Q01085_2_TIAR_HUMAN_.pdf", "Melting_Curves/meltCurve_sp_Q01085_2_TIAR_HUMAN_.pdf")</f>
        <v>Melting_Curves/meltCurve_sp_Q01085_2_TIAR_HUMAN_.pdf</v>
      </c>
      <c r="AA1632" t="s">
        <v>15823</v>
      </c>
      <c r="AB1632" t="s">
        <v>20466</v>
      </c>
    </row>
    <row r="1633" spans="1:28" x14ac:dyDescent="0.25">
      <c r="A1633" t="s">
        <v>1637</v>
      </c>
      <c r="B1633">
        <v>0.99904790336628502</v>
      </c>
      <c r="C1633">
        <v>1.04899540435923</v>
      </c>
      <c r="D1633">
        <v>1.0964671180865599</v>
      </c>
      <c r="E1633">
        <v>1.09466887620897</v>
      </c>
      <c r="F1633">
        <v>1.18224417374025</v>
      </c>
      <c r="G1633">
        <v>0.87666239896192899</v>
      </c>
      <c r="H1633">
        <v>0.79676063200255198</v>
      </c>
      <c r="I1633">
        <v>0.82788046667082305</v>
      </c>
      <c r="J1633">
        <v>0.94249444543986705</v>
      </c>
      <c r="K1633">
        <v>0.92908363263938198</v>
      </c>
      <c r="L1633">
        <v>14030.287014513</v>
      </c>
      <c r="M1633">
        <v>250</v>
      </c>
      <c r="O1633">
        <v>56.117554904894</v>
      </c>
      <c r="P1633">
        <v>-0.14027042888812399</v>
      </c>
      <c r="Q1633">
        <v>0.87405386025426202</v>
      </c>
      <c r="R1633">
        <v>0.51640435973960996</v>
      </c>
      <c r="S1633" t="s">
        <v>6373</v>
      </c>
      <c r="T1633" t="s">
        <v>9478</v>
      </c>
      <c r="U1633" t="s">
        <v>9478</v>
      </c>
      <c r="V1633" t="s">
        <v>9478</v>
      </c>
      <c r="W1633">
        <v>6</v>
      </c>
      <c r="X1633" t="s">
        <v>11111</v>
      </c>
      <c r="Y1633">
        <v>0.94174614378159127</v>
      </c>
      <c r="Z1633" t="str">
        <f>HYPERLINK("Melting_Curves/meltCurve_sp_Q01105_SET_HUMAN_.pdf", "Melting_Curves/meltCurve_sp_Q01105_SET_HUMAN_.pdf")</f>
        <v>Melting_Curves/meltCurve_sp_Q01105_SET_HUMAN_.pdf</v>
      </c>
      <c r="AA1633" t="s">
        <v>15824</v>
      </c>
      <c r="AB1633" t="s">
        <v>20467</v>
      </c>
    </row>
    <row r="1634" spans="1:28" x14ac:dyDescent="0.25">
      <c r="A1634" t="s">
        <v>1638</v>
      </c>
      <c r="B1634">
        <v>0.99904790336628502</v>
      </c>
      <c r="C1634">
        <v>0.99765247911311805</v>
      </c>
      <c r="D1634">
        <v>1.0351428634211199</v>
      </c>
      <c r="E1634">
        <v>1.0230194001320301</v>
      </c>
      <c r="F1634">
        <v>0.89331435272777104</v>
      </c>
      <c r="G1634">
        <v>0.79181135231267896</v>
      </c>
      <c r="H1634">
        <v>0.55886526270046299</v>
      </c>
      <c r="I1634">
        <v>0.18769025942600101</v>
      </c>
      <c r="J1634">
        <v>5.80249242663314E-2</v>
      </c>
      <c r="K1634">
        <v>5.3258642859198402E-2</v>
      </c>
      <c r="L1634">
        <v>1446.6609221153601</v>
      </c>
      <c r="M1634">
        <v>23.788106235500901</v>
      </c>
      <c r="N1634">
        <v>60.814446831572504</v>
      </c>
      <c r="O1634">
        <v>60.389581699228899</v>
      </c>
      <c r="P1634">
        <v>-9.8479305640294806E-2</v>
      </c>
      <c r="Q1634">
        <v>0</v>
      </c>
      <c r="R1634">
        <v>0.987224011131421</v>
      </c>
      <c r="S1634" t="s">
        <v>6374</v>
      </c>
      <c r="T1634" t="s">
        <v>9478</v>
      </c>
      <c r="U1634" t="s">
        <v>9478</v>
      </c>
      <c r="V1634" t="s">
        <v>9478</v>
      </c>
      <c r="W1634">
        <v>26</v>
      </c>
      <c r="X1634" t="s">
        <v>11112</v>
      </c>
      <c r="Y1634">
        <v>0.70047091997274646</v>
      </c>
      <c r="Z1634" t="str">
        <f>HYPERLINK("Melting_Curves/meltCurve_sp_Q01433_2_AMPD2_HUMAN_.pdf", "Melting_Curves/meltCurve_sp_Q01433_2_AMPD2_HUMAN_.pdf")</f>
        <v>Melting_Curves/meltCurve_sp_Q01433_2_AMPD2_HUMAN_.pdf</v>
      </c>
      <c r="AA1634" t="s">
        <v>15825</v>
      </c>
      <c r="AB1634" t="s">
        <v>20468</v>
      </c>
    </row>
    <row r="1635" spans="1:28" x14ac:dyDescent="0.25">
      <c r="A1635" t="s">
        <v>1639</v>
      </c>
      <c r="B1635">
        <v>0.99904790336628502</v>
      </c>
      <c r="C1635">
        <v>0.86268140515064695</v>
      </c>
      <c r="D1635">
        <v>0.85725001000395895</v>
      </c>
      <c r="E1635">
        <v>0.78256298561860405</v>
      </c>
      <c r="F1635">
        <v>0.64024374894724301</v>
      </c>
      <c r="G1635">
        <v>0.42316243770899797</v>
      </c>
      <c r="H1635">
        <v>0.45786574110219602</v>
      </c>
      <c r="I1635">
        <v>0.308767134392187</v>
      </c>
      <c r="J1635">
        <v>0.35432873428189199</v>
      </c>
      <c r="K1635">
        <v>0.36992894545904897</v>
      </c>
      <c r="L1635">
        <v>570.94095269704803</v>
      </c>
      <c r="M1635">
        <v>10.932518380041101</v>
      </c>
      <c r="N1635">
        <v>56.7085726200906</v>
      </c>
      <c r="O1635">
        <v>50.5679199807199</v>
      </c>
      <c r="P1635">
        <v>-3.8421532283839099E-2</v>
      </c>
      <c r="Q1635">
        <v>0.289376358512619</v>
      </c>
      <c r="R1635">
        <v>0.96087657094992096</v>
      </c>
      <c r="S1635" t="s">
        <v>6375</v>
      </c>
      <c r="T1635" t="s">
        <v>9478</v>
      </c>
      <c r="U1635" t="s">
        <v>9478</v>
      </c>
      <c r="V1635" t="s">
        <v>9478</v>
      </c>
      <c r="W1635">
        <v>5</v>
      </c>
      <c r="X1635" t="s">
        <v>11113</v>
      </c>
      <c r="Y1635">
        <v>0.6028752721386329</v>
      </c>
      <c r="Z1635" t="str">
        <f>HYPERLINK("Melting_Curves/meltCurve_sp_Q01459_DIAC_HUMAN_.pdf", "Melting_Curves/meltCurve_sp_Q01459_DIAC_HUMAN_.pdf")</f>
        <v>Melting_Curves/meltCurve_sp_Q01459_DIAC_HUMAN_.pdf</v>
      </c>
      <c r="AA1635" t="s">
        <v>15826</v>
      </c>
      <c r="AB1635" t="s">
        <v>20469</v>
      </c>
    </row>
    <row r="1636" spans="1:28" x14ac:dyDescent="0.25">
      <c r="A1636" t="s">
        <v>1640</v>
      </c>
      <c r="B1636">
        <v>0.99904790336628502</v>
      </c>
      <c r="C1636">
        <v>1.0120696167143799</v>
      </c>
      <c r="D1636">
        <v>0.97295178706868901</v>
      </c>
      <c r="E1636">
        <v>0.97461932278465002</v>
      </c>
      <c r="F1636">
        <v>1.0291626696051099</v>
      </c>
      <c r="G1636">
        <v>1.2359570373746001</v>
      </c>
      <c r="H1636">
        <v>0.63489332287515499</v>
      </c>
      <c r="I1636">
        <v>0.51100254780650001</v>
      </c>
      <c r="J1636">
        <v>0.43577791620675899</v>
      </c>
      <c r="K1636">
        <v>0.38500535392281099</v>
      </c>
      <c r="L1636">
        <v>7726.5310409292597</v>
      </c>
      <c r="M1636">
        <v>127.30493466553899</v>
      </c>
      <c r="N1636">
        <v>61.750806237076098</v>
      </c>
      <c r="O1636">
        <v>60.678110431357098</v>
      </c>
      <c r="P1636">
        <v>-0.291883728398456</v>
      </c>
      <c r="Q1636">
        <v>0.44351074174414301</v>
      </c>
      <c r="R1636">
        <v>0.91739396356049197</v>
      </c>
      <c r="S1636" t="s">
        <v>6376</v>
      </c>
      <c r="T1636" t="s">
        <v>9478</v>
      </c>
      <c r="U1636" t="s">
        <v>9478</v>
      </c>
      <c r="V1636" t="s">
        <v>9478</v>
      </c>
      <c r="W1636">
        <v>5</v>
      </c>
      <c r="X1636" t="s">
        <v>11114</v>
      </c>
      <c r="Y1636">
        <v>0.8275890594387304</v>
      </c>
      <c r="Z1636" t="str">
        <f>HYPERLINK("Melting_Curves/meltCurve_sp_Q01469_FABP5_HUMAN_.pdf", "Melting_Curves/meltCurve_sp_Q01469_FABP5_HUMAN_.pdf")</f>
        <v>Melting_Curves/meltCurve_sp_Q01469_FABP5_HUMAN_.pdf</v>
      </c>
      <c r="AA1636" t="s">
        <v>15827</v>
      </c>
      <c r="AB1636" t="s">
        <v>20470</v>
      </c>
    </row>
    <row r="1637" spans="1:28" x14ac:dyDescent="0.25">
      <c r="A1637" t="s">
        <v>1641</v>
      </c>
      <c r="B1637">
        <v>0.99904790336628502</v>
      </c>
      <c r="C1637">
        <v>1.04722161333899</v>
      </c>
      <c r="D1637">
        <v>1.07971120350389</v>
      </c>
      <c r="E1637">
        <v>0.99905282742785195</v>
      </c>
      <c r="F1637">
        <v>0.69738059389819795</v>
      </c>
      <c r="G1637">
        <v>0.20798709374695201</v>
      </c>
      <c r="H1637">
        <v>7.8337507990336994E-2</v>
      </c>
      <c r="I1637">
        <v>4.63441820665383E-2</v>
      </c>
      <c r="J1637">
        <v>3.9775716416106999E-2</v>
      </c>
      <c r="K1637">
        <v>3.4709424121741599E-2</v>
      </c>
      <c r="L1637">
        <v>1908.0444918743301</v>
      </c>
      <c r="M1637">
        <v>35.141519929618099</v>
      </c>
      <c r="N1637">
        <v>54.441578145565202</v>
      </c>
      <c r="O1637">
        <v>54.121095289970903</v>
      </c>
      <c r="P1637">
        <v>-0.15504990208001199</v>
      </c>
      <c r="Q1637">
        <v>4.4840328107816602E-2</v>
      </c>
      <c r="R1637">
        <v>0.99439010316573795</v>
      </c>
      <c r="S1637" t="s">
        <v>6377</v>
      </c>
      <c r="T1637" t="s">
        <v>9478</v>
      </c>
      <c r="U1637" t="s">
        <v>9478</v>
      </c>
      <c r="V1637" t="s">
        <v>9478</v>
      </c>
      <c r="W1637">
        <v>27</v>
      </c>
      <c r="X1637" t="s">
        <v>11115</v>
      </c>
      <c r="Y1637">
        <v>0.50463117640989319</v>
      </c>
      <c r="Z1637" t="str">
        <f>HYPERLINK("Melting_Curves/meltCurve_sp_Q01518_2_CAP1_HUMAN_.pdf", "Melting_Curves/meltCurve_sp_Q01518_2_CAP1_HUMAN_.pdf")</f>
        <v>Melting_Curves/meltCurve_sp_Q01518_2_CAP1_HUMAN_.pdf</v>
      </c>
      <c r="AA1637" t="s">
        <v>15828</v>
      </c>
      <c r="AB1637" t="s">
        <v>20471</v>
      </c>
    </row>
    <row r="1638" spans="1:28" x14ac:dyDescent="0.25">
      <c r="A1638" t="s">
        <v>1642</v>
      </c>
      <c r="B1638">
        <v>0.99904790336628502</v>
      </c>
      <c r="C1638">
        <v>0.96678595254527699</v>
      </c>
      <c r="D1638">
        <v>1.0314932656398501</v>
      </c>
      <c r="E1638">
        <v>0.93472552215013105</v>
      </c>
      <c r="F1638">
        <v>0.57852272806123195</v>
      </c>
      <c r="G1638">
        <v>0.14762260135723401</v>
      </c>
      <c r="H1638">
        <v>6.2874560702637902E-2</v>
      </c>
      <c r="I1638">
        <v>3.7825395573287297E-2</v>
      </c>
      <c r="J1638">
        <v>2.8193401266946201E-2</v>
      </c>
      <c r="K1638">
        <v>2.4294016543564601E-2</v>
      </c>
      <c r="L1638">
        <v>1842.1449733766401</v>
      </c>
      <c r="M1638">
        <v>34.459598345068102</v>
      </c>
      <c r="N1638">
        <v>53.572389767798597</v>
      </c>
      <c r="O1638">
        <v>53.279034278632302</v>
      </c>
      <c r="P1638">
        <v>-0.155964673134115</v>
      </c>
      <c r="Q1638">
        <v>3.5436615514362099E-2</v>
      </c>
      <c r="R1638">
        <v>0.99832994112095197</v>
      </c>
      <c r="S1638" t="s">
        <v>6378</v>
      </c>
      <c r="T1638" t="s">
        <v>9478</v>
      </c>
      <c r="U1638" t="s">
        <v>9478</v>
      </c>
      <c r="V1638" t="s">
        <v>9478</v>
      </c>
      <c r="W1638">
        <v>20</v>
      </c>
      <c r="X1638" t="s">
        <v>11116</v>
      </c>
      <c r="Y1638">
        <v>0.47293535911873008</v>
      </c>
      <c r="Z1638" t="str">
        <f>HYPERLINK("Melting_Curves/meltCurve_sp_Q01581_HMCS1_HUMAN_.pdf", "Melting_Curves/meltCurve_sp_Q01581_HMCS1_HUMAN_.pdf")</f>
        <v>Melting_Curves/meltCurve_sp_Q01581_HMCS1_HUMAN_.pdf</v>
      </c>
      <c r="AA1638" t="s">
        <v>15829</v>
      </c>
      <c r="AB1638" t="s">
        <v>20472</v>
      </c>
    </row>
    <row r="1639" spans="1:28" x14ac:dyDescent="0.25">
      <c r="A1639" t="s">
        <v>1643</v>
      </c>
      <c r="B1639">
        <v>0.99904790336628502</v>
      </c>
      <c r="C1639">
        <v>0.98442445784196997</v>
      </c>
      <c r="D1639">
        <v>0.964723131471387</v>
      </c>
      <c r="E1639">
        <v>0.91782692382435305</v>
      </c>
      <c r="F1639">
        <v>1.0517110845791899</v>
      </c>
      <c r="G1639">
        <v>0.700007228107007</v>
      </c>
      <c r="H1639">
        <v>0.64411252671554997</v>
      </c>
      <c r="I1639">
        <v>0.57820815163252404</v>
      </c>
      <c r="J1639">
        <v>0.66866880181330801</v>
      </c>
      <c r="K1639">
        <v>0.707718813298153</v>
      </c>
      <c r="L1639">
        <v>14148.246253555501</v>
      </c>
      <c r="M1639">
        <v>250</v>
      </c>
      <c r="O1639">
        <v>56.5893634356406</v>
      </c>
      <c r="P1639">
        <v>-0.38691340411867398</v>
      </c>
      <c r="Q1639">
        <v>0.64967706849191098</v>
      </c>
      <c r="R1639">
        <v>0.92999191870866604</v>
      </c>
      <c r="S1639" t="s">
        <v>6379</v>
      </c>
      <c r="T1639" t="s">
        <v>9478</v>
      </c>
      <c r="U1639" t="s">
        <v>9478</v>
      </c>
      <c r="V1639" t="s">
        <v>9478</v>
      </c>
      <c r="W1639">
        <v>2</v>
      </c>
      <c r="X1639" t="s">
        <v>11117</v>
      </c>
      <c r="Y1639">
        <v>0.84347530091991219</v>
      </c>
      <c r="Z1639" t="str">
        <f>HYPERLINK("Melting_Curves/meltCurve_sp_Q01658_NC2B_HUMAN_.pdf", "Melting_Curves/meltCurve_sp_Q01658_NC2B_HUMAN_.pdf")</f>
        <v>Melting_Curves/meltCurve_sp_Q01658_NC2B_HUMAN_.pdf</v>
      </c>
      <c r="AA1639" t="s">
        <v>15830</v>
      </c>
      <c r="AB1639" t="s">
        <v>20473</v>
      </c>
    </row>
    <row r="1640" spans="1:28" x14ac:dyDescent="0.25">
      <c r="A1640" t="s">
        <v>1644</v>
      </c>
      <c r="B1640">
        <v>0.99904790336628502</v>
      </c>
      <c r="C1640">
        <v>1.0950935448765899</v>
      </c>
      <c r="D1640">
        <v>0.96948705933350399</v>
      </c>
      <c r="E1640">
        <v>0.94726018915121202</v>
      </c>
      <c r="F1640">
        <v>0.88809036737692804</v>
      </c>
      <c r="G1640">
        <v>0.50593431410551903</v>
      </c>
      <c r="H1640">
        <v>0.390546698438336</v>
      </c>
      <c r="I1640">
        <v>0.65913962297513395</v>
      </c>
      <c r="J1640">
        <v>0.55911344148208597</v>
      </c>
      <c r="K1640">
        <v>0.68214239258862297</v>
      </c>
      <c r="L1640">
        <v>12114.0232207238</v>
      </c>
      <c r="M1640">
        <v>227.48897864780099</v>
      </c>
      <c r="O1640">
        <v>53.246918100171698</v>
      </c>
      <c r="P1640">
        <v>-0.47062474427831003</v>
      </c>
      <c r="Q1640">
        <v>0.559375275019939</v>
      </c>
      <c r="R1640">
        <v>0.86742249653145498</v>
      </c>
      <c r="S1640" t="s">
        <v>6380</v>
      </c>
      <c r="T1640" t="s">
        <v>9478</v>
      </c>
      <c r="U1640" t="s">
        <v>9478</v>
      </c>
      <c r="V1640" t="s">
        <v>9478</v>
      </c>
      <c r="W1640">
        <v>5</v>
      </c>
      <c r="X1640" t="s">
        <v>11118</v>
      </c>
      <c r="Y1640">
        <v>0.75404944148332409</v>
      </c>
      <c r="Z1640" t="str">
        <f>HYPERLINK("Melting_Curves/meltCurve_sp_Q01804_OTUD4_HUMAN_.pdf", "Melting_Curves/meltCurve_sp_Q01804_OTUD4_HUMAN_.pdf")</f>
        <v>Melting_Curves/meltCurve_sp_Q01804_OTUD4_HUMAN_.pdf</v>
      </c>
      <c r="AA1640" t="s">
        <v>15831</v>
      </c>
      <c r="AB1640" t="s">
        <v>20474</v>
      </c>
    </row>
    <row r="1641" spans="1:28" x14ac:dyDescent="0.25">
      <c r="A1641" t="s">
        <v>1645</v>
      </c>
      <c r="B1641">
        <v>0.99904790336628502</v>
      </c>
      <c r="C1641">
        <v>0.84241574786428597</v>
      </c>
      <c r="D1641">
        <v>0.88044997455826002</v>
      </c>
      <c r="E1641">
        <v>0.71411254903629295</v>
      </c>
      <c r="F1641">
        <v>0.74365047304105003</v>
      </c>
      <c r="G1641">
        <v>0.459883898094752</v>
      </c>
      <c r="H1641">
        <v>0.35206909609139603</v>
      </c>
      <c r="I1641">
        <v>0.23791194011899999</v>
      </c>
      <c r="J1641">
        <v>0.15494579179985099</v>
      </c>
      <c r="K1641">
        <v>6.9478402487960597E-2</v>
      </c>
      <c r="L1641">
        <v>539.17670441907899</v>
      </c>
      <c r="M1641">
        <v>9.5796188109338907</v>
      </c>
      <c r="N1641">
        <v>56.283713864290803</v>
      </c>
      <c r="O1641">
        <v>53.994967859419503</v>
      </c>
      <c r="P1641">
        <v>-4.43796220208253E-2</v>
      </c>
      <c r="Q1641">
        <v>0</v>
      </c>
      <c r="R1641">
        <v>0.96876526060336199</v>
      </c>
      <c r="S1641" t="s">
        <v>6381</v>
      </c>
      <c r="T1641" t="s">
        <v>9478</v>
      </c>
      <c r="U1641" t="s">
        <v>9478</v>
      </c>
      <c r="V1641" t="s">
        <v>9478</v>
      </c>
      <c r="W1641">
        <v>4</v>
      </c>
      <c r="X1641" t="s">
        <v>11119</v>
      </c>
      <c r="Y1641">
        <v>0.56225594116584121</v>
      </c>
      <c r="Z1641" t="str">
        <f>HYPERLINK("Melting_Curves/meltCurve_sp_Q01813_K6PP_HUMAN_.pdf", "Melting_Curves/meltCurve_sp_Q01813_K6PP_HUMAN_.pdf")</f>
        <v>Melting_Curves/meltCurve_sp_Q01813_K6PP_HUMAN_.pdf</v>
      </c>
      <c r="AA1641" t="s">
        <v>15832</v>
      </c>
      <c r="AB1641" t="s">
        <v>20475</v>
      </c>
    </row>
    <row r="1642" spans="1:28" x14ac:dyDescent="0.25">
      <c r="A1642" t="s">
        <v>1646</v>
      </c>
      <c r="B1642">
        <v>0.99904790336628502</v>
      </c>
      <c r="C1642">
        <v>0.967556501216711</v>
      </c>
      <c r="D1642">
        <v>0.97357595312338796</v>
      </c>
      <c r="E1642">
        <v>1.0157376771969999</v>
      </c>
      <c r="F1642">
        <v>0.97073175988759497</v>
      </c>
      <c r="G1642">
        <v>0.87323466245052295</v>
      </c>
      <c r="H1642">
        <v>0.75152099066038403</v>
      </c>
      <c r="I1642">
        <v>0.749997191309698</v>
      </c>
      <c r="J1642">
        <v>0.74893528191966197</v>
      </c>
      <c r="K1642">
        <v>0.72385115557317103</v>
      </c>
      <c r="L1642">
        <v>1924.8277891553901</v>
      </c>
      <c r="M1642">
        <v>33.758893646006797</v>
      </c>
      <c r="O1642">
        <v>56.817954064580398</v>
      </c>
      <c r="P1642">
        <v>-3.9292786085856998E-2</v>
      </c>
      <c r="Q1642">
        <v>0.73547395918810998</v>
      </c>
      <c r="R1642">
        <v>0.979913332189007</v>
      </c>
      <c r="S1642" t="s">
        <v>6382</v>
      </c>
      <c r="T1642" t="s">
        <v>9478</v>
      </c>
      <c r="U1642" t="s">
        <v>9478</v>
      </c>
      <c r="V1642" t="s">
        <v>9478</v>
      </c>
      <c r="W1642">
        <v>7</v>
      </c>
      <c r="X1642" t="s">
        <v>11120</v>
      </c>
      <c r="Y1642">
        <v>0.88694422619388946</v>
      </c>
      <c r="Z1642" t="str">
        <f>HYPERLINK("Melting_Curves/meltCurve_sp_Q01844_6_EWS_HUMAN_.pdf", "Melting_Curves/meltCurve_sp_Q01844_6_EWS_HUMAN_.pdf")</f>
        <v>Melting_Curves/meltCurve_sp_Q01844_6_EWS_HUMAN_.pdf</v>
      </c>
      <c r="AA1642" t="s">
        <v>15833</v>
      </c>
      <c r="AB1642" t="s">
        <v>20476</v>
      </c>
    </row>
    <row r="1643" spans="1:28" x14ac:dyDescent="0.25">
      <c r="A1643" t="s">
        <v>1647</v>
      </c>
      <c r="B1643">
        <v>0.99904790336628502</v>
      </c>
      <c r="C1643">
        <v>0.94260762246760099</v>
      </c>
      <c r="D1643">
        <v>0.832897146691568</v>
      </c>
      <c r="E1643">
        <v>0.84082900859551701</v>
      </c>
      <c r="F1643">
        <v>0.83394093684991799</v>
      </c>
      <c r="G1643">
        <v>0.52446649407639301</v>
      </c>
      <c r="H1643">
        <v>0.49765540710976403</v>
      </c>
      <c r="I1643">
        <v>0.40049458245962699</v>
      </c>
      <c r="J1643">
        <v>0.38837631560670199</v>
      </c>
      <c r="K1643">
        <v>0.37532691072604402</v>
      </c>
      <c r="L1643">
        <v>535.79395798219696</v>
      </c>
      <c r="M1643">
        <v>9.5514412948467502</v>
      </c>
      <c r="N1643">
        <v>60.595140610232001</v>
      </c>
      <c r="O1643">
        <v>53.801936843566203</v>
      </c>
      <c r="P1643">
        <v>-3.3128786054277902E-2</v>
      </c>
      <c r="Q1643">
        <v>0.253992974108671</v>
      </c>
      <c r="R1643">
        <v>0.95240989366301598</v>
      </c>
      <c r="S1643" t="s">
        <v>6383</v>
      </c>
      <c r="T1643" t="s">
        <v>9478</v>
      </c>
      <c r="U1643" t="s">
        <v>9478</v>
      </c>
      <c r="V1643" t="s">
        <v>9478</v>
      </c>
      <c r="W1643">
        <v>3</v>
      </c>
      <c r="X1643" t="s">
        <v>11121</v>
      </c>
      <c r="Y1643">
        <v>0.66953665517990046</v>
      </c>
      <c r="Z1643" t="str">
        <f>HYPERLINK("Melting_Curves/meltCurve_sp_Q01968_2_OCRL_HUMAN_.pdf", "Melting_Curves/meltCurve_sp_Q01968_2_OCRL_HUMAN_.pdf")</f>
        <v>Melting_Curves/meltCurve_sp_Q01968_2_OCRL_HUMAN_.pdf</v>
      </c>
      <c r="AA1643" t="s">
        <v>15834</v>
      </c>
      <c r="AB1643" t="s">
        <v>20477</v>
      </c>
    </row>
    <row r="1644" spans="1:28" x14ac:dyDescent="0.25">
      <c r="A1644" t="s">
        <v>1648</v>
      </c>
      <c r="B1644">
        <v>0.99904790336628502</v>
      </c>
      <c r="C1644">
        <v>0.75561496299084796</v>
      </c>
      <c r="D1644">
        <v>0.72286351313209296</v>
      </c>
      <c r="E1644">
        <v>0.63616945750739096</v>
      </c>
      <c r="F1644">
        <v>0.29934859112731599</v>
      </c>
      <c r="G1644">
        <v>8.5760042178981893E-2</v>
      </c>
      <c r="H1644">
        <v>3.3712402453904701E-2</v>
      </c>
      <c r="I1644">
        <v>0</v>
      </c>
      <c r="J1644">
        <v>0</v>
      </c>
      <c r="K1644">
        <v>0</v>
      </c>
      <c r="L1644">
        <v>683.94016851924005</v>
      </c>
      <c r="M1644">
        <v>13.708947979701399</v>
      </c>
      <c r="N1644">
        <v>49.890054489139601</v>
      </c>
      <c r="O1644">
        <v>48.864391064536903</v>
      </c>
      <c r="P1644">
        <v>-7.0147794840036595E-2</v>
      </c>
      <c r="Q1644">
        <v>0</v>
      </c>
      <c r="R1644">
        <v>0.95935623762767497</v>
      </c>
      <c r="S1644" t="s">
        <v>6384</v>
      </c>
      <c r="T1644" t="s">
        <v>9478</v>
      </c>
      <c r="U1644" t="s">
        <v>9478</v>
      </c>
      <c r="V1644" t="s">
        <v>9478</v>
      </c>
      <c r="W1644">
        <v>1</v>
      </c>
      <c r="X1644" t="s">
        <v>11122</v>
      </c>
      <c r="Y1644">
        <v>0.35767058228822862</v>
      </c>
      <c r="Z1644" t="str">
        <f>HYPERLINK("Melting_Curves/meltCurve_sp_Q01970_2_PLCB3_HUMAN_.pdf", "Melting_Curves/meltCurve_sp_Q01970_2_PLCB3_HUMAN_.pdf")</f>
        <v>Melting_Curves/meltCurve_sp_Q01970_2_PLCB3_HUMAN_.pdf</v>
      </c>
      <c r="AA1644" t="s">
        <v>15835</v>
      </c>
      <c r="AB1644" t="s">
        <v>20478</v>
      </c>
    </row>
    <row r="1645" spans="1:28" x14ac:dyDescent="0.25">
      <c r="A1645" t="s">
        <v>1649</v>
      </c>
      <c r="B1645">
        <v>0.99904790336628502</v>
      </c>
      <c r="C1645">
        <v>1.0162526361249999</v>
      </c>
      <c r="D1645">
        <v>0.99115480350859597</v>
      </c>
      <c r="E1645">
        <v>0.98737141091069303</v>
      </c>
      <c r="F1645">
        <v>0.82189638844996904</v>
      </c>
      <c r="G1645">
        <v>0.56529188494996996</v>
      </c>
      <c r="H1645">
        <v>0.28718470957699999</v>
      </c>
      <c r="I1645">
        <v>0.15400406487875001</v>
      </c>
      <c r="J1645">
        <v>9.89342383378988E-2</v>
      </c>
      <c r="K1645">
        <v>9.1682033131846002E-2</v>
      </c>
      <c r="L1645">
        <v>1139.53027331198</v>
      </c>
      <c r="M1645">
        <v>19.856079052039998</v>
      </c>
      <c r="N1645">
        <v>57.734115803800897</v>
      </c>
      <c r="O1645">
        <v>56.816905164952303</v>
      </c>
      <c r="P1645">
        <v>-8.2488872412386297E-2</v>
      </c>
      <c r="Q1645">
        <v>5.5885027996490103E-2</v>
      </c>
      <c r="R1645">
        <v>0.99829540221850699</v>
      </c>
      <c r="S1645" t="s">
        <v>6385</v>
      </c>
      <c r="T1645" t="s">
        <v>9478</v>
      </c>
      <c r="U1645" t="s">
        <v>9478</v>
      </c>
      <c r="V1645" t="s">
        <v>9478</v>
      </c>
      <c r="W1645">
        <v>9</v>
      </c>
      <c r="X1645" t="s">
        <v>11123</v>
      </c>
      <c r="Y1645">
        <v>0.6144865966785874</v>
      </c>
      <c r="Z1645" t="str">
        <f>HYPERLINK("Melting_Curves/meltCurve_sp_Q02083_2_NAAA_HUMAN_.pdf", "Melting_Curves/meltCurve_sp_Q02083_2_NAAA_HUMAN_.pdf")</f>
        <v>Melting_Curves/meltCurve_sp_Q02083_2_NAAA_HUMAN_.pdf</v>
      </c>
      <c r="AA1645" t="s">
        <v>15836</v>
      </c>
      <c r="AB1645" t="s">
        <v>20479</v>
      </c>
    </row>
    <row r="1646" spans="1:28" x14ac:dyDescent="0.25">
      <c r="A1646" t="s">
        <v>1650</v>
      </c>
      <c r="B1646">
        <v>0.99904790336628502</v>
      </c>
      <c r="C1646">
        <v>1.08458402389279</v>
      </c>
      <c r="D1646">
        <v>1.0323848248665899</v>
      </c>
      <c r="E1646">
        <v>0.896838960027596</v>
      </c>
      <c r="F1646">
        <v>0.85997403505571701</v>
      </c>
      <c r="G1646">
        <v>0.63570313624769703</v>
      </c>
      <c r="H1646">
        <v>0.67924851035465805</v>
      </c>
      <c r="I1646">
        <v>0.71436440955351099</v>
      </c>
      <c r="J1646">
        <v>0.74630617076945704</v>
      </c>
      <c r="K1646">
        <v>0.43800637451373098</v>
      </c>
      <c r="L1646">
        <v>1243.9464301869</v>
      </c>
      <c r="M1646">
        <v>23.363594751299502</v>
      </c>
      <c r="O1646">
        <v>52.857455717194803</v>
      </c>
      <c r="P1646">
        <v>-4.1178773552847298E-2</v>
      </c>
      <c r="Q1646">
        <v>0.62735737812330095</v>
      </c>
      <c r="R1646">
        <v>0.80429848526773395</v>
      </c>
      <c r="S1646" t="s">
        <v>6386</v>
      </c>
      <c r="T1646" t="s">
        <v>9478</v>
      </c>
      <c r="U1646" t="s">
        <v>9478</v>
      </c>
      <c r="V1646" t="s">
        <v>9478</v>
      </c>
      <c r="W1646">
        <v>1</v>
      </c>
      <c r="X1646" t="s">
        <v>11124</v>
      </c>
      <c r="Y1646">
        <v>0.79574645970973223</v>
      </c>
      <c r="Z1646" t="str">
        <f>HYPERLINK("Melting_Curves/meltCurve_sp_Q02086_2_SP2_HUMAN_.pdf", "Melting_Curves/meltCurve_sp_Q02086_2_SP2_HUMAN_.pdf")</f>
        <v>Melting_Curves/meltCurve_sp_Q02086_2_SP2_HUMAN_.pdf</v>
      </c>
      <c r="AA1646" t="s">
        <v>15837</v>
      </c>
      <c r="AB1646" t="s">
        <v>20480</v>
      </c>
    </row>
    <row r="1647" spans="1:28" x14ac:dyDescent="0.25">
      <c r="A1647" t="s">
        <v>1651</v>
      </c>
      <c r="B1647">
        <v>0.99904790336628502</v>
      </c>
      <c r="C1647">
        <v>0.97709641913734901</v>
      </c>
      <c r="D1647">
        <v>0.78261195700405395</v>
      </c>
      <c r="E1647">
        <v>0.45917406401027799</v>
      </c>
      <c r="F1647">
        <v>0.27197717858659098</v>
      </c>
      <c r="G1647">
        <v>0.13154587794841299</v>
      </c>
      <c r="H1647">
        <v>4.5782039795725503E-2</v>
      </c>
      <c r="I1647">
        <v>2.8397002476162898E-2</v>
      </c>
      <c r="J1647">
        <v>2.1928884376714398E-2</v>
      </c>
      <c r="K1647">
        <v>1.88627604061876E-2</v>
      </c>
      <c r="L1647">
        <v>851.69108693774604</v>
      </c>
      <c r="M1647">
        <v>17.167490780753099</v>
      </c>
      <c r="N1647">
        <v>49.695586580079798</v>
      </c>
      <c r="O1647">
        <v>48.952213617547102</v>
      </c>
      <c r="P1647">
        <v>-8.6412913522651499E-2</v>
      </c>
      <c r="Q1647">
        <v>1.44507136847044E-2</v>
      </c>
      <c r="R1647">
        <v>0.99802058952030803</v>
      </c>
      <c r="S1647" t="s">
        <v>6387</v>
      </c>
      <c r="T1647" t="s">
        <v>9478</v>
      </c>
      <c r="U1647" t="s">
        <v>9478</v>
      </c>
      <c r="V1647" t="s">
        <v>9478</v>
      </c>
      <c r="W1647">
        <v>43</v>
      </c>
      <c r="X1647" t="s">
        <v>11125</v>
      </c>
      <c r="Y1647">
        <v>0.34868656180668578</v>
      </c>
      <c r="Z1647" t="str">
        <f>HYPERLINK("Melting_Curves/meltCurve_sp_Q02252_MMSA_HUMAN_.pdf", "Melting_Curves/meltCurve_sp_Q02252_MMSA_HUMAN_.pdf")</f>
        <v>Melting_Curves/meltCurve_sp_Q02252_MMSA_HUMAN_.pdf</v>
      </c>
      <c r="AA1647" t="s">
        <v>15838</v>
      </c>
      <c r="AB1647" t="s">
        <v>20481</v>
      </c>
    </row>
    <row r="1648" spans="1:28" x14ac:dyDescent="0.25">
      <c r="A1648" t="s">
        <v>1652</v>
      </c>
      <c r="B1648">
        <v>0.99904790336628502</v>
      </c>
      <c r="C1648">
        <v>0.84202107458481101</v>
      </c>
      <c r="D1648">
        <v>0.72865315738717096</v>
      </c>
      <c r="E1648">
        <v>0.55585343594757397</v>
      </c>
      <c r="F1648">
        <v>0.39129594881730301</v>
      </c>
      <c r="G1648">
        <v>0.269621837673654</v>
      </c>
      <c r="H1648">
        <v>0.20630647052106499</v>
      </c>
      <c r="I1648">
        <v>8.9515919676652497E-2</v>
      </c>
      <c r="J1648">
        <v>3.92618180073597E-2</v>
      </c>
      <c r="K1648">
        <v>3.8544473705990699E-2</v>
      </c>
      <c r="L1648">
        <v>518.90198522124001</v>
      </c>
      <c r="M1648">
        <v>10.191524974357201</v>
      </c>
      <c r="N1648">
        <v>50.915071759672699</v>
      </c>
      <c r="O1648">
        <v>49.071498820051801</v>
      </c>
      <c r="P1648">
        <v>-5.1945300015124998E-2</v>
      </c>
      <c r="Q1648">
        <v>0</v>
      </c>
      <c r="R1648">
        <v>0.99092864704404005</v>
      </c>
      <c r="S1648" t="s">
        <v>6388</v>
      </c>
      <c r="T1648" t="s">
        <v>9478</v>
      </c>
      <c r="U1648" t="s">
        <v>9478</v>
      </c>
      <c r="V1648" t="s">
        <v>9478</v>
      </c>
      <c r="W1648">
        <v>10</v>
      </c>
      <c r="X1648" t="s">
        <v>11126</v>
      </c>
      <c r="Y1648">
        <v>0.40474409339544209</v>
      </c>
      <c r="Z1648" t="str">
        <f>HYPERLINK("Melting_Curves/meltCurve_sp_Q02318_CP27A_HUMAN_.pdf", "Melting_Curves/meltCurve_sp_Q02318_CP27A_HUMAN_.pdf")</f>
        <v>Melting_Curves/meltCurve_sp_Q02318_CP27A_HUMAN_.pdf</v>
      </c>
      <c r="AA1648" t="s">
        <v>15839</v>
      </c>
      <c r="AB1648" t="s">
        <v>20482</v>
      </c>
    </row>
    <row r="1649" spans="1:28" x14ac:dyDescent="0.25">
      <c r="A1649" t="s">
        <v>1653</v>
      </c>
      <c r="B1649">
        <v>0.99904790336628502</v>
      </c>
      <c r="C1649">
        <v>1.3016119678597899</v>
      </c>
      <c r="D1649">
        <v>1.1819043602846899</v>
      </c>
      <c r="E1649">
        <v>1.1092259681444501</v>
      </c>
      <c r="F1649">
        <v>1.16421112955884</v>
      </c>
      <c r="G1649">
        <v>0.71243674118262401</v>
      </c>
      <c r="H1649">
        <v>0.70090649296397201</v>
      </c>
      <c r="I1649">
        <v>0.82203780581022901</v>
      </c>
      <c r="J1649">
        <v>0.93722864522969795</v>
      </c>
      <c r="K1649">
        <v>0.90547465548606199</v>
      </c>
      <c r="L1649">
        <v>4693.5947201082799</v>
      </c>
      <c r="M1649">
        <v>85.195782445514297</v>
      </c>
      <c r="O1649">
        <v>55.061531667535696</v>
      </c>
      <c r="P1649">
        <v>-7.1176744693847604E-2</v>
      </c>
      <c r="Q1649">
        <v>0.815995568948223</v>
      </c>
      <c r="R1649">
        <v>0.43240344405686298</v>
      </c>
      <c r="S1649" t="s">
        <v>6389</v>
      </c>
      <c r="T1649" t="s">
        <v>9478</v>
      </c>
      <c r="U1649" t="s">
        <v>9478</v>
      </c>
      <c r="V1649" t="s">
        <v>9478</v>
      </c>
      <c r="W1649">
        <v>4</v>
      </c>
      <c r="X1649" t="s">
        <v>11127</v>
      </c>
      <c r="Y1649">
        <v>0.90871469903689528</v>
      </c>
      <c r="Z1649" t="str">
        <f>HYPERLINK("Melting_Curves/meltCurve_sp_Q02325_PLGB_HUMAN_.pdf", "Melting_Curves/meltCurve_sp_Q02325_PLGB_HUMAN_.pdf")</f>
        <v>Melting_Curves/meltCurve_sp_Q02325_PLGB_HUMAN_.pdf</v>
      </c>
      <c r="AA1649" t="s">
        <v>15840</v>
      </c>
      <c r="AB1649" t="s">
        <v>20483</v>
      </c>
    </row>
    <row r="1650" spans="1:28" x14ac:dyDescent="0.25">
      <c r="A1650" t="s">
        <v>1654</v>
      </c>
      <c r="B1650">
        <v>0.99904790336628502</v>
      </c>
      <c r="C1650">
        <v>0.98443905877800697</v>
      </c>
      <c r="D1650">
        <v>1.0247850657859701</v>
      </c>
      <c r="E1650">
        <v>0.86508457659346605</v>
      </c>
      <c r="F1650">
        <v>0.79175981535234996</v>
      </c>
      <c r="G1650">
        <v>0.45903490051652401</v>
      </c>
      <c r="H1650">
        <v>0.26144384133880599</v>
      </c>
      <c r="I1650">
        <v>0.21097265676879001</v>
      </c>
      <c r="J1650">
        <v>0.194235009821138</v>
      </c>
      <c r="K1650">
        <v>0.16773986314567399</v>
      </c>
      <c r="L1650">
        <v>1121.8326043437801</v>
      </c>
      <c r="M1650">
        <v>20.240775218803702</v>
      </c>
      <c r="N1650">
        <v>56.485523043897501</v>
      </c>
      <c r="O1650">
        <v>54.891897687501299</v>
      </c>
      <c r="P1650">
        <v>-7.7607922435542903E-2</v>
      </c>
      <c r="Q1650">
        <v>0.15815204362563801</v>
      </c>
      <c r="R1650">
        <v>0.995614781856349</v>
      </c>
      <c r="S1650" t="s">
        <v>6390</v>
      </c>
      <c r="T1650" t="s">
        <v>9478</v>
      </c>
      <c r="U1650" t="s">
        <v>9478</v>
      </c>
      <c r="V1650" t="s">
        <v>9478</v>
      </c>
      <c r="W1650">
        <v>5</v>
      </c>
      <c r="X1650" t="s">
        <v>11128</v>
      </c>
      <c r="Y1650">
        <v>0.60186704212226216</v>
      </c>
      <c r="Z1650" t="str">
        <f>HYPERLINK("Melting_Curves/meltCurve_sp_Q02410_APBA1_HUMAN_.pdf", "Melting_Curves/meltCurve_sp_Q02410_APBA1_HUMAN_.pdf")</f>
        <v>Melting_Curves/meltCurve_sp_Q02410_APBA1_HUMAN_.pdf</v>
      </c>
      <c r="AA1650" t="s">
        <v>15841</v>
      </c>
      <c r="AB1650" t="s">
        <v>20484</v>
      </c>
    </row>
    <row r="1651" spans="1:28" x14ac:dyDescent="0.25">
      <c r="A1651" t="s">
        <v>1655</v>
      </c>
      <c r="B1651">
        <v>0.99904790336628502</v>
      </c>
      <c r="C1651">
        <v>0.74759178844744201</v>
      </c>
      <c r="D1651">
        <v>0.85101893609788204</v>
      </c>
      <c r="E1651">
        <v>1.38554091857476</v>
      </c>
      <c r="F1651">
        <v>0.44695037931214898</v>
      </c>
      <c r="G1651">
        <v>1.23153636298813</v>
      </c>
      <c r="H1651">
        <v>0.200354922554635</v>
      </c>
      <c r="I1651">
        <v>0.21067182527225001</v>
      </c>
      <c r="J1651">
        <v>0.123573485903199</v>
      </c>
      <c r="K1651">
        <v>0.24941275294399501</v>
      </c>
      <c r="L1651">
        <v>14951.6074901515</v>
      </c>
      <c r="M1651">
        <v>250</v>
      </c>
      <c r="N1651">
        <v>59.9245420525668</v>
      </c>
      <c r="O1651">
        <v>59.802602783658998</v>
      </c>
      <c r="P1651">
        <v>-0.841828990318509</v>
      </c>
      <c r="Q1651">
        <v>0.19450296593782199</v>
      </c>
      <c r="R1651">
        <v>0.68705105788335497</v>
      </c>
      <c r="S1651" t="s">
        <v>6391</v>
      </c>
      <c r="T1651" t="s">
        <v>9478</v>
      </c>
      <c r="U1651" t="s">
        <v>9478</v>
      </c>
      <c r="V1651" t="s">
        <v>9478</v>
      </c>
      <c r="W1651">
        <v>3</v>
      </c>
      <c r="X1651" t="s">
        <v>11129</v>
      </c>
      <c r="Y1651">
        <v>0.72638819667360788</v>
      </c>
      <c r="Z1651" t="str">
        <f>HYPERLINK("Melting_Curves/meltCurve_sp_Q02413_DSG1_HUMAN_.pdf", "Melting_Curves/meltCurve_sp_Q02413_DSG1_HUMAN_.pdf")</f>
        <v>Melting_Curves/meltCurve_sp_Q02413_DSG1_HUMAN_.pdf</v>
      </c>
      <c r="AA1651" t="s">
        <v>15842</v>
      </c>
      <c r="AB1651" t="s">
        <v>20485</v>
      </c>
    </row>
    <row r="1652" spans="1:28" x14ac:dyDescent="0.25">
      <c r="A1652" t="s">
        <v>1656</v>
      </c>
      <c r="B1652">
        <v>0.99904790336628502</v>
      </c>
      <c r="C1652">
        <v>1.55346538042277</v>
      </c>
      <c r="D1652">
        <v>1.3133940435314599</v>
      </c>
      <c r="E1652">
        <v>1.16187906898621</v>
      </c>
      <c r="F1652">
        <v>0.77922122195182797</v>
      </c>
      <c r="G1652">
        <v>0.51601228963202495</v>
      </c>
      <c r="H1652">
        <v>0.29352115982469001</v>
      </c>
      <c r="I1652">
        <v>0.42949472143620998</v>
      </c>
      <c r="J1652">
        <v>0.258951862160122</v>
      </c>
      <c r="K1652">
        <v>0.377348911041059</v>
      </c>
      <c r="L1652">
        <v>1989.4980586258901</v>
      </c>
      <c r="M1652">
        <v>36.345976372517903</v>
      </c>
      <c r="N1652">
        <v>56.533583268374301</v>
      </c>
      <c r="O1652">
        <v>54.572871478881403</v>
      </c>
      <c r="P1652">
        <v>-0.10949231142343201</v>
      </c>
      <c r="Q1652">
        <v>0.34239857938899598</v>
      </c>
      <c r="R1652">
        <v>0.760319176611013</v>
      </c>
      <c r="S1652" t="s">
        <v>6392</v>
      </c>
      <c r="T1652" t="s">
        <v>9478</v>
      </c>
      <c r="U1652" t="s">
        <v>9478</v>
      </c>
      <c r="V1652" t="s">
        <v>9478</v>
      </c>
      <c r="W1652">
        <v>1</v>
      </c>
      <c r="X1652" t="s">
        <v>11130</v>
      </c>
      <c r="Y1652">
        <v>0.66845049297638848</v>
      </c>
      <c r="Z1652" t="str">
        <f>HYPERLINK("Melting_Curves/meltCurve_sp_Q02447_4_SP3_HUMAN_.pdf", "Melting_Curves/meltCurve_sp_Q02447_4_SP3_HUMAN_.pdf")</f>
        <v>Melting_Curves/meltCurve_sp_Q02447_4_SP3_HUMAN_.pdf</v>
      </c>
      <c r="AA1652" t="s">
        <v>15843</v>
      </c>
      <c r="AB1652" t="s">
        <v>20486</v>
      </c>
    </row>
    <row r="1653" spans="1:28" x14ac:dyDescent="0.25">
      <c r="A1653" t="s">
        <v>1657</v>
      </c>
      <c r="B1653">
        <v>0.99904790336628502</v>
      </c>
      <c r="C1653">
        <v>1.2025771983668101</v>
      </c>
      <c r="D1653">
        <v>1.14139972686838</v>
      </c>
      <c r="E1653">
        <v>1.11679857542371</v>
      </c>
      <c r="F1653">
        <v>1.0371236443001901</v>
      </c>
      <c r="G1653">
        <v>0.88174141905682601</v>
      </c>
      <c r="H1653">
        <v>0.71199485823270103</v>
      </c>
      <c r="I1653">
        <v>0.731565294455094</v>
      </c>
      <c r="J1653">
        <v>0.75240991083050301</v>
      </c>
      <c r="K1653">
        <v>0.520735988925624</v>
      </c>
      <c r="L1653">
        <v>1429.66614319681</v>
      </c>
      <c r="M1653">
        <v>24.0552645064</v>
      </c>
      <c r="O1653">
        <v>59.026389628589698</v>
      </c>
      <c r="P1653">
        <v>-3.8239362654267597E-2</v>
      </c>
      <c r="Q1653">
        <v>0.62468143642978502</v>
      </c>
      <c r="R1653">
        <v>0.76328810714073603</v>
      </c>
      <c r="S1653" t="s">
        <v>6393</v>
      </c>
      <c r="T1653" t="s">
        <v>9478</v>
      </c>
      <c r="U1653" t="s">
        <v>9478</v>
      </c>
      <c r="V1653" t="s">
        <v>9478</v>
      </c>
      <c r="W1653">
        <v>2</v>
      </c>
      <c r="X1653" t="s">
        <v>11131</v>
      </c>
      <c r="Y1653">
        <v>0.87087770157599687</v>
      </c>
      <c r="Z1653" t="str">
        <f>HYPERLINK("Melting_Curves/meltCurve_sp_Q02487_2_DSC2_HUMAN_.pdf", "Melting_Curves/meltCurve_sp_Q02487_2_DSC2_HUMAN_.pdf")</f>
        <v>Melting_Curves/meltCurve_sp_Q02487_2_DSC2_HUMAN_.pdf</v>
      </c>
      <c r="AA1653" t="s">
        <v>15844</v>
      </c>
      <c r="AB1653" t="s">
        <v>20487</v>
      </c>
    </row>
    <row r="1654" spans="1:28" x14ac:dyDescent="0.25">
      <c r="A1654" t="s">
        <v>1658</v>
      </c>
      <c r="B1654">
        <v>0.99904790336628502</v>
      </c>
      <c r="C1654">
        <v>1.1596536904988599</v>
      </c>
      <c r="D1654">
        <v>1.08549391545203</v>
      </c>
      <c r="E1654">
        <v>0.87415828297377896</v>
      </c>
      <c r="F1654">
        <v>0.89483545505017603</v>
      </c>
      <c r="G1654">
        <v>0.54479854168449404</v>
      </c>
      <c r="H1654">
        <v>0.52768306358041395</v>
      </c>
      <c r="I1654">
        <v>0.495660532475386</v>
      </c>
      <c r="J1654">
        <v>0.69300425389826403</v>
      </c>
      <c r="K1654">
        <v>0.60931535867505904</v>
      </c>
      <c r="L1654">
        <v>4956.6802718360004</v>
      </c>
      <c r="M1654">
        <v>92.425168715819495</v>
      </c>
      <c r="O1654">
        <v>53.604025588642202</v>
      </c>
      <c r="P1654">
        <v>-0.18371440189247801</v>
      </c>
      <c r="Q1654">
        <v>0.573803070568907</v>
      </c>
      <c r="R1654">
        <v>0.86534978109844396</v>
      </c>
      <c r="S1654" t="s">
        <v>6394</v>
      </c>
      <c r="T1654" t="s">
        <v>9478</v>
      </c>
      <c r="U1654" t="s">
        <v>9478</v>
      </c>
      <c r="V1654" t="s">
        <v>9478</v>
      </c>
      <c r="W1654">
        <v>2</v>
      </c>
      <c r="X1654" t="s">
        <v>11132</v>
      </c>
      <c r="Y1654">
        <v>0.76771990583724181</v>
      </c>
      <c r="Z1654" t="str">
        <f>HYPERLINK("Melting_Curves/meltCurve_sp_Q02487_DSC2_HUMAN_.pdf", "Melting_Curves/meltCurve_sp_Q02487_DSC2_HUMAN_.pdf")</f>
        <v>Melting_Curves/meltCurve_sp_Q02487_DSC2_HUMAN_.pdf</v>
      </c>
      <c r="AA1654" t="s">
        <v>15844</v>
      </c>
      <c r="AB1654" t="s">
        <v>20488</v>
      </c>
    </row>
    <row r="1655" spans="1:28" x14ac:dyDescent="0.25">
      <c r="A1655" t="s">
        <v>1659</v>
      </c>
      <c r="B1655">
        <v>0.99904790336628502</v>
      </c>
      <c r="C1655">
        <v>0.99278010163075503</v>
      </c>
      <c r="D1655">
        <v>0.94163414771322596</v>
      </c>
      <c r="E1655">
        <v>0.74336270465840404</v>
      </c>
      <c r="F1655">
        <v>0.31172783447249203</v>
      </c>
      <c r="G1655">
        <v>9.31973470029826E-2</v>
      </c>
      <c r="H1655">
        <v>5.0444499912596599E-2</v>
      </c>
      <c r="I1655">
        <v>3.5637445110905698E-2</v>
      </c>
      <c r="J1655">
        <v>2.9072350176279599E-2</v>
      </c>
      <c r="K1655">
        <v>2.5172713544339999E-2</v>
      </c>
      <c r="L1655">
        <v>1576.6491822411999</v>
      </c>
      <c r="M1655">
        <v>30.590157983983801</v>
      </c>
      <c r="N1655">
        <v>51.657270422386901</v>
      </c>
      <c r="O1655">
        <v>51.322275634213597</v>
      </c>
      <c r="P1655">
        <v>-0.144056273302715</v>
      </c>
      <c r="Q1655">
        <v>3.3250548920184801E-2</v>
      </c>
      <c r="R1655">
        <v>0.99892108331307605</v>
      </c>
      <c r="S1655" t="s">
        <v>6395</v>
      </c>
      <c r="T1655" t="s">
        <v>9478</v>
      </c>
      <c r="U1655" t="s">
        <v>9478</v>
      </c>
      <c r="V1655" t="s">
        <v>9478</v>
      </c>
      <c r="W1655">
        <v>14</v>
      </c>
      <c r="X1655" t="s">
        <v>11133</v>
      </c>
      <c r="Y1655">
        <v>0.41105950803430258</v>
      </c>
      <c r="Z1655" t="str">
        <f>HYPERLINK("Melting_Curves/meltCurve_sp_Q02750_MP2K1_HUMAN_.pdf", "Melting_Curves/meltCurve_sp_Q02750_MP2K1_HUMAN_.pdf")</f>
        <v>Melting_Curves/meltCurve_sp_Q02750_MP2K1_HUMAN_.pdf</v>
      </c>
      <c r="AA1655" t="s">
        <v>15845</v>
      </c>
      <c r="AB1655" t="s">
        <v>20489</v>
      </c>
    </row>
    <row r="1656" spans="1:28" x14ac:dyDescent="0.25">
      <c r="A1656" t="s">
        <v>1660</v>
      </c>
      <c r="B1656">
        <v>0.99904790336628502</v>
      </c>
      <c r="C1656">
        <v>0.96475501440078604</v>
      </c>
      <c r="D1656">
        <v>0.97403517552958196</v>
      </c>
      <c r="E1656">
        <v>0.89628900554521795</v>
      </c>
      <c r="F1656">
        <v>0.453496678781247</v>
      </c>
      <c r="G1656">
        <v>0.13146412429278501</v>
      </c>
      <c r="H1656">
        <v>7.2891793990979101E-2</v>
      </c>
      <c r="I1656">
        <v>5.0298550887998901E-2</v>
      </c>
      <c r="J1656">
        <v>4.0024867466911702E-2</v>
      </c>
      <c r="K1656">
        <v>3.5662119416778597E-2</v>
      </c>
      <c r="L1656">
        <v>1910.4420145107099</v>
      </c>
      <c r="M1656">
        <v>36.295779354768896</v>
      </c>
      <c r="N1656">
        <v>52.794791671120599</v>
      </c>
      <c r="O1656">
        <v>52.476366616682697</v>
      </c>
      <c r="P1656">
        <v>-0.16394071454078801</v>
      </c>
      <c r="Q1656">
        <v>5.1902308191573397E-2</v>
      </c>
      <c r="R1656">
        <v>0.998090829420339</v>
      </c>
      <c r="S1656" t="s">
        <v>6396</v>
      </c>
      <c r="T1656" t="s">
        <v>9478</v>
      </c>
      <c r="U1656" t="s">
        <v>9478</v>
      </c>
      <c r="V1656" t="s">
        <v>9478</v>
      </c>
      <c r="W1656">
        <v>26</v>
      </c>
      <c r="X1656" t="s">
        <v>11134</v>
      </c>
      <c r="Y1656">
        <v>0.45540956985813558</v>
      </c>
      <c r="Z1656" t="str">
        <f>HYPERLINK("Melting_Curves/meltCurve_sp_Q02790_FKBP4_HUMAN_.pdf", "Melting_Curves/meltCurve_sp_Q02790_FKBP4_HUMAN_.pdf")</f>
        <v>Melting_Curves/meltCurve_sp_Q02790_FKBP4_HUMAN_.pdf</v>
      </c>
      <c r="AA1656" t="s">
        <v>15846</v>
      </c>
      <c r="AB1656" t="s">
        <v>20490</v>
      </c>
    </row>
    <row r="1657" spans="1:28" x14ac:dyDescent="0.25">
      <c r="A1657" t="s">
        <v>1661</v>
      </c>
      <c r="B1657">
        <v>0.99904790336628502</v>
      </c>
      <c r="C1657">
        <v>1.0110140987867999</v>
      </c>
      <c r="D1657">
        <v>1.02272620902274</v>
      </c>
      <c r="E1657">
        <v>0.972775255119112</v>
      </c>
      <c r="F1657">
        <v>1.01709304847177</v>
      </c>
      <c r="G1657">
        <v>0.78324860820075404</v>
      </c>
      <c r="H1657">
        <v>0.71558106770424301</v>
      </c>
      <c r="I1657">
        <v>0.67443680528597205</v>
      </c>
      <c r="J1657">
        <v>0.68925385372538595</v>
      </c>
      <c r="K1657">
        <v>0.62548603739446995</v>
      </c>
      <c r="L1657">
        <v>4450.0021381770903</v>
      </c>
      <c r="M1657">
        <v>78.758125821145299</v>
      </c>
      <c r="O1657">
        <v>56.465736626589901</v>
      </c>
      <c r="P1657">
        <v>-0.1130578731178</v>
      </c>
      <c r="Q1657">
        <v>0.67577211360033695</v>
      </c>
      <c r="R1657">
        <v>0.97622549261690195</v>
      </c>
      <c r="S1657" t="s">
        <v>6397</v>
      </c>
      <c r="T1657" t="s">
        <v>9478</v>
      </c>
      <c r="U1657" t="s">
        <v>9478</v>
      </c>
      <c r="V1657" t="s">
        <v>9478</v>
      </c>
      <c r="W1657">
        <v>40</v>
      </c>
      <c r="X1657" t="s">
        <v>11135</v>
      </c>
      <c r="Y1657">
        <v>0.8544451091693418</v>
      </c>
      <c r="Z1657" t="str">
        <f>HYPERLINK("Melting_Curves/meltCurve_sp_Q02818_NUCB1_HUMAN_.pdf", "Melting_Curves/meltCurve_sp_Q02818_NUCB1_HUMAN_.pdf")</f>
        <v>Melting_Curves/meltCurve_sp_Q02818_NUCB1_HUMAN_.pdf</v>
      </c>
      <c r="AA1657" t="s">
        <v>15847</v>
      </c>
      <c r="AB1657" t="s">
        <v>20491</v>
      </c>
    </row>
    <row r="1658" spans="1:28" x14ac:dyDescent="0.25">
      <c r="A1658" t="s">
        <v>1662</v>
      </c>
      <c r="B1658">
        <v>0.99904790336628502</v>
      </c>
      <c r="C1658">
        <v>0.91154381867217904</v>
      </c>
      <c r="D1658">
        <v>0.77271789618002196</v>
      </c>
      <c r="E1658">
        <v>0.46535472083443802</v>
      </c>
      <c r="F1658">
        <v>0.28388895650087198</v>
      </c>
      <c r="G1658">
        <v>0.152387786235571</v>
      </c>
      <c r="H1658">
        <v>8.3636490578523098E-2</v>
      </c>
      <c r="I1658">
        <v>6.4576487999529003E-2</v>
      </c>
      <c r="J1658">
        <v>3.5445875647343701E-2</v>
      </c>
      <c r="K1658">
        <v>3.9654035745409801E-2</v>
      </c>
      <c r="L1658">
        <v>767.24998515263599</v>
      </c>
      <c r="M1658">
        <v>15.5202551618531</v>
      </c>
      <c r="N1658">
        <v>49.645764711738799</v>
      </c>
      <c r="O1658">
        <v>48.636501631801799</v>
      </c>
      <c r="P1658">
        <v>-7.72447599685019E-2</v>
      </c>
      <c r="Q1658">
        <v>3.1824527086302803E-2</v>
      </c>
      <c r="R1658">
        <v>0.99925116843707396</v>
      </c>
      <c r="S1658" t="s">
        <v>6398</v>
      </c>
      <c r="T1658" t="s">
        <v>9478</v>
      </c>
      <c r="U1658" t="s">
        <v>9478</v>
      </c>
      <c r="V1658" t="s">
        <v>9478</v>
      </c>
      <c r="W1658">
        <v>8</v>
      </c>
      <c r="X1658" t="s">
        <v>11136</v>
      </c>
      <c r="Y1658">
        <v>0.35841765519354019</v>
      </c>
      <c r="Z1658" t="str">
        <f>HYPERLINK("Melting_Curves/meltCurve_sp_Q02928_CP4AB_HUMAN_.pdf", "Melting_Curves/meltCurve_sp_Q02928_CP4AB_HUMAN_.pdf")</f>
        <v>Melting_Curves/meltCurve_sp_Q02928_CP4AB_HUMAN_.pdf</v>
      </c>
      <c r="AA1658" t="s">
        <v>15848</v>
      </c>
      <c r="AB1658" t="s">
        <v>20492</v>
      </c>
    </row>
    <row r="1659" spans="1:28" x14ac:dyDescent="0.25">
      <c r="A1659" t="s">
        <v>1663</v>
      </c>
      <c r="B1659">
        <v>0.99904790336628502</v>
      </c>
      <c r="C1659">
        <v>1.14123450839051</v>
      </c>
      <c r="D1659">
        <v>0.92765474638425105</v>
      </c>
      <c r="E1659">
        <v>0.93545746991454504</v>
      </c>
      <c r="F1659">
        <v>1.0497516812582699</v>
      </c>
      <c r="G1659">
        <v>0.82763058124647604</v>
      </c>
      <c r="H1659">
        <v>0.84000075689046405</v>
      </c>
      <c r="I1659">
        <v>0.69202244202906904</v>
      </c>
      <c r="J1659">
        <v>0.71130014858881396</v>
      </c>
      <c r="K1659">
        <v>0.69062816721758502</v>
      </c>
      <c r="L1659">
        <v>1151.7060343283399</v>
      </c>
      <c r="M1659">
        <v>19.5713528380772</v>
      </c>
      <c r="O1659">
        <v>58.242483018834903</v>
      </c>
      <c r="P1659">
        <v>-2.72613609551168E-2</v>
      </c>
      <c r="Q1659">
        <v>0.67550264779441005</v>
      </c>
      <c r="R1659">
        <v>0.80355412875134602</v>
      </c>
      <c r="S1659" t="s">
        <v>6399</v>
      </c>
      <c r="T1659" t="s">
        <v>9478</v>
      </c>
      <c r="U1659" t="s">
        <v>9478</v>
      </c>
      <c r="V1659" t="s">
        <v>9478</v>
      </c>
      <c r="W1659">
        <v>2</v>
      </c>
      <c r="X1659" t="s">
        <v>11137</v>
      </c>
      <c r="Y1659">
        <v>0.88274463732225894</v>
      </c>
      <c r="Z1659" t="str">
        <f>HYPERLINK("Melting_Curves/meltCurve_sp_Q02952_3_AKA12_HUMAN_.pdf", "Melting_Curves/meltCurve_sp_Q02952_3_AKA12_HUMAN_.pdf")</f>
        <v>Melting_Curves/meltCurve_sp_Q02952_3_AKA12_HUMAN_.pdf</v>
      </c>
      <c r="AA1659" t="s">
        <v>15849</v>
      </c>
      <c r="AB1659" t="s">
        <v>20493</v>
      </c>
    </row>
    <row r="1660" spans="1:28" x14ac:dyDescent="0.25">
      <c r="A1660" t="s">
        <v>1664</v>
      </c>
      <c r="B1660">
        <v>0.99904790336628502</v>
      </c>
      <c r="C1660">
        <v>1.1381699909390901</v>
      </c>
      <c r="D1660">
        <v>0.98707824102351305</v>
      </c>
      <c r="E1660">
        <v>0.72621640759860695</v>
      </c>
      <c r="F1660">
        <v>0.58176435851959696</v>
      </c>
      <c r="G1660">
        <v>0.35574064075757</v>
      </c>
      <c r="H1660">
        <v>0.30824386217600103</v>
      </c>
      <c r="I1660">
        <v>0.25748230169951303</v>
      </c>
      <c r="J1660">
        <v>0.267262274722116</v>
      </c>
      <c r="K1660">
        <v>0.21717163269887099</v>
      </c>
      <c r="L1660">
        <v>1066.1074777235499</v>
      </c>
      <c r="M1660">
        <v>20.4647299296246</v>
      </c>
      <c r="N1660">
        <v>53.884950975799697</v>
      </c>
      <c r="O1660">
        <v>51.605092196943097</v>
      </c>
      <c r="P1660">
        <v>-7.4690048279369897E-2</v>
      </c>
      <c r="Q1660">
        <v>0.24665074378875301</v>
      </c>
      <c r="R1660">
        <v>0.97539038774353404</v>
      </c>
      <c r="S1660" t="s">
        <v>6400</v>
      </c>
      <c r="T1660" t="s">
        <v>9478</v>
      </c>
      <c r="U1660" t="s">
        <v>9478</v>
      </c>
      <c r="V1660" t="s">
        <v>9478</v>
      </c>
      <c r="W1660">
        <v>4</v>
      </c>
      <c r="X1660" t="s">
        <v>11138</v>
      </c>
      <c r="Y1660">
        <v>0.56037346182330838</v>
      </c>
      <c r="Z1660" t="str">
        <f>HYPERLINK("Melting_Curves/meltCurve_sp_Q02985_2_FHR3_HUMAN_.pdf", "Melting_Curves/meltCurve_sp_Q02985_2_FHR3_HUMAN_.pdf")</f>
        <v>Melting_Curves/meltCurve_sp_Q02985_2_FHR3_HUMAN_.pdf</v>
      </c>
      <c r="AA1660" t="s">
        <v>15850</v>
      </c>
      <c r="AB1660" t="s">
        <v>20494</v>
      </c>
    </row>
    <row r="1661" spans="1:28" x14ac:dyDescent="0.25">
      <c r="A1661" t="s">
        <v>1665</v>
      </c>
      <c r="B1661">
        <v>0.99904790336628502</v>
      </c>
      <c r="C1661">
        <v>1.02640778656988</v>
      </c>
      <c r="D1661">
        <v>1.0508306971925101</v>
      </c>
      <c r="E1661">
        <v>0.902711514766114</v>
      </c>
      <c r="F1661">
        <v>0.59886861881993103</v>
      </c>
      <c r="G1661">
        <v>0.21468418468210099</v>
      </c>
      <c r="H1661">
        <v>0.129381046293673</v>
      </c>
      <c r="I1661">
        <v>9.2093319788815298E-2</v>
      </c>
      <c r="J1661">
        <v>9.1585020373159007E-2</v>
      </c>
      <c r="K1661">
        <v>5.9458636673794502E-2</v>
      </c>
      <c r="L1661">
        <v>1594.88738965732</v>
      </c>
      <c r="M1661">
        <v>29.812657355333201</v>
      </c>
      <c r="N1661">
        <v>53.833527380887098</v>
      </c>
      <c r="O1661">
        <v>53.257993763099599</v>
      </c>
      <c r="P1661">
        <v>-0.12804749386164299</v>
      </c>
      <c r="Q1661">
        <v>8.5018155130417203E-2</v>
      </c>
      <c r="R1661">
        <v>0.99694181030015505</v>
      </c>
      <c r="S1661" t="s">
        <v>6401</v>
      </c>
      <c r="T1661" t="s">
        <v>9478</v>
      </c>
      <c r="U1661" t="s">
        <v>9478</v>
      </c>
      <c r="V1661" t="s">
        <v>9478</v>
      </c>
      <c r="W1661">
        <v>41</v>
      </c>
      <c r="X1661" t="s">
        <v>11139</v>
      </c>
      <c r="Y1661">
        <v>0.50271479206391878</v>
      </c>
      <c r="Z1661" t="str">
        <f>HYPERLINK("Melting_Curves/meltCurve_sp_Q03001_8_DYST_HUMAN_.pdf", "Melting_Curves/meltCurve_sp_Q03001_8_DYST_HUMAN_.pdf")</f>
        <v>Melting_Curves/meltCurve_sp_Q03001_8_DYST_HUMAN_.pdf</v>
      </c>
      <c r="AA1661" t="s">
        <v>15851</v>
      </c>
      <c r="AB1661" t="s">
        <v>20495</v>
      </c>
    </row>
    <row r="1662" spans="1:28" x14ac:dyDescent="0.25">
      <c r="A1662" t="s">
        <v>1666</v>
      </c>
      <c r="B1662">
        <v>0.99904790336628502</v>
      </c>
      <c r="C1662">
        <v>0.86574665801694695</v>
      </c>
      <c r="D1662">
        <v>0.81180755501712498</v>
      </c>
      <c r="E1662">
        <v>0.63209972521733804</v>
      </c>
      <c r="F1662">
        <v>0.37007294829418302</v>
      </c>
      <c r="G1662">
        <v>0.123574111048298</v>
      </c>
      <c r="H1662">
        <v>6.1896353008502103E-2</v>
      </c>
      <c r="I1662">
        <v>4.3932347913461199E-2</v>
      </c>
      <c r="J1662">
        <v>3.9211868900279598E-2</v>
      </c>
      <c r="K1662">
        <v>3.3827106865314503E-2</v>
      </c>
      <c r="L1662">
        <v>760.24965585469602</v>
      </c>
      <c r="M1662">
        <v>14.900854614823</v>
      </c>
      <c r="N1662">
        <v>51.020540552903199</v>
      </c>
      <c r="O1662">
        <v>50.128066130206498</v>
      </c>
      <c r="P1662">
        <v>-7.4321623136494694E-2</v>
      </c>
      <c r="Q1662">
        <v>0</v>
      </c>
      <c r="R1662">
        <v>0.99034300946630904</v>
      </c>
      <c r="S1662" t="s">
        <v>6402</v>
      </c>
      <c r="T1662" t="s">
        <v>9478</v>
      </c>
      <c r="U1662" t="s">
        <v>9478</v>
      </c>
      <c r="V1662" t="s">
        <v>9478</v>
      </c>
      <c r="W1662">
        <v>11</v>
      </c>
      <c r="X1662" t="s">
        <v>11140</v>
      </c>
      <c r="Y1662">
        <v>0.39069492746335149</v>
      </c>
      <c r="Z1662" t="str">
        <f>HYPERLINK("Melting_Curves/meltCurve_sp_Q03013_2_GSTM4_HUMAN_.pdf", "Melting_Curves/meltCurve_sp_Q03013_2_GSTM4_HUMAN_.pdf")</f>
        <v>Melting_Curves/meltCurve_sp_Q03013_2_GSTM4_HUMAN_.pdf</v>
      </c>
      <c r="AA1662" t="s">
        <v>15852</v>
      </c>
      <c r="AB1662" t="s">
        <v>20496</v>
      </c>
    </row>
    <row r="1663" spans="1:28" x14ac:dyDescent="0.25">
      <c r="A1663" t="s">
        <v>1667</v>
      </c>
      <c r="B1663">
        <v>0.99904790336628502</v>
      </c>
      <c r="C1663">
        <v>1.0307969572892</v>
      </c>
      <c r="D1663">
        <v>1.04356479171664</v>
      </c>
      <c r="E1663">
        <v>1.0150806505204</v>
      </c>
      <c r="F1663">
        <v>0.92299299415115899</v>
      </c>
      <c r="G1663">
        <v>0.76992982078696304</v>
      </c>
      <c r="H1663">
        <v>0.59213980425833002</v>
      </c>
      <c r="I1663">
        <v>0.51308005064024398</v>
      </c>
      <c r="J1663">
        <v>0.44277027712297901</v>
      </c>
      <c r="K1663">
        <v>0.271112932451956</v>
      </c>
      <c r="L1663">
        <v>821.220007887252</v>
      </c>
      <c r="M1663">
        <v>13.283180365524601</v>
      </c>
      <c r="N1663">
        <v>63.809500549140701</v>
      </c>
      <c r="O1663">
        <v>60.473236602257003</v>
      </c>
      <c r="P1663">
        <v>-4.5625599720797501E-2</v>
      </c>
      <c r="Q1663">
        <v>0.16927134658075099</v>
      </c>
      <c r="R1663">
        <v>0.98205115562944001</v>
      </c>
      <c r="S1663" t="s">
        <v>6403</v>
      </c>
      <c r="T1663" t="s">
        <v>9478</v>
      </c>
      <c r="U1663" t="s">
        <v>9478</v>
      </c>
      <c r="V1663" t="s">
        <v>9478</v>
      </c>
      <c r="W1663">
        <v>33</v>
      </c>
      <c r="X1663" t="s">
        <v>11141</v>
      </c>
      <c r="Y1663">
        <v>0.7687862331293317</v>
      </c>
      <c r="Z1663" t="str">
        <f>HYPERLINK("Melting_Curves/meltCurve_sp_Q03154_ACY1_HUMAN_.pdf", "Melting_Curves/meltCurve_sp_Q03154_ACY1_HUMAN_.pdf")</f>
        <v>Melting_Curves/meltCurve_sp_Q03154_ACY1_HUMAN_.pdf</v>
      </c>
      <c r="AA1663" t="s">
        <v>15853</v>
      </c>
      <c r="AB1663" t="s">
        <v>20497</v>
      </c>
    </row>
    <row r="1664" spans="1:28" x14ac:dyDescent="0.25">
      <c r="A1664" t="s">
        <v>1668</v>
      </c>
      <c r="B1664">
        <v>0.99904790336628502</v>
      </c>
      <c r="C1664">
        <v>1.0883842723943999</v>
      </c>
      <c r="D1664">
        <v>1.10583622650656</v>
      </c>
      <c r="E1664">
        <v>1.03124320337844</v>
      </c>
      <c r="F1664">
        <v>1.0403092966777401</v>
      </c>
      <c r="G1664">
        <v>0.71754242761833698</v>
      </c>
      <c r="H1664">
        <v>0.578505521875885</v>
      </c>
      <c r="I1664">
        <v>0.53891030805148399</v>
      </c>
      <c r="J1664">
        <v>0.55675083995728003</v>
      </c>
      <c r="K1664">
        <v>0.49124635302319197</v>
      </c>
      <c r="L1664">
        <v>6738.12668151463</v>
      </c>
      <c r="M1664">
        <v>118.68374486518</v>
      </c>
      <c r="O1664">
        <v>56.7577041791521</v>
      </c>
      <c r="P1664">
        <v>-0.23978723726244899</v>
      </c>
      <c r="Q1664">
        <v>0.54130981648287402</v>
      </c>
      <c r="R1664">
        <v>0.957363095748058</v>
      </c>
      <c r="S1664" t="s">
        <v>6404</v>
      </c>
      <c r="T1664" t="s">
        <v>9478</v>
      </c>
      <c r="U1664" t="s">
        <v>9478</v>
      </c>
      <c r="V1664" t="s">
        <v>9478</v>
      </c>
      <c r="W1664">
        <v>27</v>
      </c>
      <c r="X1664" t="s">
        <v>11142</v>
      </c>
      <c r="Y1664">
        <v>0.79797860434778767</v>
      </c>
      <c r="Z1664" t="str">
        <f>HYPERLINK("Melting_Curves/meltCurve_sp_Q03252_LMNB2_HUMAN_.pdf", "Melting_Curves/meltCurve_sp_Q03252_LMNB2_HUMAN_.pdf")</f>
        <v>Melting_Curves/meltCurve_sp_Q03252_LMNB2_HUMAN_.pdf</v>
      </c>
      <c r="AA1664" t="s">
        <v>15854</v>
      </c>
      <c r="AB1664" t="s">
        <v>20498</v>
      </c>
    </row>
    <row r="1665" spans="1:28" x14ac:dyDescent="0.25">
      <c r="A1665" t="s">
        <v>1669</v>
      </c>
      <c r="B1665">
        <v>0.99904790336628502</v>
      </c>
      <c r="C1665">
        <v>1.09642952803897</v>
      </c>
      <c r="D1665">
        <v>1.0469754498497501</v>
      </c>
      <c r="E1665">
        <v>0.87823475849722998</v>
      </c>
      <c r="F1665">
        <v>0.70314345836005099</v>
      </c>
      <c r="G1665">
        <v>0.37040680779353502</v>
      </c>
      <c r="H1665">
        <v>0.242608394630528</v>
      </c>
      <c r="I1665">
        <v>0.183710405272347</v>
      </c>
      <c r="J1665">
        <v>0.11196709570204</v>
      </c>
      <c r="K1665">
        <v>7.5403626884185698E-2</v>
      </c>
      <c r="L1665">
        <v>1083.8348971134501</v>
      </c>
      <c r="M1665">
        <v>19.731703967150501</v>
      </c>
      <c r="N1665">
        <v>55.5432369152159</v>
      </c>
      <c r="O1665">
        <v>54.373754193692598</v>
      </c>
      <c r="P1665">
        <v>-8.1827618962887996E-2</v>
      </c>
      <c r="Q1665">
        <v>9.8076490450849194E-2</v>
      </c>
      <c r="R1665">
        <v>0.98798416595001604</v>
      </c>
      <c r="S1665" t="s">
        <v>6405</v>
      </c>
      <c r="T1665" t="s">
        <v>9478</v>
      </c>
      <c r="U1665" t="s">
        <v>9478</v>
      </c>
      <c r="V1665" t="s">
        <v>9478</v>
      </c>
      <c r="W1665">
        <v>9</v>
      </c>
      <c r="X1665" t="s">
        <v>11143</v>
      </c>
      <c r="Y1665">
        <v>0.55916816769611966</v>
      </c>
      <c r="Z1665" t="str">
        <f>HYPERLINK("Melting_Curves/meltCurve_sp_Q03591_FHR1_HUMAN_.pdf", "Melting_Curves/meltCurve_sp_Q03591_FHR1_HUMAN_.pdf")</f>
        <v>Melting_Curves/meltCurve_sp_Q03591_FHR1_HUMAN_.pdf</v>
      </c>
      <c r="AA1665" t="s">
        <v>15855</v>
      </c>
      <c r="AB1665" t="s">
        <v>20499</v>
      </c>
    </row>
    <row r="1666" spans="1:28" x14ac:dyDescent="0.25">
      <c r="A1666" t="s">
        <v>1670</v>
      </c>
      <c r="B1666">
        <v>0.99904790336628502</v>
      </c>
      <c r="C1666">
        <v>0.96205941781624404</v>
      </c>
      <c r="D1666">
        <v>0.98320905309055695</v>
      </c>
      <c r="E1666">
        <v>0.89993618504261497</v>
      </c>
      <c r="F1666">
        <v>0.23462211752668</v>
      </c>
      <c r="G1666">
        <v>0.145561470587525</v>
      </c>
      <c r="H1666">
        <v>8.9507971622351204E-2</v>
      </c>
      <c r="I1666">
        <v>7.3119809665010096E-2</v>
      </c>
      <c r="J1666">
        <v>6.3278869976348295E-2</v>
      </c>
      <c r="K1666">
        <v>4.8545926511246701E-2</v>
      </c>
      <c r="L1666">
        <v>3245.9659791783001</v>
      </c>
      <c r="M1666">
        <v>62.843359506042603</v>
      </c>
      <c r="N1666">
        <v>51.801444436523099</v>
      </c>
      <c r="O1666">
        <v>51.599467952855797</v>
      </c>
      <c r="P1666">
        <v>-0.279186417323599</v>
      </c>
      <c r="Q1666">
        <v>8.3062038760735396E-2</v>
      </c>
      <c r="R1666">
        <v>0.99602699809945305</v>
      </c>
      <c r="S1666" t="s">
        <v>6406</v>
      </c>
      <c r="T1666" t="s">
        <v>9478</v>
      </c>
      <c r="U1666" t="s">
        <v>9478</v>
      </c>
      <c r="V1666" t="s">
        <v>9478</v>
      </c>
      <c r="W1666">
        <v>28</v>
      </c>
      <c r="X1666" t="s">
        <v>11144</v>
      </c>
      <c r="Y1666">
        <v>0.44051113969769651</v>
      </c>
      <c r="Z1666" t="str">
        <f>HYPERLINK("Melting_Curves/meltCurve_sp_Q04446_GLGB_HUMAN_.pdf", "Melting_Curves/meltCurve_sp_Q04446_GLGB_HUMAN_.pdf")</f>
        <v>Melting_Curves/meltCurve_sp_Q04446_GLGB_HUMAN_.pdf</v>
      </c>
      <c r="AA1666" t="s">
        <v>15856</v>
      </c>
      <c r="AB1666" t="s">
        <v>20500</v>
      </c>
    </row>
    <row r="1667" spans="1:28" x14ac:dyDescent="0.25">
      <c r="A1667" t="s">
        <v>1671</v>
      </c>
      <c r="B1667">
        <v>0.99904790336628502</v>
      </c>
      <c r="C1667">
        <v>0.99116703017525598</v>
      </c>
      <c r="D1667">
        <v>0.99471808748925294</v>
      </c>
      <c r="E1667">
        <v>0.89901408045342701</v>
      </c>
      <c r="F1667">
        <v>0.62560853280059403</v>
      </c>
      <c r="G1667">
        <v>0.28434553614193597</v>
      </c>
      <c r="H1667">
        <v>0.206070339499549</v>
      </c>
      <c r="I1667">
        <v>0.16896112364562699</v>
      </c>
      <c r="J1667">
        <v>0.165432243182044</v>
      </c>
      <c r="K1667">
        <v>0.154902914317224</v>
      </c>
      <c r="L1667">
        <v>1502.33068325255</v>
      </c>
      <c r="M1667">
        <v>28.120227526108099</v>
      </c>
      <c r="N1667">
        <v>54.1911722712385</v>
      </c>
      <c r="O1667">
        <v>53.157273963980401</v>
      </c>
      <c r="P1667">
        <v>-0.110564851377168</v>
      </c>
      <c r="Q1667">
        <v>0.16397883148379999</v>
      </c>
      <c r="R1667">
        <v>0.99960530797186498</v>
      </c>
      <c r="S1667" t="s">
        <v>6407</v>
      </c>
      <c r="T1667" t="s">
        <v>9478</v>
      </c>
      <c r="U1667" t="s">
        <v>9478</v>
      </c>
      <c r="V1667" t="s">
        <v>9478</v>
      </c>
      <c r="W1667">
        <v>50</v>
      </c>
      <c r="X1667" t="s">
        <v>11145</v>
      </c>
      <c r="Y1667">
        <v>0.54428572076052362</v>
      </c>
      <c r="Z1667" t="str">
        <f>HYPERLINK("Melting_Curves/meltCurve_sp_Q04637_5_IF4G1_HUMAN_.pdf", "Melting_Curves/meltCurve_sp_Q04637_5_IF4G1_HUMAN_.pdf")</f>
        <v>Melting_Curves/meltCurve_sp_Q04637_5_IF4G1_HUMAN_.pdf</v>
      </c>
      <c r="AA1667" t="s">
        <v>15857</v>
      </c>
      <c r="AB1667" t="s">
        <v>20501</v>
      </c>
    </row>
    <row r="1668" spans="1:28" x14ac:dyDescent="0.25">
      <c r="A1668" t="s">
        <v>1672</v>
      </c>
      <c r="B1668">
        <v>0.99904790336628502</v>
      </c>
      <c r="C1668">
        <v>1.0008639235230901</v>
      </c>
      <c r="D1668">
        <v>0.89966177917392498</v>
      </c>
      <c r="E1668">
        <v>1.58202747383383</v>
      </c>
      <c r="F1668">
        <v>9.5811390616105399E-2</v>
      </c>
      <c r="G1668">
        <v>18.730564486136402</v>
      </c>
      <c r="H1668">
        <v>4.6840119302055498E-2</v>
      </c>
      <c r="I1668">
        <v>0.45977665979976701</v>
      </c>
      <c r="J1668">
        <v>9.7148233953924398E-2</v>
      </c>
      <c r="K1668">
        <v>0.22010443479251601</v>
      </c>
      <c r="L1668">
        <v>4509.5789782187203</v>
      </c>
      <c r="M1668">
        <v>74.102982360980306</v>
      </c>
      <c r="N1668">
        <v>61.273081729390697</v>
      </c>
      <c r="O1668">
        <v>60.8112914693289</v>
      </c>
      <c r="P1668">
        <v>-0.244254290872223</v>
      </c>
      <c r="Q1668">
        <v>0.198228426278105</v>
      </c>
      <c r="R1668">
        <v>-5.9933186266414501E-2</v>
      </c>
      <c r="S1668" t="s">
        <v>6408</v>
      </c>
      <c r="T1668" t="s">
        <v>9478</v>
      </c>
      <c r="U1668" t="s">
        <v>9478</v>
      </c>
      <c r="V1668" t="s">
        <v>9478</v>
      </c>
      <c r="W1668">
        <v>26</v>
      </c>
      <c r="X1668" t="s">
        <v>11146</v>
      </c>
      <c r="Y1668">
        <v>0.75658343238326209</v>
      </c>
      <c r="Z1668" t="str">
        <f>HYPERLINK("Melting_Curves/meltCurve_sp_Q04695_K1C17_HUMAN_.pdf", "Melting_Curves/meltCurve_sp_Q04695_K1C17_HUMAN_.pdf")</f>
        <v>Melting_Curves/meltCurve_sp_Q04695_K1C17_HUMAN_.pdf</v>
      </c>
      <c r="AA1668" t="s">
        <v>15858</v>
      </c>
      <c r="AB1668" t="s">
        <v>20502</v>
      </c>
    </row>
    <row r="1669" spans="1:28" x14ac:dyDescent="0.25">
      <c r="A1669" t="s">
        <v>1673</v>
      </c>
      <c r="B1669">
        <v>0.99904790336628502</v>
      </c>
      <c r="C1669">
        <v>0.91435595099302802</v>
      </c>
      <c r="D1669">
        <v>0.79950660284040598</v>
      </c>
      <c r="E1669">
        <v>0.69343457909300998</v>
      </c>
      <c r="F1669">
        <v>0.43482270451731497</v>
      </c>
      <c r="G1669">
        <v>0.29327972455789397</v>
      </c>
      <c r="H1669">
        <v>0.22242040054648199</v>
      </c>
      <c r="I1669">
        <v>0.13255104370107501</v>
      </c>
      <c r="J1669">
        <v>8.9560253836289502E-2</v>
      </c>
      <c r="K1669">
        <v>6.2565307275424295E-2</v>
      </c>
      <c r="L1669">
        <v>578.61530571637297</v>
      </c>
      <c r="M1669">
        <v>11.025679170754801</v>
      </c>
      <c r="N1669">
        <v>52.603605270180303</v>
      </c>
      <c r="O1669">
        <v>50.8411933043297</v>
      </c>
      <c r="P1669">
        <v>-5.3534626896297802E-2</v>
      </c>
      <c r="Q1669">
        <v>1.2902472339186901E-2</v>
      </c>
      <c r="R1669">
        <v>0.992817968269044</v>
      </c>
      <c r="S1669" t="s">
        <v>6409</v>
      </c>
      <c r="T1669" t="s">
        <v>9478</v>
      </c>
      <c r="U1669" t="s">
        <v>9478</v>
      </c>
      <c r="V1669" t="s">
        <v>9478</v>
      </c>
      <c r="W1669">
        <v>2</v>
      </c>
      <c r="X1669" t="s">
        <v>11147</v>
      </c>
      <c r="Y1669">
        <v>0.45572915011705573</v>
      </c>
      <c r="Z1669" t="str">
        <f>HYPERLINK("Melting_Curves/meltCurve_sp_Q04721_NOTC2_HUMAN_.pdf", "Melting_Curves/meltCurve_sp_Q04721_NOTC2_HUMAN_.pdf")</f>
        <v>Melting_Curves/meltCurve_sp_Q04721_NOTC2_HUMAN_.pdf</v>
      </c>
      <c r="AA1669" t="s">
        <v>15859</v>
      </c>
      <c r="AB1669" t="s">
        <v>20503</v>
      </c>
    </row>
    <row r="1670" spans="1:28" x14ac:dyDescent="0.25">
      <c r="A1670" t="s">
        <v>1674</v>
      </c>
      <c r="B1670">
        <v>0.99904790336628502</v>
      </c>
      <c r="C1670">
        <v>1.0066421743305201</v>
      </c>
      <c r="D1670">
        <v>0.95033530384492804</v>
      </c>
      <c r="E1670">
        <v>0.76979865895539301</v>
      </c>
      <c r="F1670">
        <v>0.76094040956486597</v>
      </c>
      <c r="G1670">
        <v>0.57381173488308501</v>
      </c>
      <c r="H1670">
        <v>0.41724599871017298</v>
      </c>
      <c r="I1670">
        <v>0.37751192329608901</v>
      </c>
      <c r="J1670">
        <v>0.35355690748295399</v>
      </c>
      <c r="K1670">
        <v>0.28647022490030599</v>
      </c>
      <c r="L1670">
        <v>623.60639570377396</v>
      </c>
      <c r="M1670">
        <v>11.1938412283091</v>
      </c>
      <c r="N1670">
        <v>58.932641094805199</v>
      </c>
      <c r="O1670">
        <v>54.020538088662597</v>
      </c>
      <c r="P1670">
        <v>-3.99577948570344E-2</v>
      </c>
      <c r="Q1670">
        <v>0.22891135829998299</v>
      </c>
      <c r="R1670">
        <v>0.98864650562092604</v>
      </c>
      <c r="S1670" t="s">
        <v>6410</v>
      </c>
      <c r="T1670" t="s">
        <v>9478</v>
      </c>
      <c r="U1670" t="s">
        <v>9478</v>
      </c>
      <c r="V1670" t="s">
        <v>9478</v>
      </c>
      <c r="W1670">
        <v>6</v>
      </c>
      <c r="X1670" t="s">
        <v>11148</v>
      </c>
      <c r="Y1670">
        <v>0.64962266026917892</v>
      </c>
      <c r="Z1670" t="str">
        <f>HYPERLINK("Melting_Curves/meltCurve_sp_Q04724_TLE1_HUMAN_.pdf", "Melting_Curves/meltCurve_sp_Q04724_TLE1_HUMAN_.pdf")</f>
        <v>Melting_Curves/meltCurve_sp_Q04724_TLE1_HUMAN_.pdf</v>
      </c>
      <c r="AA1670" t="s">
        <v>15860</v>
      </c>
      <c r="AB1670" t="s">
        <v>20504</v>
      </c>
    </row>
    <row r="1671" spans="1:28" x14ac:dyDescent="0.25">
      <c r="A1671" t="s">
        <v>1675</v>
      </c>
      <c r="B1671">
        <v>0.99904790336628502</v>
      </c>
      <c r="C1671">
        <v>1.05258315229994</v>
      </c>
      <c r="D1671">
        <v>1.0961861590741999</v>
      </c>
      <c r="E1671">
        <v>1.22132405743048</v>
      </c>
      <c r="F1671">
        <v>0.90755858423234004</v>
      </c>
      <c r="G1671">
        <v>0.67177336890623196</v>
      </c>
      <c r="H1671">
        <v>0.474915297575005</v>
      </c>
      <c r="I1671">
        <v>0.47052868376339502</v>
      </c>
      <c r="J1671">
        <v>0.47375282250154799</v>
      </c>
      <c r="K1671">
        <v>0.54747263396694401</v>
      </c>
      <c r="L1671">
        <v>2327.54552278859</v>
      </c>
      <c r="M1671">
        <v>41.551915799489798</v>
      </c>
      <c r="N1671">
        <v>61.655900174832198</v>
      </c>
      <c r="O1671">
        <v>55.886097952200501</v>
      </c>
      <c r="P1671">
        <v>-9.5015360261921394E-2</v>
      </c>
      <c r="Q1671">
        <v>0.48882962291260901</v>
      </c>
      <c r="R1671">
        <v>0.91007640836862802</v>
      </c>
      <c r="S1671" t="s">
        <v>6411</v>
      </c>
      <c r="T1671" t="s">
        <v>9478</v>
      </c>
      <c r="U1671" t="s">
        <v>9478</v>
      </c>
      <c r="V1671" t="s">
        <v>9478</v>
      </c>
      <c r="W1671">
        <v>2</v>
      </c>
      <c r="X1671" t="s">
        <v>11149</v>
      </c>
      <c r="Y1671">
        <v>0.76353952304262052</v>
      </c>
      <c r="Z1671" t="str">
        <f>HYPERLINK("Melting_Curves/meltCurve_sp_Q04726_2_TLE3_HUMAN_.pdf", "Melting_Curves/meltCurve_sp_Q04726_2_TLE3_HUMAN_.pdf")</f>
        <v>Melting_Curves/meltCurve_sp_Q04726_2_TLE3_HUMAN_.pdf</v>
      </c>
      <c r="AA1671" t="s">
        <v>15861</v>
      </c>
      <c r="AB1671" t="s">
        <v>20505</v>
      </c>
    </row>
    <row r="1672" spans="1:28" x14ac:dyDescent="0.25">
      <c r="A1672" t="s">
        <v>1676</v>
      </c>
      <c r="B1672">
        <v>0.99904790336628502</v>
      </c>
      <c r="C1672">
        <v>0.95615847557310396</v>
      </c>
      <c r="D1672">
        <v>1.0106299127799701</v>
      </c>
      <c r="E1672">
        <v>0.97695207774005299</v>
      </c>
      <c r="F1672">
        <v>0.93519981448110201</v>
      </c>
      <c r="G1672">
        <v>0.75218101827614803</v>
      </c>
      <c r="H1672">
        <v>0.50420492377555404</v>
      </c>
      <c r="I1672">
        <v>0.23028582561841501</v>
      </c>
      <c r="J1672">
        <v>0.12809974993303</v>
      </c>
      <c r="K1672">
        <v>6.8593232772103302E-2</v>
      </c>
      <c r="L1672">
        <v>1179.0766206851699</v>
      </c>
      <c r="M1672">
        <v>19.4715224649219</v>
      </c>
      <c r="N1672">
        <v>60.553902723586503</v>
      </c>
      <c r="O1672">
        <v>59.926056097996998</v>
      </c>
      <c r="P1672">
        <v>-8.1234393246992595E-2</v>
      </c>
      <c r="Q1672">
        <v>0</v>
      </c>
      <c r="R1672">
        <v>0.99633265162128903</v>
      </c>
      <c r="S1672" t="s">
        <v>6412</v>
      </c>
      <c r="T1672" t="s">
        <v>9478</v>
      </c>
      <c r="U1672" t="s">
        <v>9478</v>
      </c>
      <c r="V1672" t="s">
        <v>9478</v>
      </c>
      <c r="W1672">
        <v>5</v>
      </c>
      <c r="X1672" t="s">
        <v>11150</v>
      </c>
      <c r="Y1672">
        <v>0.69223181753842722</v>
      </c>
      <c r="Z1672" t="str">
        <f>HYPERLINK("Melting_Curves/meltCurve_sp_Q04756_HGFA_HUMAN_.pdf", "Melting_Curves/meltCurve_sp_Q04756_HGFA_HUMAN_.pdf")</f>
        <v>Melting_Curves/meltCurve_sp_Q04756_HGFA_HUMAN_.pdf</v>
      </c>
      <c r="AA1672" t="s">
        <v>15862</v>
      </c>
      <c r="AB1672" t="s">
        <v>20506</v>
      </c>
    </row>
    <row r="1673" spans="1:28" x14ac:dyDescent="0.25">
      <c r="A1673" t="s">
        <v>1677</v>
      </c>
      <c r="B1673">
        <v>0.99904790336628502</v>
      </c>
      <c r="C1673">
        <v>1.0113103981175899</v>
      </c>
      <c r="D1673">
        <v>0.97673643548942601</v>
      </c>
      <c r="E1673">
        <v>0.99154607268405703</v>
      </c>
      <c r="F1673">
        <v>0.96821214596784</v>
      </c>
      <c r="G1673">
        <v>0.78062282788828397</v>
      </c>
      <c r="H1673">
        <v>0.47317056526458801</v>
      </c>
      <c r="I1673">
        <v>0.367017308802915</v>
      </c>
      <c r="J1673">
        <v>0.24147607245523101</v>
      </c>
      <c r="K1673">
        <v>0.15081999895735401</v>
      </c>
      <c r="L1673">
        <v>1168.9913405495399</v>
      </c>
      <c r="M1673">
        <v>19.403874722942401</v>
      </c>
      <c r="N1673">
        <v>61.096580638090302</v>
      </c>
      <c r="O1673">
        <v>59.616324880189502</v>
      </c>
      <c r="P1673">
        <v>-7.1733638606781905E-2</v>
      </c>
      <c r="Q1673">
        <v>0.118456735297681</v>
      </c>
      <c r="R1673">
        <v>0.99603121044746301</v>
      </c>
      <c r="S1673" t="s">
        <v>6413</v>
      </c>
      <c r="T1673" t="s">
        <v>9478</v>
      </c>
      <c r="U1673" t="s">
        <v>9478</v>
      </c>
      <c r="V1673" t="s">
        <v>9478</v>
      </c>
      <c r="W1673">
        <v>13</v>
      </c>
      <c r="X1673" t="s">
        <v>11151</v>
      </c>
      <c r="Y1673">
        <v>0.72026253372699489</v>
      </c>
      <c r="Z1673" t="str">
        <f>HYPERLINK("Melting_Curves/meltCurve_sp_Q04760_LGUL_HUMAN_.pdf", "Melting_Curves/meltCurve_sp_Q04760_LGUL_HUMAN_.pdf")</f>
        <v>Melting_Curves/meltCurve_sp_Q04760_LGUL_HUMAN_.pdf</v>
      </c>
      <c r="AA1673" t="s">
        <v>15863</v>
      </c>
      <c r="AB1673" t="s">
        <v>20507</v>
      </c>
    </row>
    <row r="1674" spans="1:28" x14ac:dyDescent="0.25">
      <c r="A1674" t="s">
        <v>1678</v>
      </c>
      <c r="B1674">
        <v>0.99904790336628502</v>
      </c>
      <c r="C1674">
        <v>0.85654696979584699</v>
      </c>
      <c r="D1674">
        <v>0.81829287583223997</v>
      </c>
      <c r="E1674">
        <v>0.395508330673982</v>
      </c>
      <c r="F1674">
        <v>0.227888538174262</v>
      </c>
      <c r="G1674">
        <v>0.14638118923291699</v>
      </c>
      <c r="H1674">
        <v>9.3092126317591395E-2</v>
      </c>
      <c r="I1674">
        <v>6.2735473857530102E-2</v>
      </c>
      <c r="J1674">
        <v>4.9279429593466102E-2</v>
      </c>
      <c r="K1674">
        <v>4.34083687984596E-2</v>
      </c>
      <c r="L1674">
        <v>877.70381948448301</v>
      </c>
      <c r="M1674">
        <v>17.991528486295401</v>
      </c>
      <c r="N1674">
        <v>49.0878384631581</v>
      </c>
      <c r="O1674">
        <v>48.193566377483101</v>
      </c>
      <c r="P1674">
        <v>-8.8420441128454402E-2</v>
      </c>
      <c r="Q1674">
        <v>5.2646133759612898E-2</v>
      </c>
      <c r="R1674">
        <v>0.99180702328342596</v>
      </c>
      <c r="S1674" t="s">
        <v>6414</v>
      </c>
      <c r="T1674" t="s">
        <v>9478</v>
      </c>
      <c r="U1674" t="s">
        <v>9478</v>
      </c>
      <c r="V1674" t="s">
        <v>9478</v>
      </c>
      <c r="W1674">
        <v>26</v>
      </c>
      <c r="X1674" t="s">
        <v>11152</v>
      </c>
      <c r="Y1674">
        <v>0.34653509627590939</v>
      </c>
      <c r="Z1674" t="str">
        <f>HYPERLINK("Melting_Curves/meltCurve_sp_Q04828_AK1C1_HUMAN_.pdf", "Melting_Curves/meltCurve_sp_Q04828_AK1C1_HUMAN_.pdf")</f>
        <v>Melting_Curves/meltCurve_sp_Q04828_AK1C1_HUMAN_.pdf</v>
      </c>
      <c r="AA1674" t="s">
        <v>15864</v>
      </c>
      <c r="AB1674" t="s">
        <v>20508</v>
      </c>
    </row>
    <row r="1675" spans="1:28" x14ac:dyDescent="0.25">
      <c r="A1675" t="s">
        <v>1679</v>
      </c>
      <c r="B1675">
        <v>0.99904790336628502</v>
      </c>
      <c r="C1675">
        <v>0.87537053282503596</v>
      </c>
      <c r="D1675">
        <v>0.91149956798217502</v>
      </c>
      <c r="E1675">
        <v>0.92126998835497198</v>
      </c>
      <c r="F1675">
        <v>0.91051619097873604</v>
      </c>
      <c r="G1675">
        <v>0.81988402139043504</v>
      </c>
      <c r="H1675">
        <v>0.67395861280254099</v>
      </c>
      <c r="I1675">
        <v>0.63618034127274803</v>
      </c>
      <c r="J1675">
        <v>0.60800448150506103</v>
      </c>
      <c r="K1675">
        <v>0.46099401059217299</v>
      </c>
      <c r="L1675">
        <v>410.96511561717102</v>
      </c>
      <c r="M1675">
        <v>5.8675000370213199</v>
      </c>
      <c r="O1675">
        <v>63.194693051745602</v>
      </c>
      <c r="P1675">
        <v>-2.3293383759324399E-2</v>
      </c>
      <c r="Q1675">
        <v>0</v>
      </c>
      <c r="R1675">
        <v>0.93095084246304105</v>
      </c>
      <c r="S1675" t="s">
        <v>6415</v>
      </c>
      <c r="T1675" t="s">
        <v>9478</v>
      </c>
      <c r="U1675" t="s">
        <v>9478</v>
      </c>
      <c r="V1675" t="s">
        <v>9478</v>
      </c>
      <c r="W1675">
        <v>11</v>
      </c>
      <c r="X1675" t="s">
        <v>11153</v>
      </c>
      <c r="Y1675">
        <v>0.80002707585462873</v>
      </c>
      <c r="Z1675" t="str">
        <f>HYPERLINK("Melting_Curves/meltCurve_sp_Q04837_SSBP_HUMAN_.pdf", "Melting_Curves/meltCurve_sp_Q04837_SSBP_HUMAN_.pdf")</f>
        <v>Melting_Curves/meltCurve_sp_Q04837_SSBP_HUMAN_.pdf</v>
      </c>
      <c r="AA1675" t="s">
        <v>15865</v>
      </c>
      <c r="AB1675" t="s">
        <v>20509</v>
      </c>
    </row>
    <row r="1676" spans="1:28" x14ac:dyDescent="0.25">
      <c r="A1676" t="s">
        <v>1680</v>
      </c>
      <c r="B1676">
        <v>0.99904790336628502</v>
      </c>
      <c r="C1676">
        <v>0.96695148897101302</v>
      </c>
      <c r="D1676">
        <v>1.01325399612136</v>
      </c>
      <c r="E1676">
        <v>0.98245205131938895</v>
      </c>
      <c r="F1676">
        <v>0.95452942110635897</v>
      </c>
      <c r="G1676">
        <v>0.53040137477128901</v>
      </c>
      <c r="H1676">
        <v>0.13534744523416001</v>
      </c>
      <c r="I1676">
        <v>5.8212893580246998E-2</v>
      </c>
      <c r="J1676">
        <v>4.2185244495527803E-2</v>
      </c>
      <c r="K1676">
        <v>3.1564882932532498E-2</v>
      </c>
      <c r="L1676">
        <v>2023.8844256935799</v>
      </c>
      <c r="M1676">
        <v>35.434986897581503</v>
      </c>
      <c r="N1676">
        <v>57.237922423632298</v>
      </c>
      <c r="O1676">
        <v>56.9344370436717</v>
      </c>
      <c r="P1676">
        <v>-0.149914480033045</v>
      </c>
      <c r="Q1676">
        <v>3.6515160282552202E-2</v>
      </c>
      <c r="R1676">
        <v>0.99910553679729097</v>
      </c>
      <c r="S1676" t="s">
        <v>6416</v>
      </c>
      <c r="T1676" t="s">
        <v>9478</v>
      </c>
      <c r="U1676" t="s">
        <v>9478</v>
      </c>
      <c r="V1676" t="s">
        <v>9478</v>
      </c>
      <c r="W1676">
        <v>17</v>
      </c>
      <c r="X1676" t="s">
        <v>11154</v>
      </c>
      <c r="Y1676">
        <v>0.59093424733694311</v>
      </c>
      <c r="Z1676" t="str">
        <f>HYPERLINK("Melting_Curves/meltCurve_sp_Q04917_1433F_HUMAN_.pdf", "Melting_Curves/meltCurve_sp_Q04917_1433F_HUMAN_.pdf")</f>
        <v>Melting_Curves/meltCurve_sp_Q04917_1433F_HUMAN_.pdf</v>
      </c>
      <c r="AA1676" t="s">
        <v>15866</v>
      </c>
      <c r="AB1676" t="s">
        <v>20510</v>
      </c>
    </row>
    <row r="1677" spans="1:28" x14ac:dyDescent="0.25">
      <c r="A1677" t="s">
        <v>1681</v>
      </c>
      <c r="B1677">
        <v>0.99904790336628502</v>
      </c>
      <c r="C1677">
        <v>1.06248228444187</v>
      </c>
      <c r="D1677">
        <v>1.0614852018781999</v>
      </c>
      <c r="E1677">
        <v>0.94215769796867899</v>
      </c>
      <c r="F1677">
        <v>0.75711340881246003</v>
      </c>
      <c r="G1677">
        <v>0.46730010935418598</v>
      </c>
      <c r="H1677">
        <v>0.23302310108788701</v>
      </c>
      <c r="I1677">
        <v>0.12797619454424999</v>
      </c>
      <c r="J1677">
        <v>7.1541212477521696E-2</v>
      </c>
      <c r="K1677">
        <v>6.3479489399281899E-2</v>
      </c>
      <c r="L1677">
        <v>1100.0436182594799</v>
      </c>
      <c r="M1677">
        <v>19.5306800410427</v>
      </c>
      <c r="N1677">
        <v>56.581887720575601</v>
      </c>
      <c r="O1677">
        <v>55.743362793283602</v>
      </c>
      <c r="P1677">
        <v>-8.3863165287423297E-2</v>
      </c>
      <c r="Q1677">
        <v>4.2604206815541203E-2</v>
      </c>
      <c r="R1677">
        <v>0.99348112424537605</v>
      </c>
      <c r="S1677" t="s">
        <v>6417</v>
      </c>
      <c r="T1677" t="s">
        <v>9478</v>
      </c>
      <c r="U1677" t="s">
        <v>9478</v>
      </c>
      <c r="V1677" t="s">
        <v>9478</v>
      </c>
      <c r="W1677">
        <v>10</v>
      </c>
      <c r="X1677" t="s">
        <v>11155</v>
      </c>
      <c r="Y1677">
        <v>0.57608720953790116</v>
      </c>
      <c r="Z1677" t="str">
        <f>HYPERLINK("Melting_Curves/meltCurve_sp_Q05048_CSTF1_HUMAN_.pdf", "Melting_Curves/meltCurve_sp_Q05048_CSTF1_HUMAN_.pdf")</f>
        <v>Melting_Curves/meltCurve_sp_Q05048_CSTF1_HUMAN_.pdf</v>
      </c>
      <c r="AA1677" t="s">
        <v>15867</v>
      </c>
      <c r="AB1677" t="s">
        <v>20511</v>
      </c>
    </row>
    <row r="1678" spans="1:28" x14ac:dyDescent="0.25">
      <c r="A1678" t="s">
        <v>1682</v>
      </c>
      <c r="B1678">
        <v>0.99904790336628502</v>
      </c>
      <c r="C1678">
        <v>0.93033119684977195</v>
      </c>
      <c r="D1678">
        <v>0.903012247969603</v>
      </c>
      <c r="E1678">
        <v>0.77548360565073504</v>
      </c>
      <c r="F1678">
        <v>0.61886127246574196</v>
      </c>
      <c r="G1678">
        <v>0.27465290691821997</v>
      </c>
      <c r="H1678">
        <v>0.113700172693187</v>
      </c>
      <c r="I1678">
        <v>7.9659901577774195E-2</v>
      </c>
      <c r="J1678">
        <v>5.8826250033714701E-2</v>
      </c>
      <c r="K1678">
        <v>5.8087167808663798E-2</v>
      </c>
      <c r="L1678">
        <v>883.64518868724497</v>
      </c>
      <c r="M1678">
        <v>16.409004413070399</v>
      </c>
      <c r="N1678">
        <v>53.949137490207399</v>
      </c>
      <c r="O1678">
        <v>53.070508416537201</v>
      </c>
      <c r="P1678">
        <v>-7.6169688869457394E-2</v>
      </c>
      <c r="Q1678">
        <v>1.4668812578157799E-2</v>
      </c>
      <c r="R1678">
        <v>0.99399441427070501</v>
      </c>
      <c r="S1678" t="s">
        <v>6418</v>
      </c>
      <c r="T1678" t="s">
        <v>9478</v>
      </c>
      <c r="U1678" t="s">
        <v>9478</v>
      </c>
      <c r="V1678" t="s">
        <v>9478</v>
      </c>
      <c r="W1678">
        <v>24</v>
      </c>
      <c r="X1678" t="s">
        <v>11156</v>
      </c>
      <c r="Y1678">
        <v>0.48769592662275602</v>
      </c>
      <c r="Z1678" t="str">
        <f>HYPERLINK("Melting_Curves/meltCurve_sp_Q05086_3_UBE3A_HUMAN_.pdf", "Melting_Curves/meltCurve_sp_Q05086_3_UBE3A_HUMAN_.pdf")</f>
        <v>Melting_Curves/meltCurve_sp_Q05086_3_UBE3A_HUMAN_.pdf</v>
      </c>
      <c r="AA1678" t="s">
        <v>15868</v>
      </c>
      <c r="AB1678" t="s">
        <v>20512</v>
      </c>
    </row>
    <row r="1679" spans="1:28" x14ac:dyDescent="0.25">
      <c r="A1679" t="s">
        <v>1683</v>
      </c>
      <c r="B1679">
        <v>0.99904790336628502</v>
      </c>
      <c r="C1679">
        <v>0.95834679855310201</v>
      </c>
      <c r="D1679">
        <v>0.89399024070785604</v>
      </c>
      <c r="E1679">
        <v>0.89962730621725495</v>
      </c>
      <c r="F1679">
        <v>0.72865519070106199</v>
      </c>
      <c r="G1679">
        <v>0.54144455594605501</v>
      </c>
      <c r="H1679">
        <v>0.49968031015470998</v>
      </c>
      <c r="I1679">
        <v>0.41495307944590598</v>
      </c>
      <c r="J1679">
        <v>0.32201753181067799</v>
      </c>
      <c r="K1679">
        <v>0.43043794644165501</v>
      </c>
      <c r="L1679">
        <v>759.04306790634803</v>
      </c>
      <c r="M1679">
        <v>13.9739972434833</v>
      </c>
      <c r="N1679">
        <v>59.389073761849801</v>
      </c>
      <c r="O1679">
        <v>53.242145257421697</v>
      </c>
      <c r="P1679">
        <v>-4.2762816350477802E-2</v>
      </c>
      <c r="Q1679">
        <v>0.34836675446802201</v>
      </c>
      <c r="R1679">
        <v>0.97192520130103899</v>
      </c>
      <c r="S1679" t="s">
        <v>6419</v>
      </c>
      <c r="T1679" t="s">
        <v>9478</v>
      </c>
      <c r="U1679" t="s">
        <v>9478</v>
      </c>
      <c r="V1679" t="s">
        <v>9478</v>
      </c>
      <c r="W1679">
        <v>3</v>
      </c>
      <c r="X1679" t="s">
        <v>11157</v>
      </c>
      <c r="Y1679">
        <v>0.67360632481158644</v>
      </c>
      <c r="Z1679" t="str">
        <f>HYPERLINK("Melting_Curves/meltCurve_sp_Q05209_PTN12_HUMAN_.pdf", "Melting_Curves/meltCurve_sp_Q05209_PTN12_HUMAN_.pdf")</f>
        <v>Melting_Curves/meltCurve_sp_Q05209_PTN12_HUMAN_.pdf</v>
      </c>
      <c r="AA1679" t="s">
        <v>15869</v>
      </c>
      <c r="AB1679" t="s">
        <v>20513</v>
      </c>
    </row>
    <row r="1680" spans="1:28" x14ac:dyDescent="0.25">
      <c r="A1680" t="s">
        <v>1684</v>
      </c>
      <c r="B1680">
        <v>0.99904790336628502</v>
      </c>
      <c r="C1680">
        <v>0.96783907914384404</v>
      </c>
      <c r="D1680">
        <v>0.94862253066692803</v>
      </c>
      <c r="E1680">
        <v>0.78135098394460101</v>
      </c>
      <c r="F1680">
        <v>0.42682164130510802</v>
      </c>
      <c r="G1680">
        <v>0.151066194015368</v>
      </c>
      <c r="H1680">
        <v>6.4735997027424302E-2</v>
      </c>
      <c r="I1680">
        <v>4.3631913399625098E-2</v>
      </c>
      <c r="J1680">
        <v>3.5448120766493597E-2</v>
      </c>
      <c r="K1680">
        <v>4.0259530649000903E-2</v>
      </c>
      <c r="L1680">
        <v>1301.5830961956699</v>
      </c>
      <c r="M1680">
        <v>24.893323332767402</v>
      </c>
      <c r="N1680">
        <v>52.4431024709518</v>
      </c>
      <c r="O1680">
        <v>51.952512918318902</v>
      </c>
      <c r="P1680">
        <v>-0.115498035764389</v>
      </c>
      <c r="Q1680">
        <v>3.58328564601589E-2</v>
      </c>
      <c r="R1680">
        <v>0.99902649905873597</v>
      </c>
      <c r="S1680" t="s">
        <v>6420</v>
      </c>
      <c r="T1680" t="s">
        <v>9478</v>
      </c>
      <c r="U1680" t="s">
        <v>9478</v>
      </c>
      <c r="V1680" t="s">
        <v>9478</v>
      </c>
      <c r="W1680">
        <v>1</v>
      </c>
      <c r="X1680" t="s">
        <v>11158</v>
      </c>
      <c r="Y1680">
        <v>0.43960354786805739</v>
      </c>
      <c r="Z1680" t="str">
        <f>HYPERLINK("Melting_Curves/meltCurve_sp_Q05513_2_KPCZ_HUMAN_.pdf", "Melting_Curves/meltCurve_sp_Q05513_2_KPCZ_HUMAN_.pdf")</f>
        <v>Melting_Curves/meltCurve_sp_Q05513_2_KPCZ_HUMAN_.pdf</v>
      </c>
      <c r="AA1680" t="s">
        <v>15870</v>
      </c>
      <c r="AB1680" t="s">
        <v>20514</v>
      </c>
    </row>
    <row r="1681" spans="1:28" x14ac:dyDescent="0.25">
      <c r="A1681" t="s">
        <v>1685</v>
      </c>
      <c r="B1681">
        <v>0.99904790336628502</v>
      </c>
      <c r="C1681">
        <v>0.99774304782214096</v>
      </c>
      <c r="D1681">
        <v>0.96505825483583396</v>
      </c>
      <c r="E1681">
        <v>0.87458464345946896</v>
      </c>
      <c r="F1681">
        <v>0.82083333317777296</v>
      </c>
      <c r="G1681">
        <v>0.46638383050665699</v>
      </c>
      <c r="H1681">
        <v>0.36126815434990101</v>
      </c>
      <c r="I1681">
        <v>0.347016650310976</v>
      </c>
      <c r="J1681">
        <v>0.34885962136962201</v>
      </c>
      <c r="K1681">
        <v>0.29354943771507402</v>
      </c>
      <c r="L1681">
        <v>1290.0498021947401</v>
      </c>
      <c r="M1681">
        <v>23.6456618534562</v>
      </c>
      <c r="N1681">
        <v>56.932916431810497</v>
      </c>
      <c r="O1681">
        <v>54.171850832792103</v>
      </c>
      <c r="P1681">
        <v>-7.4907108643768205E-2</v>
      </c>
      <c r="Q1681">
        <v>0.31356738976531401</v>
      </c>
      <c r="R1681">
        <v>0.990027976367713</v>
      </c>
      <c r="S1681" t="s">
        <v>6421</v>
      </c>
      <c r="T1681" t="s">
        <v>9478</v>
      </c>
      <c r="U1681" t="s">
        <v>9478</v>
      </c>
      <c r="V1681" t="s">
        <v>9478</v>
      </c>
      <c r="W1681">
        <v>7</v>
      </c>
      <c r="X1681" t="s">
        <v>11159</v>
      </c>
      <c r="Y1681">
        <v>0.65367104496743167</v>
      </c>
      <c r="Z1681" t="str">
        <f>HYPERLINK("Melting_Curves/meltCurve_sp_Q05519_2_SRS11_HUMAN_.pdf", "Melting_Curves/meltCurve_sp_Q05519_2_SRS11_HUMAN_.pdf")</f>
        <v>Melting_Curves/meltCurve_sp_Q05519_2_SRS11_HUMAN_.pdf</v>
      </c>
      <c r="AA1681" t="s">
        <v>15871</v>
      </c>
      <c r="AB1681" t="s">
        <v>20515</v>
      </c>
    </row>
    <row r="1682" spans="1:28" x14ac:dyDescent="0.25">
      <c r="A1682" t="s">
        <v>1686</v>
      </c>
      <c r="B1682">
        <v>0.99904790336628502</v>
      </c>
      <c r="C1682">
        <v>0.890578088822645</v>
      </c>
      <c r="D1682">
        <v>0.99642794325253303</v>
      </c>
      <c r="E1682">
        <v>0.75987058930677098</v>
      </c>
      <c r="F1682">
        <v>0.36629366362011501</v>
      </c>
      <c r="G1682">
        <v>2.5275224576505401E-2</v>
      </c>
      <c r="H1682">
        <v>1.95165961568581E-2</v>
      </c>
      <c r="I1682">
        <v>1.2047730644586E-2</v>
      </c>
      <c r="J1682">
        <v>2.6550076608958102E-2</v>
      </c>
      <c r="K1682">
        <v>0</v>
      </c>
      <c r="L1682">
        <v>1634.20981769377</v>
      </c>
      <c r="M1682">
        <v>31.471843819295199</v>
      </c>
      <c r="N1682">
        <v>51.9421764745071</v>
      </c>
      <c r="O1682">
        <v>51.717813982752503</v>
      </c>
      <c r="P1682">
        <v>-0.151395625133696</v>
      </c>
      <c r="Q1682">
        <v>4.8495370673015499E-3</v>
      </c>
      <c r="R1682">
        <v>0.99222139584382596</v>
      </c>
      <c r="S1682" t="s">
        <v>6422</v>
      </c>
      <c r="T1682" t="s">
        <v>9478</v>
      </c>
      <c r="U1682" t="s">
        <v>9478</v>
      </c>
      <c r="V1682" t="s">
        <v>9478</v>
      </c>
      <c r="W1682">
        <v>13</v>
      </c>
      <c r="X1682" t="s">
        <v>11160</v>
      </c>
      <c r="Y1682">
        <v>0.40623199576970248</v>
      </c>
      <c r="Z1682" t="str">
        <f>HYPERLINK("Melting_Curves/meltCurve_sp_Q05639_EF1A2_HUMAN_.pdf", "Melting_Curves/meltCurve_sp_Q05639_EF1A2_HUMAN_.pdf")</f>
        <v>Melting_Curves/meltCurve_sp_Q05639_EF1A2_HUMAN_.pdf</v>
      </c>
      <c r="AA1682" t="s">
        <v>15872</v>
      </c>
      <c r="AB1682" t="s">
        <v>20516</v>
      </c>
    </row>
    <row r="1683" spans="1:28" x14ac:dyDescent="0.25">
      <c r="A1683" t="s">
        <v>1687</v>
      </c>
      <c r="B1683">
        <v>0.99904790336628502</v>
      </c>
      <c r="C1683">
        <v>0.99367793949522198</v>
      </c>
      <c r="D1683">
        <v>0.96900389377343299</v>
      </c>
      <c r="E1683">
        <v>0.98085572172301405</v>
      </c>
      <c r="F1683">
        <v>1.0517878779293801</v>
      </c>
      <c r="G1683">
        <v>0.82785489077117702</v>
      </c>
      <c r="H1683">
        <v>0.80084025847001095</v>
      </c>
      <c r="I1683">
        <v>0.81672323930120605</v>
      </c>
      <c r="J1683">
        <v>0.88173908305453896</v>
      </c>
      <c r="K1683">
        <v>0.95063564863670802</v>
      </c>
      <c r="L1683">
        <v>4766.6056624384501</v>
      </c>
      <c r="M1683">
        <v>86.5175694610016</v>
      </c>
      <c r="O1683">
        <v>55.064657721360199</v>
      </c>
      <c r="P1683">
        <v>-5.7042372517374901E-2</v>
      </c>
      <c r="Q1683">
        <v>0.85478007766707698</v>
      </c>
      <c r="R1683">
        <v>0.715602378482595</v>
      </c>
      <c r="S1683" t="s">
        <v>6423</v>
      </c>
      <c r="T1683" t="s">
        <v>9478</v>
      </c>
      <c r="U1683" t="s">
        <v>9478</v>
      </c>
      <c r="V1683" t="s">
        <v>9478</v>
      </c>
      <c r="W1683">
        <v>53</v>
      </c>
      <c r="X1683" t="s">
        <v>11161</v>
      </c>
      <c r="Y1683">
        <v>0.92796286688852159</v>
      </c>
      <c r="Z1683" t="str">
        <f>HYPERLINK("Melting_Curves/meltCurve_sp_Q05682_5_CALD1_HUMAN_.pdf", "Melting_Curves/meltCurve_sp_Q05682_5_CALD1_HUMAN_.pdf")</f>
        <v>Melting_Curves/meltCurve_sp_Q05682_5_CALD1_HUMAN_.pdf</v>
      </c>
      <c r="AA1683" t="s">
        <v>15873</v>
      </c>
      <c r="AB1683" t="s">
        <v>20517</v>
      </c>
    </row>
    <row r="1684" spans="1:28" x14ac:dyDescent="0.25">
      <c r="A1684" t="s">
        <v>1688</v>
      </c>
      <c r="B1684">
        <v>0.99904790336628502</v>
      </c>
      <c r="C1684">
        <v>0.96857051392744897</v>
      </c>
      <c r="D1684">
        <v>1.0221669918752201</v>
      </c>
      <c r="E1684">
        <v>0.85316511324181499</v>
      </c>
      <c r="F1684">
        <v>0.66363260204093499</v>
      </c>
      <c r="G1684">
        <v>0.43452692265828002</v>
      </c>
      <c r="H1684">
        <v>0.25320818453062</v>
      </c>
      <c r="I1684">
        <v>0.18591740716160399</v>
      </c>
      <c r="J1684">
        <v>0.14231298865258901</v>
      </c>
      <c r="K1684">
        <v>0.11003383653660199</v>
      </c>
      <c r="L1684">
        <v>896.25693875320906</v>
      </c>
      <c r="M1684">
        <v>16.277766563002899</v>
      </c>
      <c r="N1684">
        <v>55.777365813583103</v>
      </c>
      <c r="O1684">
        <v>54.2493135996991</v>
      </c>
      <c r="P1684">
        <v>-6.7935709056892099E-2</v>
      </c>
      <c r="Q1684">
        <v>9.4422367958839307E-2</v>
      </c>
      <c r="R1684">
        <v>0.99645149715747505</v>
      </c>
      <c r="S1684" t="s">
        <v>6424</v>
      </c>
      <c r="T1684" t="s">
        <v>9478</v>
      </c>
      <c r="U1684" t="s">
        <v>9478</v>
      </c>
      <c r="V1684" t="s">
        <v>9478</v>
      </c>
      <c r="W1684">
        <v>10</v>
      </c>
      <c r="X1684" t="s">
        <v>11162</v>
      </c>
      <c r="Y1684">
        <v>0.56489570361988184</v>
      </c>
      <c r="Z1684" t="str">
        <f>HYPERLINK("Melting_Curves/meltCurve_sp_Q06033_2_ITIH3_HUMAN_.pdf", "Melting_Curves/meltCurve_sp_Q06033_2_ITIH3_HUMAN_.pdf")</f>
        <v>Melting_Curves/meltCurve_sp_Q06033_2_ITIH3_HUMAN_.pdf</v>
      </c>
      <c r="AA1684" t="s">
        <v>15874</v>
      </c>
      <c r="AB1684" t="s">
        <v>20518</v>
      </c>
    </row>
    <row r="1685" spans="1:28" x14ac:dyDescent="0.25">
      <c r="A1685" t="s">
        <v>1689</v>
      </c>
      <c r="B1685">
        <v>0.99904790336628502</v>
      </c>
      <c r="C1685">
        <v>0.96535968804814698</v>
      </c>
      <c r="D1685">
        <v>0.96300412269889202</v>
      </c>
      <c r="E1685">
        <v>0.937452983173787</v>
      </c>
      <c r="F1685">
        <v>0.74609815137814905</v>
      </c>
      <c r="G1685">
        <v>0.16472160641775099</v>
      </c>
      <c r="H1685">
        <v>9.7082002500917294E-2</v>
      </c>
      <c r="I1685">
        <v>6.2943505084939497E-2</v>
      </c>
      <c r="J1685">
        <v>5.82913976836733E-2</v>
      </c>
      <c r="K1685">
        <v>6.0088501279460298E-2</v>
      </c>
      <c r="L1685">
        <v>2200.2571311841002</v>
      </c>
      <c r="M1685">
        <v>40.582898223327</v>
      </c>
      <c r="N1685">
        <v>54.400247146145198</v>
      </c>
      <c r="O1685">
        <v>54.085216908808199</v>
      </c>
      <c r="P1685">
        <v>-0.17556495540717701</v>
      </c>
      <c r="Q1685">
        <v>6.4093424744449207E-2</v>
      </c>
      <c r="R1685">
        <v>0.99749884616734696</v>
      </c>
      <c r="S1685" t="s">
        <v>6425</v>
      </c>
      <c r="T1685" t="s">
        <v>9478</v>
      </c>
      <c r="U1685" t="s">
        <v>9478</v>
      </c>
      <c r="V1685" t="s">
        <v>9478</v>
      </c>
      <c r="W1685">
        <v>29</v>
      </c>
      <c r="X1685" t="s">
        <v>11163</v>
      </c>
      <c r="Y1685">
        <v>0.51099926702601961</v>
      </c>
      <c r="Z1685" t="str">
        <f>HYPERLINK("Melting_Curves/meltCurve_sp_Q06124_2_PTN11_HUMAN_.pdf", "Melting_Curves/meltCurve_sp_Q06124_2_PTN11_HUMAN_.pdf")</f>
        <v>Melting_Curves/meltCurve_sp_Q06124_2_PTN11_HUMAN_.pdf</v>
      </c>
      <c r="AA1685" t="s">
        <v>15875</v>
      </c>
      <c r="AB1685" t="s">
        <v>20519</v>
      </c>
    </row>
    <row r="1686" spans="1:28" x14ac:dyDescent="0.25">
      <c r="A1686" t="s">
        <v>1690</v>
      </c>
      <c r="B1686">
        <v>0.99904790336628502</v>
      </c>
      <c r="C1686">
        <v>0.96003815329505504</v>
      </c>
      <c r="D1686">
        <v>1.0332622144093799</v>
      </c>
      <c r="E1686">
        <v>0.95086654341557797</v>
      </c>
      <c r="F1686">
        <v>0.87363168951827597</v>
      </c>
      <c r="G1686">
        <v>0.75671040540203505</v>
      </c>
      <c r="H1686">
        <v>0.55938319780491397</v>
      </c>
      <c r="I1686">
        <v>0.30233512206016799</v>
      </c>
      <c r="J1686">
        <v>6.4370724092125201E-2</v>
      </c>
      <c r="K1686">
        <v>4.4608929935519702E-2</v>
      </c>
      <c r="L1686">
        <v>1169.31751891108</v>
      </c>
      <c r="M1686">
        <v>19.209998150275599</v>
      </c>
      <c r="N1686">
        <v>60.8702598247936</v>
      </c>
      <c r="O1686">
        <v>60.222117005200403</v>
      </c>
      <c r="P1686">
        <v>-7.9749459691546107E-2</v>
      </c>
      <c r="Q1686">
        <v>0</v>
      </c>
      <c r="R1686">
        <v>0.98294014061365997</v>
      </c>
      <c r="S1686" t="s">
        <v>6426</v>
      </c>
      <c r="T1686" t="s">
        <v>9478</v>
      </c>
      <c r="U1686" t="s">
        <v>9478</v>
      </c>
      <c r="V1686" t="s">
        <v>9478</v>
      </c>
      <c r="W1686">
        <v>13</v>
      </c>
      <c r="X1686" t="s">
        <v>11164</v>
      </c>
      <c r="Y1686">
        <v>0.70188181472969879</v>
      </c>
      <c r="Z1686" t="str">
        <f>HYPERLINK("Melting_Curves/meltCurve_sp_Q06203_PUR1_HUMAN_.pdf", "Melting_Curves/meltCurve_sp_Q06203_PUR1_HUMAN_.pdf")</f>
        <v>Melting_Curves/meltCurve_sp_Q06203_PUR1_HUMAN_.pdf</v>
      </c>
      <c r="AA1686" t="s">
        <v>15876</v>
      </c>
      <c r="AB1686" t="s">
        <v>20520</v>
      </c>
    </row>
    <row r="1687" spans="1:28" x14ac:dyDescent="0.25">
      <c r="A1687" t="s">
        <v>1691</v>
      </c>
      <c r="B1687">
        <v>0.99904790336628502</v>
      </c>
      <c r="C1687">
        <v>0.99375255562620501</v>
      </c>
      <c r="D1687">
        <v>0.91463462993704803</v>
      </c>
      <c r="E1687">
        <v>0.35868772945982902</v>
      </c>
      <c r="F1687">
        <v>0.11580879626492099</v>
      </c>
      <c r="G1687">
        <v>6.1892873064278903E-2</v>
      </c>
      <c r="H1687">
        <v>3.2662905929244701E-2</v>
      </c>
      <c r="I1687">
        <v>2.05787291660357E-2</v>
      </c>
      <c r="J1687">
        <v>1.4376577128617901E-2</v>
      </c>
      <c r="K1687">
        <v>1.2958899137246399E-2</v>
      </c>
      <c r="L1687">
        <v>1632.3963189430599</v>
      </c>
      <c r="M1687">
        <v>33.268069930527801</v>
      </c>
      <c r="N1687">
        <v>49.151460934996003</v>
      </c>
      <c r="O1687">
        <v>48.891682706767902</v>
      </c>
      <c r="P1687">
        <v>-0.16543807403486899</v>
      </c>
      <c r="Q1687">
        <v>2.7474589822165801E-2</v>
      </c>
      <c r="R1687">
        <v>0.99918008161690797</v>
      </c>
      <c r="S1687" t="s">
        <v>6427</v>
      </c>
      <c r="T1687" t="s">
        <v>9478</v>
      </c>
      <c r="U1687" t="s">
        <v>9478</v>
      </c>
      <c r="V1687" t="s">
        <v>9478</v>
      </c>
      <c r="W1687">
        <v>28</v>
      </c>
      <c r="X1687" t="s">
        <v>11165</v>
      </c>
      <c r="Y1687">
        <v>0.32623531001566769</v>
      </c>
      <c r="Z1687" t="str">
        <f>HYPERLINK("Melting_Curves/meltCurve_sp_Q06210_2_GFPT1_HUMAN_.pdf", "Melting_Curves/meltCurve_sp_Q06210_2_GFPT1_HUMAN_.pdf")</f>
        <v>Melting_Curves/meltCurve_sp_Q06210_2_GFPT1_HUMAN_.pdf</v>
      </c>
      <c r="AA1687" t="s">
        <v>15877</v>
      </c>
      <c r="AB1687" t="s">
        <v>20521</v>
      </c>
    </row>
    <row r="1688" spans="1:28" x14ac:dyDescent="0.25">
      <c r="A1688" t="s">
        <v>1692</v>
      </c>
      <c r="B1688">
        <v>0.99904790336628502</v>
      </c>
      <c r="C1688">
        <v>1.04006054937795</v>
      </c>
      <c r="D1688">
        <v>0.98902178126818996</v>
      </c>
      <c r="E1688">
        <v>0.94595192218121604</v>
      </c>
      <c r="F1688">
        <v>0.84884601962626904</v>
      </c>
      <c r="G1688">
        <v>0.64410499280990396</v>
      </c>
      <c r="H1688">
        <v>0.41288993099350402</v>
      </c>
      <c r="I1688">
        <v>0.27381850135546898</v>
      </c>
      <c r="J1688">
        <v>0.14098356345664001</v>
      </c>
      <c r="K1688">
        <v>8.9156917523270998E-2</v>
      </c>
      <c r="L1688">
        <v>878.04672625761202</v>
      </c>
      <c r="M1688">
        <v>14.7793705334372</v>
      </c>
      <c r="N1688">
        <v>59.410292761854301</v>
      </c>
      <c r="O1688">
        <v>58.354420337300901</v>
      </c>
      <c r="P1688">
        <v>-6.3324049907024199E-2</v>
      </c>
      <c r="Q1688">
        <v>0</v>
      </c>
      <c r="R1688">
        <v>0.99790119223922302</v>
      </c>
      <c r="S1688" t="s">
        <v>6428</v>
      </c>
      <c r="T1688" t="s">
        <v>9478</v>
      </c>
      <c r="U1688" t="s">
        <v>9478</v>
      </c>
      <c r="V1688" t="s">
        <v>9478</v>
      </c>
      <c r="W1688">
        <v>5</v>
      </c>
      <c r="X1688" t="s">
        <v>11166</v>
      </c>
      <c r="Y1688">
        <v>0.65597235354600292</v>
      </c>
      <c r="Z1688" t="str">
        <f>HYPERLINK("Melting_Curves/meltCurve_sp_Q06265_EXOS9_HUMAN_.pdf", "Melting_Curves/meltCurve_sp_Q06265_EXOS9_HUMAN_.pdf")</f>
        <v>Melting_Curves/meltCurve_sp_Q06265_EXOS9_HUMAN_.pdf</v>
      </c>
      <c r="AA1688" t="s">
        <v>15878</v>
      </c>
      <c r="AB1688" t="s">
        <v>20522</v>
      </c>
    </row>
    <row r="1689" spans="1:28" x14ac:dyDescent="0.25">
      <c r="A1689" t="s">
        <v>1693</v>
      </c>
      <c r="B1689">
        <v>0.99904790336628502</v>
      </c>
      <c r="C1689">
        <v>1.09413927300984</v>
      </c>
      <c r="D1689">
        <v>1.12590946233926</v>
      </c>
      <c r="E1689">
        <v>1.08683823295878</v>
      </c>
      <c r="F1689">
        <v>0.91125113785572398</v>
      </c>
      <c r="G1689">
        <v>0.83019913639920995</v>
      </c>
      <c r="H1689">
        <v>0.59890711895795601</v>
      </c>
      <c r="I1689">
        <v>0.54694418877477002</v>
      </c>
      <c r="J1689">
        <v>0.334912407544458</v>
      </c>
      <c r="K1689">
        <v>0.22323865155523301</v>
      </c>
      <c r="L1689">
        <v>911.60487105836296</v>
      </c>
      <c r="M1689">
        <v>14.390338229247</v>
      </c>
      <c r="N1689">
        <v>63.722931835512398</v>
      </c>
      <c r="O1689">
        <v>62.1627512234557</v>
      </c>
      <c r="P1689">
        <v>-5.55334184502215E-2</v>
      </c>
      <c r="Q1689">
        <v>4.0550820433567801E-2</v>
      </c>
      <c r="R1689">
        <v>0.95356837320760501</v>
      </c>
      <c r="S1689" t="s">
        <v>6429</v>
      </c>
      <c r="T1689" t="s">
        <v>9478</v>
      </c>
      <c r="U1689" t="s">
        <v>9478</v>
      </c>
      <c r="V1689" t="s">
        <v>9478</v>
      </c>
      <c r="W1689">
        <v>79</v>
      </c>
      <c r="X1689" t="s">
        <v>11167</v>
      </c>
      <c r="Y1689">
        <v>0.77437962660918913</v>
      </c>
      <c r="Z1689" t="str">
        <f>HYPERLINK("Melting_Curves/meltCurve_sp_Q06278_ADO_HUMAN_.pdf", "Melting_Curves/meltCurve_sp_Q06278_ADO_HUMAN_.pdf")</f>
        <v>Melting_Curves/meltCurve_sp_Q06278_ADO_HUMAN_.pdf</v>
      </c>
      <c r="AA1689" t="s">
        <v>15879</v>
      </c>
      <c r="AB1689" t="s">
        <v>20523</v>
      </c>
    </row>
    <row r="1690" spans="1:28" x14ac:dyDescent="0.25">
      <c r="A1690" t="s">
        <v>1694</v>
      </c>
      <c r="B1690">
        <v>0.99904790336628502</v>
      </c>
      <c r="C1690">
        <v>1.04465702449883</v>
      </c>
      <c r="D1690">
        <v>1.05942055866899</v>
      </c>
      <c r="E1690">
        <v>0.98279055930887205</v>
      </c>
      <c r="F1690">
        <v>0.94375170741011805</v>
      </c>
      <c r="G1690">
        <v>0.74736963724364402</v>
      </c>
      <c r="H1690">
        <v>0.60095826469325497</v>
      </c>
      <c r="I1690">
        <v>0.51265505794683697</v>
      </c>
      <c r="J1690">
        <v>0.42791634313350002</v>
      </c>
      <c r="K1690">
        <v>0.31034172918709202</v>
      </c>
      <c r="L1690">
        <v>876.436116741668</v>
      </c>
      <c r="M1690">
        <v>14.4356201925467</v>
      </c>
      <c r="N1690">
        <v>63.678631218108201</v>
      </c>
      <c r="O1690">
        <v>59.584000928681903</v>
      </c>
      <c r="P1690">
        <v>-4.5752298886035499E-2</v>
      </c>
      <c r="Q1690">
        <v>0.244705805981355</v>
      </c>
      <c r="R1690">
        <v>0.98361573036046701</v>
      </c>
      <c r="S1690" t="s">
        <v>6430</v>
      </c>
      <c r="T1690" t="s">
        <v>9478</v>
      </c>
      <c r="U1690" t="s">
        <v>9478</v>
      </c>
      <c r="V1690" t="s">
        <v>9478</v>
      </c>
      <c r="W1690">
        <v>17</v>
      </c>
      <c r="X1690" t="s">
        <v>11168</v>
      </c>
      <c r="Y1690">
        <v>0.76850827008377975</v>
      </c>
      <c r="Z1690" t="str">
        <f>HYPERLINK("Melting_Curves/meltCurve_sp_Q06323_PSME1_HUMAN_.pdf", "Melting_Curves/meltCurve_sp_Q06323_PSME1_HUMAN_.pdf")</f>
        <v>Melting_Curves/meltCurve_sp_Q06323_PSME1_HUMAN_.pdf</v>
      </c>
      <c r="AA1690" t="s">
        <v>15880</v>
      </c>
      <c r="AB1690" t="s">
        <v>20524</v>
      </c>
    </row>
    <row r="1691" spans="1:28" x14ac:dyDescent="0.25">
      <c r="A1691" t="s">
        <v>1695</v>
      </c>
      <c r="B1691">
        <v>0.99904790336628502</v>
      </c>
      <c r="C1691">
        <v>0.78949438047319698</v>
      </c>
      <c r="D1691">
        <v>0.73759266138178903</v>
      </c>
      <c r="E1691">
        <v>0.360220029633876</v>
      </c>
      <c r="F1691">
        <v>0.10548025053863</v>
      </c>
      <c r="G1691">
        <v>5.9586599679210601E-2</v>
      </c>
      <c r="H1691">
        <v>3.2944481117414499E-2</v>
      </c>
      <c r="I1691">
        <v>2.1446794246106501E-2</v>
      </c>
      <c r="J1691">
        <v>1.6927397329094401E-2</v>
      </c>
      <c r="K1691">
        <v>1.5906973507356301E-2</v>
      </c>
      <c r="L1691">
        <v>836.39453444526498</v>
      </c>
      <c r="M1691">
        <v>17.414911549663302</v>
      </c>
      <c r="N1691">
        <v>48.039715002295701</v>
      </c>
      <c r="O1691">
        <v>47.407630744247903</v>
      </c>
      <c r="P1691">
        <v>-9.1638331301370196E-2</v>
      </c>
      <c r="Q1691">
        <v>2.20865002098403E-3</v>
      </c>
      <c r="R1691">
        <v>0.98638541379254596</v>
      </c>
      <c r="S1691" t="s">
        <v>6431</v>
      </c>
      <c r="T1691" t="s">
        <v>9478</v>
      </c>
      <c r="U1691" t="s">
        <v>9478</v>
      </c>
      <c r="V1691" t="s">
        <v>9478</v>
      </c>
      <c r="W1691">
        <v>16</v>
      </c>
      <c r="X1691" t="s">
        <v>11169</v>
      </c>
      <c r="Y1691">
        <v>0.28814717816061808</v>
      </c>
      <c r="Z1691" t="str">
        <f>HYPERLINK("Melting_Curves/meltCurve_sp_Q06520_ST2A1_HUMAN_.pdf", "Melting_Curves/meltCurve_sp_Q06520_ST2A1_HUMAN_.pdf")</f>
        <v>Melting_Curves/meltCurve_sp_Q06520_ST2A1_HUMAN_.pdf</v>
      </c>
      <c r="AA1691" t="s">
        <v>15881</v>
      </c>
      <c r="AB1691" t="s">
        <v>20525</v>
      </c>
    </row>
    <row r="1692" spans="1:28" x14ac:dyDescent="0.25">
      <c r="A1692" t="s">
        <v>1696</v>
      </c>
      <c r="B1692">
        <v>0.99904790336628502</v>
      </c>
      <c r="C1692">
        <v>0.91463191342960604</v>
      </c>
      <c r="D1692">
        <v>0.87741720007042301</v>
      </c>
      <c r="E1692">
        <v>0.80445186955544501</v>
      </c>
      <c r="F1692">
        <v>0.68861964780992402</v>
      </c>
      <c r="G1692">
        <v>0.43972226371287398</v>
      </c>
      <c r="H1692">
        <v>0.23413861703603001</v>
      </c>
      <c r="I1692">
        <v>0.16585074823047499</v>
      </c>
      <c r="J1692">
        <v>0.14124399789055</v>
      </c>
      <c r="K1692">
        <v>0.11270163455411</v>
      </c>
      <c r="L1692">
        <v>654.39278702578395</v>
      </c>
      <c r="M1692">
        <v>11.7552503151383</v>
      </c>
      <c r="N1692">
        <v>55.761397111907598</v>
      </c>
      <c r="O1692">
        <v>54.130392322063202</v>
      </c>
      <c r="P1692">
        <v>-5.3776816888907598E-2</v>
      </c>
      <c r="Q1692">
        <v>9.7359745575532394E-3</v>
      </c>
      <c r="R1692">
        <v>0.99168980624684999</v>
      </c>
      <c r="S1692" t="s">
        <v>6432</v>
      </c>
      <c r="T1692" t="s">
        <v>9478</v>
      </c>
      <c r="U1692" t="s">
        <v>9478</v>
      </c>
      <c r="V1692" t="s">
        <v>9478</v>
      </c>
      <c r="W1692">
        <v>4</v>
      </c>
      <c r="X1692" t="s">
        <v>11170</v>
      </c>
      <c r="Y1692">
        <v>0.54837590141534931</v>
      </c>
      <c r="Z1692" t="str">
        <f>HYPERLINK("Melting_Curves/meltCurve_sp_Q06546_GABPA_HUMAN_.pdf", "Melting_Curves/meltCurve_sp_Q06546_GABPA_HUMAN_.pdf")</f>
        <v>Melting_Curves/meltCurve_sp_Q06546_GABPA_HUMAN_.pdf</v>
      </c>
      <c r="AA1692" t="s">
        <v>15882</v>
      </c>
      <c r="AB1692" t="s">
        <v>20526</v>
      </c>
    </row>
    <row r="1693" spans="1:28" x14ac:dyDescent="0.25">
      <c r="A1693" t="s">
        <v>1697</v>
      </c>
      <c r="B1693">
        <v>0.99904790336628502</v>
      </c>
      <c r="C1693">
        <v>1.0471879348819599</v>
      </c>
      <c r="D1693">
        <v>1.10688727976697</v>
      </c>
      <c r="E1693">
        <v>1.04900205449947</v>
      </c>
      <c r="F1693">
        <v>0.899868047648261</v>
      </c>
      <c r="G1693">
        <v>0.78782321087054297</v>
      </c>
      <c r="H1693">
        <v>0.66615619813947002</v>
      </c>
      <c r="I1693">
        <v>0.61409412007677899</v>
      </c>
      <c r="J1693">
        <v>0.60493173764464703</v>
      </c>
      <c r="K1693">
        <v>0.44118905791711699</v>
      </c>
      <c r="L1693">
        <v>922.48948747142799</v>
      </c>
      <c r="M1693">
        <v>15.511133251263299</v>
      </c>
      <c r="O1693">
        <v>58.510524932649901</v>
      </c>
      <c r="P1693">
        <v>-3.5983924044518202E-2</v>
      </c>
      <c r="Q1693">
        <v>0.45709916935918499</v>
      </c>
      <c r="R1693">
        <v>0.93427062334689104</v>
      </c>
      <c r="S1693" t="s">
        <v>6433</v>
      </c>
      <c r="T1693" t="s">
        <v>9478</v>
      </c>
      <c r="U1693" t="s">
        <v>9478</v>
      </c>
      <c r="V1693" t="s">
        <v>9478</v>
      </c>
      <c r="W1693">
        <v>6</v>
      </c>
      <c r="X1693" t="s">
        <v>11171</v>
      </c>
      <c r="Y1693">
        <v>0.814442973549519</v>
      </c>
      <c r="Z1693" t="str">
        <f>HYPERLINK("Melting_Curves/meltCurve_sp_Q07021_C1QBP_HUMAN_.pdf", "Melting_Curves/meltCurve_sp_Q07021_C1QBP_HUMAN_.pdf")</f>
        <v>Melting_Curves/meltCurve_sp_Q07021_C1QBP_HUMAN_.pdf</v>
      </c>
      <c r="AA1693" t="s">
        <v>15883</v>
      </c>
      <c r="AB1693" t="s">
        <v>20527</v>
      </c>
    </row>
    <row r="1694" spans="1:28" x14ac:dyDescent="0.25">
      <c r="A1694" t="s">
        <v>1698</v>
      </c>
      <c r="B1694">
        <v>0.99904790336628502</v>
      </c>
      <c r="C1694">
        <v>1.0329749612984001</v>
      </c>
      <c r="D1694">
        <v>1.02312322603652</v>
      </c>
      <c r="E1694">
        <v>1.00104909437818</v>
      </c>
      <c r="F1694">
        <v>0.804660843961155</v>
      </c>
      <c r="G1694">
        <v>0.79235240108383198</v>
      </c>
      <c r="H1694">
        <v>0.54517131050453205</v>
      </c>
      <c r="I1694">
        <v>0.435787584809677</v>
      </c>
      <c r="J1694">
        <v>0.32423366850865099</v>
      </c>
      <c r="K1694">
        <v>0.25863104632629103</v>
      </c>
      <c r="L1694">
        <v>786.208487914231</v>
      </c>
      <c r="M1694">
        <v>12.869648726348199</v>
      </c>
      <c r="N1694">
        <v>62.323952271695497</v>
      </c>
      <c r="O1694">
        <v>59.6715537936361</v>
      </c>
      <c r="P1694">
        <v>-4.7864001784323797E-2</v>
      </c>
      <c r="Q1694">
        <v>0.112456411332183</v>
      </c>
      <c r="R1694">
        <v>0.98239305540279798</v>
      </c>
      <c r="S1694" t="s">
        <v>6434</v>
      </c>
      <c r="T1694" t="s">
        <v>9478</v>
      </c>
      <c r="U1694" t="s">
        <v>9478</v>
      </c>
      <c r="V1694" t="s">
        <v>9478</v>
      </c>
      <c r="W1694">
        <v>4</v>
      </c>
      <c r="X1694" t="s">
        <v>11172</v>
      </c>
      <c r="Y1694">
        <v>0.73449934325832422</v>
      </c>
      <c r="Z1694" t="str">
        <f>HYPERLINK("Melting_Curves/meltCurve_sp_Q07075_AMPE_HUMAN_.pdf", "Melting_Curves/meltCurve_sp_Q07075_AMPE_HUMAN_.pdf")</f>
        <v>Melting_Curves/meltCurve_sp_Q07075_AMPE_HUMAN_.pdf</v>
      </c>
      <c r="AA1694" t="s">
        <v>15884</v>
      </c>
      <c r="AB1694" t="s">
        <v>20528</v>
      </c>
    </row>
    <row r="1695" spans="1:28" x14ac:dyDescent="0.25">
      <c r="A1695" t="s">
        <v>1699</v>
      </c>
      <c r="B1695">
        <v>0.99904790336628502</v>
      </c>
      <c r="C1695">
        <v>0.99378494145732099</v>
      </c>
      <c r="D1695">
        <v>0.94251692037178503</v>
      </c>
      <c r="E1695">
        <v>0.87955620385134903</v>
      </c>
      <c r="F1695">
        <v>0.78665956636146805</v>
      </c>
      <c r="G1695">
        <v>0.56732065984658697</v>
      </c>
      <c r="H1695">
        <v>0.453369483790725</v>
      </c>
      <c r="I1695">
        <v>0.39625835018664701</v>
      </c>
      <c r="J1695">
        <v>0.39353792518230701</v>
      </c>
      <c r="K1695">
        <v>0.36560436722726097</v>
      </c>
      <c r="L1695">
        <v>875.18939519790501</v>
      </c>
      <c r="M1695">
        <v>15.9430628721276</v>
      </c>
      <c r="N1695">
        <v>59.253373373639597</v>
      </c>
      <c r="O1695">
        <v>54.052833162270701</v>
      </c>
      <c r="P1695">
        <v>-4.8284291194762498E-2</v>
      </c>
      <c r="Q1695">
        <v>0.34524648538418001</v>
      </c>
      <c r="R1695">
        <v>0.997142046236419</v>
      </c>
      <c r="S1695" t="s">
        <v>6435</v>
      </c>
      <c r="T1695" t="s">
        <v>9478</v>
      </c>
      <c r="U1695" t="s">
        <v>9478</v>
      </c>
      <c r="V1695" t="s">
        <v>9478</v>
      </c>
      <c r="W1695">
        <v>37</v>
      </c>
      <c r="X1695" t="s">
        <v>11173</v>
      </c>
      <c r="Y1695">
        <v>0.68219567900223566</v>
      </c>
      <c r="Z1695" t="str">
        <f>HYPERLINK("Melting_Curves/meltCurve_sp_Q07157_ZO1_HUMAN_.pdf", "Melting_Curves/meltCurve_sp_Q07157_ZO1_HUMAN_.pdf")</f>
        <v>Melting_Curves/meltCurve_sp_Q07157_ZO1_HUMAN_.pdf</v>
      </c>
      <c r="AA1695" t="s">
        <v>15885</v>
      </c>
      <c r="AB1695" t="s">
        <v>20529</v>
      </c>
    </row>
    <row r="1696" spans="1:28" x14ac:dyDescent="0.25">
      <c r="A1696" t="s">
        <v>1700</v>
      </c>
      <c r="B1696">
        <v>0.99904790336628502</v>
      </c>
      <c r="C1696">
        <v>1.0024607660875899</v>
      </c>
      <c r="D1696">
        <v>1.09477814930268</v>
      </c>
      <c r="E1696">
        <v>1.0528727944685401</v>
      </c>
      <c r="F1696">
        <v>0.81441134656101799</v>
      </c>
      <c r="G1696">
        <v>0.65359195400096703</v>
      </c>
      <c r="H1696">
        <v>0.77443406741757104</v>
      </c>
      <c r="I1696">
        <v>0.67311705683660705</v>
      </c>
      <c r="J1696">
        <v>0.48035725142000202</v>
      </c>
      <c r="K1696">
        <v>0.26102948726353198</v>
      </c>
      <c r="L1696">
        <v>632.587707276674</v>
      </c>
      <c r="M1696">
        <v>9.6005741274493595</v>
      </c>
      <c r="N1696">
        <v>65.890608647778905</v>
      </c>
      <c r="O1696">
        <v>63.222115691359697</v>
      </c>
      <c r="P1696">
        <v>-3.7985242453787399E-2</v>
      </c>
      <c r="Q1696">
        <v>0</v>
      </c>
      <c r="R1696">
        <v>0.86695709341107396</v>
      </c>
      <c r="S1696" t="s">
        <v>6436</v>
      </c>
      <c r="T1696" t="s">
        <v>9478</v>
      </c>
      <c r="U1696" t="s">
        <v>9478</v>
      </c>
      <c r="V1696" t="s">
        <v>9478</v>
      </c>
      <c r="W1696">
        <v>1</v>
      </c>
      <c r="X1696" t="s">
        <v>11174</v>
      </c>
      <c r="Y1696">
        <v>0.79305285099264444</v>
      </c>
      <c r="Z1696" t="str">
        <f>HYPERLINK("Melting_Curves/meltCurve_sp_Q07283_TRHY_HUMAN_.pdf", "Melting_Curves/meltCurve_sp_Q07283_TRHY_HUMAN_.pdf")</f>
        <v>Melting_Curves/meltCurve_sp_Q07283_TRHY_HUMAN_.pdf</v>
      </c>
      <c r="AA1696" t="s">
        <v>15886</v>
      </c>
      <c r="AB1696" t="s">
        <v>20530</v>
      </c>
    </row>
    <row r="1697" spans="1:28" x14ac:dyDescent="0.25">
      <c r="A1697" t="s">
        <v>1701</v>
      </c>
      <c r="B1697">
        <v>0.99904790336628502</v>
      </c>
      <c r="C1697">
        <v>0.96874607925991296</v>
      </c>
      <c r="D1697">
        <v>0.91749244861111001</v>
      </c>
      <c r="E1697">
        <v>0.683767092835737</v>
      </c>
      <c r="F1697">
        <v>0.26317458683399603</v>
      </c>
      <c r="G1697">
        <v>0.11616277485387599</v>
      </c>
      <c r="H1697">
        <v>6.2736698330347604E-2</v>
      </c>
      <c r="I1697">
        <v>6.0751096288424199E-2</v>
      </c>
      <c r="J1697">
        <v>4.4135911493774202E-2</v>
      </c>
      <c r="K1697">
        <v>3.3295718807715501E-2</v>
      </c>
      <c r="L1697">
        <v>1453.98159490694</v>
      </c>
      <c r="M1697">
        <v>28.506007429187999</v>
      </c>
      <c r="N1697">
        <v>51.190754753739398</v>
      </c>
      <c r="O1697">
        <v>50.757110153038397</v>
      </c>
      <c r="P1697">
        <v>-0.133546988661955</v>
      </c>
      <c r="Q1697">
        <v>4.8845416885865897E-2</v>
      </c>
      <c r="R1697">
        <v>0.99700964065596598</v>
      </c>
      <c r="S1697" t="s">
        <v>6437</v>
      </c>
      <c r="T1697" t="s">
        <v>9478</v>
      </c>
      <c r="U1697" t="s">
        <v>9478</v>
      </c>
      <c r="V1697" t="s">
        <v>9478</v>
      </c>
      <c r="W1697">
        <v>8</v>
      </c>
      <c r="X1697" t="s">
        <v>11175</v>
      </c>
      <c r="Y1697">
        <v>0.40442111273655251</v>
      </c>
      <c r="Z1697" t="str">
        <f>HYPERLINK("Melting_Curves/meltCurve_sp_Q07666_KHDR1_HUMAN_.pdf", "Melting_Curves/meltCurve_sp_Q07666_KHDR1_HUMAN_.pdf")</f>
        <v>Melting_Curves/meltCurve_sp_Q07666_KHDR1_HUMAN_.pdf</v>
      </c>
      <c r="AA1697" t="s">
        <v>15887</v>
      </c>
      <c r="AB1697" t="s">
        <v>20531</v>
      </c>
    </row>
    <row r="1698" spans="1:28" x14ac:dyDescent="0.25">
      <c r="A1698" t="s">
        <v>1702</v>
      </c>
      <c r="B1698">
        <v>0.99904790336628502</v>
      </c>
      <c r="C1698">
        <v>0.99491102929483199</v>
      </c>
      <c r="D1698">
        <v>0.95566020058809298</v>
      </c>
      <c r="E1698">
        <v>0.90498891365179102</v>
      </c>
      <c r="F1698">
        <v>0.78091883483580304</v>
      </c>
      <c r="G1698">
        <v>0.56084176889110704</v>
      </c>
      <c r="H1698">
        <v>0.51364046369262095</v>
      </c>
      <c r="I1698">
        <v>0.51613951352665199</v>
      </c>
      <c r="J1698">
        <v>0.52099906499520998</v>
      </c>
      <c r="K1698">
        <v>0.48154078980873599</v>
      </c>
      <c r="L1698">
        <v>1288.68830195342</v>
      </c>
      <c r="M1698">
        <v>24.205467106482001</v>
      </c>
      <c r="N1698">
        <v>67.062289644577902</v>
      </c>
      <c r="O1698">
        <v>52.880168341134798</v>
      </c>
      <c r="P1698">
        <v>-5.7608339921994697E-2</v>
      </c>
      <c r="Q1698">
        <v>0.496594362601115</v>
      </c>
      <c r="R1698">
        <v>0.99373206454334295</v>
      </c>
      <c r="S1698" t="s">
        <v>6438</v>
      </c>
      <c r="T1698" t="s">
        <v>9478</v>
      </c>
      <c r="U1698" t="s">
        <v>9478</v>
      </c>
      <c r="V1698" t="s">
        <v>9478</v>
      </c>
      <c r="W1698">
        <v>10</v>
      </c>
      <c r="X1698" t="s">
        <v>11176</v>
      </c>
      <c r="Y1698">
        <v>0.72368545238657833</v>
      </c>
      <c r="Z1698" t="str">
        <f>HYPERLINK("Melting_Curves/meltCurve_sp_Q07812_5_BAX_HUMAN_.pdf", "Melting_Curves/meltCurve_sp_Q07812_5_BAX_HUMAN_.pdf")</f>
        <v>Melting_Curves/meltCurve_sp_Q07812_5_BAX_HUMAN_.pdf</v>
      </c>
      <c r="AA1698" t="s">
        <v>15888</v>
      </c>
      <c r="AB1698" t="s">
        <v>20532</v>
      </c>
    </row>
    <row r="1699" spans="1:28" x14ac:dyDescent="0.25">
      <c r="A1699" t="s">
        <v>1703</v>
      </c>
      <c r="B1699">
        <v>0.99904790336628502</v>
      </c>
      <c r="C1699">
        <v>0.96543820168996897</v>
      </c>
      <c r="D1699">
        <v>0.97434015881174396</v>
      </c>
      <c r="E1699">
        <v>0.88901502868769899</v>
      </c>
      <c r="F1699">
        <v>0.87696303044766599</v>
      </c>
      <c r="G1699">
        <v>0.64437743704287898</v>
      </c>
      <c r="H1699">
        <v>0.51842210924144205</v>
      </c>
      <c r="I1699">
        <v>0.44205793402800397</v>
      </c>
      <c r="J1699">
        <v>0.40249427477176702</v>
      </c>
      <c r="K1699">
        <v>0.37047707470142899</v>
      </c>
      <c r="L1699">
        <v>822.11529640088497</v>
      </c>
      <c r="M1699">
        <v>14.4144523727273</v>
      </c>
      <c r="N1699">
        <v>61.5825669590131</v>
      </c>
      <c r="O1699">
        <v>55.970069348606401</v>
      </c>
      <c r="P1699">
        <v>-4.3298932824708002E-2</v>
      </c>
      <c r="Q1699">
        <v>0.32757518005861302</v>
      </c>
      <c r="R1699">
        <v>0.992620320364488</v>
      </c>
      <c r="S1699" t="s">
        <v>6439</v>
      </c>
      <c r="T1699" t="s">
        <v>9478</v>
      </c>
      <c r="U1699" t="s">
        <v>9478</v>
      </c>
      <c r="V1699" t="s">
        <v>9478</v>
      </c>
      <c r="W1699">
        <v>3</v>
      </c>
      <c r="X1699" t="s">
        <v>11177</v>
      </c>
      <c r="Y1699">
        <v>0.72018546739533662</v>
      </c>
      <c r="Z1699" t="str">
        <f>HYPERLINK("Melting_Curves/meltCurve_sp_Q07820_MCL1_HUMAN_.pdf", "Melting_Curves/meltCurve_sp_Q07820_MCL1_HUMAN_.pdf")</f>
        <v>Melting_Curves/meltCurve_sp_Q07820_MCL1_HUMAN_.pdf</v>
      </c>
      <c r="AA1699" t="s">
        <v>15889</v>
      </c>
      <c r="AB1699" t="s">
        <v>20533</v>
      </c>
    </row>
    <row r="1700" spans="1:28" x14ac:dyDescent="0.25">
      <c r="A1700" t="s">
        <v>1704</v>
      </c>
      <c r="B1700">
        <v>0.99904790336628502</v>
      </c>
      <c r="C1700">
        <v>0.977320890763411</v>
      </c>
      <c r="D1700">
        <v>0.93849182082987104</v>
      </c>
      <c r="E1700">
        <v>0.97630488729871401</v>
      </c>
      <c r="F1700">
        <v>1.0638277378207801</v>
      </c>
      <c r="G1700">
        <v>0.91041183110471702</v>
      </c>
      <c r="H1700">
        <v>0.85058745378411205</v>
      </c>
      <c r="I1700">
        <v>0.82930271036410996</v>
      </c>
      <c r="J1700">
        <v>0.808655968670702</v>
      </c>
      <c r="K1700">
        <v>0.99281319651489497</v>
      </c>
      <c r="L1700">
        <v>14204.140913662201</v>
      </c>
      <c r="M1700">
        <v>250</v>
      </c>
      <c r="O1700">
        <v>56.812925823801599</v>
      </c>
      <c r="P1700">
        <v>-0.14263937575442701</v>
      </c>
      <c r="Q1700">
        <v>0.87033983131600001</v>
      </c>
      <c r="R1700">
        <v>0.52233973244002996</v>
      </c>
      <c r="S1700" t="s">
        <v>6440</v>
      </c>
      <c r="T1700" t="s">
        <v>9478</v>
      </c>
      <c r="U1700" t="s">
        <v>9478</v>
      </c>
      <c r="V1700" t="s">
        <v>9478</v>
      </c>
      <c r="W1700">
        <v>2</v>
      </c>
      <c r="X1700" t="s">
        <v>11178</v>
      </c>
      <c r="Y1700">
        <v>0.94303404268628699</v>
      </c>
      <c r="Z1700" t="str">
        <f>HYPERLINK("Melting_Curves/meltCurve_sp_Q07912_ACK1_HUMAN_.pdf", "Melting_Curves/meltCurve_sp_Q07912_ACK1_HUMAN_.pdf")</f>
        <v>Melting_Curves/meltCurve_sp_Q07912_ACK1_HUMAN_.pdf</v>
      </c>
      <c r="AA1700" t="s">
        <v>15890</v>
      </c>
      <c r="AB1700" t="s">
        <v>20534</v>
      </c>
    </row>
    <row r="1701" spans="1:28" x14ac:dyDescent="0.25">
      <c r="A1701" t="s">
        <v>1705</v>
      </c>
      <c r="B1701">
        <v>0.99904790336628502</v>
      </c>
      <c r="C1701">
        <v>1.0116192700219899</v>
      </c>
      <c r="D1701">
        <v>0.99332833987728897</v>
      </c>
      <c r="E1701">
        <v>0.85534314034055303</v>
      </c>
      <c r="F1701">
        <v>0.67243243414954401</v>
      </c>
      <c r="G1701">
        <v>0.45375030556355</v>
      </c>
      <c r="H1701">
        <v>0.28760076271865598</v>
      </c>
      <c r="I1701">
        <v>0.20861203429351499</v>
      </c>
      <c r="J1701">
        <v>0.16225892218207399</v>
      </c>
      <c r="K1701">
        <v>0.12513297979202401</v>
      </c>
      <c r="L1701">
        <v>847.80437994980605</v>
      </c>
      <c r="M1701">
        <v>15.337537304382399</v>
      </c>
      <c r="N1701">
        <v>56.130725017285201</v>
      </c>
      <c r="O1701">
        <v>54.362315824964497</v>
      </c>
      <c r="P1701">
        <v>-6.3197554207059706E-2</v>
      </c>
      <c r="Q1701">
        <v>0.10409415033130499</v>
      </c>
      <c r="R1701">
        <v>0.99806491901621397</v>
      </c>
      <c r="S1701" t="s">
        <v>6441</v>
      </c>
      <c r="T1701" t="s">
        <v>9478</v>
      </c>
      <c r="U1701" t="s">
        <v>9478</v>
      </c>
      <c r="V1701" t="s">
        <v>9478</v>
      </c>
      <c r="W1701">
        <v>33</v>
      </c>
      <c r="X1701" t="s">
        <v>11179</v>
      </c>
      <c r="Y1701">
        <v>0.57684400884977161</v>
      </c>
      <c r="Z1701" t="str">
        <f>HYPERLINK("Melting_Curves/meltCurve_sp_Q07954_LRP1_HUMAN_.pdf", "Melting_Curves/meltCurve_sp_Q07954_LRP1_HUMAN_.pdf")</f>
        <v>Melting_Curves/meltCurve_sp_Q07954_LRP1_HUMAN_.pdf</v>
      </c>
      <c r="AA1701" t="s">
        <v>15891</v>
      </c>
      <c r="AB1701" t="s">
        <v>20535</v>
      </c>
    </row>
    <row r="1702" spans="1:28" x14ac:dyDescent="0.25">
      <c r="A1702" t="s">
        <v>1706</v>
      </c>
      <c r="B1702">
        <v>0.99904790336628502</v>
      </c>
      <c r="C1702">
        <v>0.99244947410013096</v>
      </c>
      <c r="D1702">
        <v>0.99210833293778999</v>
      </c>
      <c r="E1702">
        <v>0.93123309416229605</v>
      </c>
      <c r="F1702">
        <v>0.96086601188283205</v>
      </c>
      <c r="G1702">
        <v>0.75508313661722504</v>
      </c>
      <c r="H1702">
        <v>0.66800489253425699</v>
      </c>
      <c r="I1702">
        <v>0.69664497601072894</v>
      </c>
      <c r="J1702">
        <v>0.70962328089402404</v>
      </c>
      <c r="K1702">
        <v>0.65192733464497998</v>
      </c>
      <c r="L1702">
        <v>2103.6418743417598</v>
      </c>
      <c r="M1702">
        <v>38.049112697023297</v>
      </c>
      <c r="O1702">
        <v>55.135484493245798</v>
      </c>
      <c r="P1702">
        <v>-5.54077957266969E-2</v>
      </c>
      <c r="Q1702">
        <v>0.67884371210614503</v>
      </c>
      <c r="R1702">
        <v>0.96782433826813896</v>
      </c>
      <c r="S1702" t="s">
        <v>6442</v>
      </c>
      <c r="T1702" t="s">
        <v>9478</v>
      </c>
      <c r="U1702" t="s">
        <v>9478</v>
      </c>
      <c r="V1702" t="s">
        <v>9478</v>
      </c>
      <c r="W1702">
        <v>12</v>
      </c>
      <c r="X1702" t="s">
        <v>11180</v>
      </c>
      <c r="Y1702">
        <v>0.84384912723848582</v>
      </c>
      <c r="Z1702" t="str">
        <f>HYPERLINK("Melting_Curves/meltCurve_sp_Q07955_SRSF1_HUMAN_.pdf", "Melting_Curves/meltCurve_sp_Q07955_SRSF1_HUMAN_.pdf")</f>
        <v>Melting_Curves/meltCurve_sp_Q07955_SRSF1_HUMAN_.pdf</v>
      </c>
      <c r="AA1702" t="s">
        <v>15892</v>
      </c>
      <c r="AB1702" t="s">
        <v>20536</v>
      </c>
    </row>
    <row r="1703" spans="1:28" x14ac:dyDescent="0.25">
      <c r="A1703" t="s">
        <v>1707</v>
      </c>
      <c r="B1703">
        <v>0.99904790336628502</v>
      </c>
      <c r="C1703">
        <v>0.95208954124905498</v>
      </c>
      <c r="D1703">
        <v>0.87506506179475596</v>
      </c>
      <c r="E1703">
        <v>0.86443850428159896</v>
      </c>
      <c r="F1703">
        <v>0.77031800527889605</v>
      </c>
      <c r="G1703">
        <v>0.552944070388247</v>
      </c>
      <c r="H1703">
        <v>0.184358399792664</v>
      </c>
      <c r="I1703">
        <v>6.7502474435550103E-2</v>
      </c>
      <c r="J1703">
        <v>4.2116547008149603E-2</v>
      </c>
      <c r="K1703">
        <v>4.1418719005039399E-2</v>
      </c>
      <c r="L1703">
        <v>1009.22841219156</v>
      </c>
      <c r="M1703">
        <v>17.799394535748299</v>
      </c>
      <c r="N1703">
        <v>56.7001542102009</v>
      </c>
      <c r="O1703">
        <v>55.998992452992702</v>
      </c>
      <c r="P1703">
        <v>-7.9467110274400302E-2</v>
      </c>
      <c r="Q1703">
        <v>0</v>
      </c>
      <c r="R1703">
        <v>0.98222559194638204</v>
      </c>
      <c r="S1703" t="s">
        <v>6443</v>
      </c>
      <c r="T1703" t="s">
        <v>9478</v>
      </c>
      <c r="U1703" t="s">
        <v>9478</v>
      </c>
      <c r="V1703" t="s">
        <v>9478</v>
      </c>
      <c r="W1703">
        <v>17</v>
      </c>
      <c r="X1703" t="s">
        <v>11181</v>
      </c>
      <c r="Y1703">
        <v>0.57089306261694406</v>
      </c>
      <c r="Z1703" t="str">
        <f>HYPERLINK("Melting_Curves/meltCurve_sp_Q07960_RHG01_HUMAN_.pdf", "Melting_Curves/meltCurve_sp_Q07960_RHG01_HUMAN_.pdf")</f>
        <v>Melting_Curves/meltCurve_sp_Q07960_RHG01_HUMAN_.pdf</v>
      </c>
      <c r="AA1703" t="s">
        <v>15893</v>
      </c>
      <c r="AB1703" t="s">
        <v>20537</v>
      </c>
    </row>
    <row r="1704" spans="1:28" x14ac:dyDescent="0.25">
      <c r="A1704" t="s">
        <v>1708</v>
      </c>
      <c r="B1704">
        <v>0.99904790336628502</v>
      </c>
      <c r="C1704">
        <v>0.88609828740544805</v>
      </c>
      <c r="D1704">
        <v>0.85155552142588098</v>
      </c>
      <c r="E1704">
        <v>0.91323533311100302</v>
      </c>
      <c r="F1704">
        <v>1.1172015748947901</v>
      </c>
      <c r="G1704">
        <v>0.900236162142105</v>
      </c>
      <c r="H1704">
        <v>0.827679854369191</v>
      </c>
      <c r="I1704">
        <v>1.0335660891396901</v>
      </c>
      <c r="J1704">
        <v>1.13501129191185</v>
      </c>
      <c r="K1704">
        <v>1.2279760284017101</v>
      </c>
      <c r="L1704">
        <v>4186.2066715847204</v>
      </c>
      <c r="M1704">
        <v>62.790495363731701</v>
      </c>
      <c r="O1704">
        <v>66.601896507006899</v>
      </c>
      <c r="P1704">
        <v>5.6226542612378E-2</v>
      </c>
      <c r="Q1704">
        <v>1.23855799584519</v>
      </c>
      <c r="R1704">
        <v>0.41910655485974602</v>
      </c>
      <c r="S1704" t="s">
        <v>6444</v>
      </c>
      <c r="T1704" t="s">
        <v>9478</v>
      </c>
      <c r="U1704" t="s">
        <v>9478</v>
      </c>
      <c r="V1704" t="s">
        <v>9478</v>
      </c>
      <c r="W1704">
        <v>4</v>
      </c>
      <c r="X1704" t="s">
        <v>11182</v>
      </c>
      <c r="Y1704">
        <v>1.026514628071002</v>
      </c>
      <c r="Z1704" t="str">
        <f>HYPERLINK("Melting_Curves/meltCurve_sp_Q08170_SRSF4_HUMAN_.pdf", "Melting_Curves/meltCurve_sp_Q08170_SRSF4_HUMAN_.pdf")</f>
        <v>Melting_Curves/meltCurve_sp_Q08170_SRSF4_HUMAN_.pdf</v>
      </c>
      <c r="AA1704" t="s">
        <v>15894</v>
      </c>
      <c r="AB1704" t="s">
        <v>20538</v>
      </c>
    </row>
    <row r="1705" spans="1:28" x14ac:dyDescent="0.25">
      <c r="A1705" t="s">
        <v>1709</v>
      </c>
      <c r="B1705">
        <v>0.99904790336628502</v>
      </c>
      <c r="C1705">
        <v>0.97760592030927795</v>
      </c>
      <c r="D1705">
        <v>0.83305265450077604</v>
      </c>
      <c r="E1705">
        <v>0.79165976452273601</v>
      </c>
      <c r="F1705">
        <v>0.62382001336959902</v>
      </c>
      <c r="G1705">
        <v>0.35350104650312703</v>
      </c>
      <c r="H1705">
        <v>0.376476672972056</v>
      </c>
      <c r="I1705">
        <v>0.28982588671260401</v>
      </c>
      <c r="J1705">
        <v>0.23137546471855</v>
      </c>
      <c r="K1705">
        <v>0.23849494126382301</v>
      </c>
      <c r="L1705">
        <v>678.93152578487195</v>
      </c>
      <c r="M1705">
        <v>12.8137715911631</v>
      </c>
      <c r="N1705">
        <v>55.193633192424599</v>
      </c>
      <c r="O1705">
        <v>51.7438054316628</v>
      </c>
      <c r="P1705">
        <v>-4.9499189011831299E-2</v>
      </c>
      <c r="Q1705">
        <v>0.200610731752143</v>
      </c>
      <c r="R1705">
        <v>0.98061146570767999</v>
      </c>
      <c r="S1705" t="s">
        <v>6445</v>
      </c>
      <c r="T1705" t="s">
        <v>9478</v>
      </c>
      <c r="U1705" t="s">
        <v>9478</v>
      </c>
      <c r="V1705" t="s">
        <v>9478</v>
      </c>
      <c r="W1705">
        <v>3</v>
      </c>
      <c r="X1705" t="s">
        <v>11183</v>
      </c>
      <c r="Y1705">
        <v>0.56771730125814146</v>
      </c>
      <c r="Z1705" t="str">
        <f>HYPERLINK("Melting_Curves/meltCurve_sp_Q08174_2_PCDH1_HUMAN_.pdf", "Melting_Curves/meltCurve_sp_Q08174_2_PCDH1_HUMAN_.pdf")</f>
        <v>Melting_Curves/meltCurve_sp_Q08174_2_PCDH1_HUMAN_.pdf</v>
      </c>
      <c r="AA1705" t="s">
        <v>15895</v>
      </c>
      <c r="AB1705" t="s">
        <v>20539</v>
      </c>
    </row>
    <row r="1706" spans="1:28" x14ac:dyDescent="0.25">
      <c r="A1706" t="s">
        <v>1710</v>
      </c>
      <c r="B1706">
        <v>0.99904790336628502</v>
      </c>
      <c r="C1706">
        <v>0.993795913089637</v>
      </c>
      <c r="D1706">
        <v>1.04399672688955</v>
      </c>
      <c r="E1706">
        <v>0.97624372926429004</v>
      </c>
      <c r="F1706">
        <v>0.92949206686739205</v>
      </c>
      <c r="G1706">
        <v>0.60826887744504898</v>
      </c>
      <c r="H1706">
        <v>0.35966312524143301</v>
      </c>
      <c r="I1706">
        <v>0.25910182143765698</v>
      </c>
      <c r="J1706">
        <v>0.136066905986962</v>
      </c>
      <c r="K1706">
        <v>8.1182529090625094E-2</v>
      </c>
      <c r="L1706">
        <v>1128.44806003794</v>
      </c>
      <c r="M1706">
        <v>19.288999810394401</v>
      </c>
      <c r="N1706">
        <v>58.940167131899997</v>
      </c>
      <c r="O1706">
        <v>57.884244639524297</v>
      </c>
      <c r="P1706">
        <v>-7.7748785042889595E-2</v>
      </c>
      <c r="Q1706">
        <v>6.6771460636902202E-2</v>
      </c>
      <c r="R1706">
        <v>0.99411501420057202</v>
      </c>
      <c r="S1706" t="s">
        <v>6446</v>
      </c>
      <c r="T1706" t="s">
        <v>9478</v>
      </c>
      <c r="U1706" t="s">
        <v>9478</v>
      </c>
      <c r="V1706" t="s">
        <v>9478</v>
      </c>
      <c r="W1706">
        <v>8</v>
      </c>
      <c r="X1706" t="s">
        <v>11184</v>
      </c>
      <c r="Y1706">
        <v>0.65263956954400681</v>
      </c>
      <c r="Z1706" t="str">
        <f>HYPERLINK("Melting_Curves/meltCurve_sp_Q08209_2_PP2BA_HUMAN_.pdf", "Melting_Curves/meltCurve_sp_Q08209_2_PP2BA_HUMAN_.pdf")</f>
        <v>Melting_Curves/meltCurve_sp_Q08209_2_PP2BA_HUMAN_.pdf</v>
      </c>
      <c r="AA1706" t="s">
        <v>15896</v>
      </c>
      <c r="AB1706" t="s">
        <v>20540</v>
      </c>
    </row>
    <row r="1707" spans="1:28" x14ac:dyDescent="0.25">
      <c r="A1707" t="s">
        <v>1711</v>
      </c>
      <c r="B1707">
        <v>0.99904790336628502</v>
      </c>
      <c r="C1707">
        <v>0.997216954422256</v>
      </c>
      <c r="D1707">
        <v>1.01809832935185</v>
      </c>
      <c r="E1707">
        <v>0.95638293431383603</v>
      </c>
      <c r="F1707">
        <v>0.63298968653518095</v>
      </c>
      <c r="G1707">
        <v>0.189545652398978</v>
      </c>
      <c r="H1707">
        <v>0.122893305182827</v>
      </c>
      <c r="I1707">
        <v>8.2925822315132902E-2</v>
      </c>
      <c r="J1707">
        <v>5.4537370110505898E-2</v>
      </c>
      <c r="K1707">
        <v>4.6706594215318101E-2</v>
      </c>
      <c r="L1707">
        <v>1840.4258867062899</v>
      </c>
      <c r="M1707">
        <v>34.250624379176898</v>
      </c>
      <c r="N1707">
        <v>53.977736288019202</v>
      </c>
      <c r="O1707">
        <v>53.5518973244438</v>
      </c>
      <c r="P1707">
        <v>-0.14844267532786301</v>
      </c>
      <c r="Q1707">
        <v>7.16249425598771E-2</v>
      </c>
      <c r="R1707">
        <v>0.99810518174341101</v>
      </c>
      <c r="S1707" t="s">
        <v>6447</v>
      </c>
      <c r="T1707" t="s">
        <v>9478</v>
      </c>
      <c r="U1707" t="s">
        <v>9478</v>
      </c>
      <c r="V1707" t="s">
        <v>9478</v>
      </c>
      <c r="W1707">
        <v>29</v>
      </c>
      <c r="X1707" t="s">
        <v>11185</v>
      </c>
      <c r="Y1707">
        <v>0.5013262914035278</v>
      </c>
      <c r="Z1707" t="str">
        <f>HYPERLINK("Melting_Curves/meltCurve_sp_Q08211_DHX9_HUMAN_.pdf", "Melting_Curves/meltCurve_sp_Q08211_DHX9_HUMAN_.pdf")</f>
        <v>Melting_Curves/meltCurve_sp_Q08211_DHX9_HUMAN_.pdf</v>
      </c>
      <c r="AA1707" t="s">
        <v>15897</v>
      </c>
      <c r="AB1707" t="s">
        <v>20541</v>
      </c>
    </row>
    <row r="1708" spans="1:28" x14ac:dyDescent="0.25">
      <c r="A1708" t="s">
        <v>1712</v>
      </c>
      <c r="B1708">
        <v>0.99904790336628502</v>
      </c>
      <c r="C1708">
        <v>0.62142142420532398</v>
      </c>
      <c r="D1708">
        <v>1.24702202078442</v>
      </c>
      <c r="E1708">
        <v>1.12604882140993</v>
      </c>
      <c r="F1708">
        <v>0.59107928817031996</v>
      </c>
      <c r="G1708">
        <v>0.421006293875274</v>
      </c>
      <c r="H1708">
        <v>6.7737100891044802E-2</v>
      </c>
      <c r="I1708">
        <v>4.2761481355902901E-2</v>
      </c>
      <c r="J1708">
        <v>2.7498442093159901E-2</v>
      </c>
      <c r="K1708">
        <v>2.1405326097233699E-2</v>
      </c>
      <c r="L1708">
        <v>1360.2492369378899</v>
      </c>
      <c r="M1708">
        <v>24.596059050138599</v>
      </c>
      <c r="N1708">
        <v>55.364680033152403</v>
      </c>
      <c r="O1708">
        <v>54.9418595312546</v>
      </c>
      <c r="P1708">
        <v>-0.110420774096134</v>
      </c>
      <c r="Q1708">
        <v>1.33971270519515E-2</v>
      </c>
      <c r="R1708">
        <v>0.86588454874523002</v>
      </c>
      <c r="S1708" t="s">
        <v>6448</v>
      </c>
      <c r="T1708" t="s">
        <v>9478</v>
      </c>
      <c r="U1708" t="s">
        <v>9478</v>
      </c>
      <c r="V1708" t="s">
        <v>9478</v>
      </c>
      <c r="W1708">
        <v>21</v>
      </c>
      <c r="X1708" t="s">
        <v>11186</v>
      </c>
      <c r="Y1708">
        <v>0.52605450506991769</v>
      </c>
      <c r="Z1708" t="str">
        <f>HYPERLINK("Melting_Curves/meltCurve_sp_Q08257_QOR_HUMAN_.pdf", "Melting_Curves/meltCurve_sp_Q08257_QOR_HUMAN_.pdf")</f>
        <v>Melting_Curves/meltCurve_sp_Q08257_QOR_HUMAN_.pdf</v>
      </c>
      <c r="AA1708" t="s">
        <v>15898</v>
      </c>
      <c r="AB1708" t="s">
        <v>20542</v>
      </c>
    </row>
    <row r="1709" spans="1:28" x14ac:dyDescent="0.25">
      <c r="A1709" t="s">
        <v>1713</v>
      </c>
      <c r="B1709">
        <v>0.99904790336628502</v>
      </c>
      <c r="C1709">
        <v>1.0397886051677701</v>
      </c>
      <c r="D1709">
        <v>1.0896627227673701</v>
      </c>
      <c r="E1709">
        <v>1.0054381266371999</v>
      </c>
      <c r="F1709">
        <v>0.890490791673061</v>
      </c>
      <c r="G1709">
        <v>0.67931536335451503</v>
      </c>
      <c r="H1709">
        <v>0.55547195789489701</v>
      </c>
      <c r="I1709">
        <v>0.52937599896327703</v>
      </c>
      <c r="J1709">
        <v>0.51938709048618104</v>
      </c>
      <c r="K1709">
        <v>0.43523144093570798</v>
      </c>
      <c r="L1709">
        <v>1389.058436349</v>
      </c>
      <c r="M1709">
        <v>24.7803850245425</v>
      </c>
      <c r="N1709">
        <v>65.029119584169806</v>
      </c>
      <c r="O1709">
        <v>55.693532910275898</v>
      </c>
      <c r="P1709">
        <v>-5.7438244626516199E-2</v>
      </c>
      <c r="Q1709">
        <v>0.48364090915851099</v>
      </c>
      <c r="R1709">
        <v>0.97393073647175699</v>
      </c>
      <c r="S1709" t="s">
        <v>6449</v>
      </c>
      <c r="T1709" t="s">
        <v>9478</v>
      </c>
      <c r="U1709" t="s">
        <v>9478</v>
      </c>
      <c r="V1709" t="s">
        <v>9478</v>
      </c>
      <c r="W1709">
        <v>49</v>
      </c>
      <c r="X1709" t="s">
        <v>11187</v>
      </c>
      <c r="Y1709">
        <v>0.76478103400494646</v>
      </c>
      <c r="Z1709" t="str">
        <f>HYPERLINK("Melting_Curves/meltCurve_sp_Q08378_GOGA3_HUMAN_.pdf", "Melting_Curves/meltCurve_sp_Q08378_GOGA3_HUMAN_.pdf")</f>
        <v>Melting_Curves/meltCurve_sp_Q08378_GOGA3_HUMAN_.pdf</v>
      </c>
      <c r="AA1709" t="s">
        <v>15899</v>
      </c>
      <c r="AB1709" t="s">
        <v>20543</v>
      </c>
    </row>
    <row r="1710" spans="1:28" x14ac:dyDescent="0.25">
      <c r="A1710" t="s">
        <v>1714</v>
      </c>
      <c r="B1710">
        <v>0.99904790336628502</v>
      </c>
      <c r="C1710">
        <v>0.97630535075067404</v>
      </c>
      <c r="D1710">
        <v>0.87514897646235201</v>
      </c>
      <c r="E1710">
        <v>0.87229368562865395</v>
      </c>
      <c r="F1710">
        <v>0.72238843117085705</v>
      </c>
      <c r="G1710">
        <v>0.48511911935999202</v>
      </c>
      <c r="H1710">
        <v>0.370613427113137</v>
      </c>
      <c r="I1710">
        <v>0.36130627495713302</v>
      </c>
      <c r="J1710">
        <v>0.34746122413541303</v>
      </c>
      <c r="K1710">
        <v>0.32219281241641301</v>
      </c>
      <c r="L1710">
        <v>863.43931217086401</v>
      </c>
      <c r="M1710">
        <v>16.025985481831501</v>
      </c>
      <c r="N1710">
        <v>57.191558441150903</v>
      </c>
      <c r="O1710">
        <v>53.059500618523302</v>
      </c>
      <c r="P1710">
        <v>-5.2675041993530701E-2</v>
      </c>
      <c r="Q1710">
        <v>0.30245950784610998</v>
      </c>
      <c r="R1710">
        <v>0.98625332371867602</v>
      </c>
      <c r="S1710" t="s">
        <v>6450</v>
      </c>
      <c r="T1710" t="s">
        <v>9478</v>
      </c>
      <c r="U1710" t="s">
        <v>9478</v>
      </c>
      <c r="V1710" t="s">
        <v>9478</v>
      </c>
      <c r="W1710">
        <v>23</v>
      </c>
      <c r="X1710" t="s">
        <v>11188</v>
      </c>
      <c r="Y1710">
        <v>0.63834309234034869</v>
      </c>
      <c r="Z1710" t="str">
        <f>HYPERLINK("Melting_Curves/meltCurve_sp_Q08379_GOGA2_HUMAN_.pdf", "Melting_Curves/meltCurve_sp_Q08379_GOGA2_HUMAN_.pdf")</f>
        <v>Melting_Curves/meltCurve_sp_Q08379_GOGA2_HUMAN_.pdf</v>
      </c>
      <c r="AA1710" t="s">
        <v>15900</v>
      </c>
      <c r="AB1710" t="s">
        <v>20544</v>
      </c>
    </row>
    <row r="1711" spans="1:28" x14ac:dyDescent="0.25">
      <c r="A1711" t="s">
        <v>1715</v>
      </c>
      <c r="B1711">
        <v>0.99904790336628502</v>
      </c>
      <c r="C1711">
        <v>0.96790926534410204</v>
      </c>
      <c r="D1711">
        <v>0.96248023898201696</v>
      </c>
      <c r="E1711">
        <v>0.89972459217711598</v>
      </c>
      <c r="F1711">
        <v>0.70986734899128301</v>
      </c>
      <c r="G1711">
        <v>0.60289373074682195</v>
      </c>
      <c r="H1711">
        <v>0.46719192091891898</v>
      </c>
      <c r="I1711">
        <v>0.42892088024692299</v>
      </c>
      <c r="J1711">
        <v>0.40024944093389597</v>
      </c>
      <c r="K1711">
        <v>0.34830446711062302</v>
      </c>
      <c r="L1711">
        <v>750.79029053346505</v>
      </c>
      <c r="M1711">
        <v>13.6515331017129</v>
      </c>
      <c r="N1711">
        <v>59.821853182945397</v>
      </c>
      <c r="O1711">
        <v>53.856919999150598</v>
      </c>
      <c r="P1711">
        <v>-4.2226243970693203E-2</v>
      </c>
      <c r="Q1711">
        <v>0.33374708640209899</v>
      </c>
      <c r="R1711">
        <v>0.99323352693515199</v>
      </c>
      <c r="S1711" t="s">
        <v>6451</v>
      </c>
      <c r="T1711" t="s">
        <v>9478</v>
      </c>
      <c r="U1711" t="s">
        <v>9478</v>
      </c>
      <c r="V1711" t="s">
        <v>9478</v>
      </c>
      <c r="W1711">
        <v>8</v>
      </c>
      <c r="X1711" t="s">
        <v>11189</v>
      </c>
      <c r="Y1711">
        <v>0.68090228130665198</v>
      </c>
      <c r="Z1711" t="str">
        <f>HYPERLINK("Melting_Curves/meltCurve_sp_Q08380_LG3BP_HUMAN_.pdf", "Melting_Curves/meltCurve_sp_Q08380_LG3BP_HUMAN_.pdf")</f>
        <v>Melting_Curves/meltCurve_sp_Q08380_LG3BP_HUMAN_.pdf</v>
      </c>
      <c r="AA1711" t="s">
        <v>15901</v>
      </c>
      <c r="AB1711" t="s">
        <v>20545</v>
      </c>
    </row>
    <row r="1712" spans="1:28" x14ac:dyDescent="0.25">
      <c r="A1712" t="s">
        <v>1716</v>
      </c>
      <c r="B1712">
        <v>0.99904790336628502</v>
      </c>
      <c r="C1712">
        <v>0.85512451121737398</v>
      </c>
      <c r="D1712">
        <v>0.89436900512440698</v>
      </c>
      <c r="E1712">
        <v>0.82462697924490602</v>
      </c>
      <c r="F1712">
        <v>0.45651410543368798</v>
      </c>
      <c r="G1712">
        <v>0.17493149222267099</v>
      </c>
      <c r="H1712">
        <v>7.8685259088367099E-2</v>
      </c>
      <c r="I1712">
        <v>4.2851642690238702E-2</v>
      </c>
      <c r="J1712">
        <v>3.0195933674345699E-2</v>
      </c>
      <c r="K1712">
        <v>2.4709568664854999E-2</v>
      </c>
      <c r="L1712">
        <v>1136.9102062535501</v>
      </c>
      <c r="M1712">
        <v>21.5687273483532</v>
      </c>
      <c r="N1712">
        <v>52.812778755038799</v>
      </c>
      <c r="O1712">
        <v>52.264213474187997</v>
      </c>
      <c r="P1712">
        <v>-0.10107469882091499</v>
      </c>
      <c r="Q1712">
        <v>2.0347938077027099E-2</v>
      </c>
      <c r="R1712">
        <v>0.98230031634798098</v>
      </c>
      <c r="S1712" t="s">
        <v>6452</v>
      </c>
      <c r="T1712" t="s">
        <v>9478</v>
      </c>
      <c r="U1712" t="s">
        <v>9478</v>
      </c>
      <c r="V1712" t="s">
        <v>9478</v>
      </c>
      <c r="W1712">
        <v>58</v>
      </c>
      <c r="X1712" t="s">
        <v>11190</v>
      </c>
      <c r="Y1712">
        <v>0.44724805868162248</v>
      </c>
      <c r="Z1712" t="str">
        <f>HYPERLINK("Melting_Curves/meltCurve_sp_Q08426_ECHP_HUMAN_.pdf", "Melting_Curves/meltCurve_sp_Q08426_ECHP_HUMAN_.pdf")</f>
        <v>Melting_Curves/meltCurve_sp_Q08426_ECHP_HUMAN_.pdf</v>
      </c>
      <c r="AA1712" t="s">
        <v>15902</v>
      </c>
      <c r="AB1712" t="s">
        <v>20546</v>
      </c>
    </row>
    <row r="1713" spans="1:28" x14ac:dyDescent="0.25">
      <c r="A1713" t="s">
        <v>1717</v>
      </c>
      <c r="B1713">
        <v>0.99904790336628502</v>
      </c>
      <c r="C1713">
        <v>1.01433931151047</v>
      </c>
      <c r="D1713">
        <v>0.80972576025473497</v>
      </c>
      <c r="E1713">
        <v>0.42173387510837101</v>
      </c>
      <c r="F1713">
        <v>0.242532283381937</v>
      </c>
      <c r="G1713">
        <v>0.15245426735641701</v>
      </c>
      <c r="H1713">
        <v>8.4125646228327203E-2</v>
      </c>
      <c r="I1713">
        <v>4.9078092735014497E-2</v>
      </c>
      <c r="J1713">
        <v>2.6826480559361401E-2</v>
      </c>
      <c r="K1713">
        <v>2.40270778025992E-2</v>
      </c>
      <c r="L1713">
        <v>991.17006987141394</v>
      </c>
      <c r="M1713">
        <v>20.1342558869028</v>
      </c>
      <c r="N1713">
        <v>49.471936549861297</v>
      </c>
      <c r="O1713">
        <v>48.750135272442598</v>
      </c>
      <c r="P1713">
        <v>-9.8377130155635595E-2</v>
      </c>
      <c r="Q1713">
        <v>4.7246112863103699E-2</v>
      </c>
      <c r="R1713">
        <v>0.99419929231460302</v>
      </c>
      <c r="S1713" t="s">
        <v>6453</v>
      </c>
      <c r="T1713" t="s">
        <v>9478</v>
      </c>
      <c r="U1713" t="s">
        <v>9478</v>
      </c>
      <c r="V1713" t="s">
        <v>9478</v>
      </c>
      <c r="W1713">
        <v>8</v>
      </c>
      <c r="X1713" t="s">
        <v>11191</v>
      </c>
      <c r="Y1713">
        <v>0.3534564767993329</v>
      </c>
      <c r="Z1713" t="str">
        <f>HYPERLINK("Melting_Curves/meltCurve_sp_Q08477_2_CP4F3_HUMAN_.pdf", "Melting_Curves/meltCurve_sp_Q08477_2_CP4F3_HUMAN_.pdf")</f>
        <v>Melting_Curves/meltCurve_sp_Q08477_2_CP4F3_HUMAN_.pdf</v>
      </c>
      <c r="AA1713" t="s">
        <v>15903</v>
      </c>
      <c r="AB1713" t="s">
        <v>20547</v>
      </c>
    </row>
    <row r="1714" spans="1:28" x14ac:dyDescent="0.25">
      <c r="A1714" t="s">
        <v>1718</v>
      </c>
      <c r="B1714">
        <v>0.99904790336628502</v>
      </c>
      <c r="C1714">
        <v>0.91983785710071897</v>
      </c>
      <c r="D1714">
        <v>0.94841584464234796</v>
      </c>
      <c r="E1714">
        <v>0.86239341673663295</v>
      </c>
      <c r="F1714">
        <v>0.89404388116248601</v>
      </c>
      <c r="G1714">
        <v>0.60315252552476895</v>
      </c>
      <c r="H1714">
        <v>0.55730485648600103</v>
      </c>
      <c r="I1714">
        <v>0.47191743825365201</v>
      </c>
      <c r="J1714">
        <v>0.53908374124564196</v>
      </c>
      <c r="K1714">
        <v>0.47795929174079199</v>
      </c>
      <c r="L1714">
        <v>925.256484414949</v>
      </c>
      <c r="M1714">
        <v>16.8808391729611</v>
      </c>
      <c r="N1714">
        <v>65.550327729779397</v>
      </c>
      <c r="O1714">
        <v>54.059196574694603</v>
      </c>
      <c r="P1714">
        <v>-4.1492470884292802E-2</v>
      </c>
      <c r="Q1714">
        <v>0.46853183055534398</v>
      </c>
      <c r="R1714">
        <v>0.94529848610325395</v>
      </c>
      <c r="S1714" t="s">
        <v>6454</v>
      </c>
      <c r="T1714" t="s">
        <v>9478</v>
      </c>
      <c r="U1714" t="s">
        <v>9478</v>
      </c>
      <c r="V1714" t="s">
        <v>9478</v>
      </c>
      <c r="W1714">
        <v>5</v>
      </c>
      <c r="X1714" t="s">
        <v>11192</v>
      </c>
      <c r="Y1714">
        <v>0.73993900465457096</v>
      </c>
      <c r="Z1714" t="str">
        <f>HYPERLINK("Melting_Curves/meltCurve_sp_Q08495_2_DEMA_HUMAN_.pdf", "Melting_Curves/meltCurve_sp_Q08495_2_DEMA_HUMAN_.pdf")</f>
        <v>Melting_Curves/meltCurve_sp_Q08495_2_DEMA_HUMAN_.pdf</v>
      </c>
      <c r="AA1714" t="s">
        <v>15904</v>
      </c>
      <c r="AB1714" t="s">
        <v>20548</v>
      </c>
    </row>
    <row r="1715" spans="1:28" x14ac:dyDescent="0.25">
      <c r="A1715" t="s">
        <v>1719</v>
      </c>
      <c r="B1715">
        <v>0.99904790336628502</v>
      </c>
      <c r="C1715">
        <v>1.0662406624451499</v>
      </c>
      <c r="D1715">
        <v>1.03383935492784</v>
      </c>
      <c r="E1715">
        <v>0.79686601196974505</v>
      </c>
      <c r="F1715">
        <v>0.29162539955905198</v>
      </c>
      <c r="G1715">
        <v>0.13752969367159901</v>
      </c>
      <c r="H1715">
        <v>7.2101473825922704E-2</v>
      </c>
      <c r="I1715">
        <v>5.5730453027696802E-2</v>
      </c>
      <c r="J1715">
        <v>4.8338982210720097E-2</v>
      </c>
      <c r="K1715">
        <v>4.0180317028871003E-2</v>
      </c>
      <c r="L1715">
        <v>2074.4082043824301</v>
      </c>
      <c r="M1715">
        <v>40.221967340599697</v>
      </c>
      <c r="N1715">
        <v>51.752614105796802</v>
      </c>
      <c r="O1715">
        <v>51.447018566937302</v>
      </c>
      <c r="P1715">
        <v>-0.18278773968706999</v>
      </c>
      <c r="Q1715">
        <v>6.4803060798228701E-2</v>
      </c>
      <c r="R1715">
        <v>0.99471798591059302</v>
      </c>
      <c r="S1715" t="s">
        <v>6455</v>
      </c>
      <c r="T1715" t="s">
        <v>9478</v>
      </c>
      <c r="U1715" t="s">
        <v>9478</v>
      </c>
      <c r="V1715" t="s">
        <v>9478</v>
      </c>
      <c r="W1715">
        <v>9</v>
      </c>
      <c r="X1715" t="s">
        <v>11193</v>
      </c>
      <c r="Y1715">
        <v>0.42889845977826152</v>
      </c>
      <c r="Z1715" t="str">
        <f>HYPERLINK("Melting_Curves/meltCurve_sp_Q08752_PPID_HUMAN_.pdf", "Melting_Curves/meltCurve_sp_Q08752_PPID_HUMAN_.pdf")</f>
        <v>Melting_Curves/meltCurve_sp_Q08752_PPID_HUMAN_.pdf</v>
      </c>
      <c r="AA1715" t="s">
        <v>15905</v>
      </c>
      <c r="AB1715" t="s">
        <v>20549</v>
      </c>
    </row>
    <row r="1716" spans="1:28" x14ac:dyDescent="0.25">
      <c r="A1716" t="s">
        <v>1720</v>
      </c>
      <c r="B1716">
        <v>0.99904790336628502</v>
      </c>
      <c r="C1716">
        <v>0.87293582012551896</v>
      </c>
      <c r="D1716">
        <v>0.72152620682263202</v>
      </c>
      <c r="E1716">
        <v>0.35244730565156202</v>
      </c>
      <c r="F1716">
        <v>0.20202168548888699</v>
      </c>
      <c r="G1716">
        <v>0.12676722687558301</v>
      </c>
      <c r="H1716">
        <v>8.1210949828397702E-2</v>
      </c>
      <c r="I1716">
        <v>5.9152990895567102E-2</v>
      </c>
      <c r="J1716">
        <v>5.3018233115001499E-2</v>
      </c>
      <c r="K1716">
        <v>3.3187137313447898E-2</v>
      </c>
      <c r="L1716">
        <v>843.30512175799402</v>
      </c>
      <c r="M1716">
        <v>17.545476647607199</v>
      </c>
      <c r="N1716">
        <v>48.344301244869797</v>
      </c>
      <c r="O1716">
        <v>47.452627890181603</v>
      </c>
      <c r="P1716">
        <v>-8.7970239884729101E-2</v>
      </c>
      <c r="Q1716">
        <v>4.8371983380726298E-2</v>
      </c>
      <c r="R1716">
        <v>0.99774276723396405</v>
      </c>
      <c r="S1716" t="s">
        <v>6456</v>
      </c>
      <c r="T1716" t="s">
        <v>9478</v>
      </c>
      <c r="U1716" t="s">
        <v>9478</v>
      </c>
      <c r="V1716" t="s">
        <v>9478</v>
      </c>
      <c r="W1716">
        <v>8</v>
      </c>
      <c r="X1716" t="s">
        <v>11194</v>
      </c>
      <c r="Y1716">
        <v>0.32193984991289759</v>
      </c>
      <c r="Z1716" t="str">
        <f>HYPERLINK("Melting_Curves/meltCurve_sp_Q08830_FGL1_HUMAN_.pdf", "Melting_Curves/meltCurve_sp_Q08830_FGL1_HUMAN_.pdf")</f>
        <v>Melting_Curves/meltCurve_sp_Q08830_FGL1_HUMAN_.pdf</v>
      </c>
      <c r="AA1716" t="s">
        <v>15906</v>
      </c>
      <c r="AB1716" t="s">
        <v>20550</v>
      </c>
    </row>
    <row r="1717" spans="1:28" x14ac:dyDescent="0.25">
      <c r="A1717" t="s">
        <v>1721</v>
      </c>
      <c r="B1717">
        <v>0.99904790336628502</v>
      </c>
      <c r="C1717">
        <v>0.85170629196286196</v>
      </c>
      <c r="D1717">
        <v>0.96936048025903898</v>
      </c>
      <c r="E1717">
        <v>0.68283261176717902</v>
      </c>
      <c r="F1717">
        <v>0.54430132079806903</v>
      </c>
      <c r="G1717">
        <v>0.27896067350340398</v>
      </c>
      <c r="H1717">
        <v>8.7115575689260705E-2</v>
      </c>
      <c r="I1717">
        <v>9.5605043454049798E-2</v>
      </c>
      <c r="J1717">
        <v>0</v>
      </c>
      <c r="K1717">
        <v>0</v>
      </c>
      <c r="L1717">
        <v>807.93084132824094</v>
      </c>
      <c r="M1717">
        <v>15.2005131069687</v>
      </c>
      <c r="N1717">
        <v>53.151555481546303</v>
      </c>
      <c r="O1717">
        <v>52.257096252614701</v>
      </c>
      <c r="P1717">
        <v>-7.2726826227994604E-2</v>
      </c>
      <c r="Q1717">
        <v>0</v>
      </c>
      <c r="R1717">
        <v>0.98293686902658295</v>
      </c>
      <c r="S1717" t="s">
        <v>6457</v>
      </c>
      <c r="T1717" t="s">
        <v>9478</v>
      </c>
      <c r="U1717" t="s">
        <v>9478</v>
      </c>
      <c r="V1717" t="s">
        <v>9478</v>
      </c>
      <c r="W1717">
        <v>2</v>
      </c>
      <c r="X1717" t="s">
        <v>11195</v>
      </c>
      <c r="Y1717">
        <v>0.45937657163428269</v>
      </c>
      <c r="Z1717" t="str">
        <f>HYPERLINK("Melting_Curves/meltCurve_sp_Q08945_SSRP1_HUMAN_.pdf", "Melting_Curves/meltCurve_sp_Q08945_SSRP1_HUMAN_.pdf")</f>
        <v>Melting_Curves/meltCurve_sp_Q08945_SSRP1_HUMAN_.pdf</v>
      </c>
      <c r="AA1717" t="s">
        <v>15907</v>
      </c>
      <c r="AB1717" t="s">
        <v>20551</v>
      </c>
    </row>
    <row r="1718" spans="1:28" x14ac:dyDescent="0.25">
      <c r="A1718" t="s">
        <v>1722</v>
      </c>
      <c r="B1718">
        <v>0.99904790336628502</v>
      </c>
      <c r="C1718">
        <v>0.86131994346927798</v>
      </c>
      <c r="D1718">
        <v>0.84857677912931395</v>
      </c>
      <c r="E1718">
        <v>0.85017112451490195</v>
      </c>
      <c r="F1718">
        <v>0.76830476228880096</v>
      </c>
      <c r="G1718">
        <v>0.59806059858807004</v>
      </c>
      <c r="H1718">
        <v>0.41735992579052</v>
      </c>
      <c r="I1718">
        <v>0.24389696082931001</v>
      </c>
      <c r="J1718">
        <v>0.22655330970875501</v>
      </c>
      <c r="K1718">
        <v>0.18829081083205201</v>
      </c>
      <c r="L1718">
        <v>547.57590772835295</v>
      </c>
      <c r="M1718">
        <v>9.3559343381307691</v>
      </c>
      <c r="N1718">
        <v>58.527121364246298</v>
      </c>
      <c r="O1718">
        <v>56.039971396810699</v>
      </c>
      <c r="P1718">
        <v>-4.17639382733241E-2</v>
      </c>
      <c r="Q1718">
        <v>0</v>
      </c>
      <c r="R1718">
        <v>0.96962064935759296</v>
      </c>
      <c r="S1718" t="s">
        <v>6458</v>
      </c>
      <c r="T1718" t="s">
        <v>9478</v>
      </c>
      <c r="U1718" t="s">
        <v>9478</v>
      </c>
      <c r="V1718" t="s">
        <v>9478</v>
      </c>
      <c r="W1718">
        <v>1</v>
      </c>
      <c r="X1718" t="s">
        <v>11196</v>
      </c>
      <c r="Y1718">
        <v>0.62218011601149903</v>
      </c>
      <c r="Z1718" t="str">
        <f>HYPERLINK("Melting_Curves/meltCurve_sp_Q08AG7_MZT1_HUMAN_.pdf", "Melting_Curves/meltCurve_sp_Q08AG7_MZT1_HUMAN_.pdf")</f>
        <v>Melting_Curves/meltCurve_sp_Q08AG7_MZT1_HUMAN_.pdf</v>
      </c>
      <c r="AA1718" t="s">
        <v>15908</v>
      </c>
      <c r="AB1718" t="s">
        <v>20552</v>
      </c>
    </row>
    <row r="1719" spans="1:28" x14ac:dyDescent="0.25">
      <c r="A1719" t="s">
        <v>1723</v>
      </c>
      <c r="B1719">
        <v>0.99904790336628502</v>
      </c>
      <c r="C1719">
        <v>0.83494553865270504</v>
      </c>
      <c r="D1719">
        <v>0.709623601907581</v>
      </c>
      <c r="E1719">
        <v>0.40832709840180997</v>
      </c>
      <c r="F1719">
        <v>0.21963105179699099</v>
      </c>
      <c r="G1719">
        <v>0.16218767549497001</v>
      </c>
      <c r="H1719">
        <v>0.118919377583876</v>
      </c>
      <c r="I1719">
        <v>7.7950348233716701E-2</v>
      </c>
      <c r="J1719">
        <v>6.5062413871866107E-2</v>
      </c>
      <c r="K1719">
        <v>5.2356902434704498E-2</v>
      </c>
      <c r="L1719">
        <v>728.40629224275494</v>
      </c>
      <c r="M1719">
        <v>15.117154864022799</v>
      </c>
      <c r="N1719">
        <v>48.583907885734398</v>
      </c>
      <c r="O1719">
        <v>47.364518769350902</v>
      </c>
      <c r="P1719">
        <v>-7.5132198399987499E-2</v>
      </c>
      <c r="Q1719">
        <v>5.8486556944821702E-2</v>
      </c>
      <c r="R1719">
        <v>0.99516879744518505</v>
      </c>
      <c r="S1719" t="s">
        <v>6459</v>
      </c>
      <c r="T1719" t="s">
        <v>9478</v>
      </c>
      <c r="U1719" t="s">
        <v>9478</v>
      </c>
      <c r="V1719" t="s">
        <v>9478</v>
      </c>
      <c r="W1719">
        <v>7</v>
      </c>
      <c r="X1719" t="s">
        <v>11197</v>
      </c>
      <c r="Y1719">
        <v>0.33899355714190998</v>
      </c>
      <c r="Z1719" t="str">
        <f>HYPERLINK("Melting_Curves/meltCurve_sp_Q08AH1_ACSM1_HUMAN_.pdf", "Melting_Curves/meltCurve_sp_Q08AH1_ACSM1_HUMAN_.pdf")</f>
        <v>Melting_Curves/meltCurve_sp_Q08AH1_ACSM1_HUMAN_.pdf</v>
      </c>
      <c r="AA1719" t="s">
        <v>15909</v>
      </c>
      <c r="AB1719" t="s">
        <v>20553</v>
      </c>
    </row>
    <row r="1720" spans="1:28" x14ac:dyDescent="0.25">
      <c r="A1720" t="s">
        <v>1724</v>
      </c>
      <c r="B1720">
        <v>0.99904790336628502</v>
      </c>
      <c r="C1720">
        <v>0.88373637190256704</v>
      </c>
      <c r="D1720">
        <v>0.74966982834199303</v>
      </c>
      <c r="E1720">
        <v>0.44105717747981499</v>
      </c>
      <c r="F1720">
        <v>0.23940347728943201</v>
      </c>
      <c r="G1720">
        <v>0.111810939893147</v>
      </c>
      <c r="H1720">
        <v>5.8946263867837703E-2</v>
      </c>
      <c r="I1720">
        <v>4.3480538132880997E-2</v>
      </c>
      <c r="J1720">
        <v>3.3450092265954801E-2</v>
      </c>
      <c r="K1720">
        <v>2.3581515112789501E-2</v>
      </c>
      <c r="L1720">
        <v>777.29956722314296</v>
      </c>
      <c r="M1720">
        <v>15.852323357950199</v>
      </c>
      <c r="N1720">
        <v>49.141150162359899</v>
      </c>
      <c r="O1720">
        <v>48.273392631677098</v>
      </c>
      <c r="P1720">
        <v>-8.07059130977133E-2</v>
      </c>
      <c r="Q1720">
        <v>1.7019440109322499E-2</v>
      </c>
      <c r="R1720">
        <v>0.99895034143729899</v>
      </c>
      <c r="S1720" t="s">
        <v>6460</v>
      </c>
      <c r="T1720" t="s">
        <v>9478</v>
      </c>
      <c r="U1720" t="s">
        <v>9478</v>
      </c>
      <c r="V1720" t="s">
        <v>9478</v>
      </c>
      <c r="W1720">
        <v>31</v>
      </c>
      <c r="X1720" t="s">
        <v>11198</v>
      </c>
      <c r="Y1720">
        <v>0.33483814859879901</v>
      </c>
      <c r="Z1720" t="str">
        <f>HYPERLINK("Melting_Curves/meltCurve_sp_Q08AH3_ACS2A_HUMAN_.pdf", "Melting_Curves/meltCurve_sp_Q08AH3_ACS2A_HUMAN_.pdf")</f>
        <v>Melting_Curves/meltCurve_sp_Q08AH3_ACS2A_HUMAN_.pdf</v>
      </c>
      <c r="AA1720" t="s">
        <v>15910</v>
      </c>
      <c r="AB1720" t="s">
        <v>20554</v>
      </c>
    </row>
    <row r="1721" spans="1:28" x14ac:dyDescent="0.25">
      <c r="A1721" t="s">
        <v>1725</v>
      </c>
      <c r="B1721">
        <v>0.99904790336628502</v>
      </c>
      <c r="C1721">
        <v>1.04230130268851</v>
      </c>
      <c r="D1721">
        <v>1.00684459813418</v>
      </c>
      <c r="E1721">
        <v>0.74993597651330701</v>
      </c>
      <c r="F1721">
        <v>0.515157638007674</v>
      </c>
      <c r="G1721">
        <v>0.155491631967039</v>
      </c>
      <c r="H1721">
        <v>6.6383207430601596E-2</v>
      </c>
      <c r="I1721">
        <v>4.6531108481543799E-2</v>
      </c>
      <c r="J1721">
        <v>2.7664871286167701E-2</v>
      </c>
      <c r="K1721">
        <v>2.6016900605218701E-2</v>
      </c>
      <c r="L1721">
        <v>1212.7764230595301</v>
      </c>
      <c r="M1721">
        <v>22.979588196146199</v>
      </c>
      <c r="N1721">
        <v>52.881590624425101</v>
      </c>
      <c r="O1721">
        <v>52.381440495108301</v>
      </c>
      <c r="P1721">
        <v>-0.107222600832601</v>
      </c>
      <c r="Q1721">
        <v>2.2372451079812099E-2</v>
      </c>
      <c r="R1721">
        <v>0.99656412980221099</v>
      </c>
      <c r="S1721" t="s">
        <v>6461</v>
      </c>
      <c r="T1721" t="s">
        <v>9478</v>
      </c>
      <c r="U1721" t="s">
        <v>9478</v>
      </c>
      <c r="V1721" t="s">
        <v>9478</v>
      </c>
      <c r="W1721">
        <v>11</v>
      </c>
      <c r="X1721" t="s">
        <v>11199</v>
      </c>
      <c r="Y1721">
        <v>0.44923375219440642</v>
      </c>
      <c r="Z1721" t="str">
        <f>HYPERLINK("Melting_Curves/meltCurve_sp_Q08AM6_VAC14_HUMAN_.pdf", "Melting_Curves/meltCurve_sp_Q08AM6_VAC14_HUMAN_.pdf")</f>
        <v>Melting_Curves/meltCurve_sp_Q08AM6_VAC14_HUMAN_.pdf</v>
      </c>
      <c r="AA1721" t="s">
        <v>15911</v>
      </c>
      <c r="AB1721" t="s">
        <v>20555</v>
      </c>
    </row>
    <row r="1722" spans="1:28" x14ac:dyDescent="0.25">
      <c r="A1722" t="s">
        <v>1726</v>
      </c>
      <c r="B1722">
        <v>0.99904790336628502</v>
      </c>
      <c r="C1722">
        <v>1.00559330530266</v>
      </c>
      <c r="D1722">
        <v>1.0426351354679499</v>
      </c>
      <c r="E1722">
        <v>0.96983955708402103</v>
      </c>
      <c r="F1722">
        <v>0.83877048288132205</v>
      </c>
      <c r="G1722">
        <v>0.47501359584401598</v>
      </c>
      <c r="H1722">
        <v>0.165541484808788</v>
      </c>
      <c r="I1722">
        <v>9.2666752071662306E-2</v>
      </c>
      <c r="J1722">
        <v>6.8518427126573994E-2</v>
      </c>
      <c r="K1722">
        <v>5.0640218792532797E-2</v>
      </c>
      <c r="L1722">
        <v>1430.5383695391599</v>
      </c>
      <c r="M1722">
        <v>25.326875026603201</v>
      </c>
      <c r="N1722">
        <v>56.697650866268702</v>
      </c>
      <c r="O1722">
        <v>56.134410806725597</v>
      </c>
      <c r="P1722">
        <v>-0.10764094635830999</v>
      </c>
      <c r="Q1722">
        <v>4.5711798056507401E-2</v>
      </c>
      <c r="R1722">
        <v>0.99865935851091403</v>
      </c>
      <c r="S1722" t="s">
        <v>6462</v>
      </c>
      <c r="T1722" t="s">
        <v>9478</v>
      </c>
      <c r="U1722" t="s">
        <v>9478</v>
      </c>
      <c r="V1722" t="s">
        <v>9478</v>
      </c>
      <c r="W1722">
        <v>21</v>
      </c>
      <c r="X1722" t="s">
        <v>11200</v>
      </c>
      <c r="Y1722">
        <v>0.57854439924038337</v>
      </c>
      <c r="Z1722" t="str">
        <f>HYPERLINK("Melting_Curves/meltCurve_sp_Q08J23_NSUN2_HUMAN_.pdf", "Melting_Curves/meltCurve_sp_Q08J23_NSUN2_HUMAN_.pdf")</f>
        <v>Melting_Curves/meltCurve_sp_Q08J23_NSUN2_HUMAN_.pdf</v>
      </c>
      <c r="AA1722" t="s">
        <v>15912</v>
      </c>
      <c r="AB1722" t="s">
        <v>20556</v>
      </c>
    </row>
    <row r="1723" spans="1:28" x14ac:dyDescent="0.25">
      <c r="A1723" t="s">
        <v>1727</v>
      </c>
      <c r="B1723">
        <v>0.99904790336628502</v>
      </c>
      <c r="C1723">
        <v>0.84790084355906903</v>
      </c>
      <c r="D1723">
        <v>0.88262490261721704</v>
      </c>
      <c r="E1723">
        <v>0.83664227238803202</v>
      </c>
      <c r="F1723">
        <v>0.78052749717960801</v>
      </c>
      <c r="G1723">
        <v>0.670511119823748</v>
      </c>
      <c r="H1723">
        <v>0.36790320644145003</v>
      </c>
      <c r="I1723">
        <v>0.123521399649864</v>
      </c>
      <c r="J1723">
        <v>6.9337652576529102E-2</v>
      </c>
      <c r="K1723">
        <v>5.9067763086034897E-2</v>
      </c>
      <c r="L1723">
        <v>866.42566015971204</v>
      </c>
      <c r="M1723">
        <v>14.909364786419401</v>
      </c>
      <c r="N1723">
        <v>58.112848918485</v>
      </c>
      <c r="O1723">
        <v>57.097462554924903</v>
      </c>
      <c r="P1723">
        <v>-6.5287098596516699E-2</v>
      </c>
      <c r="Q1723">
        <v>0</v>
      </c>
      <c r="R1723">
        <v>0.95236785711232597</v>
      </c>
      <c r="S1723" t="s">
        <v>6463</v>
      </c>
      <c r="T1723" t="s">
        <v>9478</v>
      </c>
      <c r="U1723" t="s">
        <v>9478</v>
      </c>
      <c r="V1723" t="s">
        <v>9478</v>
      </c>
      <c r="W1723">
        <v>8</v>
      </c>
      <c r="X1723" t="s">
        <v>11201</v>
      </c>
      <c r="Y1723">
        <v>0.61689893696195663</v>
      </c>
      <c r="Z1723" t="str">
        <f>HYPERLINK("Melting_Curves/meltCurve_sp_Q09028_3_RBBP4_HUMAN_.pdf", "Melting_Curves/meltCurve_sp_Q09028_3_RBBP4_HUMAN_.pdf")</f>
        <v>Melting_Curves/meltCurve_sp_Q09028_3_RBBP4_HUMAN_.pdf</v>
      </c>
      <c r="AA1723" t="s">
        <v>15913</v>
      </c>
      <c r="AB1723" t="s">
        <v>20557</v>
      </c>
    </row>
    <row r="1724" spans="1:28" x14ac:dyDescent="0.25">
      <c r="A1724" t="s">
        <v>1728</v>
      </c>
      <c r="B1724">
        <v>0.99904790336628502</v>
      </c>
      <c r="C1724">
        <v>0.99405353335314395</v>
      </c>
      <c r="D1724">
        <v>1.0392034073266401</v>
      </c>
      <c r="E1724">
        <v>0.63428639060199699</v>
      </c>
      <c r="F1724">
        <v>0.31696289639839897</v>
      </c>
      <c r="G1724">
        <v>0.172541096244169</v>
      </c>
      <c r="H1724">
        <v>0.10579992312601701</v>
      </c>
      <c r="I1724">
        <v>7.5065355867843297E-2</v>
      </c>
      <c r="J1724">
        <v>4.47428865073577E-2</v>
      </c>
      <c r="K1724">
        <v>2.6844626338864301E-2</v>
      </c>
      <c r="L1724">
        <v>1380.1866389228401</v>
      </c>
      <c r="M1724">
        <v>27.0409627062091</v>
      </c>
      <c r="N1724">
        <v>51.3224360375986</v>
      </c>
      <c r="O1724">
        <v>50.763897730373998</v>
      </c>
      <c r="P1724">
        <v>-0.123982750127998</v>
      </c>
      <c r="Q1724">
        <v>6.8999774481936907E-2</v>
      </c>
      <c r="R1724">
        <v>0.99175631441602097</v>
      </c>
      <c r="S1724" t="s">
        <v>6464</v>
      </c>
      <c r="T1724" t="s">
        <v>9478</v>
      </c>
      <c r="U1724" t="s">
        <v>9478</v>
      </c>
      <c r="V1724" t="s">
        <v>9478</v>
      </c>
      <c r="W1724">
        <v>6</v>
      </c>
      <c r="X1724" t="s">
        <v>11202</v>
      </c>
      <c r="Y1724">
        <v>0.41883165484002421</v>
      </c>
      <c r="Z1724" t="str">
        <f>HYPERLINK("Melting_Curves/meltCurve_sp_Q09161_NCBP1_HUMAN_.pdf", "Melting_Curves/meltCurve_sp_Q09161_NCBP1_HUMAN_.pdf")</f>
        <v>Melting_Curves/meltCurve_sp_Q09161_NCBP1_HUMAN_.pdf</v>
      </c>
      <c r="AA1724" t="s">
        <v>15914</v>
      </c>
      <c r="AB1724" t="s">
        <v>20558</v>
      </c>
    </row>
    <row r="1725" spans="1:28" x14ac:dyDescent="0.25">
      <c r="A1725" t="s">
        <v>1729</v>
      </c>
      <c r="B1725">
        <v>0.99904790336628502</v>
      </c>
      <c r="C1725">
        <v>0.90283324601688397</v>
      </c>
      <c r="D1725">
        <v>0.86491649745059296</v>
      </c>
      <c r="E1725">
        <v>0.81133255869228704</v>
      </c>
      <c r="F1725">
        <v>0.41187930266741002</v>
      </c>
      <c r="G1725">
        <v>0.19297831513134001</v>
      </c>
      <c r="H1725">
        <v>0.12254907611860701</v>
      </c>
      <c r="I1725">
        <v>0.111461631332144</v>
      </c>
      <c r="J1725">
        <v>0.14750573296566599</v>
      </c>
      <c r="K1725">
        <v>0.184354795804205</v>
      </c>
      <c r="L1725">
        <v>1510.83803071631</v>
      </c>
      <c r="M1725">
        <v>29.177038910235702</v>
      </c>
      <c r="N1725">
        <v>52.354812256160201</v>
      </c>
      <c r="O1725">
        <v>51.540336462693197</v>
      </c>
      <c r="P1725">
        <v>-0.122180288165555</v>
      </c>
      <c r="Q1725">
        <v>0.13669562981831701</v>
      </c>
      <c r="R1725">
        <v>0.978214691301454</v>
      </c>
      <c r="S1725" t="s">
        <v>6465</v>
      </c>
      <c r="T1725" t="s">
        <v>9478</v>
      </c>
      <c r="U1725" t="s">
        <v>9478</v>
      </c>
      <c r="V1725" t="s">
        <v>9478</v>
      </c>
      <c r="W1725">
        <v>6</v>
      </c>
      <c r="X1725" t="s">
        <v>11203</v>
      </c>
      <c r="Y1725">
        <v>0.48154573275349938</v>
      </c>
      <c r="Z1725" t="str">
        <f>HYPERLINK("Melting_Curves/meltCurve_sp_Q09472_EP300_HUMAN_.pdf", "Melting_Curves/meltCurve_sp_Q09472_EP300_HUMAN_.pdf")</f>
        <v>Melting_Curves/meltCurve_sp_Q09472_EP300_HUMAN_.pdf</v>
      </c>
      <c r="AA1725" t="s">
        <v>15915</v>
      </c>
      <c r="AB1725" t="s">
        <v>20559</v>
      </c>
    </row>
    <row r="1726" spans="1:28" x14ac:dyDescent="0.25">
      <c r="A1726" t="s">
        <v>1730</v>
      </c>
      <c r="B1726">
        <v>0.99904790336628502</v>
      </c>
      <c r="C1726">
        <v>1.00747466646452</v>
      </c>
      <c r="D1726">
        <v>0.97162120352709902</v>
      </c>
      <c r="E1726">
        <v>0.93471908869262799</v>
      </c>
      <c r="F1726">
        <v>0.89835514895672697</v>
      </c>
      <c r="G1726">
        <v>0.63496986365673003</v>
      </c>
      <c r="H1726">
        <v>0.56349254871668697</v>
      </c>
      <c r="I1726">
        <v>0.49199907029332601</v>
      </c>
      <c r="J1726">
        <v>0.52918330817872705</v>
      </c>
      <c r="K1726">
        <v>0.48761098481784598</v>
      </c>
      <c r="L1726">
        <v>1406.7524820905901</v>
      </c>
      <c r="M1726">
        <v>25.478344618491501</v>
      </c>
      <c r="O1726">
        <v>54.876879741046103</v>
      </c>
      <c r="P1726">
        <v>-5.8089814410809702E-2</v>
      </c>
      <c r="Q1726">
        <v>0.499536058086336</v>
      </c>
      <c r="R1726">
        <v>0.98996996221206701</v>
      </c>
      <c r="S1726" t="s">
        <v>6466</v>
      </c>
      <c r="T1726" t="s">
        <v>9478</v>
      </c>
      <c r="U1726" t="s">
        <v>9478</v>
      </c>
      <c r="V1726" t="s">
        <v>9478</v>
      </c>
      <c r="W1726">
        <v>307</v>
      </c>
      <c r="X1726" t="s">
        <v>11204</v>
      </c>
      <c r="Y1726">
        <v>0.75780775078835183</v>
      </c>
      <c r="Z1726" t="str">
        <f>HYPERLINK("Melting_Curves/meltCurve_sp_Q09666_AHNK_HUMAN_.pdf", "Melting_Curves/meltCurve_sp_Q09666_AHNK_HUMAN_.pdf")</f>
        <v>Melting_Curves/meltCurve_sp_Q09666_AHNK_HUMAN_.pdf</v>
      </c>
      <c r="AA1726" t="s">
        <v>15916</v>
      </c>
      <c r="AB1726" t="s">
        <v>20560</v>
      </c>
    </row>
    <row r="1727" spans="1:28" x14ac:dyDescent="0.25">
      <c r="A1727" t="s">
        <v>1731</v>
      </c>
      <c r="B1727">
        <v>0.99904790336628502</v>
      </c>
      <c r="C1727">
        <v>0.96305030744103604</v>
      </c>
      <c r="D1727">
        <v>0.94451643326685497</v>
      </c>
      <c r="E1727">
        <v>0.90281577420646397</v>
      </c>
      <c r="F1727">
        <v>0.64189985636990898</v>
      </c>
      <c r="G1727">
        <v>0.31749110759348997</v>
      </c>
      <c r="H1727">
        <v>0.12673536967058999</v>
      </c>
      <c r="I1727">
        <v>7.8982873980601997E-2</v>
      </c>
      <c r="J1727">
        <v>6.2784878347242001E-2</v>
      </c>
      <c r="K1727">
        <v>5.1967735831817102E-2</v>
      </c>
      <c r="L1727">
        <v>1158.50915303745</v>
      </c>
      <c r="M1727">
        <v>21.275126254678</v>
      </c>
      <c r="N1727">
        <v>54.6834158803333</v>
      </c>
      <c r="O1727">
        <v>53.979443297932903</v>
      </c>
      <c r="P1727">
        <v>-9.4323629765053194E-2</v>
      </c>
      <c r="Q1727">
        <v>4.2749358557240803E-2</v>
      </c>
      <c r="R1727">
        <v>0.99772911425125699</v>
      </c>
      <c r="S1727" t="s">
        <v>6467</v>
      </c>
      <c r="T1727" t="s">
        <v>9478</v>
      </c>
      <c r="U1727" t="s">
        <v>9478</v>
      </c>
      <c r="V1727" t="s">
        <v>9478</v>
      </c>
      <c r="W1727">
        <v>7</v>
      </c>
      <c r="X1727" t="s">
        <v>11205</v>
      </c>
      <c r="Y1727">
        <v>0.51563510262075696</v>
      </c>
      <c r="Z1727" t="str">
        <f>HYPERLINK("Melting_Curves/meltCurve_sp_Q0JRZ9_FCHO2_HUMAN_.pdf", "Melting_Curves/meltCurve_sp_Q0JRZ9_FCHO2_HUMAN_.pdf")</f>
        <v>Melting_Curves/meltCurve_sp_Q0JRZ9_FCHO2_HUMAN_.pdf</v>
      </c>
      <c r="AA1727" t="s">
        <v>15917</v>
      </c>
      <c r="AB1727" t="s">
        <v>20561</v>
      </c>
    </row>
    <row r="1728" spans="1:28" x14ac:dyDescent="0.25">
      <c r="A1728" t="s">
        <v>1732</v>
      </c>
      <c r="B1728">
        <v>0.99904790336628502</v>
      </c>
      <c r="C1728">
        <v>0.93833949281892703</v>
      </c>
      <c r="D1728">
        <v>0.96480148737672999</v>
      </c>
      <c r="E1728">
        <v>0.98527442637757501</v>
      </c>
      <c r="F1728">
        <v>0.99535288414085998</v>
      </c>
      <c r="G1728">
        <v>0.42992231209746201</v>
      </c>
      <c r="H1728">
        <v>0.103837629258904</v>
      </c>
      <c r="I1728">
        <v>6.1009736153206998E-2</v>
      </c>
      <c r="J1728">
        <v>4.2539754838135803E-2</v>
      </c>
      <c r="K1728">
        <v>3.0672448259988501E-2</v>
      </c>
      <c r="L1728">
        <v>2975.1422190861799</v>
      </c>
      <c r="M1728">
        <v>52.586770171589798</v>
      </c>
      <c r="N1728">
        <v>56.696722256807</v>
      </c>
      <c r="O1728">
        <v>56.494230897576202</v>
      </c>
      <c r="P1728">
        <v>-0.22037070233360501</v>
      </c>
      <c r="Q1728">
        <v>5.30192561546E-2</v>
      </c>
      <c r="R1728">
        <v>0.99613666800800205</v>
      </c>
      <c r="S1728" t="s">
        <v>6468</v>
      </c>
      <c r="T1728" t="s">
        <v>9478</v>
      </c>
      <c r="U1728" t="s">
        <v>9478</v>
      </c>
      <c r="V1728" t="s">
        <v>9478</v>
      </c>
      <c r="W1728">
        <v>9</v>
      </c>
      <c r="X1728" t="s">
        <v>11206</v>
      </c>
      <c r="Y1728">
        <v>0.57838660419955223</v>
      </c>
      <c r="Z1728" t="str">
        <f>HYPERLINK("Melting_Curves/meltCurve_sp_Q0VDG4_SCRN3_HUMAN_.pdf", "Melting_Curves/meltCurve_sp_Q0VDG4_SCRN3_HUMAN_.pdf")</f>
        <v>Melting_Curves/meltCurve_sp_Q0VDG4_SCRN3_HUMAN_.pdf</v>
      </c>
      <c r="AA1728" t="s">
        <v>15918</v>
      </c>
      <c r="AB1728" t="s">
        <v>20562</v>
      </c>
    </row>
    <row r="1729" spans="1:28" x14ac:dyDescent="0.25">
      <c r="A1729" t="s">
        <v>1733</v>
      </c>
      <c r="B1729">
        <v>0.99904790336628502</v>
      </c>
      <c r="C1729">
        <v>1.0213062364055201</v>
      </c>
      <c r="D1729">
        <v>1.03221709092884</v>
      </c>
      <c r="E1729">
        <v>0.98716322829891101</v>
      </c>
      <c r="F1729">
        <v>0.94409395035623001</v>
      </c>
      <c r="G1729">
        <v>0.75420936369381197</v>
      </c>
      <c r="H1729">
        <v>0.68499863796626004</v>
      </c>
      <c r="I1729">
        <v>0.67220528434207405</v>
      </c>
      <c r="J1729">
        <v>0.65079061769644797</v>
      </c>
      <c r="K1729">
        <v>0.56022537998253996</v>
      </c>
      <c r="L1729">
        <v>1289.3033820304599</v>
      </c>
      <c r="M1729">
        <v>22.877139358865701</v>
      </c>
      <c r="O1729">
        <v>55.932393532463898</v>
      </c>
      <c r="P1729">
        <v>-3.9454100092933098E-2</v>
      </c>
      <c r="Q1729">
        <v>0.61416155469696598</v>
      </c>
      <c r="R1729">
        <v>0.97242479145679495</v>
      </c>
      <c r="S1729" t="s">
        <v>6469</v>
      </c>
      <c r="T1729" t="s">
        <v>9478</v>
      </c>
      <c r="U1729" t="s">
        <v>9478</v>
      </c>
      <c r="V1729" t="s">
        <v>9478</v>
      </c>
      <c r="W1729">
        <v>51</v>
      </c>
      <c r="X1729" t="s">
        <v>11207</v>
      </c>
      <c r="Y1729">
        <v>0.82859169581147329</v>
      </c>
      <c r="Z1729" t="str">
        <f>HYPERLINK("Melting_Curves/meltCurve_sp_Q0VF96_CGNL1_HUMAN_.pdf", "Melting_Curves/meltCurve_sp_Q0VF96_CGNL1_HUMAN_.pdf")</f>
        <v>Melting_Curves/meltCurve_sp_Q0VF96_CGNL1_HUMAN_.pdf</v>
      </c>
      <c r="AA1729" t="s">
        <v>15919</v>
      </c>
      <c r="AB1729" t="s">
        <v>20563</v>
      </c>
    </row>
    <row r="1730" spans="1:28" x14ac:dyDescent="0.25">
      <c r="A1730" t="s">
        <v>1734</v>
      </c>
      <c r="B1730">
        <v>0.99904790336628502</v>
      </c>
      <c r="C1730">
        <v>1.02021401968564</v>
      </c>
      <c r="D1730">
        <v>1.0722455011277501</v>
      </c>
      <c r="E1730">
        <v>1.01512617628633</v>
      </c>
      <c r="F1730">
        <v>0.77922249400576904</v>
      </c>
      <c r="G1730">
        <v>0.47689980409173599</v>
      </c>
      <c r="H1730">
        <v>0.20186554585768099</v>
      </c>
      <c r="I1730">
        <v>7.63579904534024E-2</v>
      </c>
      <c r="J1730">
        <v>7.3577142302347603E-2</v>
      </c>
      <c r="K1730">
        <v>6.67056674870143E-2</v>
      </c>
      <c r="L1730">
        <v>1314.30903293131</v>
      </c>
      <c r="M1730">
        <v>23.310093307903301</v>
      </c>
      <c r="N1730">
        <v>56.628206916206899</v>
      </c>
      <c r="O1730">
        <v>55.973651315787897</v>
      </c>
      <c r="P1730">
        <v>-9.9129197692835097E-2</v>
      </c>
      <c r="Q1730">
        <v>4.7876287583894298E-2</v>
      </c>
      <c r="R1730">
        <v>0.99240771670987904</v>
      </c>
      <c r="S1730" t="s">
        <v>6470</v>
      </c>
      <c r="T1730" t="s">
        <v>9478</v>
      </c>
      <c r="U1730" t="s">
        <v>9478</v>
      </c>
      <c r="V1730" t="s">
        <v>9478</v>
      </c>
      <c r="W1730">
        <v>41</v>
      </c>
      <c r="X1730" t="s">
        <v>11208</v>
      </c>
      <c r="Y1730">
        <v>0.57755709703662939</v>
      </c>
      <c r="Z1730" t="str">
        <f>HYPERLINK("Melting_Curves/meltCurve_sp_Q10567_2_AP1B1_HUMAN_.pdf", "Melting_Curves/meltCurve_sp_Q10567_2_AP1B1_HUMAN_.pdf")</f>
        <v>Melting_Curves/meltCurve_sp_Q10567_2_AP1B1_HUMAN_.pdf</v>
      </c>
      <c r="AA1730" t="s">
        <v>15920</v>
      </c>
      <c r="AB1730" t="s">
        <v>20564</v>
      </c>
    </row>
    <row r="1731" spans="1:28" x14ac:dyDescent="0.25">
      <c r="A1731" t="s">
        <v>1735</v>
      </c>
      <c r="B1731">
        <v>0.99904790336628502</v>
      </c>
      <c r="C1731">
        <v>1.00508202690582</v>
      </c>
      <c r="D1731">
        <v>1.0782260406197199</v>
      </c>
      <c r="E1731">
        <v>0.96017909027635995</v>
      </c>
      <c r="F1731">
        <v>0.73959089845206405</v>
      </c>
      <c r="G1731">
        <v>0.40207153440250298</v>
      </c>
      <c r="H1731">
        <v>0.181243674122892</v>
      </c>
      <c r="I1731">
        <v>8.5750601510168306E-2</v>
      </c>
      <c r="J1731">
        <v>4.2135285798467502E-2</v>
      </c>
      <c r="K1731">
        <v>3.4349352401957099E-2</v>
      </c>
      <c r="L1731">
        <v>1220.18455828384</v>
      </c>
      <c r="M1731">
        <v>21.870975949557899</v>
      </c>
      <c r="N1731">
        <v>55.942100151214397</v>
      </c>
      <c r="O1731">
        <v>55.330000363478703</v>
      </c>
      <c r="P1731">
        <v>-9.5972263643676198E-2</v>
      </c>
      <c r="Q1731">
        <v>2.8845593565086501E-2</v>
      </c>
      <c r="R1731">
        <v>0.994365380017456</v>
      </c>
      <c r="S1731" t="s">
        <v>6471</v>
      </c>
      <c r="T1731" t="s">
        <v>9478</v>
      </c>
      <c r="U1731" t="s">
        <v>9478</v>
      </c>
      <c r="V1731" t="s">
        <v>9478</v>
      </c>
      <c r="W1731">
        <v>41</v>
      </c>
      <c r="X1731" t="s">
        <v>11209</v>
      </c>
      <c r="Y1731">
        <v>0.55107410624312914</v>
      </c>
      <c r="Z1731" t="str">
        <f>HYPERLINK("Melting_Curves/meltCurve_sp_Q10567_3_AP1B1_HUMAN_.pdf", "Melting_Curves/meltCurve_sp_Q10567_3_AP1B1_HUMAN_.pdf")</f>
        <v>Melting_Curves/meltCurve_sp_Q10567_3_AP1B1_HUMAN_.pdf</v>
      </c>
      <c r="AA1731" t="s">
        <v>15920</v>
      </c>
      <c r="AB1731" t="s">
        <v>20565</v>
      </c>
    </row>
    <row r="1732" spans="1:28" x14ac:dyDescent="0.25">
      <c r="A1732" t="s">
        <v>1736</v>
      </c>
      <c r="B1732">
        <v>0.99904790336628502</v>
      </c>
      <c r="C1732">
        <v>1.0369643179396399</v>
      </c>
      <c r="D1732">
        <v>1.04811864473324</v>
      </c>
      <c r="E1732">
        <v>0.77613868515209905</v>
      </c>
      <c r="F1732">
        <v>0.40637298923082898</v>
      </c>
      <c r="G1732">
        <v>0.20877832630403501</v>
      </c>
      <c r="H1732">
        <v>0.13473278202953101</v>
      </c>
      <c r="I1732">
        <v>0.101603802540863</v>
      </c>
      <c r="J1732">
        <v>0.100839217297712</v>
      </c>
      <c r="K1732">
        <v>0.116972753058081</v>
      </c>
      <c r="L1732">
        <v>1575.6845556794401</v>
      </c>
      <c r="M1732">
        <v>30.395766628777601</v>
      </c>
      <c r="N1732">
        <v>52.299827139716001</v>
      </c>
      <c r="O1732">
        <v>51.616119130785599</v>
      </c>
      <c r="P1732">
        <v>-0.129924089251857</v>
      </c>
      <c r="Q1732">
        <v>0.11749081647232799</v>
      </c>
      <c r="R1732">
        <v>0.99486851515249797</v>
      </c>
      <c r="S1732" t="s">
        <v>6472</v>
      </c>
      <c r="T1732" t="s">
        <v>9478</v>
      </c>
      <c r="U1732" t="s">
        <v>9478</v>
      </c>
      <c r="V1732" t="s">
        <v>9478</v>
      </c>
      <c r="W1732">
        <v>8</v>
      </c>
      <c r="X1732" t="s">
        <v>11210</v>
      </c>
      <c r="Y1732">
        <v>0.47123662142622841</v>
      </c>
      <c r="Z1732" t="str">
        <f>HYPERLINK("Melting_Curves/meltCurve_sp_Q10570_CPSF1_HUMAN_.pdf", "Melting_Curves/meltCurve_sp_Q10570_CPSF1_HUMAN_.pdf")</f>
        <v>Melting_Curves/meltCurve_sp_Q10570_CPSF1_HUMAN_.pdf</v>
      </c>
      <c r="AA1732" t="s">
        <v>15921</v>
      </c>
      <c r="AB1732" t="s">
        <v>20566</v>
      </c>
    </row>
    <row r="1733" spans="1:28" x14ac:dyDescent="0.25">
      <c r="A1733" t="s">
        <v>1737</v>
      </c>
      <c r="B1733">
        <v>0.99904790336628502</v>
      </c>
      <c r="C1733">
        <v>0.96727594566268404</v>
      </c>
      <c r="D1733">
        <v>0.88335006990434795</v>
      </c>
      <c r="E1733">
        <v>0.48049387491634099</v>
      </c>
      <c r="F1733">
        <v>0.20818757999805601</v>
      </c>
      <c r="G1733">
        <v>0.12116268919119</v>
      </c>
      <c r="H1733">
        <v>6.7475995584269602E-2</v>
      </c>
      <c r="I1733">
        <v>4.2444664264252398E-2</v>
      </c>
      <c r="J1733">
        <v>6.1366290914314198E-2</v>
      </c>
      <c r="K1733">
        <v>2.74817879557985E-2</v>
      </c>
      <c r="L1733">
        <v>1184.67688277762</v>
      </c>
      <c r="M1733">
        <v>23.8752462904053</v>
      </c>
      <c r="N1733">
        <v>49.839048197969198</v>
      </c>
      <c r="O1733">
        <v>49.275290683617001</v>
      </c>
      <c r="P1733">
        <v>-0.11508640077699001</v>
      </c>
      <c r="Q1733">
        <v>4.9924057566177502E-2</v>
      </c>
      <c r="R1733">
        <v>0.99864622850623996</v>
      </c>
      <c r="S1733" t="s">
        <v>6473</v>
      </c>
      <c r="T1733" t="s">
        <v>9478</v>
      </c>
      <c r="U1733" t="s">
        <v>9478</v>
      </c>
      <c r="V1733" t="s">
        <v>9478</v>
      </c>
      <c r="W1733">
        <v>19</v>
      </c>
      <c r="X1733" t="s">
        <v>11211</v>
      </c>
      <c r="Y1733">
        <v>0.36385220826272102</v>
      </c>
      <c r="Z1733" t="str">
        <f>HYPERLINK("Melting_Curves/meltCurve_sp_Q10713_MPPA_HUMAN_.pdf", "Melting_Curves/meltCurve_sp_Q10713_MPPA_HUMAN_.pdf")</f>
        <v>Melting_Curves/meltCurve_sp_Q10713_MPPA_HUMAN_.pdf</v>
      </c>
      <c r="AA1733" t="s">
        <v>15922</v>
      </c>
      <c r="AB1733" t="s">
        <v>20567</v>
      </c>
    </row>
    <row r="1734" spans="1:28" x14ac:dyDescent="0.25">
      <c r="A1734" t="s">
        <v>1738</v>
      </c>
      <c r="B1734">
        <v>0.99904790336628502</v>
      </c>
      <c r="C1734">
        <v>1.0472444822551601</v>
      </c>
      <c r="D1734">
        <v>1.0423736689930401</v>
      </c>
      <c r="E1734">
        <v>0.66760731381135496</v>
      </c>
      <c r="F1734">
        <v>0.23609414493046199</v>
      </c>
      <c r="G1734">
        <v>0.104517710862698</v>
      </c>
      <c r="H1734">
        <v>5.9968657294606903E-2</v>
      </c>
      <c r="I1734">
        <v>4.6252234464790598E-2</v>
      </c>
      <c r="J1734">
        <v>3.7343258125724997E-2</v>
      </c>
      <c r="K1734">
        <v>2.9557175123566998E-2</v>
      </c>
      <c r="L1734">
        <v>1861.2905426857801</v>
      </c>
      <c r="M1734">
        <v>36.557953349139197</v>
      </c>
      <c r="N1734">
        <v>51.063933921988202</v>
      </c>
      <c r="O1734">
        <v>50.7618059842004</v>
      </c>
      <c r="P1734">
        <v>-0.170851018845431</v>
      </c>
      <c r="Q1734">
        <v>5.1076059032140297E-2</v>
      </c>
      <c r="R1734">
        <v>0.99567516996609196</v>
      </c>
      <c r="S1734" t="s">
        <v>6474</v>
      </c>
      <c r="T1734" t="s">
        <v>9478</v>
      </c>
      <c r="U1734" t="s">
        <v>9478</v>
      </c>
      <c r="V1734" t="s">
        <v>9478</v>
      </c>
      <c r="W1734">
        <v>22</v>
      </c>
      <c r="X1734" t="s">
        <v>11212</v>
      </c>
      <c r="Y1734">
        <v>0.40027951760437042</v>
      </c>
      <c r="Z1734" t="str">
        <f>HYPERLINK("Melting_Curves/meltCurve_sp_Q12768_STRUM_HUMAN_.pdf", "Melting_Curves/meltCurve_sp_Q12768_STRUM_HUMAN_.pdf")</f>
        <v>Melting_Curves/meltCurve_sp_Q12768_STRUM_HUMAN_.pdf</v>
      </c>
      <c r="AA1734" t="s">
        <v>15923</v>
      </c>
      <c r="AB1734" t="s">
        <v>20568</v>
      </c>
    </row>
    <row r="1735" spans="1:28" x14ac:dyDescent="0.25">
      <c r="A1735" t="s">
        <v>1739</v>
      </c>
      <c r="B1735">
        <v>0.99904790336628502</v>
      </c>
      <c r="C1735">
        <v>0.99955020886331902</v>
      </c>
      <c r="D1735">
        <v>1.06419360780703</v>
      </c>
      <c r="E1735">
        <v>0.84831384488788897</v>
      </c>
      <c r="F1735">
        <v>0.49588911495015803</v>
      </c>
      <c r="G1735">
        <v>0.208304251720593</v>
      </c>
      <c r="H1735">
        <v>0.120572881472624</v>
      </c>
      <c r="I1735">
        <v>7.4688538229637197E-2</v>
      </c>
      <c r="J1735">
        <v>6.1456640074234598E-2</v>
      </c>
      <c r="K1735">
        <v>5.6593303592607599E-2</v>
      </c>
      <c r="L1735">
        <v>1466.3894707561601</v>
      </c>
      <c r="M1735">
        <v>27.750566481396699</v>
      </c>
      <c r="N1735">
        <v>53.146765732023901</v>
      </c>
      <c r="O1735">
        <v>52.569669774958399</v>
      </c>
      <c r="P1735">
        <v>-0.12225762866527801</v>
      </c>
      <c r="Q1735">
        <v>7.3606526801830705E-2</v>
      </c>
      <c r="R1735">
        <v>0.99501598982356398</v>
      </c>
      <c r="S1735" t="s">
        <v>6475</v>
      </c>
      <c r="T1735" t="s">
        <v>9478</v>
      </c>
      <c r="U1735" t="s">
        <v>9478</v>
      </c>
      <c r="V1735" t="s">
        <v>9478</v>
      </c>
      <c r="W1735">
        <v>4</v>
      </c>
      <c r="X1735" t="s">
        <v>11213</v>
      </c>
      <c r="Y1735">
        <v>0.47713628213190601</v>
      </c>
      <c r="Z1735" t="str">
        <f>HYPERLINK("Melting_Curves/meltCurve_sp_Q12769_NU160_HUMAN_.pdf", "Melting_Curves/meltCurve_sp_Q12769_NU160_HUMAN_.pdf")</f>
        <v>Melting_Curves/meltCurve_sp_Q12769_NU160_HUMAN_.pdf</v>
      </c>
      <c r="AA1735" t="s">
        <v>15924</v>
      </c>
      <c r="AB1735" t="s">
        <v>20569</v>
      </c>
    </row>
    <row r="1736" spans="1:28" x14ac:dyDescent="0.25">
      <c r="A1736" t="s">
        <v>1740</v>
      </c>
      <c r="B1736">
        <v>0.99904790336628502</v>
      </c>
      <c r="C1736">
        <v>1.1031390798845699</v>
      </c>
      <c r="D1736">
        <v>1.04817222244287</v>
      </c>
      <c r="E1736">
        <v>0.94981749958842399</v>
      </c>
      <c r="F1736">
        <v>0.93652033792927003</v>
      </c>
      <c r="G1736">
        <v>0.71411094366966699</v>
      </c>
      <c r="H1736">
        <v>0.56693341065925895</v>
      </c>
      <c r="I1736">
        <v>0.56186981607014197</v>
      </c>
      <c r="J1736">
        <v>0.58148773121226005</v>
      </c>
      <c r="K1736">
        <v>0.55267255516025204</v>
      </c>
      <c r="L1736">
        <v>1772.66567554733</v>
      </c>
      <c r="M1736">
        <v>31.7532751522672</v>
      </c>
      <c r="O1736">
        <v>55.606210114501003</v>
      </c>
      <c r="P1736">
        <v>-6.3206096098430697E-2</v>
      </c>
      <c r="Q1736">
        <v>0.55725722860424598</v>
      </c>
      <c r="R1736">
        <v>0.96643251744347802</v>
      </c>
      <c r="S1736" t="s">
        <v>6476</v>
      </c>
      <c r="T1736" t="s">
        <v>9478</v>
      </c>
      <c r="U1736" t="s">
        <v>9478</v>
      </c>
      <c r="V1736" t="s">
        <v>9478</v>
      </c>
      <c r="W1736">
        <v>2</v>
      </c>
      <c r="X1736" t="s">
        <v>11214</v>
      </c>
      <c r="Y1736">
        <v>0.79347686254797434</v>
      </c>
      <c r="Z1736" t="str">
        <f>HYPERLINK("Melting_Curves/meltCurve_sp_Q12774_ARHG5_HUMAN_.pdf", "Melting_Curves/meltCurve_sp_Q12774_ARHG5_HUMAN_.pdf")</f>
        <v>Melting_Curves/meltCurve_sp_Q12774_ARHG5_HUMAN_.pdf</v>
      </c>
      <c r="AA1736" t="s">
        <v>15925</v>
      </c>
      <c r="AB1736" t="s">
        <v>20570</v>
      </c>
    </row>
    <row r="1737" spans="1:28" x14ac:dyDescent="0.25">
      <c r="A1737" t="s">
        <v>1741</v>
      </c>
      <c r="B1737">
        <v>0.99904790336628502</v>
      </c>
      <c r="C1737">
        <v>1.08702333872183</v>
      </c>
      <c r="D1737">
        <v>1.0004422485248501</v>
      </c>
      <c r="E1737">
        <v>0.65224600600634597</v>
      </c>
      <c r="F1737">
        <v>0.48159261815240201</v>
      </c>
      <c r="G1737">
        <v>0.27375762046350499</v>
      </c>
      <c r="H1737">
        <v>0.18827127671069699</v>
      </c>
      <c r="I1737">
        <v>0.120976336802557</v>
      </c>
      <c r="J1737">
        <v>9.5737352724892893E-2</v>
      </c>
      <c r="K1737">
        <v>0.12128333983188699</v>
      </c>
      <c r="L1737">
        <v>1014.64769654048</v>
      </c>
      <c r="M1737">
        <v>19.552351307160698</v>
      </c>
      <c r="N1737">
        <v>52.5983589291817</v>
      </c>
      <c r="O1737">
        <v>51.360181094331999</v>
      </c>
      <c r="P1737">
        <v>-8.4212049335795805E-2</v>
      </c>
      <c r="Q1737">
        <v>0.115197109106648</v>
      </c>
      <c r="R1737">
        <v>0.98531815189058203</v>
      </c>
      <c r="S1737" t="s">
        <v>6477</v>
      </c>
      <c r="T1737" t="s">
        <v>9478</v>
      </c>
      <c r="U1737" t="s">
        <v>9478</v>
      </c>
      <c r="V1737" t="s">
        <v>9478</v>
      </c>
      <c r="W1737">
        <v>4</v>
      </c>
      <c r="X1737" t="s">
        <v>11215</v>
      </c>
      <c r="Y1737">
        <v>0.47874592606290112</v>
      </c>
      <c r="Z1737" t="str">
        <f>HYPERLINK("Melting_Curves/meltCurve_sp_Q12789_3_TF3C1_HUMAN_.pdf", "Melting_Curves/meltCurve_sp_Q12789_3_TF3C1_HUMAN_.pdf")</f>
        <v>Melting_Curves/meltCurve_sp_Q12789_3_TF3C1_HUMAN_.pdf</v>
      </c>
      <c r="AA1737" t="s">
        <v>15926</v>
      </c>
      <c r="AB1737" t="s">
        <v>20571</v>
      </c>
    </row>
    <row r="1738" spans="1:28" x14ac:dyDescent="0.25">
      <c r="A1738" t="s">
        <v>1742</v>
      </c>
      <c r="B1738">
        <v>0.99904790336628502</v>
      </c>
      <c r="C1738">
        <v>0.91843898095177101</v>
      </c>
      <c r="D1738">
        <v>0.87401711658321302</v>
      </c>
      <c r="E1738">
        <v>0.91223917696918799</v>
      </c>
      <c r="F1738">
        <v>0.79597275728873695</v>
      </c>
      <c r="G1738">
        <v>0.44138692700281301</v>
      </c>
      <c r="H1738">
        <v>9.0588748008592096E-2</v>
      </c>
      <c r="I1738">
        <v>6.0927759012116701E-2</v>
      </c>
      <c r="J1738">
        <v>3.9067528563172901E-2</v>
      </c>
      <c r="K1738">
        <v>3.3570471824547102E-2</v>
      </c>
      <c r="L1738">
        <v>1259.78322750957</v>
      </c>
      <c r="M1738">
        <v>22.462683111793101</v>
      </c>
      <c r="N1738">
        <v>56.099069855502897</v>
      </c>
      <c r="O1738">
        <v>55.644566404790602</v>
      </c>
      <c r="P1738">
        <v>-0.10060646083810799</v>
      </c>
      <c r="Q1738">
        <v>3.1310542714449502E-3</v>
      </c>
      <c r="R1738">
        <v>0.984195469205284</v>
      </c>
      <c r="S1738" t="s">
        <v>6478</v>
      </c>
      <c r="T1738" t="s">
        <v>9478</v>
      </c>
      <c r="U1738" t="s">
        <v>9478</v>
      </c>
      <c r="V1738" t="s">
        <v>9478</v>
      </c>
      <c r="W1738">
        <v>12</v>
      </c>
      <c r="X1738" t="s">
        <v>11216</v>
      </c>
      <c r="Y1738">
        <v>0.54839875112529546</v>
      </c>
      <c r="Z1738" t="str">
        <f>HYPERLINK("Melting_Curves/meltCurve_sp_Q12792_TWF1_HUMAN_.pdf", "Melting_Curves/meltCurve_sp_Q12792_TWF1_HUMAN_.pdf")</f>
        <v>Melting_Curves/meltCurve_sp_Q12792_TWF1_HUMAN_.pdf</v>
      </c>
      <c r="AA1738" t="s">
        <v>15927</v>
      </c>
      <c r="AB1738" t="s">
        <v>20572</v>
      </c>
    </row>
    <row r="1739" spans="1:28" x14ac:dyDescent="0.25">
      <c r="A1739" t="s">
        <v>1743</v>
      </c>
      <c r="B1739">
        <v>0.99904790336628502</v>
      </c>
      <c r="C1739">
        <v>0.85863751127211196</v>
      </c>
      <c r="D1739">
        <v>0.846788893994188</v>
      </c>
      <c r="E1739">
        <v>0.56304247248744999</v>
      </c>
      <c r="F1739">
        <v>0.316733200299327</v>
      </c>
      <c r="G1739">
        <v>0.149145277475838</v>
      </c>
      <c r="H1739">
        <v>0.100831540454421</v>
      </c>
      <c r="I1739">
        <v>5.6754919714656203E-2</v>
      </c>
      <c r="J1739">
        <v>1.3515988902892901E-2</v>
      </c>
      <c r="K1739">
        <v>2.72939315027153E-2</v>
      </c>
      <c r="L1739">
        <v>749.85546056642897</v>
      </c>
      <c r="M1739">
        <v>14.8319085998092</v>
      </c>
      <c r="N1739">
        <v>50.598558355510399</v>
      </c>
      <c r="O1739">
        <v>49.664553526799601</v>
      </c>
      <c r="P1739">
        <v>-7.42152774858377E-2</v>
      </c>
      <c r="Q1739">
        <v>6.0673712858384798E-3</v>
      </c>
      <c r="R1739">
        <v>0.99331097416297798</v>
      </c>
      <c r="S1739" t="s">
        <v>6479</v>
      </c>
      <c r="T1739" t="s">
        <v>9478</v>
      </c>
      <c r="U1739" t="s">
        <v>9478</v>
      </c>
      <c r="V1739" t="s">
        <v>9478</v>
      </c>
      <c r="W1739">
        <v>2</v>
      </c>
      <c r="X1739" t="s">
        <v>11217</v>
      </c>
      <c r="Y1739">
        <v>0.37956677263604438</v>
      </c>
      <c r="Z1739" t="str">
        <f>HYPERLINK("Melting_Curves/meltCurve_sp_Q12794_7_HYAL1_HUMAN_.pdf", "Melting_Curves/meltCurve_sp_Q12794_7_HYAL1_HUMAN_.pdf")</f>
        <v>Melting_Curves/meltCurve_sp_Q12794_7_HYAL1_HUMAN_.pdf</v>
      </c>
      <c r="AA1739" t="s">
        <v>15928</v>
      </c>
      <c r="AB1739" t="s">
        <v>20573</v>
      </c>
    </row>
    <row r="1740" spans="1:28" x14ac:dyDescent="0.25">
      <c r="A1740" t="s">
        <v>1744</v>
      </c>
      <c r="B1740">
        <v>0.99904790336628502</v>
      </c>
      <c r="C1740">
        <v>0.92377966216123197</v>
      </c>
      <c r="D1740">
        <v>0.839560169025656</v>
      </c>
      <c r="E1740">
        <v>0.64115794066431198</v>
      </c>
      <c r="F1740">
        <v>0.30529531918507902</v>
      </c>
      <c r="G1740">
        <v>0.14058940233627401</v>
      </c>
      <c r="H1740">
        <v>0.105051080405391</v>
      </c>
      <c r="I1740">
        <v>6.6126451202692199E-2</v>
      </c>
      <c r="J1740">
        <v>4.7988900905627997E-2</v>
      </c>
      <c r="K1740">
        <v>3.1865691719073802E-2</v>
      </c>
      <c r="L1740">
        <v>895.05577180073897</v>
      </c>
      <c r="M1740">
        <v>17.623816941855399</v>
      </c>
      <c r="N1740">
        <v>50.986756790799198</v>
      </c>
      <c r="O1740">
        <v>50.146355246227401</v>
      </c>
      <c r="P1740">
        <v>-8.4931457637905106E-2</v>
      </c>
      <c r="Q1740">
        <v>3.3404476097137301E-2</v>
      </c>
      <c r="R1740">
        <v>0.99407779462881896</v>
      </c>
      <c r="S1740" t="s">
        <v>6480</v>
      </c>
      <c r="T1740" t="s">
        <v>9478</v>
      </c>
      <c r="U1740" t="s">
        <v>9478</v>
      </c>
      <c r="V1740" t="s">
        <v>9478</v>
      </c>
      <c r="W1740">
        <v>2</v>
      </c>
      <c r="X1740" t="s">
        <v>11218</v>
      </c>
      <c r="Y1740">
        <v>0.39791648401185892</v>
      </c>
      <c r="Z1740" t="str">
        <f>HYPERLINK("Melting_Curves/meltCurve_sp_Q12797_10_ASPH_HUMAN_.pdf", "Melting_Curves/meltCurve_sp_Q12797_10_ASPH_HUMAN_.pdf")</f>
        <v>Melting_Curves/meltCurve_sp_Q12797_10_ASPH_HUMAN_.pdf</v>
      </c>
      <c r="AA1740" t="s">
        <v>15929</v>
      </c>
      <c r="AB1740" t="s">
        <v>20574</v>
      </c>
    </row>
    <row r="1741" spans="1:28" x14ac:dyDescent="0.25">
      <c r="A1741" t="s">
        <v>1745</v>
      </c>
      <c r="B1741">
        <v>0.99904790336628502</v>
      </c>
      <c r="C1741">
        <v>0.94307570954283404</v>
      </c>
      <c r="D1741">
        <v>0.92862980401363404</v>
      </c>
      <c r="E1741">
        <v>0.89026488100505796</v>
      </c>
      <c r="F1741">
        <v>0.83716432402504404</v>
      </c>
      <c r="G1741">
        <v>0.61653541196879402</v>
      </c>
      <c r="H1741">
        <v>0.519736945664102</v>
      </c>
      <c r="I1741">
        <v>0.43104819892107399</v>
      </c>
      <c r="J1741">
        <v>0.42637358428017103</v>
      </c>
      <c r="K1741">
        <v>0.39414986291717902</v>
      </c>
      <c r="L1741">
        <v>734.82822293050594</v>
      </c>
      <c r="M1741">
        <v>13.075872674698701</v>
      </c>
      <c r="N1741">
        <v>61.619926798491598</v>
      </c>
      <c r="O1741">
        <v>54.931618632754997</v>
      </c>
      <c r="P1741">
        <v>-3.9176553576273802E-2</v>
      </c>
      <c r="Q1741">
        <v>0.341792511474863</v>
      </c>
      <c r="R1741">
        <v>0.98770622778169803</v>
      </c>
      <c r="S1741" t="s">
        <v>6481</v>
      </c>
      <c r="T1741" t="s">
        <v>9478</v>
      </c>
      <c r="U1741" t="s">
        <v>9478</v>
      </c>
      <c r="V1741" t="s">
        <v>9478</v>
      </c>
      <c r="W1741">
        <v>14</v>
      </c>
      <c r="X1741" t="s">
        <v>11219</v>
      </c>
      <c r="Y1741">
        <v>0.7096937415084732</v>
      </c>
      <c r="Z1741" t="str">
        <f>HYPERLINK("Melting_Curves/meltCurve_sp_Q12802_4_AKP13_HUMAN_.pdf", "Melting_Curves/meltCurve_sp_Q12802_4_AKP13_HUMAN_.pdf")</f>
        <v>Melting_Curves/meltCurve_sp_Q12802_4_AKP13_HUMAN_.pdf</v>
      </c>
      <c r="AA1741" t="s">
        <v>15930</v>
      </c>
      <c r="AB1741" t="s">
        <v>20575</v>
      </c>
    </row>
    <row r="1742" spans="1:28" x14ac:dyDescent="0.25">
      <c r="A1742" t="s">
        <v>1746</v>
      </c>
      <c r="B1742">
        <v>0.99904790336628502</v>
      </c>
      <c r="C1742">
        <v>0.89046717857424795</v>
      </c>
      <c r="D1742">
        <v>0.8951942425271</v>
      </c>
      <c r="E1742">
        <v>0.852322953658328</v>
      </c>
      <c r="F1742">
        <v>0.69916866108529996</v>
      </c>
      <c r="G1742">
        <v>0.45609476331865201</v>
      </c>
      <c r="H1742">
        <v>0.322085694835825</v>
      </c>
      <c r="I1742">
        <v>0.27908723001643798</v>
      </c>
      <c r="J1742">
        <v>0.24441325002275699</v>
      </c>
      <c r="K1742">
        <v>0.22288673071720499</v>
      </c>
      <c r="L1742">
        <v>711.31847809443605</v>
      </c>
      <c r="M1742">
        <v>12.9797440645163</v>
      </c>
      <c r="N1742">
        <v>56.555512046420901</v>
      </c>
      <c r="O1742">
        <v>53.550300419066502</v>
      </c>
      <c r="P1742">
        <v>-5.0567814026985597E-2</v>
      </c>
      <c r="Q1742">
        <v>0.16564135977526201</v>
      </c>
      <c r="R1742">
        <v>0.98554281031950797</v>
      </c>
      <c r="S1742" t="s">
        <v>6482</v>
      </c>
      <c r="T1742" t="s">
        <v>9478</v>
      </c>
      <c r="U1742" t="s">
        <v>9478</v>
      </c>
      <c r="V1742" t="s">
        <v>9478</v>
      </c>
      <c r="W1742">
        <v>7</v>
      </c>
      <c r="X1742" t="s">
        <v>11220</v>
      </c>
      <c r="Y1742">
        <v>0.59612592963264988</v>
      </c>
      <c r="Z1742" t="str">
        <f>HYPERLINK("Melting_Curves/meltCurve_sp_Q12849_5_GRSF1_HUMAN_.pdf", "Melting_Curves/meltCurve_sp_Q12849_5_GRSF1_HUMAN_.pdf")</f>
        <v>Melting_Curves/meltCurve_sp_Q12849_5_GRSF1_HUMAN_.pdf</v>
      </c>
      <c r="AA1742" t="s">
        <v>15931</v>
      </c>
      <c r="AB1742" t="s">
        <v>20576</v>
      </c>
    </row>
    <row r="1743" spans="1:28" x14ac:dyDescent="0.25">
      <c r="A1743" t="s">
        <v>1747</v>
      </c>
      <c r="B1743">
        <v>0.99904790336628502</v>
      </c>
      <c r="C1743">
        <v>1.0212850244193099</v>
      </c>
      <c r="D1743">
        <v>1.0192935457694201</v>
      </c>
      <c r="E1743">
        <v>0.96293830186911999</v>
      </c>
      <c r="F1743">
        <v>1.0325653128460199</v>
      </c>
      <c r="G1743">
        <v>0.66278822135349202</v>
      </c>
      <c r="H1743">
        <v>0.37945704830001498</v>
      </c>
      <c r="I1743">
        <v>0.32373184836243202</v>
      </c>
      <c r="J1743">
        <v>0.236011646016202</v>
      </c>
      <c r="K1743">
        <v>0.243331129547883</v>
      </c>
      <c r="L1743">
        <v>1911.9950865820899</v>
      </c>
      <c r="M1743">
        <v>33.208637174109803</v>
      </c>
      <c r="N1743">
        <v>58.870461239308703</v>
      </c>
      <c r="O1743">
        <v>57.367660234262999</v>
      </c>
      <c r="P1743">
        <v>-0.10720814760973101</v>
      </c>
      <c r="Q1743">
        <v>0.25919830981346398</v>
      </c>
      <c r="R1743">
        <v>0.99028080693859399</v>
      </c>
      <c r="S1743" t="s">
        <v>6483</v>
      </c>
      <c r="T1743" t="s">
        <v>9478</v>
      </c>
      <c r="U1743" t="s">
        <v>9478</v>
      </c>
      <c r="V1743" t="s">
        <v>9478</v>
      </c>
      <c r="W1743">
        <v>3</v>
      </c>
      <c r="X1743" t="s">
        <v>11221</v>
      </c>
      <c r="Y1743">
        <v>0.69729790808817882</v>
      </c>
      <c r="Z1743" t="str">
        <f>HYPERLINK("Melting_Curves/meltCurve_sp_Q12872_SFSWA_HUMAN_.pdf", "Melting_Curves/meltCurve_sp_Q12872_SFSWA_HUMAN_.pdf")</f>
        <v>Melting_Curves/meltCurve_sp_Q12872_SFSWA_HUMAN_.pdf</v>
      </c>
      <c r="AA1743" t="s">
        <v>15932</v>
      </c>
      <c r="AB1743" t="s">
        <v>20577</v>
      </c>
    </row>
    <row r="1744" spans="1:28" x14ac:dyDescent="0.25">
      <c r="A1744" t="s">
        <v>1748</v>
      </c>
      <c r="B1744">
        <v>0.99904790336628502</v>
      </c>
      <c r="C1744">
        <v>1.04245160285355</v>
      </c>
      <c r="D1744">
        <v>1.0506094254959399</v>
      </c>
      <c r="E1744">
        <v>0.57405188420339304</v>
      </c>
      <c r="F1744">
        <v>0.22797818029572001</v>
      </c>
      <c r="G1744">
        <v>9.5817771753895595E-2</v>
      </c>
      <c r="H1744">
        <v>5.07117857965413E-2</v>
      </c>
      <c r="I1744">
        <v>3.7537745777662002E-2</v>
      </c>
      <c r="J1744">
        <v>4.26755887851459E-2</v>
      </c>
      <c r="K1744">
        <v>2.81518026348021E-2</v>
      </c>
      <c r="L1744">
        <v>1738.44869423619</v>
      </c>
      <c r="M1744">
        <v>34.442103861846398</v>
      </c>
      <c r="N1744">
        <v>50.626080774718098</v>
      </c>
      <c r="O1744">
        <v>50.305279887439497</v>
      </c>
      <c r="P1744">
        <v>-0.16278205623998901</v>
      </c>
      <c r="Q1744">
        <v>4.8982003964262402E-2</v>
      </c>
      <c r="R1744">
        <v>0.99374202929285205</v>
      </c>
      <c r="S1744" t="s">
        <v>6484</v>
      </c>
      <c r="T1744" t="s">
        <v>9478</v>
      </c>
      <c r="U1744" t="s">
        <v>9478</v>
      </c>
      <c r="V1744" t="s">
        <v>9478</v>
      </c>
      <c r="W1744">
        <v>6</v>
      </c>
      <c r="X1744" t="s">
        <v>11222</v>
      </c>
      <c r="Y1744">
        <v>0.38551804307431808</v>
      </c>
      <c r="Z1744" t="str">
        <f>HYPERLINK("Melting_Curves/meltCurve_sp_Q12874_SF3A3_HUMAN_.pdf", "Melting_Curves/meltCurve_sp_Q12874_SF3A3_HUMAN_.pdf")</f>
        <v>Melting_Curves/meltCurve_sp_Q12874_SF3A3_HUMAN_.pdf</v>
      </c>
      <c r="AA1744" t="s">
        <v>15933</v>
      </c>
      <c r="AB1744" t="s">
        <v>20578</v>
      </c>
    </row>
    <row r="1745" spans="1:28" x14ac:dyDescent="0.25">
      <c r="A1745" t="s">
        <v>1749</v>
      </c>
      <c r="B1745">
        <v>0.99904790336628502</v>
      </c>
      <c r="C1745">
        <v>0.99154942097048204</v>
      </c>
      <c r="D1745">
        <v>1.0577547961053499</v>
      </c>
      <c r="E1745">
        <v>0.98803201226745396</v>
      </c>
      <c r="F1745">
        <v>0.52628314496180795</v>
      </c>
      <c r="G1745">
        <v>0.12722238945459399</v>
      </c>
      <c r="H1745">
        <v>7.0646251131896598E-2</v>
      </c>
      <c r="I1745">
        <v>4.8889864569457202E-2</v>
      </c>
      <c r="J1745">
        <v>4.3460877472215803E-2</v>
      </c>
      <c r="K1745">
        <v>3.4905344048166899E-2</v>
      </c>
      <c r="L1745">
        <v>2660.2326030734598</v>
      </c>
      <c r="M1745">
        <v>50.161386937095202</v>
      </c>
      <c r="N1745">
        <v>53.1645698850107</v>
      </c>
      <c r="O1745">
        <v>52.949372992692702</v>
      </c>
      <c r="P1745">
        <v>-0.223059084227266</v>
      </c>
      <c r="Q1745">
        <v>5.8173400897259302E-2</v>
      </c>
      <c r="R1745">
        <v>0.99638994395972302</v>
      </c>
      <c r="S1745" t="s">
        <v>6485</v>
      </c>
      <c r="T1745" t="s">
        <v>9478</v>
      </c>
      <c r="U1745" t="s">
        <v>9478</v>
      </c>
      <c r="V1745" t="s">
        <v>9478</v>
      </c>
      <c r="W1745">
        <v>48</v>
      </c>
      <c r="X1745" t="s">
        <v>11223</v>
      </c>
      <c r="Y1745">
        <v>0.46953783683219291</v>
      </c>
      <c r="Z1745" t="str">
        <f>HYPERLINK("Melting_Curves/meltCurve_sp_Q12882_DPYD_HUMAN_.pdf", "Melting_Curves/meltCurve_sp_Q12882_DPYD_HUMAN_.pdf")</f>
        <v>Melting_Curves/meltCurve_sp_Q12882_DPYD_HUMAN_.pdf</v>
      </c>
      <c r="AA1745" t="s">
        <v>15934</v>
      </c>
      <c r="AB1745" t="s">
        <v>20579</v>
      </c>
    </row>
    <row r="1746" spans="1:28" x14ac:dyDescent="0.25">
      <c r="A1746" t="s">
        <v>1750</v>
      </c>
      <c r="B1746">
        <v>0.99904790336628502</v>
      </c>
      <c r="C1746">
        <v>0.98967033832835305</v>
      </c>
      <c r="D1746">
        <v>1.0071426788426301</v>
      </c>
      <c r="E1746">
        <v>0.89247144097951903</v>
      </c>
      <c r="F1746">
        <v>0.77850146377886398</v>
      </c>
      <c r="G1746">
        <v>0.51700636972960601</v>
      </c>
      <c r="H1746">
        <v>0.46096213125365798</v>
      </c>
      <c r="I1746">
        <v>0.42235193902964902</v>
      </c>
      <c r="J1746">
        <v>0.41842015979908498</v>
      </c>
      <c r="K1746">
        <v>0.40696060186806998</v>
      </c>
      <c r="L1746">
        <v>1254.91244596618</v>
      </c>
      <c r="M1746">
        <v>23.3132352221192</v>
      </c>
      <c r="N1746">
        <v>58.096880047944701</v>
      </c>
      <c r="O1746">
        <v>53.436960680587397</v>
      </c>
      <c r="P1746">
        <v>-6.4370486650599801E-2</v>
      </c>
      <c r="Q1746">
        <v>0.40982840853897801</v>
      </c>
      <c r="R1746">
        <v>0.99689490816396897</v>
      </c>
      <c r="S1746" t="s">
        <v>6486</v>
      </c>
      <c r="T1746" t="s">
        <v>9478</v>
      </c>
      <c r="U1746" t="s">
        <v>9478</v>
      </c>
      <c r="V1746" t="s">
        <v>9478</v>
      </c>
      <c r="W1746">
        <v>11</v>
      </c>
      <c r="X1746" t="s">
        <v>11224</v>
      </c>
      <c r="Y1746">
        <v>0.68805638314842388</v>
      </c>
      <c r="Z1746" t="str">
        <f>HYPERLINK("Melting_Curves/meltCurve_sp_Q12888_TP53B_HUMAN_.pdf", "Melting_Curves/meltCurve_sp_Q12888_TP53B_HUMAN_.pdf")</f>
        <v>Melting_Curves/meltCurve_sp_Q12888_TP53B_HUMAN_.pdf</v>
      </c>
      <c r="AA1746" t="s">
        <v>15935</v>
      </c>
      <c r="AB1746" t="s">
        <v>20580</v>
      </c>
    </row>
    <row r="1747" spans="1:28" x14ac:dyDescent="0.25">
      <c r="A1747" t="s">
        <v>1751</v>
      </c>
      <c r="B1747">
        <v>0.99904790336628502</v>
      </c>
      <c r="C1747">
        <v>1.04739832059135</v>
      </c>
      <c r="D1747">
        <v>1.04749530950301</v>
      </c>
      <c r="E1747">
        <v>0.89402867153428001</v>
      </c>
      <c r="F1747">
        <v>0.42693520785505001</v>
      </c>
      <c r="G1747">
        <v>0.21149122007722401</v>
      </c>
      <c r="H1747">
        <v>0.12687848821363701</v>
      </c>
      <c r="I1747">
        <v>9.6352192039441106E-2</v>
      </c>
      <c r="J1747">
        <v>8.5300911261210602E-2</v>
      </c>
      <c r="K1747">
        <v>6.1935781874077202E-2</v>
      </c>
      <c r="L1747">
        <v>1985.02405242188</v>
      </c>
      <c r="M1747">
        <v>37.910005344317597</v>
      </c>
      <c r="N1747">
        <v>52.6874454847663</v>
      </c>
      <c r="O1747">
        <v>52.216441444505698</v>
      </c>
      <c r="P1747">
        <v>-0.162531560569422</v>
      </c>
      <c r="Q1747">
        <v>0.104532512691106</v>
      </c>
      <c r="R1747">
        <v>0.99243243384783697</v>
      </c>
      <c r="S1747" t="s">
        <v>6487</v>
      </c>
      <c r="T1747" t="s">
        <v>9478</v>
      </c>
      <c r="U1747" t="s">
        <v>9478</v>
      </c>
      <c r="V1747" t="s">
        <v>9478</v>
      </c>
      <c r="W1747">
        <v>5</v>
      </c>
      <c r="X1747" t="s">
        <v>11225</v>
      </c>
      <c r="Y1747">
        <v>0.47711682424410751</v>
      </c>
      <c r="Z1747" t="str">
        <f>HYPERLINK("Melting_Curves/meltCurve_sp_Q12899_TRI26_HUMAN_.pdf", "Melting_Curves/meltCurve_sp_Q12899_TRI26_HUMAN_.pdf")</f>
        <v>Melting_Curves/meltCurve_sp_Q12899_TRI26_HUMAN_.pdf</v>
      </c>
      <c r="AA1747" t="s">
        <v>15936</v>
      </c>
      <c r="AB1747" t="s">
        <v>20581</v>
      </c>
    </row>
    <row r="1748" spans="1:28" x14ac:dyDescent="0.25">
      <c r="A1748" t="s">
        <v>1752</v>
      </c>
      <c r="B1748">
        <v>0.99904790336628502</v>
      </c>
      <c r="C1748">
        <v>0.94256337493036202</v>
      </c>
      <c r="D1748">
        <v>0.74835936328527297</v>
      </c>
      <c r="E1748">
        <v>0.53094240504948098</v>
      </c>
      <c r="F1748">
        <v>0.36968493867545699</v>
      </c>
      <c r="G1748">
        <v>0.222789086470425</v>
      </c>
      <c r="H1748">
        <v>0.15323933631414299</v>
      </c>
      <c r="I1748">
        <v>0.137874219057153</v>
      </c>
      <c r="J1748">
        <v>0.14898139672038199</v>
      </c>
      <c r="K1748">
        <v>0.14003507957453501</v>
      </c>
      <c r="L1748">
        <v>738.66526244265401</v>
      </c>
      <c r="M1748">
        <v>14.945468292832899</v>
      </c>
      <c r="N1748">
        <v>50.3536226801086</v>
      </c>
      <c r="O1748">
        <v>48.564495101949497</v>
      </c>
      <c r="P1748">
        <v>-6.7667666871230103E-2</v>
      </c>
      <c r="Q1748">
        <v>0.12056033278218301</v>
      </c>
      <c r="R1748">
        <v>0.99698110702755105</v>
      </c>
      <c r="S1748" t="s">
        <v>6488</v>
      </c>
      <c r="T1748" t="s">
        <v>9478</v>
      </c>
      <c r="U1748" t="s">
        <v>9478</v>
      </c>
      <c r="V1748" t="s">
        <v>9478</v>
      </c>
      <c r="W1748">
        <v>10</v>
      </c>
      <c r="X1748" t="s">
        <v>11226</v>
      </c>
      <c r="Y1748">
        <v>0.41834327170144348</v>
      </c>
      <c r="Z1748" t="str">
        <f>HYPERLINK("Melting_Curves/meltCurve_sp_Q12904_AIMP1_HUMAN_.pdf", "Melting_Curves/meltCurve_sp_Q12904_AIMP1_HUMAN_.pdf")</f>
        <v>Melting_Curves/meltCurve_sp_Q12904_AIMP1_HUMAN_.pdf</v>
      </c>
      <c r="AA1748" t="s">
        <v>15937</v>
      </c>
      <c r="AB1748" t="s">
        <v>20582</v>
      </c>
    </row>
    <row r="1749" spans="1:28" x14ac:dyDescent="0.25">
      <c r="A1749" t="s">
        <v>1753</v>
      </c>
      <c r="B1749">
        <v>0.99904790336628502</v>
      </c>
      <c r="C1749">
        <v>1.0351309320503901</v>
      </c>
      <c r="D1749">
        <v>1.0506490323609801</v>
      </c>
      <c r="E1749">
        <v>1.1416857416471899</v>
      </c>
      <c r="F1749">
        <v>1.1454168851756901</v>
      </c>
      <c r="G1749">
        <v>0.849232357808137</v>
      </c>
      <c r="H1749">
        <v>0.15426740358090699</v>
      </c>
      <c r="I1749">
        <v>4.3954842070921402E-2</v>
      </c>
      <c r="J1749">
        <v>2.6982102596463602E-2</v>
      </c>
      <c r="K1749">
        <v>2.25035948309843E-2</v>
      </c>
      <c r="L1749">
        <v>3193.5782539735401</v>
      </c>
      <c r="M1749">
        <v>54.281208959050304</v>
      </c>
      <c r="N1749">
        <v>58.895137481846298</v>
      </c>
      <c r="O1749">
        <v>58.754243033573601</v>
      </c>
      <c r="P1749">
        <v>-0.22463608751410599</v>
      </c>
      <c r="Q1749">
        <v>2.7411480037875E-2</v>
      </c>
      <c r="R1749">
        <v>0.98050348551570798</v>
      </c>
      <c r="S1749" t="s">
        <v>6489</v>
      </c>
      <c r="T1749" t="s">
        <v>9478</v>
      </c>
      <c r="U1749" t="s">
        <v>9478</v>
      </c>
      <c r="V1749" t="s">
        <v>9478</v>
      </c>
      <c r="W1749">
        <v>8</v>
      </c>
      <c r="X1749" t="s">
        <v>11227</v>
      </c>
      <c r="Y1749">
        <v>0.64013186210610173</v>
      </c>
      <c r="Z1749" t="str">
        <f>HYPERLINK("Melting_Curves/meltCurve_sp_Q12905_ILF2_HUMAN_.pdf", "Melting_Curves/meltCurve_sp_Q12905_ILF2_HUMAN_.pdf")</f>
        <v>Melting_Curves/meltCurve_sp_Q12905_ILF2_HUMAN_.pdf</v>
      </c>
      <c r="AA1749" t="s">
        <v>15938</v>
      </c>
      <c r="AB1749" t="s">
        <v>20583</v>
      </c>
    </row>
    <row r="1750" spans="1:28" x14ac:dyDescent="0.25">
      <c r="A1750" t="s">
        <v>1754</v>
      </c>
      <c r="B1750">
        <v>0.99904790336628502</v>
      </c>
      <c r="C1750">
        <v>0.99706060681933595</v>
      </c>
      <c r="D1750">
        <v>1.05205172001681</v>
      </c>
      <c r="E1750">
        <v>1.0325054747707401</v>
      </c>
      <c r="F1750">
        <v>0.90877254191298396</v>
      </c>
      <c r="G1750">
        <v>0.71953564671646597</v>
      </c>
      <c r="H1750">
        <v>0.21836193108610399</v>
      </c>
      <c r="I1750">
        <v>0.11848242348320499</v>
      </c>
      <c r="J1750">
        <v>9.8797585123554105E-2</v>
      </c>
      <c r="K1750">
        <v>8.6520988498664894E-2</v>
      </c>
      <c r="L1750">
        <v>2049.5258636840299</v>
      </c>
      <c r="M1750">
        <v>35.223374649537199</v>
      </c>
      <c r="N1750">
        <v>58.4861265789607</v>
      </c>
      <c r="O1750">
        <v>57.999935649078203</v>
      </c>
      <c r="P1750">
        <v>-0.139292974727694</v>
      </c>
      <c r="Q1750">
        <v>8.2546092466894899E-2</v>
      </c>
      <c r="R1750">
        <v>0.99500207687851405</v>
      </c>
      <c r="S1750" t="s">
        <v>6490</v>
      </c>
      <c r="T1750" t="s">
        <v>9478</v>
      </c>
      <c r="U1750" t="s">
        <v>9478</v>
      </c>
      <c r="V1750" t="s">
        <v>9478</v>
      </c>
      <c r="W1750">
        <v>19</v>
      </c>
      <c r="X1750" t="s">
        <v>11228</v>
      </c>
      <c r="Y1750">
        <v>0.64328922599480209</v>
      </c>
      <c r="Z1750" t="str">
        <f>HYPERLINK("Melting_Curves/meltCurve_sp_Q12906_4_ILF3_HUMAN_.pdf", "Melting_Curves/meltCurve_sp_Q12906_4_ILF3_HUMAN_.pdf")</f>
        <v>Melting_Curves/meltCurve_sp_Q12906_4_ILF3_HUMAN_.pdf</v>
      </c>
      <c r="AA1750" t="s">
        <v>15939</v>
      </c>
      <c r="AB1750" t="s">
        <v>20584</v>
      </c>
    </row>
    <row r="1751" spans="1:28" x14ac:dyDescent="0.25">
      <c r="A1751" t="s">
        <v>1755</v>
      </c>
      <c r="B1751">
        <v>0.99904790336628502</v>
      </c>
      <c r="C1751">
        <v>0.98770676544369695</v>
      </c>
      <c r="D1751">
        <v>0.96558685360532803</v>
      </c>
      <c r="E1751">
        <v>0.84768859898800497</v>
      </c>
      <c r="F1751">
        <v>0.66625064851378701</v>
      </c>
      <c r="G1751">
        <v>0.46121308610873801</v>
      </c>
      <c r="H1751">
        <v>0.36883474046369902</v>
      </c>
      <c r="I1751">
        <v>0.33671824717931897</v>
      </c>
      <c r="J1751">
        <v>0.30778810685631097</v>
      </c>
      <c r="K1751">
        <v>0.300638360223349</v>
      </c>
      <c r="L1751">
        <v>977.97818381740103</v>
      </c>
      <c r="M1751">
        <v>18.322665698563199</v>
      </c>
      <c r="N1751">
        <v>56.136224055579099</v>
      </c>
      <c r="O1751">
        <v>52.751719040674999</v>
      </c>
      <c r="P1751">
        <v>-6.1051896671630697E-2</v>
      </c>
      <c r="Q1751">
        <v>0.29694851928458998</v>
      </c>
      <c r="R1751">
        <v>0.99968262515874595</v>
      </c>
      <c r="S1751" t="s">
        <v>6491</v>
      </c>
      <c r="T1751" t="s">
        <v>9478</v>
      </c>
      <c r="U1751" t="s">
        <v>9478</v>
      </c>
      <c r="V1751" t="s">
        <v>9478</v>
      </c>
      <c r="W1751">
        <v>14</v>
      </c>
      <c r="X1751" t="s">
        <v>11229</v>
      </c>
      <c r="Y1751">
        <v>0.62150944762128313</v>
      </c>
      <c r="Z1751" t="str">
        <f>HYPERLINK("Melting_Curves/meltCurve_sp_Q12929_EPS8_HUMAN_.pdf", "Melting_Curves/meltCurve_sp_Q12929_EPS8_HUMAN_.pdf")</f>
        <v>Melting_Curves/meltCurve_sp_Q12929_EPS8_HUMAN_.pdf</v>
      </c>
      <c r="AA1751" t="s">
        <v>15940</v>
      </c>
      <c r="AB1751" t="s">
        <v>20585</v>
      </c>
    </row>
    <row r="1752" spans="1:28" x14ac:dyDescent="0.25">
      <c r="A1752" t="s">
        <v>1756</v>
      </c>
      <c r="B1752">
        <v>0.99904790336628502</v>
      </c>
      <c r="C1752">
        <v>1.0535540538480499</v>
      </c>
      <c r="D1752">
        <v>1.1189545028594501</v>
      </c>
      <c r="E1752">
        <v>1.0170480306516401</v>
      </c>
      <c r="F1752">
        <v>0.91968193518349795</v>
      </c>
      <c r="G1752">
        <v>0.46916545244286501</v>
      </c>
      <c r="H1752">
        <v>0.11580855779658</v>
      </c>
      <c r="I1752">
        <v>7.4636934877626293E-2</v>
      </c>
      <c r="J1752">
        <v>7.1970182863388701E-2</v>
      </c>
      <c r="K1752">
        <v>6.3003857074287697E-2</v>
      </c>
      <c r="L1752">
        <v>2108.5731115792601</v>
      </c>
      <c r="M1752">
        <v>37.275422188203301</v>
      </c>
      <c r="N1752">
        <v>56.7732944085868</v>
      </c>
      <c r="O1752">
        <v>56.405313405655498</v>
      </c>
      <c r="P1752">
        <v>-0.154766652399873</v>
      </c>
      <c r="Q1752">
        <v>6.3228576402799205E-2</v>
      </c>
      <c r="R1752">
        <v>0.99110938835103701</v>
      </c>
      <c r="S1752" t="s">
        <v>6492</v>
      </c>
      <c r="T1752" t="s">
        <v>9478</v>
      </c>
      <c r="U1752" t="s">
        <v>9478</v>
      </c>
      <c r="V1752" t="s">
        <v>9478</v>
      </c>
      <c r="W1752">
        <v>4</v>
      </c>
      <c r="X1752" t="s">
        <v>11230</v>
      </c>
      <c r="Y1752">
        <v>0.58472083519640716</v>
      </c>
      <c r="Z1752" t="str">
        <f>HYPERLINK("Melting_Curves/meltCurve_sp_Q12933_4_TRAF2_HUMAN_.pdf", "Melting_Curves/meltCurve_sp_Q12933_4_TRAF2_HUMAN_.pdf")</f>
        <v>Melting_Curves/meltCurve_sp_Q12933_4_TRAF2_HUMAN_.pdf</v>
      </c>
      <c r="AA1752" t="s">
        <v>15941</v>
      </c>
      <c r="AB1752" t="s">
        <v>20586</v>
      </c>
    </row>
    <row r="1753" spans="1:28" x14ac:dyDescent="0.25">
      <c r="A1753" t="s">
        <v>1757</v>
      </c>
      <c r="B1753">
        <v>0.99904790336628502</v>
      </c>
      <c r="C1753">
        <v>1.01150927980789</v>
      </c>
      <c r="D1753">
        <v>0.981296420774457</v>
      </c>
      <c r="E1753">
        <v>0.88575667099788902</v>
      </c>
      <c r="F1753">
        <v>0.74256254051603698</v>
      </c>
      <c r="G1753">
        <v>0.409848165209168</v>
      </c>
      <c r="H1753">
        <v>0.25320535500515401</v>
      </c>
      <c r="I1753">
        <v>0.19518762003767701</v>
      </c>
      <c r="J1753">
        <v>0.18074825951711401</v>
      </c>
      <c r="K1753">
        <v>0.15789365339683201</v>
      </c>
      <c r="L1753">
        <v>1141.0551310076901</v>
      </c>
      <c r="M1753">
        <v>20.793318543243402</v>
      </c>
      <c r="N1753">
        <v>55.870563270368599</v>
      </c>
      <c r="O1753">
        <v>54.376052786057699</v>
      </c>
      <c r="P1753">
        <v>-8.0814936613937793E-2</v>
      </c>
      <c r="Q1753">
        <v>0.15467564923962099</v>
      </c>
      <c r="R1753">
        <v>0.99922691623052995</v>
      </c>
      <c r="S1753" t="s">
        <v>6493</v>
      </c>
      <c r="T1753" t="s">
        <v>9478</v>
      </c>
      <c r="U1753" t="s">
        <v>9478</v>
      </c>
      <c r="V1753" t="s">
        <v>9478</v>
      </c>
      <c r="W1753">
        <v>18</v>
      </c>
      <c r="X1753" t="s">
        <v>11231</v>
      </c>
      <c r="Y1753">
        <v>0.58448040243622223</v>
      </c>
      <c r="Z1753" t="str">
        <f>HYPERLINK("Melting_Curves/meltCurve_sp_Q12959_5_DLG1_HUMAN_.pdf", "Melting_Curves/meltCurve_sp_Q12959_5_DLG1_HUMAN_.pdf")</f>
        <v>Melting_Curves/meltCurve_sp_Q12959_5_DLG1_HUMAN_.pdf</v>
      </c>
      <c r="AA1753" t="s">
        <v>15942</v>
      </c>
      <c r="AB1753" t="s">
        <v>20587</v>
      </c>
    </row>
    <row r="1754" spans="1:28" x14ac:dyDescent="0.25">
      <c r="A1754" t="s">
        <v>1758</v>
      </c>
      <c r="B1754">
        <v>0.99904790336628502</v>
      </c>
      <c r="C1754">
        <v>1.17161287504623</v>
      </c>
      <c r="D1754">
        <v>1.03469621108223</v>
      </c>
      <c r="E1754">
        <v>0.95407501542925</v>
      </c>
      <c r="F1754">
        <v>0.79032160304909704</v>
      </c>
      <c r="G1754">
        <v>0.50137600335481103</v>
      </c>
      <c r="H1754">
        <v>0.39320704769887399</v>
      </c>
      <c r="I1754">
        <v>0.37201819843617001</v>
      </c>
      <c r="J1754">
        <v>0.44057286467142998</v>
      </c>
      <c r="K1754">
        <v>0.34928686394611203</v>
      </c>
      <c r="L1754">
        <v>1658.86365097264</v>
      </c>
      <c r="M1754">
        <v>30.611128441077799</v>
      </c>
      <c r="N1754">
        <v>56.8914268699844</v>
      </c>
      <c r="O1754">
        <v>53.961824137269197</v>
      </c>
      <c r="P1754">
        <v>-8.7497670478351303E-2</v>
      </c>
      <c r="Q1754">
        <v>0.38303410764210899</v>
      </c>
      <c r="R1754">
        <v>0.96161016903265895</v>
      </c>
      <c r="S1754" t="s">
        <v>6494</v>
      </c>
      <c r="T1754" t="s">
        <v>9478</v>
      </c>
      <c r="U1754" t="s">
        <v>9478</v>
      </c>
      <c r="V1754" t="s">
        <v>9478</v>
      </c>
      <c r="W1754">
        <v>3</v>
      </c>
      <c r="X1754" t="s">
        <v>11232</v>
      </c>
      <c r="Y1754">
        <v>0.67879694780660615</v>
      </c>
      <c r="Z1754" t="str">
        <f>HYPERLINK("Melting_Curves/meltCurve_sp_Q12962_TAF10_HUMAN_.pdf", "Melting_Curves/meltCurve_sp_Q12962_TAF10_HUMAN_.pdf")</f>
        <v>Melting_Curves/meltCurve_sp_Q12962_TAF10_HUMAN_.pdf</v>
      </c>
      <c r="AA1754" t="s">
        <v>15943</v>
      </c>
      <c r="AB1754" t="s">
        <v>20588</v>
      </c>
    </row>
    <row r="1755" spans="1:28" x14ac:dyDescent="0.25">
      <c r="A1755" t="s">
        <v>1759</v>
      </c>
      <c r="B1755">
        <v>0.99904790336628502</v>
      </c>
      <c r="C1755">
        <v>0.98986337439604399</v>
      </c>
      <c r="D1755">
        <v>0.88981201078457794</v>
      </c>
      <c r="E1755">
        <v>0.57790926628858896</v>
      </c>
      <c r="F1755">
        <v>0.28959010311451999</v>
      </c>
      <c r="G1755">
        <v>0.19354443561595799</v>
      </c>
      <c r="H1755">
        <v>0.123893295860178</v>
      </c>
      <c r="I1755">
        <v>0.10142190636699</v>
      </c>
      <c r="J1755">
        <v>0.10547512768856</v>
      </c>
      <c r="K1755">
        <v>0.10018703760745799</v>
      </c>
      <c r="L1755">
        <v>1121.0460164788899</v>
      </c>
      <c r="M1755">
        <v>22.3515594001308</v>
      </c>
      <c r="N1755">
        <v>50.688705189788102</v>
      </c>
      <c r="O1755">
        <v>49.758867333958896</v>
      </c>
      <c r="P1755">
        <v>-0.100530200275445</v>
      </c>
      <c r="Q1755">
        <v>0.104820565029295</v>
      </c>
      <c r="R1755">
        <v>0.99861354553859305</v>
      </c>
      <c r="S1755" t="s">
        <v>6495</v>
      </c>
      <c r="T1755" t="s">
        <v>9478</v>
      </c>
      <c r="U1755" t="s">
        <v>9478</v>
      </c>
      <c r="V1755" t="s">
        <v>9478</v>
      </c>
      <c r="W1755">
        <v>11</v>
      </c>
      <c r="X1755" t="s">
        <v>11233</v>
      </c>
      <c r="Y1755">
        <v>0.41786031147467168</v>
      </c>
      <c r="Z1755" t="str">
        <f>HYPERLINK("Melting_Curves/meltCurve_sp_Q12965_MYO1E_HUMAN_.pdf", "Melting_Curves/meltCurve_sp_Q12965_MYO1E_HUMAN_.pdf")</f>
        <v>Melting_Curves/meltCurve_sp_Q12965_MYO1E_HUMAN_.pdf</v>
      </c>
      <c r="AA1755" t="s">
        <v>15944</v>
      </c>
      <c r="AB1755" t="s">
        <v>20589</v>
      </c>
    </row>
    <row r="1756" spans="1:28" x14ac:dyDescent="0.25">
      <c r="A1756" t="s">
        <v>1760</v>
      </c>
      <c r="B1756">
        <v>0.99904790336628502</v>
      </c>
      <c r="C1756">
        <v>0.973025613220589</v>
      </c>
      <c r="D1756">
        <v>1.0127445578618901</v>
      </c>
      <c r="E1756">
        <v>0.86499021177826996</v>
      </c>
      <c r="F1756">
        <v>0.80425850785128605</v>
      </c>
      <c r="G1756">
        <v>0.38949651977608002</v>
      </c>
      <c r="H1756">
        <v>0.29357777429182202</v>
      </c>
      <c r="I1756">
        <v>0.19379739959553699</v>
      </c>
      <c r="J1756">
        <v>0.18303957023272899</v>
      </c>
      <c r="K1756">
        <v>0.183087566642021</v>
      </c>
      <c r="L1756">
        <v>1253.6513035811699</v>
      </c>
      <c r="M1756">
        <v>22.799362616255301</v>
      </c>
      <c r="N1756">
        <v>56.048354778256098</v>
      </c>
      <c r="O1756">
        <v>54.568453316244899</v>
      </c>
      <c r="P1756">
        <v>-8.6132563123732395E-2</v>
      </c>
      <c r="Q1756">
        <v>0.175410145338914</v>
      </c>
      <c r="R1756">
        <v>0.99148086042594497</v>
      </c>
      <c r="S1756" t="s">
        <v>6496</v>
      </c>
      <c r="T1756" t="s">
        <v>9478</v>
      </c>
      <c r="U1756" t="s">
        <v>9478</v>
      </c>
      <c r="V1756" t="s">
        <v>9478</v>
      </c>
      <c r="W1756">
        <v>10</v>
      </c>
      <c r="X1756" t="s">
        <v>11234</v>
      </c>
      <c r="Y1756">
        <v>0.59625540475058059</v>
      </c>
      <c r="Z1756" t="str">
        <f>HYPERLINK("Melting_Curves/meltCurve_sp_Q12972_PP1R8_HUMAN_.pdf", "Melting_Curves/meltCurve_sp_Q12972_PP1R8_HUMAN_.pdf")</f>
        <v>Melting_Curves/meltCurve_sp_Q12972_PP1R8_HUMAN_.pdf</v>
      </c>
      <c r="AA1756" t="s">
        <v>15945</v>
      </c>
      <c r="AB1756" t="s">
        <v>20590</v>
      </c>
    </row>
    <row r="1757" spans="1:28" x14ac:dyDescent="0.25">
      <c r="A1757" t="s">
        <v>1761</v>
      </c>
      <c r="B1757">
        <v>0.99904790336628502</v>
      </c>
      <c r="C1757">
        <v>1.07854324696863</v>
      </c>
      <c r="D1757">
        <v>0.95938107801780803</v>
      </c>
      <c r="E1757">
        <v>0.98415303155334899</v>
      </c>
      <c r="F1757">
        <v>1.11440984392845</v>
      </c>
      <c r="G1757">
        <v>0.65268291354925301</v>
      </c>
      <c r="H1757">
        <v>0.382198831150038</v>
      </c>
      <c r="I1757">
        <v>0.33466570350180003</v>
      </c>
      <c r="J1757">
        <v>0.221280459372203</v>
      </c>
      <c r="K1757">
        <v>8.8004164560335399E-2</v>
      </c>
      <c r="L1757">
        <v>1498.92459494389</v>
      </c>
      <c r="M1757">
        <v>25.5686172970657</v>
      </c>
      <c r="N1757">
        <v>59.530478021539601</v>
      </c>
      <c r="O1757">
        <v>58.268521122717701</v>
      </c>
      <c r="P1757">
        <v>-9.2007781163536695E-2</v>
      </c>
      <c r="Q1757">
        <v>0.16130112924978901</v>
      </c>
      <c r="R1757">
        <v>0.95925648198202895</v>
      </c>
      <c r="S1757" t="s">
        <v>6497</v>
      </c>
      <c r="T1757" t="s">
        <v>9478</v>
      </c>
      <c r="U1757" t="s">
        <v>9478</v>
      </c>
      <c r="V1757" t="s">
        <v>9478</v>
      </c>
      <c r="W1757">
        <v>1</v>
      </c>
      <c r="X1757" t="s">
        <v>11235</v>
      </c>
      <c r="Y1757">
        <v>0.68880705624495442</v>
      </c>
      <c r="Z1757" t="str">
        <f>HYPERLINK("Melting_Curves/meltCurve_sp_Q12974_TP4A2_HUMAN_.pdf", "Melting_Curves/meltCurve_sp_Q12974_TP4A2_HUMAN_.pdf")</f>
        <v>Melting_Curves/meltCurve_sp_Q12974_TP4A2_HUMAN_.pdf</v>
      </c>
      <c r="AA1757" t="s">
        <v>15946</v>
      </c>
      <c r="AB1757" t="s">
        <v>20591</v>
      </c>
    </row>
    <row r="1758" spans="1:28" x14ac:dyDescent="0.25">
      <c r="A1758" t="s">
        <v>1762</v>
      </c>
      <c r="B1758">
        <v>0.99904790336628502</v>
      </c>
      <c r="C1758">
        <v>0.84520711053855602</v>
      </c>
      <c r="D1758">
        <v>0.82227128034682695</v>
      </c>
      <c r="E1758">
        <v>0.76477960031234804</v>
      </c>
      <c r="F1758">
        <v>0.75700561913058095</v>
      </c>
      <c r="G1758">
        <v>0.55425795914798703</v>
      </c>
      <c r="H1758">
        <v>0.390519963496685</v>
      </c>
      <c r="I1758">
        <v>0.26747311457595901</v>
      </c>
      <c r="J1758">
        <v>0.20950524974222401</v>
      </c>
      <c r="K1758">
        <v>0.17561479595346599</v>
      </c>
      <c r="L1758">
        <v>475.53554333709502</v>
      </c>
      <c r="M1758">
        <v>8.2585978848481201</v>
      </c>
      <c r="N1758">
        <v>57.580669061620704</v>
      </c>
      <c r="O1758">
        <v>54.500585304751702</v>
      </c>
      <c r="P1758">
        <v>-3.7921089176386903E-2</v>
      </c>
      <c r="Q1758">
        <v>0</v>
      </c>
      <c r="R1758">
        <v>0.96796592571968398</v>
      </c>
      <c r="S1758" t="s">
        <v>6498</v>
      </c>
      <c r="T1758" t="s">
        <v>9478</v>
      </c>
      <c r="U1758" t="s">
        <v>9478</v>
      </c>
      <c r="V1758" t="s">
        <v>9478</v>
      </c>
      <c r="W1758">
        <v>3</v>
      </c>
      <c r="X1758" t="s">
        <v>11236</v>
      </c>
      <c r="Y1758">
        <v>0.59413663709884978</v>
      </c>
      <c r="Z1758" t="str">
        <f>HYPERLINK("Melting_Curves/meltCurve_sp_Q12986_3_NFX1_HUMAN_.pdf", "Melting_Curves/meltCurve_sp_Q12986_3_NFX1_HUMAN_.pdf")</f>
        <v>Melting_Curves/meltCurve_sp_Q12986_3_NFX1_HUMAN_.pdf</v>
      </c>
      <c r="AA1758" t="s">
        <v>15947</v>
      </c>
      <c r="AB1758" t="s">
        <v>20592</v>
      </c>
    </row>
    <row r="1759" spans="1:28" x14ac:dyDescent="0.25">
      <c r="A1759" t="s">
        <v>1763</v>
      </c>
      <c r="B1759">
        <v>0.99904790336628502</v>
      </c>
      <c r="C1759">
        <v>0.90935244572996599</v>
      </c>
      <c r="D1759">
        <v>0.92561026476988095</v>
      </c>
      <c r="E1759">
        <v>0.69537293772369602</v>
      </c>
      <c r="F1759">
        <v>0.31912166978553902</v>
      </c>
      <c r="G1759">
        <v>0.12929149760890199</v>
      </c>
      <c r="H1759">
        <v>7.9004751946946894E-2</v>
      </c>
      <c r="I1759">
        <v>5.89105121767452E-2</v>
      </c>
      <c r="J1759">
        <v>5.2242216278057398E-2</v>
      </c>
      <c r="K1759">
        <v>4.3306277002210403E-2</v>
      </c>
      <c r="L1759">
        <v>1259.0756473563299</v>
      </c>
      <c r="M1759">
        <v>24.562087190424101</v>
      </c>
      <c r="N1759">
        <v>51.481411568508598</v>
      </c>
      <c r="O1759">
        <v>50.924774958976897</v>
      </c>
      <c r="P1759">
        <v>-0.114562481271449</v>
      </c>
      <c r="Q1759">
        <v>4.9920412578013003E-2</v>
      </c>
      <c r="R1759">
        <v>0.99420418853005699</v>
      </c>
      <c r="S1759" t="s">
        <v>6499</v>
      </c>
      <c r="T1759" t="s">
        <v>9478</v>
      </c>
      <c r="U1759" t="s">
        <v>9478</v>
      </c>
      <c r="V1759" t="s">
        <v>9478</v>
      </c>
      <c r="W1759">
        <v>10</v>
      </c>
      <c r="X1759" t="s">
        <v>11237</v>
      </c>
      <c r="Y1759">
        <v>0.41545632646392622</v>
      </c>
      <c r="Z1759" t="str">
        <f>HYPERLINK("Melting_Curves/meltCurve_sp_Q12996_CSTF3_HUMAN_.pdf", "Melting_Curves/meltCurve_sp_Q12996_CSTF3_HUMAN_.pdf")</f>
        <v>Melting_Curves/meltCurve_sp_Q12996_CSTF3_HUMAN_.pdf</v>
      </c>
      <c r="AA1759" t="s">
        <v>15948</v>
      </c>
      <c r="AB1759" t="s">
        <v>20593</v>
      </c>
    </row>
    <row r="1760" spans="1:28" x14ac:dyDescent="0.25">
      <c r="A1760" t="s">
        <v>1764</v>
      </c>
      <c r="B1760">
        <v>0.99904790336628502</v>
      </c>
      <c r="C1760">
        <v>1.11753525832496</v>
      </c>
      <c r="D1760">
        <v>1.1598039299894001</v>
      </c>
      <c r="E1760">
        <v>1.07842528253313</v>
      </c>
      <c r="F1760">
        <v>0.75667224906571895</v>
      </c>
      <c r="G1760">
        <v>0.183500667081194</v>
      </c>
      <c r="H1760">
        <v>7.8594277816821295E-2</v>
      </c>
      <c r="I1760">
        <v>4.7866477027998101E-2</v>
      </c>
      <c r="J1760">
        <v>3.50038738499562E-2</v>
      </c>
      <c r="K1760">
        <v>2.82446347831837E-2</v>
      </c>
      <c r="L1760">
        <v>2336.40418416177</v>
      </c>
      <c r="M1760">
        <v>42.891554329898703</v>
      </c>
      <c r="N1760">
        <v>54.596952208859904</v>
      </c>
      <c r="O1760">
        <v>54.354362512720499</v>
      </c>
      <c r="P1760">
        <v>-0.188080818893057</v>
      </c>
      <c r="Q1760">
        <v>4.6619355805962298E-2</v>
      </c>
      <c r="R1760">
        <v>0.97851424609738302</v>
      </c>
      <c r="S1760" t="s">
        <v>6500</v>
      </c>
      <c r="T1760" t="s">
        <v>9478</v>
      </c>
      <c r="U1760" t="s">
        <v>9478</v>
      </c>
      <c r="V1760" t="s">
        <v>9478</v>
      </c>
      <c r="W1760">
        <v>21</v>
      </c>
      <c r="X1760" t="s">
        <v>11238</v>
      </c>
      <c r="Y1760">
        <v>0.50965571656845288</v>
      </c>
      <c r="Z1760" t="str">
        <f>HYPERLINK("Melting_Curves/meltCurve_sp_Q13011_ECH1_HUMAN_.pdf", "Melting_Curves/meltCurve_sp_Q13011_ECH1_HUMAN_.pdf")</f>
        <v>Melting_Curves/meltCurve_sp_Q13011_ECH1_HUMAN_.pdf</v>
      </c>
      <c r="AA1760" t="s">
        <v>15949</v>
      </c>
      <c r="AB1760" t="s">
        <v>20594</v>
      </c>
    </row>
    <row r="1761" spans="1:28" x14ac:dyDescent="0.25">
      <c r="A1761" t="s">
        <v>1765</v>
      </c>
      <c r="B1761">
        <v>0.99904790336628502</v>
      </c>
      <c r="C1761">
        <v>0.99086009573561096</v>
      </c>
      <c r="D1761">
        <v>1.02428730293623</v>
      </c>
      <c r="E1761">
        <v>0.70295519845090204</v>
      </c>
      <c r="F1761">
        <v>0.21786421816203699</v>
      </c>
      <c r="G1761">
        <v>0.13849906535349499</v>
      </c>
      <c r="H1761">
        <v>9.0404238453826197E-2</v>
      </c>
      <c r="I1761">
        <v>8.0286817180787298E-2</v>
      </c>
      <c r="J1761">
        <v>8.8309412718359501E-2</v>
      </c>
      <c r="K1761">
        <v>9.3794810092402606E-2</v>
      </c>
      <c r="L1761">
        <v>2277.13530812729</v>
      </c>
      <c r="M1761">
        <v>44.818801189654501</v>
      </c>
      <c r="N1761">
        <v>51.051748681980399</v>
      </c>
      <c r="O1761">
        <v>50.706732180455703</v>
      </c>
      <c r="P1761">
        <v>-0.199653864278662</v>
      </c>
      <c r="Q1761">
        <v>9.6469759893223997E-2</v>
      </c>
      <c r="R1761">
        <v>0.99833781683325296</v>
      </c>
      <c r="S1761" t="s">
        <v>6501</v>
      </c>
      <c r="T1761" t="s">
        <v>9478</v>
      </c>
      <c r="U1761" t="s">
        <v>9478</v>
      </c>
      <c r="V1761" t="s">
        <v>9478</v>
      </c>
      <c r="W1761">
        <v>8</v>
      </c>
      <c r="X1761" t="s">
        <v>11239</v>
      </c>
      <c r="Y1761">
        <v>0.42449272627041512</v>
      </c>
      <c r="Z1761" t="str">
        <f>HYPERLINK("Melting_Curves/meltCurve_sp_Q13017_2_RHG05_HUMAN_.pdf", "Melting_Curves/meltCurve_sp_Q13017_2_RHG05_HUMAN_.pdf")</f>
        <v>Melting_Curves/meltCurve_sp_Q13017_2_RHG05_HUMAN_.pdf</v>
      </c>
      <c r="AA1761" t="s">
        <v>15950</v>
      </c>
      <c r="AB1761" t="s">
        <v>20595</v>
      </c>
    </row>
    <row r="1762" spans="1:28" x14ac:dyDescent="0.25">
      <c r="A1762" t="s">
        <v>1766</v>
      </c>
      <c r="B1762">
        <v>0.99904790336628502</v>
      </c>
      <c r="C1762">
        <v>1.02911807309639</v>
      </c>
      <c r="D1762">
        <v>1.06306291727262</v>
      </c>
      <c r="E1762">
        <v>0.94565980403837402</v>
      </c>
      <c r="F1762">
        <v>0.78255907257050195</v>
      </c>
      <c r="G1762">
        <v>0.51880455662758296</v>
      </c>
      <c r="H1762">
        <v>0.27404751557481299</v>
      </c>
      <c r="I1762">
        <v>0.14515744522324001</v>
      </c>
      <c r="J1762">
        <v>9.3056191782542305E-2</v>
      </c>
      <c r="K1762">
        <v>7.9501118869642104E-2</v>
      </c>
      <c r="L1762">
        <v>1061.63938210877</v>
      </c>
      <c r="M1762">
        <v>18.655764548259398</v>
      </c>
      <c r="N1762">
        <v>57.206744359336298</v>
      </c>
      <c r="O1762">
        <v>56.264995253295901</v>
      </c>
      <c r="P1762">
        <v>-7.9033366014092304E-2</v>
      </c>
      <c r="Q1762">
        <v>4.6595607425220301E-2</v>
      </c>
      <c r="R1762">
        <v>0.995054904022868</v>
      </c>
      <c r="S1762" t="s">
        <v>6502</v>
      </c>
      <c r="T1762" t="s">
        <v>9478</v>
      </c>
      <c r="U1762" t="s">
        <v>9478</v>
      </c>
      <c r="V1762" t="s">
        <v>9478</v>
      </c>
      <c r="W1762">
        <v>12</v>
      </c>
      <c r="X1762" t="s">
        <v>11240</v>
      </c>
      <c r="Y1762">
        <v>0.59660035390274335</v>
      </c>
      <c r="Z1762" t="str">
        <f>HYPERLINK("Melting_Curves/meltCurve_sp_Q13033_2_STRN3_HUMAN_.pdf", "Melting_Curves/meltCurve_sp_Q13033_2_STRN3_HUMAN_.pdf")</f>
        <v>Melting_Curves/meltCurve_sp_Q13033_2_STRN3_HUMAN_.pdf</v>
      </c>
      <c r="AA1762" t="s">
        <v>15951</v>
      </c>
      <c r="AB1762" t="s">
        <v>20596</v>
      </c>
    </row>
    <row r="1763" spans="1:28" x14ac:dyDescent="0.25">
      <c r="A1763" t="s">
        <v>1767</v>
      </c>
      <c r="B1763">
        <v>0.99904790336628502</v>
      </c>
      <c r="C1763">
        <v>0.81192141548129104</v>
      </c>
      <c r="D1763">
        <v>0.47086122583511902</v>
      </c>
      <c r="E1763">
        <v>0.51408884205763805</v>
      </c>
      <c r="F1763">
        <v>7.4276735674470101E-2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698.81721996169301</v>
      </c>
      <c r="M1763">
        <v>14.8140345047695</v>
      </c>
      <c r="N1763">
        <v>47.172652824059298</v>
      </c>
      <c r="O1763">
        <v>46.338080641929601</v>
      </c>
      <c r="P1763">
        <v>-7.9932143465379496E-2</v>
      </c>
      <c r="Q1763">
        <v>0</v>
      </c>
      <c r="R1763">
        <v>0.94026822224294504</v>
      </c>
      <c r="S1763" t="s">
        <v>6503</v>
      </c>
      <c r="T1763" t="s">
        <v>9478</v>
      </c>
      <c r="U1763" t="s">
        <v>9478</v>
      </c>
      <c r="V1763" t="s">
        <v>9478</v>
      </c>
      <c r="W1763">
        <v>3</v>
      </c>
      <c r="X1763" t="s">
        <v>11241</v>
      </c>
      <c r="Y1763">
        <v>0.26666711758474371</v>
      </c>
      <c r="Z1763" t="str">
        <f>HYPERLINK("Melting_Curves/meltCurve_sp_Q13043_2_STK4_HUMAN_.pdf", "Melting_Curves/meltCurve_sp_Q13043_2_STK4_HUMAN_.pdf")</f>
        <v>Melting_Curves/meltCurve_sp_Q13043_2_STK4_HUMAN_.pdf</v>
      </c>
      <c r="AA1763" t="s">
        <v>15952</v>
      </c>
      <c r="AB1763" t="s">
        <v>20597</v>
      </c>
    </row>
    <row r="1764" spans="1:28" x14ac:dyDescent="0.25">
      <c r="A1764" t="s">
        <v>1768</v>
      </c>
      <c r="B1764">
        <v>0.99904790336628502</v>
      </c>
      <c r="C1764">
        <v>0.95812994417453001</v>
      </c>
      <c r="D1764">
        <v>0.77234382833995996</v>
      </c>
      <c r="E1764">
        <v>0.37229141869092602</v>
      </c>
      <c r="F1764">
        <v>0.16644663375843299</v>
      </c>
      <c r="G1764">
        <v>8.49244555743595E-2</v>
      </c>
      <c r="H1764">
        <v>5.0500448390624203E-2</v>
      </c>
      <c r="I1764">
        <v>3.7267429160538101E-2</v>
      </c>
      <c r="J1764">
        <v>2.8138128152534799E-2</v>
      </c>
      <c r="K1764">
        <v>2.6046562644632398E-2</v>
      </c>
      <c r="L1764">
        <v>1046.3722893704601</v>
      </c>
      <c r="M1764">
        <v>21.542230056490101</v>
      </c>
      <c r="N1764">
        <v>48.725972005545799</v>
      </c>
      <c r="O1764">
        <v>48.160330986305503</v>
      </c>
      <c r="P1764">
        <v>-0.108173540099055</v>
      </c>
      <c r="Q1764">
        <v>3.26822250737221E-2</v>
      </c>
      <c r="R1764">
        <v>0.999612527137694</v>
      </c>
      <c r="S1764" t="s">
        <v>6504</v>
      </c>
      <c r="T1764" t="s">
        <v>9478</v>
      </c>
      <c r="U1764" t="s">
        <v>9478</v>
      </c>
      <c r="V1764" t="s">
        <v>9478</v>
      </c>
      <c r="W1764">
        <v>21</v>
      </c>
      <c r="X1764" t="s">
        <v>11242</v>
      </c>
      <c r="Y1764">
        <v>0.32078034924676441</v>
      </c>
      <c r="Z1764" t="str">
        <f>HYPERLINK("Melting_Curves/meltCurve_sp_Q13045_2_FLII_HUMAN_.pdf", "Melting_Curves/meltCurve_sp_Q13045_2_FLII_HUMAN_.pdf")</f>
        <v>Melting_Curves/meltCurve_sp_Q13045_2_FLII_HUMAN_.pdf</v>
      </c>
      <c r="AA1764" t="s">
        <v>15953</v>
      </c>
      <c r="AB1764" t="s">
        <v>20598</v>
      </c>
    </row>
    <row r="1765" spans="1:28" x14ac:dyDescent="0.25">
      <c r="A1765" t="s">
        <v>1769</v>
      </c>
      <c r="B1765">
        <v>0.99904790336628502</v>
      </c>
      <c r="C1765">
        <v>0.88904125339715501</v>
      </c>
      <c r="D1765">
        <v>0.93735957610855503</v>
      </c>
      <c r="E1765">
        <v>0.55043472814711802</v>
      </c>
      <c r="F1765">
        <v>0.43030942600252797</v>
      </c>
      <c r="G1765">
        <v>0.13583052829603201</v>
      </c>
      <c r="H1765">
        <v>8.5887985101022302E-2</v>
      </c>
      <c r="I1765">
        <v>9.3417712502881195E-2</v>
      </c>
      <c r="J1765">
        <v>0.116729999779633</v>
      </c>
      <c r="K1765">
        <v>0</v>
      </c>
      <c r="L1765">
        <v>876.18375371963998</v>
      </c>
      <c r="M1765">
        <v>17.1744356012377</v>
      </c>
      <c r="N1765">
        <v>51.286392413826697</v>
      </c>
      <c r="O1765">
        <v>50.340144164741297</v>
      </c>
      <c r="P1765">
        <v>-8.1614551161733107E-2</v>
      </c>
      <c r="Q1765">
        <v>4.3172279383927099E-2</v>
      </c>
      <c r="R1765">
        <v>0.98250992224235301</v>
      </c>
      <c r="S1765" t="s">
        <v>6505</v>
      </c>
      <c r="T1765" t="s">
        <v>9478</v>
      </c>
      <c r="U1765" t="s">
        <v>9478</v>
      </c>
      <c r="V1765" t="s">
        <v>9478</v>
      </c>
      <c r="W1765">
        <v>22</v>
      </c>
      <c r="X1765" t="s">
        <v>11243</v>
      </c>
      <c r="Y1765">
        <v>0.41207068003967079</v>
      </c>
      <c r="Z1765" t="str">
        <f>HYPERLINK("Melting_Curves/meltCurve_sp_Q13045_FLII_HUMAN_.pdf", "Melting_Curves/meltCurve_sp_Q13045_FLII_HUMAN_.pdf")</f>
        <v>Melting_Curves/meltCurve_sp_Q13045_FLII_HUMAN_.pdf</v>
      </c>
      <c r="AA1765" t="s">
        <v>15953</v>
      </c>
      <c r="AB1765" t="s">
        <v>20599</v>
      </c>
    </row>
    <row r="1766" spans="1:28" x14ac:dyDescent="0.25">
      <c r="A1766" t="s">
        <v>1770</v>
      </c>
      <c r="B1766">
        <v>0.99904790336628502</v>
      </c>
      <c r="C1766">
        <v>0.61378929985981601</v>
      </c>
      <c r="D1766">
        <v>0.31051221929384198</v>
      </c>
      <c r="E1766">
        <v>0.176823089859524</v>
      </c>
      <c r="F1766">
        <v>0.104742771572815</v>
      </c>
      <c r="G1766">
        <v>7.2703271895282404E-2</v>
      </c>
      <c r="H1766">
        <v>4.6448276541869199E-2</v>
      </c>
      <c r="I1766">
        <v>3.2467754880185197E-2</v>
      </c>
      <c r="J1766">
        <v>2.4277281903044599E-2</v>
      </c>
      <c r="K1766">
        <v>2.0726474430449001E-2</v>
      </c>
      <c r="L1766">
        <v>973.24059817511602</v>
      </c>
      <c r="M1766">
        <v>22.0979927650178</v>
      </c>
      <c r="N1766">
        <v>44.261977571291297</v>
      </c>
      <c r="O1766">
        <v>43.6861222909235</v>
      </c>
      <c r="P1766">
        <v>-0.119886130123776</v>
      </c>
      <c r="Q1766">
        <v>5.1996197884892403E-2</v>
      </c>
      <c r="R1766">
        <v>0.98123011225226098</v>
      </c>
      <c r="S1766" t="s">
        <v>6506</v>
      </c>
      <c r="T1766" t="s">
        <v>9478</v>
      </c>
      <c r="U1766" t="s">
        <v>9478</v>
      </c>
      <c r="V1766" t="s">
        <v>9478</v>
      </c>
      <c r="W1766">
        <v>13</v>
      </c>
      <c r="X1766" t="s">
        <v>11244</v>
      </c>
      <c r="Y1766">
        <v>0.19422625345837119</v>
      </c>
      <c r="Z1766" t="str">
        <f>HYPERLINK("Melting_Curves/meltCurve_sp_Q13057_COASY_HUMAN_.pdf", "Melting_Curves/meltCurve_sp_Q13057_COASY_HUMAN_.pdf")</f>
        <v>Melting_Curves/meltCurve_sp_Q13057_COASY_HUMAN_.pdf</v>
      </c>
      <c r="AA1766" t="s">
        <v>15954</v>
      </c>
      <c r="AB1766" t="s">
        <v>20600</v>
      </c>
    </row>
    <row r="1767" spans="1:28" x14ac:dyDescent="0.25">
      <c r="A1767" t="s">
        <v>1771</v>
      </c>
      <c r="B1767">
        <v>0.99904790336628502</v>
      </c>
      <c r="C1767">
        <v>1.1304361475967499</v>
      </c>
      <c r="D1767">
        <v>0.97415666421469405</v>
      </c>
      <c r="E1767">
        <v>0.34116983085475999</v>
      </c>
      <c r="F1767">
        <v>0.205986214399309</v>
      </c>
      <c r="G1767">
        <v>0.12676940223577901</v>
      </c>
      <c r="H1767">
        <v>9.4509022744358906E-2</v>
      </c>
      <c r="I1767">
        <v>6.4542970662918406E-2</v>
      </c>
      <c r="J1767">
        <v>4.73516228518049E-2</v>
      </c>
      <c r="K1767">
        <v>4.0816917651533398E-2</v>
      </c>
      <c r="L1767">
        <v>2056.51230612874</v>
      </c>
      <c r="M1767">
        <v>41.950460629218298</v>
      </c>
      <c r="N1767">
        <v>49.246263038758897</v>
      </c>
      <c r="O1767">
        <v>48.911396827925302</v>
      </c>
      <c r="P1767">
        <v>-0.19580679414176799</v>
      </c>
      <c r="Q1767">
        <v>8.6811706481973103E-2</v>
      </c>
      <c r="R1767">
        <v>0.98256023469645304</v>
      </c>
      <c r="S1767" t="s">
        <v>6507</v>
      </c>
      <c r="T1767" t="s">
        <v>9478</v>
      </c>
      <c r="U1767" t="s">
        <v>9478</v>
      </c>
      <c r="V1767" t="s">
        <v>9478</v>
      </c>
      <c r="W1767">
        <v>46</v>
      </c>
      <c r="X1767" t="s">
        <v>11245</v>
      </c>
      <c r="Y1767">
        <v>0.36426345992021419</v>
      </c>
      <c r="Z1767" t="str">
        <f>HYPERLINK("Melting_Curves/meltCurve_sp_Q13085_ACACA_HUMAN_.pdf", "Melting_Curves/meltCurve_sp_Q13085_ACACA_HUMAN_.pdf")</f>
        <v>Melting_Curves/meltCurve_sp_Q13085_ACACA_HUMAN_.pdf</v>
      </c>
      <c r="AA1767" t="s">
        <v>15955</v>
      </c>
      <c r="AB1767" t="s">
        <v>20601</v>
      </c>
    </row>
    <row r="1768" spans="1:28" x14ac:dyDescent="0.25">
      <c r="A1768" t="s">
        <v>1772</v>
      </c>
      <c r="B1768">
        <v>0.99904790336628502</v>
      </c>
      <c r="C1768">
        <v>0.87332038272038703</v>
      </c>
      <c r="D1768">
        <v>0.72598725752840898</v>
      </c>
      <c r="E1768">
        <v>0.26885383887768699</v>
      </c>
      <c r="F1768">
        <v>0.141792321502067</v>
      </c>
      <c r="G1768">
        <v>8.4217067471086995E-2</v>
      </c>
      <c r="H1768">
        <v>3.5489691014405397E-2</v>
      </c>
      <c r="I1768">
        <v>2.62024995751973E-2</v>
      </c>
      <c r="J1768">
        <v>2.1671946340867901E-2</v>
      </c>
      <c r="K1768">
        <v>1.66953033325145E-2</v>
      </c>
      <c r="L1768">
        <v>994.82613184809998</v>
      </c>
      <c r="M1768">
        <v>20.8482453743582</v>
      </c>
      <c r="N1768">
        <v>47.8369977028471</v>
      </c>
      <c r="O1768">
        <v>47.284982255423401</v>
      </c>
      <c r="P1768">
        <v>-0.107432686520134</v>
      </c>
      <c r="Q1768">
        <v>2.53736404428162E-2</v>
      </c>
      <c r="R1768">
        <v>0.99652478361366204</v>
      </c>
      <c r="S1768" t="s">
        <v>6508</v>
      </c>
      <c r="T1768" t="s">
        <v>9478</v>
      </c>
      <c r="U1768" t="s">
        <v>9478</v>
      </c>
      <c r="V1768" t="s">
        <v>9478</v>
      </c>
      <c r="W1768">
        <v>7</v>
      </c>
      <c r="X1768" t="s">
        <v>11246</v>
      </c>
      <c r="Y1768">
        <v>0.28884629395668721</v>
      </c>
      <c r="Z1768" t="str">
        <f>HYPERLINK("Melting_Curves/meltCurve_sp_Q13107_2_UBP4_HUMAN_.pdf", "Melting_Curves/meltCurve_sp_Q13107_2_UBP4_HUMAN_.pdf")</f>
        <v>Melting_Curves/meltCurve_sp_Q13107_2_UBP4_HUMAN_.pdf</v>
      </c>
      <c r="AA1768" t="s">
        <v>15956</v>
      </c>
      <c r="AB1768" t="s">
        <v>20602</v>
      </c>
    </row>
    <row r="1769" spans="1:28" x14ac:dyDescent="0.25">
      <c r="A1769" t="s">
        <v>1773</v>
      </c>
      <c r="B1769">
        <v>0.99904790336628502</v>
      </c>
      <c r="C1769">
        <v>0.957498930343605</v>
      </c>
      <c r="D1769">
        <v>0.93594825791507896</v>
      </c>
      <c r="E1769">
        <v>0.84083660247075298</v>
      </c>
      <c r="F1769">
        <v>0.76619428684772795</v>
      </c>
      <c r="G1769">
        <v>0.54855229278491402</v>
      </c>
      <c r="H1769">
        <v>0.47641200127775701</v>
      </c>
      <c r="I1769">
        <v>0.40858784154209399</v>
      </c>
      <c r="J1769">
        <v>0.446777617385474</v>
      </c>
      <c r="K1769">
        <v>0.41416578934991899</v>
      </c>
      <c r="L1769">
        <v>806.50996905088903</v>
      </c>
      <c r="M1769">
        <v>15.0017537488625</v>
      </c>
      <c r="N1769">
        <v>59.762294758683097</v>
      </c>
      <c r="O1769">
        <v>52.832877559223697</v>
      </c>
      <c r="P1769">
        <v>-4.3366481446516197E-2</v>
      </c>
      <c r="Q1769">
        <v>0.38915269161856297</v>
      </c>
      <c r="R1769">
        <v>0.99036552458270599</v>
      </c>
      <c r="S1769" t="s">
        <v>6509</v>
      </c>
      <c r="T1769" t="s">
        <v>9478</v>
      </c>
      <c r="U1769" t="s">
        <v>9478</v>
      </c>
      <c r="V1769" t="s">
        <v>9478</v>
      </c>
      <c r="W1769">
        <v>8</v>
      </c>
      <c r="X1769" t="s">
        <v>11247</v>
      </c>
      <c r="Y1769">
        <v>0.68203798470692534</v>
      </c>
      <c r="Z1769" t="str">
        <f>HYPERLINK("Melting_Curves/meltCurve_sp_Q13123_RED_HUMAN_.pdf", "Melting_Curves/meltCurve_sp_Q13123_RED_HUMAN_.pdf")</f>
        <v>Melting_Curves/meltCurve_sp_Q13123_RED_HUMAN_.pdf</v>
      </c>
      <c r="AA1769" t="s">
        <v>15957</v>
      </c>
      <c r="AB1769" t="s">
        <v>20603</v>
      </c>
    </row>
    <row r="1770" spans="1:28" x14ac:dyDescent="0.25">
      <c r="A1770" t="s">
        <v>1774</v>
      </c>
      <c r="B1770">
        <v>0.99904790336628502</v>
      </c>
      <c r="C1770">
        <v>0.98817265395903497</v>
      </c>
      <c r="D1770">
        <v>1.03434550754925</v>
      </c>
      <c r="E1770">
        <v>1.00035992442928</v>
      </c>
      <c r="F1770">
        <v>0.97375076882121903</v>
      </c>
      <c r="G1770">
        <v>0.80137593790542805</v>
      </c>
      <c r="H1770">
        <v>0.67869545747741</v>
      </c>
      <c r="I1770">
        <v>0.64423264585664297</v>
      </c>
      <c r="J1770">
        <v>0.62485767294415595</v>
      </c>
      <c r="K1770">
        <v>0.38433679142950899</v>
      </c>
      <c r="L1770">
        <v>624.83038764774994</v>
      </c>
      <c r="M1770">
        <v>9.2819606302326694</v>
      </c>
      <c r="N1770">
        <v>67.981124866339101</v>
      </c>
      <c r="O1770">
        <v>64.413428439840303</v>
      </c>
      <c r="P1770">
        <v>-3.4484939318959199E-2</v>
      </c>
      <c r="Q1770">
        <v>4.33665986464404E-2</v>
      </c>
      <c r="R1770">
        <v>0.94826445873460896</v>
      </c>
      <c r="S1770" t="s">
        <v>6510</v>
      </c>
      <c r="T1770" t="s">
        <v>9478</v>
      </c>
      <c r="U1770" t="s">
        <v>9478</v>
      </c>
      <c r="V1770" t="s">
        <v>9478</v>
      </c>
      <c r="W1770">
        <v>17</v>
      </c>
      <c r="X1770" t="s">
        <v>11248</v>
      </c>
      <c r="Y1770">
        <v>0.82400057796391546</v>
      </c>
      <c r="Z1770" t="str">
        <f>HYPERLINK("Melting_Curves/meltCurve_sp_Q13126_MTAP_HUMAN_.pdf", "Melting_Curves/meltCurve_sp_Q13126_MTAP_HUMAN_.pdf")</f>
        <v>Melting_Curves/meltCurve_sp_Q13126_MTAP_HUMAN_.pdf</v>
      </c>
      <c r="AA1770" t="s">
        <v>15958</v>
      </c>
      <c r="AB1770" t="s">
        <v>20604</v>
      </c>
    </row>
    <row r="1771" spans="1:28" x14ac:dyDescent="0.25">
      <c r="A1771" t="s">
        <v>1775</v>
      </c>
      <c r="B1771">
        <v>0.99904790336628502</v>
      </c>
      <c r="C1771">
        <v>1.02345964886309</v>
      </c>
      <c r="D1771">
        <v>0.941155908835829</v>
      </c>
      <c r="E1771">
        <v>0.79739380851029595</v>
      </c>
      <c r="F1771">
        <v>0.47391957043879401</v>
      </c>
      <c r="G1771">
        <v>0.18180620814095799</v>
      </c>
      <c r="H1771">
        <v>8.2358183440117805E-2</v>
      </c>
      <c r="I1771">
        <v>5.7399386380397897E-2</v>
      </c>
      <c r="J1771">
        <v>4.9642785730755999E-2</v>
      </c>
      <c r="K1771">
        <v>4.4101263390181097E-2</v>
      </c>
      <c r="L1771">
        <v>1237.5272469403501</v>
      </c>
      <c r="M1771">
        <v>23.516451217118</v>
      </c>
      <c r="N1771">
        <v>52.828667636378</v>
      </c>
      <c r="O1771">
        <v>52.247793332733401</v>
      </c>
      <c r="P1771">
        <v>-0.107623490364483</v>
      </c>
      <c r="Q1771">
        <v>4.3564279133774503E-2</v>
      </c>
      <c r="R1771">
        <v>0.99892490811657297</v>
      </c>
      <c r="S1771" t="s">
        <v>6511</v>
      </c>
      <c r="T1771" t="s">
        <v>9478</v>
      </c>
      <c r="U1771" t="s">
        <v>9478</v>
      </c>
      <c r="V1771" t="s">
        <v>9478</v>
      </c>
      <c r="W1771">
        <v>18</v>
      </c>
      <c r="X1771" t="s">
        <v>11249</v>
      </c>
      <c r="Y1771">
        <v>0.45587938021026198</v>
      </c>
      <c r="Z1771" t="str">
        <f>HYPERLINK("Melting_Curves/meltCurve_sp_Q13131_AAPK1_HUMAN_.pdf", "Melting_Curves/meltCurve_sp_Q13131_AAPK1_HUMAN_.pdf")</f>
        <v>Melting_Curves/meltCurve_sp_Q13131_AAPK1_HUMAN_.pdf</v>
      </c>
      <c r="AA1771" t="s">
        <v>15959</v>
      </c>
      <c r="AB1771" t="s">
        <v>20605</v>
      </c>
    </row>
    <row r="1772" spans="1:28" x14ac:dyDescent="0.25">
      <c r="A1772" t="s">
        <v>1776</v>
      </c>
      <c r="B1772">
        <v>0.99904790336628502</v>
      </c>
      <c r="C1772">
        <v>0.96971132280100303</v>
      </c>
      <c r="D1772">
        <v>0.94137419345221596</v>
      </c>
      <c r="E1772">
        <v>0.89807135003376903</v>
      </c>
      <c r="F1772">
        <v>0.89225008557380303</v>
      </c>
      <c r="G1772">
        <v>0.65201940815260095</v>
      </c>
      <c r="H1772">
        <v>0.61006377570414705</v>
      </c>
      <c r="I1772">
        <v>0.54186103333090996</v>
      </c>
      <c r="J1772">
        <v>0.59917814483167997</v>
      </c>
      <c r="K1772">
        <v>0.59983681730828198</v>
      </c>
      <c r="L1772">
        <v>1199.6372628133299</v>
      </c>
      <c r="M1772">
        <v>22.116439857876099</v>
      </c>
      <c r="O1772">
        <v>53.8042600297929</v>
      </c>
      <c r="P1772">
        <v>-4.4056765106991198E-2</v>
      </c>
      <c r="Q1772">
        <v>0.57128908336054596</v>
      </c>
      <c r="R1772">
        <v>0.960221278782323</v>
      </c>
      <c r="S1772" t="s">
        <v>6512</v>
      </c>
      <c r="T1772" t="s">
        <v>9478</v>
      </c>
      <c r="U1772" t="s">
        <v>9478</v>
      </c>
      <c r="V1772" t="s">
        <v>9478</v>
      </c>
      <c r="W1772">
        <v>20</v>
      </c>
      <c r="X1772" t="s">
        <v>11250</v>
      </c>
      <c r="Y1772">
        <v>0.77973084351123523</v>
      </c>
      <c r="Z1772" t="str">
        <f>HYPERLINK("Melting_Curves/meltCurve_sp_Q13136_2_LIPA1_HUMAN_.pdf", "Melting_Curves/meltCurve_sp_Q13136_2_LIPA1_HUMAN_.pdf")</f>
        <v>Melting_Curves/meltCurve_sp_Q13136_2_LIPA1_HUMAN_.pdf</v>
      </c>
      <c r="AA1772" t="s">
        <v>15960</v>
      </c>
      <c r="AB1772" t="s">
        <v>20606</v>
      </c>
    </row>
    <row r="1773" spans="1:28" x14ac:dyDescent="0.25">
      <c r="A1773" t="s">
        <v>1777</v>
      </c>
      <c r="B1773">
        <v>0.99904790336628502</v>
      </c>
      <c r="C1773">
        <v>0.96469810760678498</v>
      </c>
      <c r="D1773">
        <v>0.81689740164592395</v>
      </c>
      <c r="E1773">
        <v>0.41940906139471601</v>
      </c>
      <c r="F1773">
        <v>0.23113426361242001</v>
      </c>
      <c r="G1773">
        <v>0.150213839940534</v>
      </c>
      <c r="H1773">
        <v>0.129215071573063</v>
      </c>
      <c r="I1773">
        <v>0.14170009297446001</v>
      </c>
      <c r="J1773">
        <v>0.15533720478978</v>
      </c>
      <c r="K1773">
        <v>0.14804969022925399</v>
      </c>
      <c r="L1773">
        <v>1196.68461195649</v>
      </c>
      <c r="M1773">
        <v>24.686089819947799</v>
      </c>
      <c r="N1773">
        <v>49.125513979670899</v>
      </c>
      <c r="O1773">
        <v>48.161320756366003</v>
      </c>
      <c r="P1773">
        <v>-0.110303652947847</v>
      </c>
      <c r="Q1773">
        <v>0.139224645650112</v>
      </c>
      <c r="R1773">
        <v>0.99943192186776197</v>
      </c>
      <c r="S1773" t="s">
        <v>6513</v>
      </c>
      <c r="T1773" t="s">
        <v>9478</v>
      </c>
      <c r="U1773" t="s">
        <v>9478</v>
      </c>
      <c r="V1773" t="s">
        <v>9478</v>
      </c>
      <c r="W1773">
        <v>5</v>
      </c>
      <c r="X1773" t="s">
        <v>11251</v>
      </c>
      <c r="Y1773">
        <v>0.39023732641256142</v>
      </c>
      <c r="Z1773" t="str">
        <f>HYPERLINK("Melting_Curves/meltCurve_sp_Q13148_TADBP_HUMAN_.pdf", "Melting_Curves/meltCurve_sp_Q13148_TADBP_HUMAN_.pdf")</f>
        <v>Melting_Curves/meltCurve_sp_Q13148_TADBP_HUMAN_.pdf</v>
      </c>
      <c r="AA1773" t="s">
        <v>15961</v>
      </c>
      <c r="AB1773" t="s">
        <v>20607</v>
      </c>
    </row>
    <row r="1774" spans="1:28" x14ac:dyDescent="0.25">
      <c r="A1774" t="s">
        <v>1778</v>
      </c>
      <c r="B1774">
        <v>0.99904790336628502</v>
      </c>
      <c r="C1774">
        <v>0.99598027660399702</v>
      </c>
      <c r="D1774">
        <v>0.96436306942347505</v>
      </c>
      <c r="E1774">
        <v>0.92417845892723305</v>
      </c>
      <c r="F1774">
        <v>0.88361497532842403</v>
      </c>
      <c r="G1774">
        <v>0.67686616453464099</v>
      </c>
      <c r="H1774">
        <v>0.61952484468256697</v>
      </c>
      <c r="I1774">
        <v>0.547647756224236</v>
      </c>
      <c r="J1774">
        <v>0.62278710615480304</v>
      </c>
      <c r="K1774">
        <v>0.61750369620781298</v>
      </c>
      <c r="L1774">
        <v>1358.91237241405</v>
      </c>
      <c r="M1774">
        <v>25.020381617752399</v>
      </c>
      <c r="O1774">
        <v>53.968834607849601</v>
      </c>
      <c r="P1774">
        <v>-4.7330485237868203E-2</v>
      </c>
      <c r="Q1774">
        <v>0.59163901748337</v>
      </c>
      <c r="R1774">
        <v>0.97640830722970895</v>
      </c>
      <c r="S1774" t="s">
        <v>6514</v>
      </c>
      <c r="T1774" t="s">
        <v>9478</v>
      </c>
      <c r="U1774" t="s">
        <v>9478</v>
      </c>
      <c r="V1774" t="s">
        <v>9478</v>
      </c>
      <c r="W1774">
        <v>5</v>
      </c>
      <c r="X1774" t="s">
        <v>11252</v>
      </c>
      <c r="Y1774">
        <v>0.79023292703341286</v>
      </c>
      <c r="Z1774" t="str">
        <f>HYPERLINK("Melting_Curves/meltCurve_sp_Q13151_ROA0_HUMAN_.pdf", "Melting_Curves/meltCurve_sp_Q13151_ROA0_HUMAN_.pdf")</f>
        <v>Melting_Curves/meltCurve_sp_Q13151_ROA0_HUMAN_.pdf</v>
      </c>
      <c r="AA1774" t="s">
        <v>15962</v>
      </c>
      <c r="AB1774" t="s">
        <v>20608</v>
      </c>
    </row>
    <row r="1775" spans="1:28" x14ac:dyDescent="0.25">
      <c r="A1775" t="s">
        <v>1779</v>
      </c>
      <c r="B1775">
        <v>0.99904790336628502</v>
      </c>
      <c r="C1775">
        <v>0.98710550888276005</v>
      </c>
      <c r="D1775">
        <v>1.0097349618665401</v>
      </c>
      <c r="E1775">
        <v>0.84914687758248597</v>
      </c>
      <c r="F1775">
        <v>0.75348809984514797</v>
      </c>
      <c r="G1775">
        <v>0.33033417042067698</v>
      </c>
      <c r="H1775">
        <v>0.12721737036890601</v>
      </c>
      <c r="I1775">
        <v>6.1757861205530597E-2</v>
      </c>
      <c r="J1775">
        <v>6.6159333645322893E-2</v>
      </c>
      <c r="K1775">
        <v>5.5160783236862201E-2</v>
      </c>
      <c r="L1775">
        <v>1238.4420115435701</v>
      </c>
      <c r="M1775">
        <v>22.502239509283701</v>
      </c>
      <c r="N1775">
        <v>55.227338514306098</v>
      </c>
      <c r="O1775">
        <v>54.607241138156901</v>
      </c>
      <c r="P1775">
        <v>-9.9164976251762099E-2</v>
      </c>
      <c r="Q1775">
        <v>3.7426117902775398E-2</v>
      </c>
      <c r="R1775">
        <v>0.99620276268685903</v>
      </c>
      <c r="S1775" t="s">
        <v>6515</v>
      </c>
      <c r="T1775" t="s">
        <v>9478</v>
      </c>
      <c r="U1775" t="s">
        <v>9478</v>
      </c>
      <c r="V1775" t="s">
        <v>9478</v>
      </c>
      <c r="W1775">
        <v>14</v>
      </c>
      <c r="X1775" t="s">
        <v>11253</v>
      </c>
      <c r="Y1775">
        <v>0.5305243845478379</v>
      </c>
      <c r="Z1775" t="str">
        <f>HYPERLINK("Melting_Curves/meltCurve_sp_Q13153_PAK1_HUMAN_.pdf", "Melting_Curves/meltCurve_sp_Q13153_PAK1_HUMAN_.pdf")</f>
        <v>Melting_Curves/meltCurve_sp_Q13153_PAK1_HUMAN_.pdf</v>
      </c>
      <c r="AA1775" t="s">
        <v>15963</v>
      </c>
      <c r="AB1775" t="s">
        <v>20609</v>
      </c>
    </row>
    <row r="1776" spans="1:28" x14ac:dyDescent="0.25">
      <c r="A1776" t="s">
        <v>1780</v>
      </c>
      <c r="B1776">
        <v>0.99904790336628502</v>
      </c>
      <c r="C1776">
        <v>0.86121203005614699</v>
      </c>
      <c r="D1776">
        <v>0.39599723695643302</v>
      </c>
      <c r="E1776">
        <v>0.14688687896108399</v>
      </c>
      <c r="F1776">
        <v>6.8768772343922493E-2</v>
      </c>
      <c r="G1776">
        <v>5.02119062203304E-2</v>
      </c>
      <c r="H1776">
        <v>3.2239224333431099E-2</v>
      </c>
      <c r="I1776">
        <v>2.4908665581761798E-2</v>
      </c>
      <c r="J1776">
        <v>1.43192027042769E-2</v>
      </c>
      <c r="K1776">
        <v>1.14049670596928E-2</v>
      </c>
      <c r="L1776">
        <v>1281.97590880027</v>
      </c>
      <c r="M1776">
        <v>28.2654907603163</v>
      </c>
      <c r="N1776">
        <v>45.472876379580903</v>
      </c>
      <c r="O1776">
        <v>45.129609450562697</v>
      </c>
      <c r="P1776">
        <v>-0.15104182677049299</v>
      </c>
      <c r="Q1776">
        <v>3.5374631050187899E-2</v>
      </c>
      <c r="R1776">
        <v>0.995714227328233</v>
      </c>
      <c r="S1776" t="s">
        <v>6516</v>
      </c>
      <c r="T1776" t="s">
        <v>9478</v>
      </c>
      <c r="U1776" t="s">
        <v>9478</v>
      </c>
      <c r="V1776" t="s">
        <v>9478</v>
      </c>
      <c r="W1776">
        <v>6</v>
      </c>
      <c r="X1776" t="s">
        <v>11254</v>
      </c>
      <c r="Y1776">
        <v>0.2145111120838907</v>
      </c>
      <c r="Z1776" t="str">
        <f>HYPERLINK("Melting_Curves/meltCurve_sp_Q13155_AIMP2_HUMAN_.pdf", "Melting_Curves/meltCurve_sp_Q13155_AIMP2_HUMAN_.pdf")</f>
        <v>Melting_Curves/meltCurve_sp_Q13155_AIMP2_HUMAN_.pdf</v>
      </c>
      <c r="AA1776" t="s">
        <v>15964</v>
      </c>
      <c r="AB1776" t="s">
        <v>20610</v>
      </c>
    </row>
    <row r="1777" spans="1:28" x14ac:dyDescent="0.25">
      <c r="A1777" t="s">
        <v>1781</v>
      </c>
      <c r="B1777">
        <v>0.99904790336628502</v>
      </c>
      <c r="C1777">
        <v>0.96391022835969598</v>
      </c>
      <c r="D1777">
        <v>0.81214410844557905</v>
      </c>
      <c r="E1777">
        <v>0.77800938274744302</v>
      </c>
      <c r="F1777">
        <v>0.68508046447998605</v>
      </c>
      <c r="G1777">
        <v>0.28597328415512302</v>
      </c>
      <c r="H1777">
        <v>8.5148150377636497E-2</v>
      </c>
      <c r="I1777">
        <v>5.1680394355088602E-2</v>
      </c>
      <c r="J1777">
        <v>6.2568304792162396E-2</v>
      </c>
      <c r="K1777">
        <v>5.63908238661164E-2</v>
      </c>
      <c r="L1777">
        <v>875.54416804274297</v>
      </c>
      <c r="M1777">
        <v>16.1517689599177</v>
      </c>
      <c r="N1777">
        <v>54.207323847727501</v>
      </c>
      <c r="O1777">
        <v>53.396809621758699</v>
      </c>
      <c r="P1777">
        <v>-7.5627128310242195E-2</v>
      </c>
      <c r="Q1777">
        <v>0</v>
      </c>
      <c r="R1777">
        <v>0.97713579862420896</v>
      </c>
      <c r="S1777" t="s">
        <v>6517</v>
      </c>
      <c r="T1777" t="s">
        <v>9478</v>
      </c>
      <c r="U1777" t="s">
        <v>9478</v>
      </c>
      <c r="V1777" t="s">
        <v>9478</v>
      </c>
      <c r="W1777">
        <v>3</v>
      </c>
      <c r="X1777" t="s">
        <v>11255</v>
      </c>
      <c r="Y1777">
        <v>0.49205751610527532</v>
      </c>
      <c r="Z1777" t="str">
        <f>HYPERLINK("Melting_Curves/meltCurve_sp_Q13158_FADD_HUMAN_.pdf", "Melting_Curves/meltCurve_sp_Q13158_FADD_HUMAN_.pdf")</f>
        <v>Melting_Curves/meltCurve_sp_Q13158_FADD_HUMAN_.pdf</v>
      </c>
      <c r="AA1777" t="s">
        <v>15965</v>
      </c>
      <c r="AB1777" t="s">
        <v>20611</v>
      </c>
    </row>
    <row r="1778" spans="1:28" x14ac:dyDescent="0.25">
      <c r="A1778" t="s">
        <v>1782</v>
      </c>
      <c r="B1778">
        <v>0.99904790336628502</v>
      </c>
      <c r="C1778">
        <v>0.79965390808623704</v>
      </c>
      <c r="D1778">
        <v>0.85608443910755105</v>
      </c>
      <c r="E1778">
        <v>0.88444835672298705</v>
      </c>
      <c r="F1778">
        <v>0.73126989250110297</v>
      </c>
      <c r="G1778">
        <v>0.64017712190132503</v>
      </c>
      <c r="H1778">
        <v>0.49435471711838802</v>
      </c>
      <c r="I1778">
        <v>0.48324591145395701</v>
      </c>
      <c r="J1778">
        <v>0.46087095152744401</v>
      </c>
      <c r="K1778">
        <v>0.40435986257512802</v>
      </c>
      <c r="L1778">
        <v>319.49198220345102</v>
      </c>
      <c r="M1778">
        <v>5.1158042543826303</v>
      </c>
      <c r="N1778">
        <v>63.629649550800103</v>
      </c>
      <c r="O1778">
        <v>54.793901793351999</v>
      </c>
      <c r="P1778">
        <v>-2.2413033729861E-2</v>
      </c>
      <c r="Q1778">
        <v>4.5170796813727598E-2</v>
      </c>
      <c r="R1778">
        <v>0.92648900516188304</v>
      </c>
      <c r="S1778" t="s">
        <v>6518</v>
      </c>
      <c r="T1778" t="s">
        <v>9478</v>
      </c>
      <c r="U1778" t="s">
        <v>9478</v>
      </c>
      <c r="V1778" t="s">
        <v>9478</v>
      </c>
      <c r="W1778">
        <v>12</v>
      </c>
      <c r="X1778" t="s">
        <v>11256</v>
      </c>
      <c r="Y1778">
        <v>0.67971110966773307</v>
      </c>
      <c r="Z1778" t="str">
        <f>HYPERLINK("Melting_Curves/meltCurve_sp_Q13162_PRDX4_HUMAN_.pdf", "Melting_Curves/meltCurve_sp_Q13162_PRDX4_HUMAN_.pdf")</f>
        <v>Melting_Curves/meltCurve_sp_Q13162_PRDX4_HUMAN_.pdf</v>
      </c>
      <c r="AA1778" t="s">
        <v>15966</v>
      </c>
      <c r="AB1778" t="s">
        <v>20612</v>
      </c>
    </row>
    <row r="1779" spans="1:28" x14ac:dyDescent="0.25">
      <c r="A1779" t="s">
        <v>1783</v>
      </c>
      <c r="B1779">
        <v>0.99904790336628502</v>
      </c>
      <c r="C1779">
        <v>1.0113910620461399</v>
      </c>
      <c r="D1779">
        <v>0.96785421147433204</v>
      </c>
      <c r="E1779">
        <v>0.88052407370133801</v>
      </c>
      <c r="F1779">
        <v>0.76665765756530702</v>
      </c>
      <c r="G1779">
        <v>0.37745619314336198</v>
      </c>
      <c r="H1779">
        <v>0.131957064723013</v>
      </c>
      <c r="I1779">
        <v>8.4298635687552997E-2</v>
      </c>
      <c r="J1779">
        <v>7.5358688730523704E-2</v>
      </c>
      <c r="K1779">
        <v>6.4909983626110695E-2</v>
      </c>
      <c r="L1779">
        <v>1238.69474251166</v>
      </c>
      <c r="M1779">
        <v>22.3753267905238</v>
      </c>
      <c r="N1779">
        <v>55.600177362663899</v>
      </c>
      <c r="O1779">
        <v>54.923348623074403</v>
      </c>
      <c r="P1779">
        <v>-9.7155399944773402E-2</v>
      </c>
      <c r="Q1779">
        <v>4.6094142771708001E-2</v>
      </c>
      <c r="R1779">
        <v>0.99782992215643895</v>
      </c>
      <c r="S1779" t="s">
        <v>6519</v>
      </c>
      <c r="T1779" t="s">
        <v>9478</v>
      </c>
      <c r="U1779" t="s">
        <v>9478</v>
      </c>
      <c r="V1779" t="s">
        <v>9478</v>
      </c>
      <c r="W1779">
        <v>18</v>
      </c>
      <c r="X1779" t="s">
        <v>11257</v>
      </c>
      <c r="Y1779">
        <v>0.54508182560232554</v>
      </c>
      <c r="Z1779" t="str">
        <f>HYPERLINK("Melting_Curves/meltCurve_sp_Q13177_PAK2_HUMAN_.pdf", "Melting_Curves/meltCurve_sp_Q13177_PAK2_HUMAN_.pdf")</f>
        <v>Melting_Curves/meltCurve_sp_Q13177_PAK2_HUMAN_.pdf</v>
      </c>
      <c r="AA1779" t="s">
        <v>15967</v>
      </c>
      <c r="AB1779" t="s">
        <v>20613</v>
      </c>
    </row>
    <row r="1780" spans="1:28" x14ac:dyDescent="0.25">
      <c r="A1780" t="s">
        <v>1784</v>
      </c>
      <c r="B1780">
        <v>0.99904790336628502</v>
      </c>
      <c r="C1780">
        <v>0.97065202748841195</v>
      </c>
      <c r="D1780">
        <v>0.92689260342996704</v>
      </c>
      <c r="E1780">
        <v>0.922731128532988</v>
      </c>
      <c r="F1780">
        <v>0.92412964403883802</v>
      </c>
      <c r="G1780">
        <v>0.73271011070002101</v>
      </c>
      <c r="H1780">
        <v>0.56706258868441495</v>
      </c>
      <c r="I1780">
        <v>0.49765806228736498</v>
      </c>
      <c r="J1780">
        <v>0.46465477622573698</v>
      </c>
      <c r="K1780">
        <v>0.446125071238406</v>
      </c>
      <c r="L1780">
        <v>950.590905910777</v>
      </c>
      <c r="M1780">
        <v>16.489771868715799</v>
      </c>
      <c r="N1780">
        <v>64.242048655917102</v>
      </c>
      <c r="O1780">
        <v>56.819488732845301</v>
      </c>
      <c r="P1780">
        <v>-4.2955023942027097E-2</v>
      </c>
      <c r="Q1780">
        <v>0.40799352515315201</v>
      </c>
      <c r="R1780">
        <v>0.98399054392474194</v>
      </c>
      <c r="S1780" t="s">
        <v>6520</v>
      </c>
      <c r="T1780" t="s">
        <v>9478</v>
      </c>
      <c r="U1780" t="s">
        <v>9478</v>
      </c>
      <c r="V1780" t="s">
        <v>9478</v>
      </c>
      <c r="W1780">
        <v>8</v>
      </c>
      <c r="X1780" t="s">
        <v>11258</v>
      </c>
      <c r="Y1780">
        <v>0.76435548867106395</v>
      </c>
      <c r="Z1780" t="str">
        <f>HYPERLINK("Melting_Curves/meltCurve_sp_Q13185_CBX3_HUMAN_.pdf", "Melting_Curves/meltCurve_sp_Q13185_CBX3_HUMAN_.pdf")</f>
        <v>Melting_Curves/meltCurve_sp_Q13185_CBX3_HUMAN_.pdf</v>
      </c>
      <c r="AA1780" t="s">
        <v>15968</v>
      </c>
      <c r="AB1780" t="s">
        <v>20614</v>
      </c>
    </row>
    <row r="1781" spans="1:28" x14ac:dyDescent="0.25">
      <c r="A1781" t="s">
        <v>1785</v>
      </c>
      <c r="B1781">
        <v>0.99904790336628502</v>
      </c>
      <c r="C1781">
        <v>1.0664252926122599</v>
      </c>
      <c r="D1781">
        <v>0.940861464415085</v>
      </c>
      <c r="E1781">
        <v>0.76445610874716796</v>
      </c>
      <c r="F1781">
        <v>0.49172059146998998</v>
      </c>
      <c r="G1781">
        <v>0.19386041647330801</v>
      </c>
      <c r="H1781">
        <v>0.10748677412473399</v>
      </c>
      <c r="I1781">
        <v>8.6129616180326204E-2</v>
      </c>
      <c r="J1781">
        <v>7.3602431126411905E-2</v>
      </c>
      <c r="K1781">
        <v>8.2710952160016393E-2</v>
      </c>
      <c r="L1781">
        <v>1185.5544682001801</v>
      </c>
      <c r="M1781">
        <v>22.600704383599599</v>
      </c>
      <c r="N1781">
        <v>52.813382074134999</v>
      </c>
      <c r="O1781">
        <v>52.051023540497297</v>
      </c>
      <c r="P1781">
        <v>-0.10086616621505901</v>
      </c>
      <c r="Q1781">
        <v>7.0810933420367206E-2</v>
      </c>
      <c r="R1781">
        <v>0.99625479933679795</v>
      </c>
      <c r="S1781" t="s">
        <v>6521</v>
      </c>
      <c r="T1781" t="s">
        <v>9478</v>
      </c>
      <c r="U1781" t="s">
        <v>9478</v>
      </c>
      <c r="V1781" t="s">
        <v>9478</v>
      </c>
      <c r="W1781">
        <v>8</v>
      </c>
      <c r="X1781" t="s">
        <v>11259</v>
      </c>
      <c r="Y1781">
        <v>0.46692012783648162</v>
      </c>
      <c r="Z1781" t="str">
        <f>HYPERLINK("Melting_Curves/meltCurve_sp_Q13188_STK3_HUMAN_.pdf", "Melting_Curves/meltCurve_sp_Q13188_STK3_HUMAN_.pdf")</f>
        <v>Melting_Curves/meltCurve_sp_Q13188_STK3_HUMAN_.pdf</v>
      </c>
      <c r="AA1781" t="s">
        <v>15969</v>
      </c>
      <c r="AB1781" t="s">
        <v>20615</v>
      </c>
    </row>
    <row r="1782" spans="1:28" x14ac:dyDescent="0.25">
      <c r="A1782" t="s">
        <v>1786</v>
      </c>
      <c r="B1782">
        <v>0.99904790336628502</v>
      </c>
      <c r="C1782">
        <v>0.91334992614727495</v>
      </c>
      <c r="D1782">
        <v>0.83451701128125799</v>
      </c>
      <c r="E1782">
        <v>0.50143418949791396</v>
      </c>
      <c r="F1782">
        <v>0.26070266371004602</v>
      </c>
      <c r="G1782">
        <v>0.144957260140892</v>
      </c>
      <c r="H1782">
        <v>7.0166461675986794E-2</v>
      </c>
      <c r="I1782">
        <v>4.6701584909633997E-2</v>
      </c>
      <c r="J1782">
        <v>3.4523316859196802E-2</v>
      </c>
      <c r="K1782">
        <v>2.7485175915841199E-2</v>
      </c>
      <c r="L1782">
        <v>870.06802529314302</v>
      </c>
      <c r="M1782">
        <v>17.4614569035081</v>
      </c>
      <c r="N1782">
        <v>49.989965215163998</v>
      </c>
      <c r="O1782">
        <v>49.1881693795629</v>
      </c>
      <c r="P1782">
        <v>-8.6311096311768698E-2</v>
      </c>
      <c r="Q1782">
        <v>2.7515572988898802E-2</v>
      </c>
      <c r="R1782">
        <v>0.99829301357374001</v>
      </c>
      <c r="S1782" t="s">
        <v>6522</v>
      </c>
      <c r="T1782" t="s">
        <v>9478</v>
      </c>
      <c r="U1782" t="s">
        <v>9478</v>
      </c>
      <c r="V1782" t="s">
        <v>9478</v>
      </c>
      <c r="W1782">
        <v>24</v>
      </c>
      <c r="X1782" t="s">
        <v>11260</v>
      </c>
      <c r="Y1782">
        <v>0.36371245496438859</v>
      </c>
      <c r="Z1782" t="str">
        <f>HYPERLINK("Melting_Curves/meltCurve_sp_Q13200_PSMD2_HUMAN_.pdf", "Melting_Curves/meltCurve_sp_Q13200_PSMD2_HUMAN_.pdf")</f>
        <v>Melting_Curves/meltCurve_sp_Q13200_PSMD2_HUMAN_.pdf</v>
      </c>
      <c r="AA1782" t="s">
        <v>15970</v>
      </c>
      <c r="AB1782" t="s">
        <v>20616</v>
      </c>
    </row>
    <row r="1783" spans="1:28" x14ac:dyDescent="0.25">
      <c r="A1783" t="s">
        <v>1787</v>
      </c>
      <c r="B1783">
        <v>0.99904790336628502</v>
      </c>
      <c r="C1783">
        <v>1.0469831264498299</v>
      </c>
      <c r="D1783">
        <v>1.06508449068536</v>
      </c>
      <c r="E1783">
        <v>0.94429569907094602</v>
      </c>
      <c r="F1783">
        <v>0.974487520158973</v>
      </c>
      <c r="G1783">
        <v>0.66728998957784202</v>
      </c>
      <c r="H1783">
        <v>0.63464205708153298</v>
      </c>
      <c r="I1783">
        <v>0.57241927047866503</v>
      </c>
      <c r="J1783">
        <v>0.57670702410319596</v>
      </c>
      <c r="K1783">
        <v>0.59242208618028802</v>
      </c>
      <c r="L1783">
        <v>2894.76280864503</v>
      </c>
      <c r="M1783">
        <v>52.200282523043597</v>
      </c>
      <c r="O1783">
        <v>55.373730607120699</v>
      </c>
      <c r="P1783">
        <v>-9.6114064584521694E-2</v>
      </c>
      <c r="Q1783">
        <v>0.59217160186900097</v>
      </c>
      <c r="R1783">
        <v>0.97168943830742904</v>
      </c>
      <c r="S1783" t="s">
        <v>6523</v>
      </c>
      <c r="T1783" t="s">
        <v>9478</v>
      </c>
      <c r="U1783" t="s">
        <v>9478</v>
      </c>
      <c r="V1783" t="s">
        <v>9478</v>
      </c>
      <c r="W1783">
        <v>4</v>
      </c>
      <c r="X1783" t="s">
        <v>11261</v>
      </c>
      <c r="Y1783">
        <v>0.80318457521839115</v>
      </c>
      <c r="Z1783" t="str">
        <f>HYPERLINK("Melting_Curves/meltCurve_sp_Q13206_DDX10_HUMAN_.pdf", "Melting_Curves/meltCurve_sp_Q13206_DDX10_HUMAN_.pdf")</f>
        <v>Melting_Curves/meltCurve_sp_Q13206_DDX10_HUMAN_.pdf</v>
      </c>
      <c r="AA1783" t="s">
        <v>15971</v>
      </c>
      <c r="AB1783" t="s">
        <v>20617</v>
      </c>
    </row>
    <row r="1784" spans="1:28" x14ac:dyDescent="0.25">
      <c r="A1784" t="s">
        <v>1788</v>
      </c>
      <c r="B1784">
        <v>0.99904790336628502</v>
      </c>
      <c r="C1784">
        <v>1.02531113661673</v>
      </c>
      <c r="D1784">
        <v>1.03182318962153</v>
      </c>
      <c r="E1784">
        <v>0.851284599299449</v>
      </c>
      <c r="F1784">
        <v>0.34344710750686103</v>
      </c>
      <c r="G1784">
        <v>0.13265481975448101</v>
      </c>
      <c r="H1784">
        <v>7.5527500427626695E-2</v>
      </c>
      <c r="I1784">
        <v>4.7505510225818698E-2</v>
      </c>
      <c r="J1784">
        <v>4.0044147909831601E-2</v>
      </c>
      <c r="K1784">
        <v>2.79572531463568E-2</v>
      </c>
      <c r="L1784">
        <v>2102.68592995994</v>
      </c>
      <c r="M1784">
        <v>40.442082728667799</v>
      </c>
      <c r="N1784">
        <v>52.149241818488903</v>
      </c>
      <c r="O1784">
        <v>51.865884137938998</v>
      </c>
      <c r="P1784">
        <v>-0.18378207687082601</v>
      </c>
      <c r="Q1784">
        <v>5.72195733479684E-2</v>
      </c>
      <c r="R1784">
        <v>0.99675108505357202</v>
      </c>
      <c r="S1784" t="s">
        <v>6524</v>
      </c>
      <c r="T1784" t="s">
        <v>9478</v>
      </c>
      <c r="U1784" t="s">
        <v>9478</v>
      </c>
      <c r="V1784" t="s">
        <v>9478</v>
      </c>
      <c r="W1784">
        <v>13</v>
      </c>
      <c r="X1784" t="s">
        <v>11262</v>
      </c>
      <c r="Y1784">
        <v>0.43740939729481421</v>
      </c>
      <c r="Z1784" t="str">
        <f>HYPERLINK("Melting_Curves/meltCurve_sp_Q13217_DNJC3_HUMAN_.pdf", "Melting_Curves/meltCurve_sp_Q13217_DNJC3_HUMAN_.pdf")</f>
        <v>Melting_Curves/meltCurve_sp_Q13217_DNJC3_HUMAN_.pdf</v>
      </c>
      <c r="AA1784" t="s">
        <v>15972</v>
      </c>
      <c r="AB1784" t="s">
        <v>20618</v>
      </c>
    </row>
    <row r="1785" spans="1:28" x14ac:dyDescent="0.25">
      <c r="A1785" t="s">
        <v>1789</v>
      </c>
      <c r="B1785">
        <v>0.99904790336628502</v>
      </c>
      <c r="C1785">
        <v>0.99434841704403498</v>
      </c>
      <c r="D1785">
        <v>0.97386959686178598</v>
      </c>
      <c r="E1785">
        <v>0.97815514099921297</v>
      </c>
      <c r="F1785">
        <v>0.82980258635108906</v>
      </c>
      <c r="G1785">
        <v>0.80466989218845997</v>
      </c>
      <c r="H1785">
        <v>0.50113669798979299</v>
      </c>
      <c r="I1785">
        <v>0.39400340424428298</v>
      </c>
      <c r="J1785">
        <v>0.29857688963815798</v>
      </c>
      <c r="K1785">
        <v>0.21712887105133899</v>
      </c>
      <c r="L1785">
        <v>827.22517994316604</v>
      </c>
      <c r="M1785">
        <v>13.5873738811003</v>
      </c>
      <c r="N1785">
        <v>61.71772769236</v>
      </c>
      <c r="O1785">
        <v>59.608541238650801</v>
      </c>
      <c r="P1785">
        <v>-5.2204745872232401E-2</v>
      </c>
      <c r="Q1785">
        <v>8.4036093661170597E-2</v>
      </c>
      <c r="R1785">
        <v>0.98842394143546797</v>
      </c>
      <c r="S1785" t="s">
        <v>6525</v>
      </c>
      <c r="T1785" t="s">
        <v>9478</v>
      </c>
      <c r="U1785" t="s">
        <v>9478</v>
      </c>
      <c r="V1785" t="s">
        <v>9478</v>
      </c>
      <c r="W1785">
        <v>36</v>
      </c>
      <c r="X1785" t="s">
        <v>11263</v>
      </c>
      <c r="Y1785">
        <v>0.72226115840247118</v>
      </c>
      <c r="Z1785" t="str">
        <f>HYPERLINK("Melting_Curves/meltCurve_sp_Q13228_SBP1_HUMAN_.pdf", "Melting_Curves/meltCurve_sp_Q13228_SBP1_HUMAN_.pdf")</f>
        <v>Melting_Curves/meltCurve_sp_Q13228_SBP1_HUMAN_.pdf</v>
      </c>
      <c r="AA1785" t="s">
        <v>15973</v>
      </c>
      <c r="AB1785" t="s">
        <v>20619</v>
      </c>
    </row>
    <row r="1786" spans="1:28" x14ac:dyDescent="0.25">
      <c r="A1786" t="s">
        <v>1790</v>
      </c>
      <c r="B1786">
        <v>0.99904790336628502</v>
      </c>
      <c r="C1786">
        <v>1.0907432931218899</v>
      </c>
      <c r="D1786">
        <v>1.1524485552370201</v>
      </c>
      <c r="E1786">
        <v>1.08621921791562</v>
      </c>
      <c r="F1786">
        <v>1.0456123361384699</v>
      </c>
      <c r="G1786">
        <v>0.88129527972012101</v>
      </c>
      <c r="H1786">
        <v>0.62479320787436998</v>
      </c>
      <c r="I1786">
        <v>0.33466426365212198</v>
      </c>
      <c r="J1786">
        <v>9.8082323452460804E-2</v>
      </c>
      <c r="K1786">
        <v>5.4726895121331699E-2</v>
      </c>
      <c r="L1786">
        <v>1647.12436301404</v>
      </c>
      <c r="M1786">
        <v>26.5082377285737</v>
      </c>
      <c r="N1786">
        <v>62.1363046215046</v>
      </c>
      <c r="O1786">
        <v>61.785933463560603</v>
      </c>
      <c r="P1786">
        <v>-0.10725952830756701</v>
      </c>
      <c r="Q1786">
        <v>0</v>
      </c>
      <c r="R1786">
        <v>0.97289161215471398</v>
      </c>
      <c r="S1786" t="s">
        <v>6526</v>
      </c>
      <c r="T1786" t="s">
        <v>9478</v>
      </c>
      <c r="U1786" t="s">
        <v>9478</v>
      </c>
      <c r="V1786" t="s">
        <v>9478</v>
      </c>
      <c r="W1786">
        <v>9</v>
      </c>
      <c r="X1786" t="s">
        <v>11264</v>
      </c>
      <c r="Y1786">
        <v>0.7423612537185903</v>
      </c>
      <c r="Z1786" t="str">
        <f>HYPERLINK("Melting_Curves/meltCurve_sp_Q13232_NDK3_HUMAN_.pdf", "Melting_Curves/meltCurve_sp_Q13232_NDK3_HUMAN_.pdf")</f>
        <v>Melting_Curves/meltCurve_sp_Q13232_NDK3_HUMAN_.pdf</v>
      </c>
      <c r="AA1786" t="s">
        <v>15974</v>
      </c>
      <c r="AB1786" t="s">
        <v>20620</v>
      </c>
    </row>
    <row r="1787" spans="1:28" x14ac:dyDescent="0.25">
      <c r="A1787" t="s">
        <v>1791</v>
      </c>
      <c r="B1787">
        <v>0.99904790336628502</v>
      </c>
      <c r="C1787">
        <v>1.08816214842718</v>
      </c>
      <c r="D1787">
        <v>1.0535957713689199</v>
      </c>
      <c r="E1787">
        <v>1.0327262854793899</v>
      </c>
      <c r="F1787">
        <v>0.87598245150335297</v>
      </c>
      <c r="G1787">
        <v>0.77877970889233195</v>
      </c>
      <c r="H1787">
        <v>0.64670715435556603</v>
      </c>
      <c r="I1787">
        <v>0.64064534686722396</v>
      </c>
      <c r="J1787">
        <v>0.55627024569000005</v>
      </c>
      <c r="K1787">
        <v>0.383673111165591</v>
      </c>
      <c r="L1787">
        <v>685.92443124643296</v>
      </c>
      <c r="M1787">
        <v>10.8990706413023</v>
      </c>
      <c r="N1787">
        <v>67.124035847723903</v>
      </c>
      <c r="O1787">
        <v>60.9267689486649</v>
      </c>
      <c r="P1787">
        <v>-3.3697729857606502E-2</v>
      </c>
      <c r="Q1787">
        <v>0.24677011922374101</v>
      </c>
      <c r="R1787">
        <v>0.94069349252769396</v>
      </c>
      <c r="S1787" t="s">
        <v>6527</v>
      </c>
      <c r="T1787" t="s">
        <v>9478</v>
      </c>
      <c r="U1787" t="s">
        <v>9478</v>
      </c>
      <c r="V1787" t="s">
        <v>9478</v>
      </c>
      <c r="W1787">
        <v>4</v>
      </c>
      <c r="X1787" t="s">
        <v>11265</v>
      </c>
      <c r="Y1787">
        <v>0.80389836170630002</v>
      </c>
      <c r="Z1787" t="str">
        <f>HYPERLINK("Melting_Curves/meltCurve_sp_Q13243_3_SRSF5_HUMAN_.pdf", "Melting_Curves/meltCurve_sp_Q13243_3_SRSF5_HUMAN_.pdf")</f>
        <v>Melting_Curves/meltCurve_sp_Q13243_3_SRSF5_HUMAN_.pdf</v>
      </c>
      <c r="AA1787" t="s">
        <v>15975</v>
      </c>
      <c r="AB1787" t="s">
        <v>20621</v>
      </c>
    </row>
    <row r="1788" spans="1:28" x14ac:dyDescent="0.25">
      <c r="A1788" t="s">
        <v>1792</v>
      </c>
      <c r="B1788">
        <v>0.99904790336628502</v>
      </c>
      <c r="C1788">
        <v>1.06103877129475</v>
      </c>
      <c r="D1788">
        <v>1.0405211527029099</v>
      </c>
      <c r="E1788">
        <v>0.97356352457520501</v>
      </c>
      <c r="F1788">
        <v>0.98002024006398203</v>
      </c>
      <c r="G1788">
        <v>0.76569266460858598</v>
      </c>
      <c r="H1788">
        <v>0.70251189266000402</v>
      </c>
      <c r="I1788">
        <v>0.63467491090782802</v>
      </c>
      <c r="J1788">
        <v>0.60653554978145796</v>
      </c>
      <c r="K1788">
        <v>0.53138334979199298</v>
      </c>
      <c r="L1788">
        <v>1072.1487991546701</v>
      </c>
      <c r="M1788">
        <v>18.4334466018373</v>
      </c>
      <c r="O1788">
        <v>57.4916751623199</v>
      </c>
      <c r="P1788">
        <v>-3.6253673605817799E-2</v>
      </c>
      <c r="Q1788">
        <v>0.54773714457906297</v>
      </c>
      <c r="R1788">
        <v>0.96547837781448698</v>
      </c>
      <c r="S1788" t="s">
        <v>6528</v>
      </c>
      <c r="T1788" t="s">
        <v>9478</v>
      </c>
      <c r="U1788" t="s">
        <v>9478</v>
      </c>
      <c r="V1788" t="s">
        <v>9478</v>
      </c>
      <c r="W1788">
        <v>9</v>
      </c>
      <c r="X1788" t="s">
        <v>11266</v>
      </c>
      <c r="Y1788">
        <v>0.82694472583281664</v>
      </c>
      <c r="Z1788" t="str">
        <f>HYPERLINK("Melting_Curves/meltCurve_sp_Q13247_3_SRSF6_HUMAN_.pdf", "Melting_Curves/meltCurve_sp_Q13247_3_SRSF6_HUMAN_.pdf")</f>
        <v>Melting_Curves/meltCurve_sp_Q13247_3_SRSF6_HUMAN_.pdf</v>
      </c>
      <c r="AA1788" t="s">
        <v>15976</v>
      </c>
      <c r="AB1788" t="s">
        <v>20622</v>
      </c>
    </row>
    <row r="1789" spans="1:28" x14ac:dyDescent="0.25">
      <c r="A1789" t="s">
        <v>1793</v>
      </c>
      <c r="B1789">
        <v>0.99904790336628502</v>
      </c>
      <c r="C1789">
        <v>0.99922015525641705</v>
      </c>
      <c r="D1789">
        <v>0.92971050672773503</v>
      </c>
      <c r="E1789">
        <v>0.86745241273625096</v>
      </c>
      <c r="F1789">
        <v>0.71933769001831405</v>
      </c>
      <c r="G1789">
        <v>0.51936450612233898</v>
      </c>
      <c r="H1789">
        <v>0.29551107301109297</v>
      </c>
      <c r="I1789">
        <v>0.180048273120166</v>
      </c>
      <c r="J1789">
        <v>0.10060472034552501</v>
      </c>
      <c r="K1789">
        <v>6.4324635894800697E-2</v>
      </c>
      <c r="L1789">
        <v>766.91532944597304</v>
      </c>
      <c r="M1789">
        <v>13.4660318756289</v>
      </c>
      <c r="N1789">
        <v>56.951825298352098</v>
      </c>
      <c r="O1789">
        <v>55.739874570027602</v>
      </c>
      <c r="P1789">
        <v>-6.04060674240295E-2</v>
      </c>
      <c r="Q1789">
        <v>0</v>
      </c>
      <c r="R1789">
        <v>0.99832074662874004</v>
      </c>
      <c r="S1789" t="s">
        <v>6529</v>
      </c>
      <c r="T1789" t="s">
        <v>9478</v>
      </c>
      <c r="U1789" t="s">
        <v>9478</v>
      </c>
      <c r="V1789" t="s">
        <v>9478</v>
      </c>
      <c r="W1789">
        <v>1</v>
      </c>
      <c r="X1789" t="s">
        <v>11267</v>
      </c>
      <c r="Y1789">
        <v>0.58177805899548474</v>
      </c>
      <c r="Z1789" t="str">
        <f>HYPERLINK("Melting_Curves/meltCurve_sp_Q13257_MD2L1_HUMAN_.pdf", "Melting_Curves/meltCurve_sp_Q13257_MD2L1_HUMAN_.pdf")</f>
        <v>Melting_Curves/meltCurve_sp_Q13257_MD2L1_HUMAN_.pdf</v>
      </c>
      <c r="AA1789" t="s">
        <v>15977</v>
      </c>
      <c r="AB1789" t="s">
        <v>20623</v>
      </c>
    </row>
    <row r="1790" spans="1:28" x14ac:dyDescent="0.25">
      <c r="A1790" t="s">
        <v>1794</v>
      </c>
      <c r="B1790">
        <v>0.99904790336628502</v>
      </c>
      <c r="C1790">
        <v>0.96690807687348701</v>
      </c>
      <c r="D1790">
        <v>0.92580713577679796</v>
      </c>
      <c r="E1790">
        <v>0.74858406041398295</v>
      </c>
      <c r="F1790">
        <v>0.57137664594392501</v>
      </c>
      <c r="G1790">
        <v>0.315038877165224</v>
      </c>
      <c r="H1790">
        <v>0.22129533761532399</v>
      </c>
      <c r="I1790">
        <v>0.17851769508481999</v>
      </c>
      <c r="J1790">
        <v>0.17313743600550799</v>
      </c>
      <c r="K1790">
        <v>0.15908914934993201</v>
      </c>
      <c r="L1790">
        <v>882.75270252802</v>
      </c>
      <c r="M1790">
        <v>16.7429119734708</v>
      </c>
      <c r="N1790">
        <v>53.794239694821698</v>
      </c>
      <c r="O1790">
        <v>51.989032067933103</v>
      </c>
      <c r="P1790">
        <v>-6.9111447385978297E-2</v>
      </c>
      <c r="Q1790">
        <v>0.141653960900991</v>
      </c>
      <c r="R1790">
        <v>0.99907194637528696</v>
      </c>
      <c r="S1790" t="s">
        <v>6530</v>
      </c>
      <c r="T1790" t="s">
        <v>9478</v>
      </c>
      <c r="U1790" t="s">
        <v>9478</v>
      </c>
      <c r="V1790" t="s">
        <v>9478</v>
      </c>
      <c r="W1790">
        <v>19</v>
      </c>
      <c r="X1790" t="s">
        <v>11268</v>
      </c>
      <c r="Y1790">
        <v>0.52155830230132205</v>
      </c>
      <c r="Z1790" t="str">
        <f>HYPERLINK("Melting_Curves/meltCurve_sp_Q13263_TIF1B_HUMAN_.pdf", "Melting_Curves/meltCurve_sp_Q13263_TIF1B_HUMAN_.pdf")</f>
        <v>Melting_Curves/meltCurve_sp_Q13263_TIF1B_HUMAN_.pdf</v>
      </c>
      <c r="AA1790" t="s">
        <v>15978</v>
      </c>
      <c r="AB1790" t="s">
        <v>20624</v>
      </c>
    </row>
    <row r="1791" spans="1:28" x14ac:dyDescent="0.25">
      <c r="A1791" t="s">
        <v>1795</v>
      </c>
      <c r="B1791">
        <v>0.99904790336628502</v>
      </c>
      <c r="C1791">
        <v>0.94394561349585304</v>
      </c>
      <c r="D1791">
        <v>0.89921295817595803</v>
      </c>
      <c r="E1791">
        <v>0.82206461732562797</v>
      </c>
      <c r="F1791">
        <v>0.59902260398359097</v>
      </c>
      <c r="G1791">
        <v>0.36305198378146297</v>
      </c>
      <c r="H1791">
        <v>0.251134159600792</v>
      </c>
      <c r="I1791">
        <v>0.25176648236907501</v>
      </c>
      <c r="J1791">
        <v>0.27310759344588298</v>
      </c>
      <c r="K1791">
        <v>0.23298245934965101</v>
      </c>
      <c r="L1791">
        <v>997.06909018185797</v>
      </c>
      <c r="M1791">
        <v>18.922916497060299</v>
      </c>
      <c r="N1791">
        <v>54.426179532011602</v>
      </c>
      <c r="O1791">
        <v>52.113217475958102</v>
      </c>
      <c r="P1791">
        <v>-7.0220791578040301E-2</v>
      </c>
      <c r="Q1791">
        <v>0.226486434992132</v>
      </c>
      <c r="R1791">
        <v>0.99148991096026395</v>
      </c>
      <c r="S1791" t="s">
        <v>6531</v>
      </c>
      <c r="T1791" t="s">
        <v>9478</v>
      </c>
      <c r="U1791" t="s">
        <v>9478</v>
      </c>
      <c r="V1791" t="s">
        <v>9478</v>
      </c>
      <c r="W1791">
        <v>12</v>
      </c>
      <c r="X1791" t="s">
        <v>11269</v>
      </c>
      <c r="Y1791">
        <v>0.5654331616472501</v>
      </c>
      <c r="Z1791" t="str">
        <f>HYPERLINK("Melting_Curves/meltCurve_sp_Q13283_G3BP1_HUMAN_.pdf", "Melting_Curves/meltCurve_sp_Q13283_G3BP1_HUMAN_.pdf")</f>
        <v>Melting_Curves/meltCurve_sp_Q13283_G3BP1_HUMAN_.pdf</v>
      </c>
      <c r="AA1791" t="s">
        <v>15979</v>
      </c>
      <c r="AB1791" t="s">
        <v>20625</v>
      </c>
    </row>
    <row r="1792" spans="1:28" x14ac:dyDescent="0.25">
      <c r="A1792" t="s">
        <v>1796</v>
      </c>
      <c r="B1792">
        <v>0.99904790336628502</v>
      </c>
      <c r="C1792">
        <v>1.0135846949661</v>
      </c>
      <c r="D1792">
        <v>1.0381061951400099</v>
      </c>
      <c r="E1792">
        <v>0.95104054772797297</v>
      </c>
      <c r="F1792">
        <v>0.78995043381261798</v>
      </c>
      <c r="G1792">
        <v>0.38363371817137099</v>
      </c>
      <c r="H1792">
        <v>0.122066108370381</v>
      </c>
      <c r="I1792">
        <v>8.2379999974126594E-2</v>
      </c>
      <c r="J1792">
        <v>6.3609794747915394E-2</v>
      </c>
      <c r="K1792">
        <v>5.29952936997184E-2</v>
      </c>
      <c r="L1792">
        <v>1465.8340107660999</v>
      </c>
      <c r="M1792">
        <v>26.362153642916699</v>
      </c>
      <c r="N1792">
        <v>55.824027769575103</v>
      </c>
      <c r="O1792">
        <v>55.286716723894003</v>
      </c>
      <c r="P1792">
        <v>-0.113318542519538</v>
      </c>
      <c r="Q1792">
        <v>4.9403470083247601E-2</v>
      </c>
      <c r="R1792">
        <v>0.99876503496151303</v>
      </c>
      <c r="S1792" t="s">
        <v>6532</v>
      </c>
      <c r="T1792" t="s">
        <v>9478</v>
      </c>
      <c r="U1792" t="s">
        <v>9478</v>
      </c>
      <c r="V1792" t="s">
        <v>9478</v>
      </c>
      <c r="W1792">
        <v>11</v>
      </c>
      <c r="X1792" t="s">
        <v>11270</v>
      </c>
      <c r="Y1792">
        <v>0.55182762499401694</v>
      </c>
      <c r="Z1792" t="str">
        <f>HYPERLINK("Melting_Curves/meltCurve_sp_Q13287_NMI_HUMAN_.pdf", "Melting_Curves/meltCurve_sp_Q13287_NMI_HUMAN_.pdf")</f>
        <v>Melting_Curves/meltCurve_sp_Q13287_NMI_HUMAN_.pdf</v>
      </c>
      <c r="AA1792" t="s">
        <v>15980</v>
      </c>
      <c r="AB1792" t="s">
        <v>20626</v>
      </c>
    </row>
    <row r="1793" spans="1:28" x14ac:dyDescent="0.25">
      <c r="A1793" t="s">
        <v>1797</v>
      </c>
      <c r="B1793">
        <v>0.99904790336628502</v>
      </c>
      <c r="C1793">
        <v>1.0037082023257</v>
      </c>
      <c r="D1793">
        <v>1.01267648737032</v>
      </c>
      <c r="E1793">
        <v>0.85222820847712299</v>
      </c>
      <c r="F1793">
        <v>0.57778284580881401</v>
      </c>
      <c r="G1793">
        <v>0.27619805634742101</v>
      </c>
      <c r="H1793">
        <v>9.6084870395743205E-2</v>
      </c>
      <c r="I1793">
        <v>8.0084683541640903E-2</v>
      </c>
      <c r="J1793">
        <v>6.7601672121031797E-2</v>
      </c>
      <c r="K1793">
        <v>6.6151036203267399E-2</v>
      </c>
      <c r="L1793">
        <v>1221.6895751196801</v>
      </c>
      <c r="M1793">
        <v>22.772617027671</v>
      </c>
      <c r="N1793">
        <v>53.935467212781496</v>
      </c>
      <c r="O1793">
        <v>53.238756936361199</v>
      </c>
      <c r="P1793">
        <v>-0.10081309769307401</v>
      </c>
      <c r="Q1793">
        <v>5.7278398664993499E-2</v>
      </c>
      <c r="R1793">
        <v>0.99860055335958298</v>
      </c>
      <c r="S1793" t="s">
        <v>6533</v>
      </c>
      <c r="T1793" t="s">
        <v>9478</v>
      </c>
      <c r="U1793" t="s">
        <v>9478</v>
      </c>
      <c r="V1793" t="s">
        <v>9478</v>
      </c>
      <c r="W1793">
        <v>22</v>
      </c>
      <c r="X1793" t="s">
        <v>11271</v>
      </c>
      <c r="Y1793">
        <v>0.49644540192843062</v>
      </c>
      <c r="Z1793" t="str">
        <f>HYPERLINK("Melting_Curves/meltCurve_sp_Q13310_3_PABP4_HUMAN_.pdf", "Melting_Curves/meltCurve_sp_Q13310_3_PABP4_HUMAN_.pdf")</f>
        <v>Melting_Curves/meltCurve_sp_Q13310_3_PABP4_HUMAN_.pdf</v>
      </c>
      <c r="AA1793" t="s">
        <v>15981</v>
      </c>
      <c r="AB1793" t="s">
        <v>20627</v>
      </c>
    </row>
    <row r="1794" spans="1:28" x14ac:dyDescent="0.25">
      <c r="A1794" t="s">
        <v>1798</v>
      </c>
      <c r="B1794">
        <v>0.99904790336628502</v>
      </c>
      <c r="C1794">
        <v>0.684104129024385</v>
      </c>
      <c r="D1794">
        <v>0.77605870065523597</v>
      </c>
      <c r="E1794">
        <v>0.67929220943756896</v>
      </c>
      <c r="F1794">
        <v>0.71556875573916801</v>
      </c>
      <c r="G1794">
        <v>0.57173523493530598</v>
      </c>
      <c r="H1794">
        <v>0.52524530949052395</v>
      </c>
      <c r="I1794">
        <v>0.45382006929087199</v>
      </c>
      <c r="J1794">
        <v>0.427582863822493</v>
      </c>
      <c r="K1794">
        <v>0.54919471465177905</v>
      </c>
      <c r="L1794">
        <v>307.18858154140401</v>
      </c>
      <c r="M1794">
        <v>6.1923929885584199</v>
      </c>
      <c r="N1794">
        <v>64.949368884497702</v>
      </c>
      <c r="O1794">
        <v>45.183721267720799</v>
      </c>
      <c r="P1794">
        <v>-2.1159808110846601E-2</v>
      </c>
      <c r="Q1794">
        <v>0.38419839474371298</v>
      </c>
      <c r="R1794">
        <v>0.79537381015992203</v>
      </c>
      <c r="S1794" t="s">
        <v>6534</v>
      </c>
      <c r="T1794" t="s">
        <v>9478</v>
      </c>
      <c r="U1794" t="s">
        <v>9478</v>
      </c>
      <c r="V1794" t="s">
        <v>9478</v>
      </c>
      <c r="W1794">
        <v>22</v>
      </c>
      <c r="X1794" t="s">
        <v>11272</v>
      </c>
      <c r="Y1794">
        <v>0.63113058799699162</v>
      </c>
      <c r="Z1794" t="str">
        <f>HYPERLINK("Melting_Curves/meltCurve_sp_Q13310_PABP4_HUMAN_.pdf", "Melting_Curves/meltCurve_sp_Q13310_PABP4_HUMAN_.pdf")</f>
        <v>Melting_Curves/meltCurve_sp_Q13310_PABP4_HUMAN_.pdf</v>
      </c>
      <c r="AA1794" t="s">
        <v>15981</v>
      </c>
      <c r="AB1794" t="s">
        <v>20628</v>
      </c>
    </row>
    <row r="1795" spans="1:28" x14ac:dyDescent="0.25">
      <c r="A1795" t="s">
        <v>1799</v>
      </c>
      <c r="B1795">
        <v>0.99904790336628502</v>
      </c>
      <c r="C1795">
        <v>1.1025785607074601</v>
      </c>
      <c r="D1795">
        <v>1.1920887335760399</v>
      </c>
      <c r="E1795">
        <v>1.1313644442836699</v>
      </c>
      <c r="F1795">
        <v>0.57917276335502799</v>
      </c>
      <c r="G1795">
        <v>0.30968293549729697</v>
      </c>
      <c r="H1795">
        <v>0.14937332030401701</v>
      </c>
      <c r="I1795">
        <v>5.3572853757546397E-2</v>
      </c>
      <c r="J1795">
        <v>5.0017793795038297E-2</v>
      </c>
      <c r="K1795">
        <v>4.21369506209337E-2</v>
      </c>
      <c r="L1795">
        <v>1688.82390296425</v>
      </c>
      <c r="M1795">
        <v>31.1688429742727</v>
      </c>
      <c r="N1795">
        <v>54.459198070748002</v>
      </c>
      <c r="O1795">
        <v>53.961514563722901</v>
      </c>
      <c r="P1795">
        <v>-0.13384958915956399</v>
      </c>
      <c r="Q1795">
        <v>7.3089084961054498E-2</v>
      </c>
      <c r="R1795">
        <v>0.95082984457784603</v>
      </c>
      <c r="S1795" t="s">
        <v>6535</v>
      </c>
      <c r="T1795" t="s">
        <v>9478</v>
      </c>
      <c r="U1795" t="s">
        <v>9478</v>
      </c>
      <c r="V1795" t="s">
        <v>9478</v>
      </c>
      <c r="W1795">
        <v>5</v>
      </c>
      <c r="X1795" t="s">
        <v>11273</v>
      </c>
      <c r="Y1795">
        <v>0.51697135129567007</v>
      </c>
      <c r="Z1795" t="str">
        <f>HYPERLINK("Melting_Curves/meltCurve_sp_Q13315_ATM_HUMAN_.pdf", "Melting_Curves/meltCurve_sp_Q13315_ATM_HUMAN_.pdf")</f>
        <v>Melting_Curves/meltCurve_sp_Q13315_ATM_HUMAN_.pdf</v>
      </c>
      <c r="AA1795" t="s">
        <v>15982</v>
      </c>
      <c r="AB1795" t="s">
        <v>20629</v>
      </c>
    </row>
    <row r="1796" spans="1:28" x14ac:dyDescent="0.25">
      <c r="A1796" t="s">
        <v>1800</v>
      </c>
      <c r="B1796">
        <v>0.99904790336628502</v>
      </c>
      <c r="C1796">
        <v>0.89545584375231402</v>
      </c>
      <c r="D1796">
        <v>0.86161121852493405</v>
      </c>
      <c r="E1796">
        <v>0.619224040473072</v>
      </c>
      <c r="F1796">
        <v>0.23976840980056499</v>
      </c>
      <c r="G1796">
        <v>0.142163903330221</v>
      </c>
      <c r="H1796">
        <v>8.7247395510145001E-2</v>
      </c>
      <c r="I1796">
        <v>7.0196185159314903E-2</v>
      </c>
      <c r="J1796">
        <v>6.9387165015613206E-2</v>
      </c>
      <c r="K1796">
        <v>6.1428293645218401E-2</v>
      </c>
      <c r="L1796">
        <v>1048.72175917101</v>
      </c>
      <c r="M1796">
        <v>20.848392707309799</v>
      </c>
      <c r="N1796">
        <v>50.602653558300602</v>
      </c>
      <c r="O1796">
        <v>49.846343698596399</v>
      </c>
      <c r="P1796">
        <v>-9.8480331180518202E-2</v>
      </c>
      <c r="Q1796">
        <v>5.8200991103049098E-2</v>
      </c>
      <c r="R1796">
        <v>0.98974039493761001</v>
      </c>
      <c r="S1796" t="s">
        <v>6536</v>
      </c>
      <c r="T1796" t="s">
        <v>9478</v>
      </c>
      <c r="U1796" t="s">
        <v>9478</v>
      </c>
      <c r="V1796" t="s">
        <v>9478</v>
      </c>
      <c r="W1796">
        <v>6</v>
      </c>
      <c r="X1796" t="s">
        <v>11274</v>
      </c>
      <c r="Y1796">
        <v>0.39370909156897033</v>
      </c>
      <c r="Z1796" t="str">
        <f>HYPERLINK("Melting_Curves/meltCurve_sp_Q13325_IFIT5_HUMAN_.pdf", "Melting_Curves/meltCurve_sp_Q13325_IFIT5_HUMAN_.pdf")</f>
        <v>Melting_Curves/meltCurve_sp_Q13325_IFIT5_HUMAN_.pdf</v>
      </c>
      <c r="AA1796" t="s">
        <v>15983</v>
      </c>
      <c r="AB1796" t="s">
        <v>20630</v>
      </c>
    </row>
    <row r="1797" spans="1:28" x14ac:dyDescent="0.25">
      <c r="A1797" t="s">
        <v>1801</v>
      </c>
      <c r="B1797">
        <v>0.99904790336628502</v>
      </c>
      <c r="C1797">
        <v>1.07784477939737</v>
      </c>
      <c r="D1797">
        <v>1.0662620687306701</v>
      </c>
      <c r="E1797">
        <v>0.84962399031883995</v>
      </c>
      <c r="F1797">
        <v>0.540715935236187</v>
      </c>
      <c r="G1797">
        <v>0.24570808608973899</v>
      </c>
      <c r="H1797">
        <v>0.152332330128746</v>
      </c>
      <c r="I1797">
        <v>0.120233802727476</v>
      </c>
      <c r="J1797">
        <v>0.142262139812255</v>
      </c>
      <c r="K1797">
        <v>0.100947337185278</v>
      </c>
      <c r="L1797">
        <v>1483.8156048263199</v>
      </c>
      <c r="M1797">
        <v>28.0499409001213</v>
      </c>
      <c r="N1797">
        <v>53.4431758607235</v>
      </c>
      <c r="O1797">
        <v>52.632395408825197</v>
      </c>
      <c r="P1797">
        <v>-0.116687421004639</v>
      </c>
      <c r="Q1797">
        <v>0.124207031431065</v>
      </c>
      <c r="R1797">
        <v>0.99143753066842499</v>
      </c>
      <c r="S1797" t="s">
        <v>6537</v>
      </c>
      <c r="T1797" t="s">
        <v>9478</v>
      </c>
      <c r="U1797" t="s">
        <v>9478</v>
      </c>
      <c r="V1797" t="s">
        <v>9478</v>
      </c>
      <c r="W1797">
        <v>7</v>
      </c>
      <c r="X1797" t="s">
        <v>11275</v>
      </c>
      <c r="Y1797">
        <v>0.50723650734240389</v>
      </c>
      <c r="Z1797" t="str">
        <f>HYPERLINK("Melting_Curves/meltCurve_sp_Q13330_3_MTA1_HUMAN_.pdf", "Melting_Curves/meltCurve_sp_Q13330_3_MTA1_HUMAN_.pdf")</f>
        <v>Melting_Curves/meltCurve_sp_Q13330_3_MTA1_HUMAN_.pdf</v>
      </c>
      <c r="AA1797" t="s">
        <v>15984</v>
      </c>
      <c r="AB1797" t="s">
        <v>20631</v>
      </c>
    </row>
    <row r="1798" spans="1:28" x14ac:dyDescent="0.25">
      <c r="A1798" t="s">
        <v>1802</v>
      </c>
      <c r="B1798">
        <v>0.99904790336628502</v>
      </c>
      <c r="C1798">
        <v>0.85807952002853805</v>
      </c>
      <c r="D1798">
        <v>0.61258566336428799</v>
      </c>
      <c r="E1798">
        <v>0.30941321739871502</v>
      </c>
      <c r="F1798">
        <v>0.212579726844456</v>
      </c>
      <c r="G1798">
        <v>0.135986030379561</v>
      </c>
      <c r="H1798">
        <v>8.0715102537688294E-2</v>
      </c>
      <c r="I1798">
        <v>6.6990979579331603E-2</v>
      </c>
      <c r="J1798">
        <v>4.70998685802545E-2</v>
      </c>
      <c r="K1798">
        <v>4.0005715510830299E-2</v>
      </c>
      <c r="L1798">
        <v>783.63398397258004</v>
      </c>
      <c r="M1798">
        <v>16.595339535736102</v>
      </c>
      <c r="N1798">
        <v>47.559214791883299</v>
      </c>
      <c r="O1798">
        <v>46.550431249466598</v>
      </c>
      <c r="P1798">
        <v>-8.4158490975919598E-2</v>
      </c>
      <c r="Q1798">
        <v>5.5795317124479799E-2</v>
      </c>
      <c r="R1798">
        <v>0.99604005196227796</v>
      </c>
      <c r="S1798" t="s">
        <v>6538</v>
      </c>
      <c r="T1798" t="s">
        <v>9478</v>
      </c>
      <c r="U1798" t="s">
        <v>9478</v>
      </c>
      <c r="V1798" t="s">
        <v>9478</v>
      </c>
      <c r="W1798">
        <v>4</v>
      </c>
      <c r="X1798" t="s">
        <v>11276</v>
      </c>
      <c r="Y1798">
        <v>0.30355085650325531</v>
      </c>
      <c r="Z1798" t="str">
        <f>HYPERLINK("Melting_Curves/meltCurve_sp_Q13347_EIF3I_HUMAN_.pdf", "Melting_Curves/meltCurve_sp_Q13347_EIF3I_HUMAN_.pdf")</f>
        <v>Melting_Curves/meltCurve_sp_Q13347_EIF3I_HUMAN_.pdf</v>
      </c>
      <c r="AA1798" t="s">
        <v>15985</v>
      </c>
      <c r="AB1798" t="s">
        <v>20632</v>
      </c>
    </row>
    <row r="1799" spans="1:28" x14ac:dyDescent="0.25">
      <c r="A1799" t="s">
        <v>1803</v>
      </c>
      <c r="B1799">
        <v>0.99904790336628502</v>
      </c>
      <c r="C1799">
        <v>0.92283246486438797</v>
      </c>
      <c r="D1799">
        <v>1.0343319283485799</v>
      </c>
      <c r="E1799">
        <v>0.66496400594799898</v>
      </c>
      <c r="F1799">
        <v>0.38086199430109802</v>
      </c>
      <c r="G1799">
        <v>0.18368117515229401</v>
      </c>
      <c r="H1799">
        <v>0.108860181953207</v>
      </c>
      <c r="I1799">
        <v>1.6142266204504801E-2</v>
      </c>
      <c r="J1799">
        <v>1.7201162858789101E-2</v>
      </c>
      <c r="K1799">
        <v>0</v>
      </c>
      <c r="L1799">
        <v>1082.8525291128699</v>
      </c>
      <c r="M1799">
        <v>20.884903890634298</v>
      </c>
      <c r="N1799">
        <v>51.954627564903497</v>
      </c>
      <c r="O1799">
        <v>51.380220292288001</v>
      </c>
      <c r="P1799">
        <v>-9.9501528815758605E-2</v>
      </c>
      <c r="Q1799">
        <v>2.08675001041994E-2</v>
      </c>
      <c r="R1799">
        <v>0.98828269475325803</v>
      </c>
      <c r="S1799" t="s">
        <v>6539</v>
      </c>
      <c r="T1799" t="s">
        <v>9478</v>
      </c>
      <c r="U1799" t="s">
        <v>9478</v>
      </c>
      <c r="V1799" t="s">
        <v>9478</v>
      </c>
      <c r="W1799">
        <v>9</v>
      </c>
      <c r="X1799" t="s">
        <v>11277</v>
      </c>
      <c r="Y1799">
        <v>0.42010931829441828</v>
      </c>
      <c r="Z1799" t="str">
        <f>HYPERLINK("Melting_Curves/meltCurve_sp_Q13362_4_2A5G_HUMAN_.pdf", "Melting_Curves/meltCurve_sp_Q13362_4_2A5G_HUMAN_.pdf")</f>
        <v>Melting_Curves/meltCurve_sp_Q13362_4_2A5G_HUMAN_.pdf</v>
      </c>
      <c r="AA1799" t="s">
        <v>15986</v>
      </c>
      <c r="AB1799" t="s">
        <v>20633</v>
      </c>
    </row>
    <row r="1800" spans="1:28" x14ac:dyDescent="0.25">
      <c r="A1800" t="s">
        <v>1804</v>
      </c>
      <c r="B1800">
        <v>0.99904790336628502</v>
      </c>
      <c r="C1800">
        <v>0.99883422585222403</v>
      </c>
      <c r="D1800">
        <v>0.97776569147243497</v>
      </c>
      <c r="E1800">
        <v>0.60516159679564596</v>
      </c>
      <c r="F1800">
        <v>0.366775220222814</v>
      </c>
      <c r="G1800">
        <v>0.24222303994144001</v>
      </c>
      <c r="H1800">
        <v>0.12971335398612299</v>
      </c>
      <c r="I1800">
        <v>4.97628270731705E-2</v>
      </c>
      <c r="J1800">
        <v>2.3638333031397299E-2</v>
      </c>
      <c r="K1800">
        <v>1.66425669152334E-2</v>
      </c>
      <c r="L1800">
        <v>933.42648005377998</v>
      </c>
      <c r="M1800">
        <v>18.121618264433</v>
      </c>
      <c r="N1800">
        <v>51.720111651496097</v>
      </c>
      <c r="O1800">
        <v>50.894041843977099</v>
      </c>
      <c r="P1800">
        <v>-8.5847157614877601E-2</v>
      </c>
      <c r="Q1800">
        <v>3.5649274328450602E-2</v>
      </c>
      <c r="R1800">
        <v>0.98974377453498297</v>
      </c>
      <c r="S1800" t="s">
        <v>6540</v>
      </c>
      <c r="T1800" t="s">
        <v>9478</v>
      </c>
      <c r="U1800" t="s">
        <v>9478</v>
      </c>
      <c r="V1800" t="s">
        <v>9478</v>
      </c>
      <c r="W1800">
        <v>9</v>
      </c>
      <c r="X1800" t="s">
        <v>11278</v>
      </c>
      <c r="Y1800">
        <v>0.42156683635613951</v>
      </c>
      <c r="Z1800" t="str">
        <f>HYPERLINK("Melting_Curves/meltCurve_sp_Q13363_2_CTBP1_HUMAN_.pdf", "Melting_Curves/meltCurve_sp_Q13363_2_CTBP1_HUMAN_.pdf")</f>
        <v>Melting_Curves/meltCurve_sp_Q13363_2_CTBP1_HUMAN_.pdf</v>
      </c>
      <c r="AA1800" t="s">
        <v>15987</v>
      </c>
      <c r="AB1800" t="s">
        <v>20634</v>
      </c>
    </row>
    <row r="1801" spans="1:28" x14ac:dyDescent="0.25">
      <c r="A1801" t="s">
        <v>1805</v>
      </c>
      <c r="B1801">
        <v>0.99904790336628502</v>
      </c>
      <c r="C1801">
        <v>0.92371321549069696</v>
      </c>
      <c r="D1801">
        <v>0.829729956559626</v>
      </c>
      <c r="E1801">
        <v>0.77299630772331795</v>
      </c>
      <c r="F1801">
        <v>0.638135503893695</v>
      </c>
      <c r="G1801">
        <v>0.52335870387661099</v>
      </c>
      <c r="H1801">
        <v>0.307518027050731</v>
      </c>
      <c r="I1801">
        <v>0.12782907690064799</v>
      </c>
      <c r="J1801">
        <v>5.1733759470273498E-2</v>
      </c>
      <c r="K1801">
        <v>5.2796437624018297E-2</v>
      </c>
      <c r="L1801">
        <v>632.72198677987399</v>
      </c>
      <c r="M1801">
        <v>11.3693421703627</v>
      </c>
      <c r="N1801">
        <v>55.651580669027801</v>
      </c>
      <c r="O1801">
        <v>54.013313489259097</v>
      </c>
      <c r="P1801">
        <v>-5.2638500193538898E-2</v>
      </c>
      <c r="Q1801">
        <v>0</v>
      </c>
      <c r="R1801">
        <v>0.97562840114941396</v>
      </c>
      <c r="S1801" t="s">
        <v>6541</v>
      </c>
      <c r="T1801" t="s">
        <v>9478</v>
      </c>
      <c r="U1801" t="s">
        <v>9478</v>
      </c>
      <c r="V1801" t="s">
        <v>9478</v>
      </c>
      <c r="W1801">
        <v>11</v>
      </c>
      <c r="X1801" t="s">
        <v>11279</v>
      </c>
      <c r="Y1801">
        <v>0.54375400155841591</v>
      </c>
      <c r="Z1801" t="str">
        <f>HYPERLINK("Melting_Curves/meltCurve_sp_Q13404_UB2V1_HUMAN_.pdf", "Melting_Curves/meltCurve_sp_Q13404_UB2V1_HUMAN_.pdf")</f>
        <v>Melting_Curves/meltCurve_sp_Q13404_UB2V1_HUMAN_.pdf</v>
      </c>
      <c r="AA1801" t="s">
        <v>15988</v>
      </c>
      <c r="AB1801" t="s">
        <v>20635</v>
      </c>
    </row>
    <row r="1802" spans="1:28" x14ac:dyDescent="0.25">
      <c r="A1802" t="s">
        <v>1806</v>
      </c>
      <c r="B1802">
        <v>0.99904790336628502</v>
      </c>
      <c r="C1802">
        <v>1.0332852064957301</v>
      </c>
      <c r="D1802">
        <v>1.03645675145593</v>
      </c>
      <c r="E1802">
        <v>0.72510717871950603</v>
      </c>
      <c r="F1802">
        <v>0.64442260999659595</v>
      </c>
      <c r="G1802">
        <v>0.44956846978439102</v>
      </c>
      <c r="H1802">
        <v>0.22308583806582999</v>
      </c>
      <c r="I1802">
        <v>0.164841554437829</v>
      </c>
      <c r="J1802">
        <v>0.16383102002335401</v>
      </c>
      <c r="K1802">
        <v>0.18802997799153701</v>
      </c>
      <c r="L1802">
        <v>855.47573559317004</v>
      </c>
      <c r="M1802">
        <v>15.8325817149318</v>
      </c>
      <c r="N1802">
        <v>55.089682615259797</v>
      </c>
      <c r="O1802">
        <v>53.192652974220799</v>
      </c>
      <c r="P1802">
        <v>-6.4669239762206801E-2</v>
      </c>
      <c r="Q1802">
        <v>0.13099522591732801</v>
      </c>
      <c r="R1802">
        <v>0.98120264402814095</v>
      </c>
      <c r="S1802" t="s">
        <v>6542</v>
      </c>
      <c r="T1802" t="s">
        <v>9478</v>
      </c>
      <c r="U1802" t="s">
        <v>9478</v>
      </c>
      <c r="V1802" t="s">
        <v>9478</v>
      </c>
      <c r="W1802">
        <v>14</v>
      </c>
      <c r="X1802" t="s">
        <v>11280</v>
      </c>
      <c r="Y1802">
        <v>0.55409183093447012</v>
      </c>
      <c r="Z1802" t="str">
        <f>HYPERLINK("Melting_Curves/meltCurve_sp_Q13409_6_DC1I2_HUMAN_.pdf", "Melting_Curves/meltCurve_sp_Q13409_6_DC1I2_HUMAN_.pdf")</f>
        <v>Melting_Curves/meltCurve_sp_Q13409_6_DC1I2_HUMAN_.pdf</v>
      </c>
      <c r="AA1802" t="s">
        <v>15989</v>
      </c>
      <c r="AB1802" t="s">
        <v>20636</v>
      </c>
    </row>
    <row r="1803" spans="1:28" x14ac:dyDescent="0.25">
      <c r="A1803" t="s">
        <v>1807</v>
      </c>
      <c r="B1803">
        <v>0.99904790336628502</v>
      </c>
      <c r="C1803">
        <v>0.92143951876045804</v>
      </c>
      <c r="D1803">
        <v>0.76510428810113595</v>
      </c>
      <c r="E1803">
        <v>0.36840345188777901</v>
      </c>
      <c r="F1803">
        <v>0.148882996649503</v>
      </c>
      <c r="G1803">
        <v>8.3506609775977403E-2</v>
      </c>
      <c r="H1803">
        <v>5.4129657258533699E-2</v>
      </c>
      <c r="I1803">
        <v>4.1133878924243597E-2</v>
      </c>
      <c r="J1803">
        <v>3.4455688881785101E-2</v>
      </c>
      <c r="K1803">
        <v>3.2278943210979599E-2</v>
      </c>
      <c r="L1803">
        <v>1023.6639093810199</v>
      </c>
      <c r="M1803">
        <v>21.148196895165999</v>
      </c>
      <c r="N1803">
        <v>48.570198603107798</v>
      </c>
      <c r="O1803">
        <v>47.9777408294335</v>
      </c>
      <c r="P1803">
        <v>-0.106361271141393</v>
      </c>
      <c r="Q1803">
        <v>3.4841434331044398E-2</v>
      </c>
      <c r="R1803">
        <v>0.99923334268367703</v>
      </c>
      <c r="S1803" t="s">
        <v>6543</v>
      </c>
      <c r="T1803" t="s">
        <v>9478</v>
      </c>
      <c r="U1803" t="s">
        <v>9478</v>
      </c>
      <c r="V1803" t="s">
        <v>9478</v>
      </c>
      <c r="W1803">
        <v>16</v>
      </c>
      <c r="X1803" t="s">
        <v>11281</v>
      </c>
      <c r="Y1803">
        <v>0.31734265471435502</v>
      </c>
      <c r="Z1803" t="str">
        <f>HYPERLINK("Melting_Curves/meltCurve_sp_Q13418_ILK_HUMAN_.pdf", "Melting_Curves/meltCurve_sp_Q13418_ILK_HUMAN_.pdf")</f>
        <v>Melting_Curves/meltCurve_sp_Q13418_ILK_HUMAN_.pdf</v>
      </c>
      <c r="AA1803" t="s">
        <v>15990</v>
      </c>
      <c r="AB1803" t="s">
        <v>20637</v>
      </c>
    </row>
    <row r="1804" spans="1:28" x14ac:dyDescent="0.25">
      <c r="A1804" t="s">
        <v>1808</v>
      </c>
      <c r="B1804">
        <v>0.99904790336628502</v>
      </c>
      <c r="C1804">
        <v>0.93116688167241601</v>
      </c>
      <c r="D1804">
        <v>0.70370398733567296</v>
      </c>
      <c r="E1804">
        <v>0.41057797136687002</v>
      </c>
      <c r="F1804">
        <v>0.25616076162475498</v>
      </c>
      <c r="G1804">
        <v>0.13151679341103201</v>
      </c>
      <c r="H1804">
        <v>7.1361858552434404E-2</v>
      </c>
      <c r="I1804">
        <v>4.9939916227786103E-2</v>
      </c>
      <c r="J1804">
        <v>4.4090149722517402E-2</v>
      </c>
      <c r="K1804">
        <v>3.1380275161355997E-2</v>
      </c>
      <c r="L1804">
        <v>779.83683894205899</v>
      </c>
      <c r="M1804">
        <v>16.0108042034521</v>
      </c>
      <c r="N1804">
        <v>48.920435738625798</v>
      </c>
      <c r="O1804">
        <v>47.966085405028799</v>
      </c>
      <c r="P1804">
        <v>-8.0638628458780406E-2</v>
      </c>
      <c r="Q1804">
        <v>3.3748275431547202E-2</v>
      </c>
      <c r="R1804">
        <v>0.99779080267536702</v>
      </c>
      <c r="S1804" t="s">
        <v>6544</v>
      </c>
      <c r="T1804" t="s">
        <v>9478</v>
      </c>
      <c r="U1804" t="s">
        <v>9478</v>
      </c>
      <c r="V1804" t="s">
        <v>9478</v>
      </c>
      <c r="W1804">
        <v>16</v>
      </c>
      <c r="X1804" t="s">
        <v>11282</v>
      </c>
      <c r="Y1804">
        <v>0.33544228469287329</v>
      </c>
      <c r="Z1804" t="str">
        <f>HYPERLINK("Melting_Curves/meltCurve_sp_Q13423_NNTM_HUMAN_.pdf", "Melting_Curves/meltCurve_sp_Q13423_NNTM_HUMAN_.pdf")</f>
        <v>Melting_Curves/meltCurve_sp_Q13423_NNTM_HUMAN_.pdf</v>
      </c>
      <c r="AA1804" t="s">
        <v>15991</v>
      </c>
      <c r="AB1804" t="s">
        <v>20638</v>
      </c>
    </row>
    <row r="1805" spans="1:28" x14ac:dyDescent="0.25">
      <c r="A1805" t="s">
        <v>1809</v>
      </c>
      <c r="B1805">
        <v>0.99904790336628502</v>
      </c>
      <c r="C1805">
        <v>1.45527422135064</v>
      </c>
      <c r="D1805">
        <v>0.95170448475296898</v>
      </c>
      <c r="E1805">
        <v>1.02459453713561</v>
      </c>
      <c r="F1805">
        <v>0.246073411571123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13190.657790577099</v>
      </c>
      <c r="M1805">
        <v>250</v>
      </c>
      <c r="N1805">
        <v>52.762631262546698</v>
      </c>
      <c r="O1805">
        <v>52.759254694831903</v>
      </c>
      <c r="P1805">
        <v>-1.1846262882985901</v>
      </c>
      <c r="Q1805">
        <v>0</v>
      </c>
      <c r="R1805">
        <v>0.92861700926282498</v>
      </c>
      <c r="S1805" t="s">
        <v>6545</v>
      </c>
      <c r="T1805" t="s">
        <v>9478</v>
      </c>
      <c r="U1805" t="s">
        <v>9478</v>
      </c>
      <c r="V1805" t="s">
        <v>9478</v>
      </c>
      <c r="W1805">
        <v>3</v>
      </c>
      <c r="X1805" t="s">
        <v>11283</v>
      </c>
      <c r="Y1805">
        <v>0.42551363634013512</v>
      </c>
      <c r="Z1805" t="str">
        <f>HYPERLINK("Melting_Curves/meltCurve_sp_Q13424_SNTA1_HUMAN_.pdf", "Melting_Curves/meltCurve_sp_Q13424_SNTA1_HUMAN_.pdf")</f>
        <v>Melting_Curves/meltCurve_sp_Q13424_SNTA1_HUMAN_.pdf</v>
      </c>
      <c r="AA1805" t="s">
        <v>15992</v>
      </c>
      <c r="AB1805" t="s">
        <v>20639</v>
      </c>
    </row>
    <row r="1806" spans="1:28" x14ac:dyDescent="0.25">
      <c r="A1806" t="s">
        <v>1810</v>
      </c>
      <c r="B1806">
        <v>0.99904790336628502</v>
      </c>
      <c r="C1806">
        <v>0.93352468435516101</v>
      </c>
      <c r="D1806">
        <v>0.95111121245744701</v>
      </c>
      <c r="E1806">
        <v>0.90260485125642598</v>
      </c>
      <c r="F1806">
        <v>0.85274219153387198</v>
      </c>
      <c r="G1806">
        <v>0.64098963652723895</v>
      </c>
      <c r="H1806">
        <v>0.48799309570774002</v>
      </c>
      <c r="I1806">
        <v>0.35310890443987197</v>
      </c>
      <c r="J1806">
        <v>0.30704492477337197</v>
      </c>
      <c r="K1806">
        <v>0.268840989180548</v>
      </c>
      <c r="L1806">
        <v>736.40977412799498</v>
      </c>
      <c r="M1806">
        <v>12.588604519264299</v>
      </c>
      <c r="N1806">
        <v>60.419428234130201</v>
      </c>
      <c r="O1806">
        <v>57.080834067452798</v>
      </c>
      <c r="P1806">
        <v>-4.6050023758432097E-2</v>
      </c>
      <c r="Q1806">
        <v>0.16494393577393801</v>
      </c>
      <c r="R1806">
        <v>0.99252545784713697</v>
      </c>
      <c r="S1806" t="s">
        <v>6546</v>
      </c>
      <c r="T1806" t="s">
        <v>9478</v>
      </c>
      <c r="U1806" t="s">
        <v>9478</v>
      </c>
      <c r="V1806" t="s">
        <v>9478</v>
      </c>
      <c r="W1806">
        <v>6</v>
      </c>
      <c r="X1806" t="s">
        <v>11284</v>
      </c>
      <c r="Y1806">
        <v>0.68903346707405233</v>
      </c>
      <c r="Z1806" t="str">
        <f>HYPERLINK("Melting_Curves/meltCurve_sp_Q13426_2_XRCC4_HUMAN_.pdf", "Melting_Curves/meltCurve_sp_Q13426_2_XRCC4_HUMAN_.pdf")</f>
        <v>Melting_Curves/meltCurve_sp_Q13426_2_XRCC4_HUMAN_.pdf</v>
      </c>
      <c r="AA1806" t="s">
        <v>15993</v>
      </c>
      <c r="AB1806" t="s">
        <v>20640</v>
      </c>
    </row>
    <row r="1807" spans="1:28" x14ac:dyDescent="0.25">
      <c r="A1807" t="s">
        <v>1811</v>
      </c>
      <c r="B1807">
        <v>0.99904790336628502</v>
      </c>
      <c r="C1807">
        <v>0.97827886554979204</v>
      </c>
      <c r="D1807">
        <v>0.88282842720422705</v>
      </c>
      <c r="E1807">
        <v>0.77507780378564495</v>
      </c>
      <c r="F1807">
        <v>0.69441136462655195</v>
      </c>
      <c r="G1807">
        <v>0.51209989276043499</v>
      </c>
      <c r="H1807">
        <v>0.38335511890400498</v>
      </c>
      <c r="I1807">
        <v>0.35802118838216901</v>
      </c>
      <c r="J1807">
        <v>0.36306703933712903</v>
      </c>
      <c r="K1807">
        <v>0.29959938866922398</v>
      </c>
      <c r="L1807">
        <v>626.39679896812902</v>
      </c>
      <c r="M1807">
        <v>11.645346001283199</v>
      </c>
      <c r="N1807">
        <v>57.481666932047702</v>
      </c>
      <c r="O1807">
        <v>52.2767367502273</v>
      </c>
      <c r="P1807">
        <v>-4.1035934383117201E-2</v>
      </c>
      <c r="Q1807">
        <v>0.26334723700601698</v>
      </c>
      <c r="R1807">
        <v>0.99387641406001503</v>
      </c>
      <c r="S1807" t="s">
        <v>6547</v>
      </c>
      <c r="T1807" t="s">
        <v>9478</v>
      </c>
      <c r="U1807" t="s">
        <v>9478</v>
      </c>
      <c r="V1807" t="s">
        <v>9478</v>
      </c>
      <c r="W1807">
        <v>4</v>
      </c>
      <c r="X1807" t="s">
        <v>11285</v>
      </c>
      <c r="Y1807">
        <v>0.62213521022575813</v>
      </c>
      <c r="Z1807" t="str">
        <f>HYPERLINK("Melting_Curves/meltCurve_sp_Q13427_2_PPIG_HUMAN_.pdf", "Melting_Curves/meltCurve_sp_Q13427_2_PPIG_HUMAN_.pdf")</f>
        <v>Melting_Curves/meltCurve_sp_Q13427_2_PPIG_HUMAN_.pdf</v>
      </c>
      <c r="AA1807" t="s">
        <v>15994</v>
      </c>
      <c r="AB1807" t="s">
        <v>20641</v>
      </c>
    </row>
    <row r="1808" spans="1:28" x14ac:dyDescent="0.25">
      <c r="A1808" t="s">
        <v>1812</v>
      </c>
      <c r="B1808">
        <v>0.99904790336628502</v>
      </c>
      <c r="C1808">
        <v>1.04884248419513</v>
      </c>
      <c r="D1808">
        <v>0.93850465375909198</v>
      </c>
      <c r="E1808">
        <v>0.96659061243928601</v>
      </c>
      <c r="F1808">
        <v>0.99123320404877502</v>
      </c>
      <c r="G1808">
        <v>0.76767663285977406</v>
      </c>
      <c r="H1808">
        <v>0.73276899984196497</v>
      </c>
      <c r="I1808">
        <v>0.90744897446823403</v>
      </c>
      <c r="J1808">
        <v>1.01396329953405</v>
      </c>
      <c r="K1808">
        <v>1.1347690391315799</v>
      </c>
      <c r="L1808">
        <v>1173.26231029776</v>
      </c>
      <c r="M1808">
        <v>24.576789952795199</v>
      </c>
      <c r="O1808">
        <v>47.4259366861641</v>
      </c>
      <c r="P1808">
        <v>-9.7612740695310098E-3</v>
      </c>
      <c r="Q1808">
        <v>0.92465559512080597</v>
      </c>
      <c r="R1808">
        <v>8.6574472675308003E-2</v>
      </c>
      <c r="S1808" t="s">
        <v>6548</v>
      </c>
      <c r="T1808" t="s">
        <v>9478</v>
      </c>
      <c r="U1808" t="s">
        <v>9478</v>
      </c>
      <c r="V1808" t="s">
        <v>9478</v>
      </c>
      <c r="W1808">
        <v>27</v>
      </c>
      <c r="X1808" t="s">
        <v>11286</v>
      </c>
      <c r="Y1808">
        <v>0.94478251612770736</v>
      </c>
      <c r="Z1808" t="str">
        <f>HYPERLINK("Melting_Curves/meltCurve_sp_Q13428_4_TCOF_HUMAN_.pdf", "Melting_Curves/meltCurve_sp_Q13428_4_TCOF_HUMAN_.pdf")</f>
        <v>Melting_Curves/meltCurve_sp_Q13428_4_TCOF_HUMAN_.pdf</v>
      </c>
      <c r="AA1808" t="s">
        <v>15995</v>
      </c>
      <c r="AB1808" t="s">
        <v>20642</v>
      </c>
    </row>
    <row r="1809" spans="1:28" x14ac:dyDescent="0.25">
      <c r="A1809" t="s">
        <v>1813</v>
      </c>
      <c r="B1809">
        <v>0.99904790336628502</v>
      </c>
      <c r="C1809">
        <v>1.01141404606093</v>
      </c>
      <c r="D1809">
        <v>0.98105554779345205</v>
      </c>
      <c r="E1809">
        <v>0.889154700137334</v>
      </c>
      <c r="F1809">
        <v>0.82388153575869605</v>
      </c>
      <c r="G1809">
        <v>0.60637499204415901</v>
      </c>
      <c r="H1809">
        <v>0.48267473624714602</v>
      </c>
      <c r="I1809">
        <v>0.41297995448727298</v>
      </c>
      <c r="J1809">
        <v>0.43475006497340601</v>
      </c>
      <c r="K1809">
        <v>0.41951706797064298</v>
      </c>
      <c r="L1809">
        <v>1009.8137674316901</v>
      </c>
      <c r="M1809">
        <v>18.3432863686003</v>
      </c>
      <c r="N1809">
        <v>60.266084095161098</v>
      </c>
      <c r="O1809">
        <v>54.409101962222998</v>
      </c>
      <c r="P1809">
        <v>-5.07608862754199E-2</v>
      </c>
      <c r="Q1809">
        <v>0.39776816594213898</v>
      </c>
      <c r="R1809">
        <v>0.99555516470368199</v>
      </c>
      <c r="S1809" t="s">
        <v>6549</v>
      </c>
      <c r="T1809" t="s">
        <v>9478</v>
      </c>
      <c r="U1809" t="s">
        <v>9478</v>
      </c>
      <c r="V1809" t="s">
        <v>9478</v>
      </c>
      <c r="W1809">
        <v>23</v>
      </c>
      <c r="X1809" t="s">
        <v>11287</v>
      </c>
      <c r="Y1809">
        <v>0.70896741987440703</v>
      </c>
      <c r="Z1809" t="str">
        <f>HYPERLINK("Melting_Curves/meltCurve_sp_Q13435_SF3B2_HUMAN_.pdf", "Melting_Curves/meltCurve_sp_Q13435_SF3B2_HUMAN_.pdf")</f>
        <v>Melting_Curves/meltCurve_sp_Q13435_SF3B2_HUMAN_.pdf</v>
      </c>
      <c r="AA1809" t="s">
        <v>15996</v>
      </c>
      <c r="AB1809" t="s">
        <v>20643</v>
      </c>
    </row>
    <row r="1810" spans="1:28" x14ac:dyDescent="0.25">
      <c r="A1810" t="s">
        <v>1814</v>
      </c>
      <c r="B1810">
        <v>0.99904790336628502</v>
      </c>
      <c r="C1810">
        <v>0.97021904383860902</v>
      </c>
      <c r="D1810">
        <v>0.89375382275416204</v>
      </c>
      <c r="E1810">
        <v>0.81587796194770601</v>
      </c>
      <c r="F1810">
        <v>0.83643710943814698</v>
      </c>
      <c r="G1810">
        <v>0.65510148074949104</v>
      </c>
      <c r="H1810">
        <v>0.59795470334453205</v>
      </c>
      <c r="I1810">
        <v>0.55161573930605801</v>
      </c>
      <c r="J1810">
        <v>0.57337736373494796</v>
      </c>
      <c r="K1810">
        <v>0.60619405518853897</v>
      </c>
      <c r="L1810">
        <v>596.22825498463305</v>
      </c>
      <c r="M1810">
        <v>11.2886518252371</v>
      </c>
      <c r="O1810">
        <v>51.240564569808598</v>
      </c>
      <c r="P1810">
        <v>-2.5643506099281999E-2</v>
      </c>
      <c r="Q1810">
        <v>0.53454609044916601</v>
      </c>
      <c r="R1810">
        <v>0.95661198519322899</v>
      </c>
      <c r="S1810" t="s">
        <v>6550</v>
      </c>
      <c r="T1810" t="s">
        <v>9478</v>
      </c>
      <c r="U1810" t="s">
        <v>9478</v>
      </c>
      <c r="V1810" t="s">
        <v>9478</v>
      </c>
      <c r="W1810">
        <v>6</v>
      </c>
      <c r="X1810" t="s">
        <v>11288</v>
      </c>
      <c r="Y1810">
        <v>0.74778318730325599</v>
      </c>
      <c r="Z1810" t="str">
        <f>HYPERLINK("Melting_Curves/meltCurve_sp_Q13442_HAP28_HUMAN_.pdf", "Melting_Curves/meltCurve_sp_Q13442_HAP28_HUMAN_.pdf")</f>
        <v>Melting_Curves/meltCurve_sp_Q13442_HAP28_HUMAN_.pdf</v>
      </c>
      <c r="AA1810" t="s">
        <v>15997</v>
      </c>
      <c r="AB1810" t="s">
        <v>20644</v>
      </c>
    </row>
    <row r="1811" spans="1:28" x14ac:dyDescent="0.25">
      <c r="A1811" t="s">
        <v>1815</v>
      </c>
      <c r="B1811">
        <v>0.99904790336628502</v>
      </c>
      <c r="C1811">
        <v>0.92315319593182199</v>
      </c>
      <c r="D1811">
        <v>0.86451638388708896</v>
      </c>
      <c r="E1811">
        <v>0.47314676816873102</v>
      </c>
      <c r="F1811">
        <v>0.26636052778768199</v>
      </c>
      <c r="G1811">
        <v>0.13979697631150501</v>
      </c>
      <c r="H1811">
        <v>8.5288949935876796E-2</v>
      </c>
      <c r="I1811">
        <v>6.6047519247310199E-2</v>
      </c>
      <c r="J1811">
        <v>5.9254775277966701E-2</v>
      </c>
      <c r="K1811">
        <v>5.5741420539441498E-2</v>
      </c>
      <c r="L1811">
        <v>984.44720184217499</v>
      </c>
      <c r="M1811">
        <v>19.8544655527913</v>
      </c>
      <c r="N1811">
        <v>49.897857953893499</v>
      </c>
      <c r="O1811">
        <v>49.0883721009832</v>
      </c>
      <c r="P1811">
        <v>-9.5168671429242097E-2</v>
      </c>
      <c r="Q1811">
        <v>5.8847574649582297E-2</v>
      </c>
      <c r="R1811">
        <v>0.99793831815564504</v>
      </c>
      <c r="S1811" t="s">
        <v>6551</v>
      </c>
      <c r="T1811" t="s">
        <v>9478</v>
      </c>
      <c r="U1811" t="s">
        <v>9478</v>
      </c>
      <c r="V1811" t="s">
        <v>9478</v>
      </c>
      <c r="W1811">
        <v>36</v>
      </c>
      <c r="X1811" t="s">
        <v>11289</v>
      </c>
      <c r="Y1811">
        <v>0.3728070574537396</v>
      </c>
      <c r="Z1811" t="str">
        <f>HYPERLINK("Melting_Curves/meltCurve_sp_Q13451_FKBP5_HUMAN_.pdf", "Melting_Curves/meltCurve_sp_Q13451_FKBP5_HUMAN_.pdf")</f>
        <v>Melting_Curves/meltCurve_sp_Q13451_FKBP5_HUMAN_.pdf</v>
      </c>
      <c r="AA1811" t="s">
        <v>15998</v>
      </c>
      <c r="AB1811" t="s">
        <v>20645</v>
      </c>
    </row>
    <row r="1812" spans="1:28" x14ac:dyDescent="0.25">
      <c r="A1812" t="s">
        <v>1816</v>
      </c>
      <c r="B1812">
        <v>0.99904790336628502</v>
      </c>
      <c r="C1812">
        <v>0.93241254044723398</v>
      </c>
      <c r="D1812">
        <v>0.95435143431029701</v>
      </c>
      <c r="E1812">
        <v>0.78870862738334802</v>
      </c>
      <c r="F1812">
        <v>1.04399803001641</v>
      </c>
      <c r="G1812">
        <v>0.543071132746475</v>
      </c>
      <c r="H1812">
        <v>0.60521146106940604</v>
      </c>
      <c r="I1812">
        <v>0.65203622184448196</v>
      </c>
      <c r="J1812">
        <v>0.79434118460930803</v>
      </c>
      <c r="K1812">
        <v>0.95235134602338001</v>
      </c>
      <c r="L1812">
        <v>933.38971705416395</v>
      </c>
      <c r="M1812">
        <v>18.5663109210427</v>
      </c>
      <c r="O1812">
        <v>49.700973055457297</v>
      </c>
      <c r="P1812">
        <v>-2.50903872877562E-2</v>
      </c>
      <c r="Q1812">
        <v>0.73134954120028794</v>
      </c>
      <c r="R1812">
        <v>0.325214948103412</v>
      </c>
      <c r="S1812" t="s">
        <v>6552</v>
      </c>
      <c r="T1812" t="s">
        <v>9478</v>
      </c>
      <c r="U1812" t="s">
        <v>9478</v>
      </c>
      <c r="V1812" t="s">
        <v>9478</v>
      </c>
      <c r="W1812">
        <v>2</v>
      </c>
      <c r="X1812" t="s">
        <v>11290</v>
      </c>
      <c r="Y1812">
        <v>0.82765415317316327</v>
      </c>
      <c r="Z1812" t="str">
        <f>HYPERLINK("Melting_Curves/meltCurve_sp_Q13459_2_MYO9B_HUMAN_.pdf", "Melting_Curves/meltCurve_sp_Q13459_2_MYO9B_HUMAN_.pdf")</f>
        <v>Melting_Curves/meltCurve_sp_Q13459_2_MYO9B_HUMAN_.pdf</v>
      </c>
      <c r="AA1812" t="s">
        <v>15999</v>
      </c>
      <c r="AB1812" t="s">
        <v>20646</v>
      </c>
    </row>
    <row r="1813" spans="1:28" x14ac:dyDescent="0.25">
      <c r="A1813" t="s">
        <v>1817</v>
      </c>
      <c r="B1813">
        <v>0.99904790336628502</v>
      </c>
      <c r="C1813">
        <v>1.0680091449023299</v>
      </c>
      <c r="D1813">
        <v>1.1467081606097</v>
      </c>
      <c r="E1813">
        <v>0.98739022747431104</v>
      </c>
      <c r="F1813">
        <v>0.45837511134065501</v>
      </c>
      <c r="G1813">
        <v>0.18337390879089799</v>
      </c>
      <c r="H1813">
        <v>0.101063993083363</v>
      </c>
      <c r="I1813">
        <v>6.9692198766659802E-2</v>
      </c>
      <c r="J1813">
        <v>5.8509405592741398E-2</v>
      </c>
      <c r="K1813">
        <v>5.0560863944885903E-2</v>
      </c>
      <c r="L1813">
        <v>3030.46757509177</v>
      </c>
      <c r="M1813">
        <v>57.520852179134003</v>
      </c>
      <c r="N1813">
        <v>52.865326669039703</v>
      </c>
      <c r="O1813">
        <v>52.621117493251703</v>
      </c>
      <c r="P1813">
        <v>-0.248895855464493</v>
      </c>
      <c r="Q1813">
        <v>8.9222776556825201E-2</v>
      </c>
      <c r="R1813">
        <v>0.98221314528667802</v>
      </c>
      <c r="S1813" t="s">
        <v>6553</v>
      </c>
      <c r="T1813" t="s">
        <v>9478</v>
      </c>
      <c r="U1813" t="s">
        <v>9478</v>
      </c>
      <c r="V1813" t="s">
        <v>9478</v>
      </c>
      <c r="W1813">
        <v>40</v>
      </c>
      <c r="X1813" t="s">
        <v>11291</v>
      </c>
      <c r="Y1813">
        <v>0.4759170296913261</v>
      </c>
      <c r="Z1813" t="str">
        <f>HYPERLINK("Melting_Curves/meltCurve_sp_Q13464_ROCK1_HUMAN_.pdf", "Melting_Curves/meltCurve_sp_Q13464_ROCK1_HUMAN_.pdf")</f>
        <v>Melting_Curves/meltCurve_sp_Q13464_ROCK1_HUMAN_.pdf</v>
      </c>
      <c r="AA1813" t="s">
        <v>16000</v>
      </c>
      <c r="AB1813" t="s">
        <v>20647</v>
      </c>
    </row>
    <row r="1814" spans="1:28" x14ac:dyDescent="0.25">
      <c r="A1814" t="s">
        <v>1818</v>
      </c>
      <c r="B1814">
        <v>0.99904790336628502</v>
      </c>
      <c r="C1814">
        <v>1.01368327959042</v>
      </c>
      <c r="D1814">
        <v>0.86554881799790495</v>
      </c>
      <c r="E1814">
        <v>0.59700017260987104</v>
      </c>
      <c r="F1814">
        <v>0.43774984878177398</v>
      </c>
      <c r="G1814">
        <v>0.25353020561149803</v>
      </c>
      <c r="H1814">
        <v>0.18019512955126499</v>
      </c>
      <c r="I1814">
        <v>8.1023380795836306E-2</v>
      </c>
      <c r="J1814">
        <v>0.118635239864192</v>
      </c>
      <c r="K1814">
        <v>3.7501785339390997E-2</v>
      </c>
      <c r="L1814">
        <v>758.48072591467997</v>
      </c>
      <c r="M1814">
        <v>14.7257605268252</v>
      </c>
      <c r="N1814">
        <v>51.942267035140901</v>
      </c>
      <c r="O1814">
        <v>50.585174807389599</v>
      </c>
      <c r="P1814">
        <v>-6.8560793848247994E-2</v>
      </c>
      <c r="Q1814">
        <v>5.80362538077056E-2</v>
      </c>
      <c r="R1814">
        <v>0.99277487568503198</v>
      </c>
      <c r="S1814" t="s">
        <v>6554</v>
      </c>
      <c r="T1814" t="s">
        <v>9478</v>
      </c>
      <c r="U1814" t="s">
        <v>9478</v>
      </c>
      <c r="V1814" t="s">
        <v>9478</v>
      </c>
      <c r="W1814">
        <v>2</v>
      </c>
      <c r="X1814" t="s">
        <v>11292</v>
      </c>
      <c r="Y1814">
        <v>0.44139099058245801</v>
      </c>
      <c r="Z1814" t="str">
        <f>HYPERLINK("Melting_Curves/meltCurve_sp_Q13490_2_BIRC2_HUMAN_.pdf", "Melting_Curves/meltCurve_sp_Q13490_2_BIRC2_HUMAN_.pdf")</f>
        <v>Melting_Curves/meltCurve_sp_Q13490_2_BIRC2_HUMAN_.pdf</v>
      </c>
      <c r="AA1814" t="s">
        <v>16001</v>
      </c>
      <c r="AB1814" t="s">
        <v>20648</v>
      </c>
    </row>
    <row r="1815" spans="1:28" x14ac:dyDescent="0.25">
      <c r="A1815" t="s">
        <v>1819</v>
      </c>
      <c r="B1815">
        <v>0.99904790336628502</v>
      </c>
      <c r="C1815">
        <v>1.0446327268859501</v>
      </c>
      <c r="D1815">
        <v>0.96870764242269802</v>
      </c>
      <c r="E1815">
        <v>0.926023127193768</v>
      </c>
      <c r="F1815">
        <v>0.890233680612459</v>
      </c>
      <c r="G1815">
        <v>0.39835944815412599</v>
      </c>
      <c r="H1815">
        <v>0.19813987877911901</v>
      </c>
      <c r="I1815">
        <v>0.154622696776955</v>
      </c>
      <c r="J1815">
        <v>0.18276536260675499</v>
      </c>
      <c r="K1815">
        <v>0.17641327060766401</v>
      </c>
      <c r="L1815">
        <v>2030.57235317595</v>
      </c>
      <c r="M1815">
        <v>36.5667097371919</v>
      </c>
      <c r="N1815">
        <v>56.159718411452197</v>
      </c>
      <c r="O1815">
        <v>55.3653467109107</v>
      </c>
      <c r="P1815">
        <v>-0.13736816602513099</v>
      </c>
      <c r="Q1815">
        <v>0.16805076194541901</v>
      </c>
      <c r="R1815">
        <v>0.99489261363820802</v>
      </c>
      <c r="S1815" t="s">
        <v>6555</v>
      </c>
      <c r="T1815" t="s">
        <v>9478</v>
      </c>
      <c r="U1815" t="s">
        <v>9478</v>
      </c>
      <c r="V1815" t="s">
        <v>9478</v>
      </c>
      <c r="W1815">
        <v>13</v>
      </c>
      <c r="X1815" t="s">
        <v>11293</v>
      </c>
      <c r="Y1815">
        <v>0.60253200728666345</v>
      </c>
      <c r="Z1815" t="str">
        <f>HYPERLINK("Melting_Curves/meltCurve_sp_Q13492_3_PICAL_HUMAN_.pdf", "Melting_Curves/meltCurve_sp_Q13492_3_PICAL_HUMAN_.pdf")</f>
        <v>Melting_Curves/meltCurve_sp_Q13492_3_PICAL_HUMAN_.pdf</v>
      </c>
      <c r="AA1815" t="s">
        <v>16002</v>
      </c>
      <c r="AB1815" t="s">
        <v>20649</v>
      </c>
    </row>
    <row r="1816" spans="1:28" x14ac:dyDescent="0.25">
      <c r="A1816" t="s">
        <v>1820</v>
      </c>
      <c r="B1816">
        <v>0.99904790336628502</v>
      </c>
      <c r="C1816">
        <v>0.95881166301142495</v>
      </c>
      <c r="D1816">
        <v>1.02186207979196</v>
      </c>
      <c r="E1816">
        <v>0.88848483439530901</v>
      </c>
      <c r="F1816">
        <v>0.50872183408420202</v>
      </c>
      <c r="G1816">
        <v>0.37000233857472598</v>
      </c>
      <c r="H1816">
        <v>0.217129125478282</v>
      </c>
      <c r="I1816">
        <v>6.5606839874654599E-2</v>
      </c>
      <c r="J1816">
        <v>4.2464739397400697E-2</v>
      </c>
      <c r="K1816">
        <v>3.3808441359484E-2</v>
      </c>
      <c r="L1816">
        <v>908.67006415213996</v>
      </c>
      <c r="M1816">
        <v>16.697208758515</v>
      </c>
      <c r="N1816">
        <v>54.545222182480799</v>
      </c>
      <c r="O1816">
        <v>53.657857142914601</v>
      </c>
      <c r="P1816">
        <v>-7.63425071467983E-2</v>
      </c>
      <c r="Q1816">
        <v>1.8733317093591498E-2</v>
      </c>
      <c r="R1816">
        <v>0.98232745922868703</v>
      </c>
      <c r="S1816" t="s">
        <v>6556</v>
      </c>
      <c r="T1816" t="s">
        <v>9478</v>
      </c>
      <c r="U1816" t="s">
        <v>9478</v>
      </c>
      <c r="V1816" t="s">
        <v>9478</v>
      </c>
      <c r="W1816">
        <v>14</v>
      </c>
      <c r="X1816" t="s">
        <v>11294</v>
      </c>
      <c r="Y1816">
        <v>0.50760564313396517</v>
      </c>
      <c r="Z1816" t="str">
        <f>HYPERLINK("Melting_Curves/meltCurve_sp_Q13496_MTM1_HUMAN_.pdf", "Melting_Curves/meltCurve_sp_Q13496_MTM1_HUMAN_.pdf")</f>
        <v>Melting_Curves/meltCurve_sp_Q13496_MTM1_HUMAN_.pdf</v>
      </c>
      <c r="AA1816" t="s">
        <v>16003</v>
      </c>
      <c r="AB1816" t="s">
        <v>20650</v>
      </c>
    </row>
    <row r="1817" spans="1:28" x14ac:dyDescent="0.25">
      <c r="A1817" t="s">
        <v>1821</v>
      </c>
      <c r="B1817">
        <v>0.99904790336628502</v>
      </c>
      <c r="C1817">
        <v>0.88700798094828803</v>
      </c>
      <c r="D1817">
        <v>0.87227633920265601</v>
      </c>
      <c r="E1817">
        <v>0.79954809205369004</v>
      </c>
      <c r="F1817">
        <v>0.69243445221757605</v>
      </c>
      <c r="G1817">
        <v>0.46082917628459602</v>
      </c>
      <c r="H1817">
        <v>0.37946207673808302</v>
      </c>
      <c r="I1817">
        <v>0.32135410817992899</v>
      </c>
      <c r="J1817">
        <v>0.33814335479985003</v>
      </c>
      <c r="K1817">
        <v>0.30780087822417901</v>
      </c>
      <c r="L1817">
        <v>597.57737723315597</v>
      </c>
      <c r="M1817">
        <v>11.126958436631501</v>
      </c>
      <c r="N1817">
        <v>57.012398295487003</v>
      </c>
      <c r="O1817">
        <v>52.0582581628179</v>
      </c>
      <c r="P1817">
        <v>-4.0742515108248202E-2</v>
      </c>
      <c r="Q1817">
        <v>0.23777914065653299</v>
      </c>
      <c r="R1817">
        <v>0.981599100555544</v>
      </c>
      <c r="S1817" t="s">
        <v>6557</v>
      </c>
      <c r="T1817" t="s">
        <v>9478</v>
      </c>
      <c r="U1817" t="s">
        <v>9478</v>
      </c>
      <c r="V1817" t="s">
        <v>9478</v>
      </c>
      <c r="W1817">
        <v>5</v>
      </c>
      <c r="X1817" t="s">
        <v>11295</v>
      </c>
      <c r="Y1817">
        <v>0.60794847148402809</v>
      </c>
      <c r="Z1817" t="str">
        <f>HYPERLINK("Melting_Curves/meltCurve_sp_Q13501_2_SQSTM_HUMAN_.pdf", "Melting_Curves/meltCurve_sp_Q13501_2_SQSTM_HUMAN_.pdf")</f>
        <v>Melting_Curves/meltCurve_sp_Q13501_2_SQSTM_HUMAN_.pdf</v>
      </c>
      <c r="AA1817" t="s">
        <v>16004</v>
      </c>
      <c r="AB1817" t="s">
        <v>20651</v>
      </c>
    </row>
    <row r="1818" spans="1:28" x14ac:dyDescent="0.25">
      <c r="A1818" t="s">
        <v>1822</v>
      </c>
      <c r="B1818">
        <v>0.99904790336628502</v>
      </c>
      <c r="C1818">
        <v>1.07957531406331</v>
      </c>
      <c r="D1818">
        <v>0.94292748364730805</v>
      </c>
      <c r="E1818">
        <v>0.99675165858065895</v>
      </c>
      <c r="F1818">
        <v>1.37949895524119</v>
      </c>
      <c r="G1818">
        <v>0.87350701775345896</v>
      </c>
      <c r="H1818">
        <v>0.93483988564292797</v>
      </c>
      <c r="I1818">
        <v>1.12385781793288</v>
      </c>
      <c r="J1818">
        <v>1.3513188813533601</v>
      </c>
      <c r="K1818">
        <v>1.35093388832498</v>
      </c>
      <c r="L1818">
        <v>15000</v>
      </c>
      <c r="M1818">
        <v>233.767943651037</v>
      </c>
      <c r="O1818">
        <v>64.161501232043406</v>
      </c>
      <c r="P1818">
        <v>0.31983431047044802</v>
      </c>
      <c r="Q1818">
        <v>1.3511353887814901</v>
      </c>
      <c r="R1818">
        <v>0.47189983658575602</v>
      </c>
      <c r="S1818" t="s">
        <v>6558</v>
      </c>
      <c r="T1818" t="s">
        <v>9478</v>
      </c>
      <c r="U1818" t="s">
        <v>9478</v>
      </c>
      <c r="V1818" t="s">
        <v>9478</v>
      </c>
      <c r="W1818">
        <v>3</v>
      </c>
      <c r="X1818" t="s">
        <v>11296</v>
      </c>
      <c r="Y1818">
        <v>1.0682365941050029</v>
      </c>
      <c r="Z1818" t="str">
        <f>HYPERLINK("Melting_Curves/meltCurve_sp_Q13522_PPR1A_HUMAN_.pdf", "Melting_Curves/meltCurve_sp_Q13522_PPR1A_HUMAN_.pdf")</f>
        <v>Melting_Curves/meltCurve_sp_Q13522_PPR1A_HUMAN_.pdf</v>
      </c>
      <c r="AA1818" t="s">
        <v>16005</v>
      </c>
      <c r="AB1818" t="s">
        <v>20652</v>
      </c>
    </row>
    <row r="1819" spans="1:28" x14ac:dyDescent="0.25">
      <c r="A1819" t="s">
        <v>1823</v>
      </c>
      <c r="B1819">
        <v>0.99904790336628502</v>
      </c>
      <c r="C1819">
        <v>0.932140585491957</v>
      </c>
      <c r="D1819">
        <v>0.87489926349815805</v>
      </c>
      <c r="E1819">
        <v>0.90756163300179504</v>
      </c>
      <c r="F1819">
        <v>0.89765300205307397</v>
      </c>
      <c r="G1819">
        <v>0.62253735112608599</v>
      </c>
      <c r="H1819">
        <v>0.52930675693609397</v>
      </c>
      <c r="I1819">
        <v>0.51848776771684701</v>
      </c>
      <c r="J1819">
        <v>0.56354692762952097</v>
      </c>
      <c r="K1819">
        <v>0.52667299853421901</v>
      </c>
      <c r="L1819">
        <v>1470.7440110391599</v>
      </c>
      <c r="M1819">
        <v>26.9277568798631</v>
      </c>
      <c r="O1819">
        <v>54.319578485401799</v>
      </c>
      <c r="P1819">
        <v>-5.9069597635249799E-2</v>
      </c>
      <c r="Q1819">
        <v>0.52337599665574197</v>
      </c>
      <c r="R1819">
        <v>0.92547297022808195</v>
      </c>
      <c r="S1819" t="s">
        <v>6559</v>
      </c>
      <c r="T1819" t="s">
        <v>9478</v>
      </c>
      <c r="U1819" t="s">
        <v>9478</v>
      </c>
      <c r="V1819" t="s">
        <v>9478</v>
      </c>
      <c r="W1819">
        <v>5</v>
      </c>
      <c r="X1819" t="s">
        <v>11297</v>
      </c>
      <c r="Y1819">
        <v>0.75947933675997747</v>
      </c>
      <c r="Z1819" t="str">
        <f>HYPERLINK("Melting_Curves/meltCurve_sp_Q13526_PIN1_HUMAN_.pdf", "Melting_Curves/meltCurve_sp_Q13526_PIN1_HUMAN_.pdf")</f>
        <v>Melting_Curves/meltCurve_sp_Q13526_PIN1_HUMAN_.pdf</v>
      </c>
      <c r="AA1819" t="s">
        <v>16006</v>
      </c>
      <c r="AB1819" t="s">
        <v>20653</v>
      </c>
    </row>
    <row r="1820" spans="1:28" x14ac:dyDescent="0.25">
      <c r="A1820" t="s">
        <v>1824</v>
      </c>
      <c r="B1820">
        <v>0.99904790336628502</v>
      </c>
      <c r="C1820">
        <v>0.918560740468364</v>
      </c>
      <c r="D1820">
        <v>0.82442766482391905</v>
      </c>
      <c r="E1820">
        <v>0.77251765069500899</v>
      </c>
      <c r="F1820">
        <v>0.62746935466183296</v>
      </c>
      <c r="G1820">
        <v>0.50650016812523302</v>
      </c>
      <c r="H1820">
        <v>0.57076465924077202</v>
      </c>
      <c r="I1820">
        <v>0.79635783923261505</v>
      </c>
      <c r="J1820">
        <v>0.98480932937271604</v>
      </c>
      <c r="K1820">
        <v>1.0308407305054099</v>
      </c>
      <c r="L1820">
        <v>1381.6714006591201</v>
      </c>
      <c r="M1820">
        <v>31.3082100651432</v>
      </c>
      <c r="O1820">
        <v>43.952387979936098</v>
      </c>
      <c r="P1820">
        <v>-4.3469859937160002E-2</v>
      </c>
      <c r="Q1820">
        <v>0.75589860790291596</v>
      </c>
      <c r="R1820">
        <v>0.21642045376645899</v>
      </c>
      <c r="S1820" t="s">
        <v>6560</v>
      </c>
      <c r="T1820" t="s">
        <v>9478</v>
      </c>
      <c r="U1820" t="s">
        <v>9478</v>
      </c>
      <c r="V1820" t="s">
        <v>9478</v>
      </c>
      <c r="W1820">
        <v>5</v>
      </c>
      <c r="X1820" t="s">
        <v>11298</v>
      </c>
      <c r="Y1820">
        <v>0.79108074640578396</v>
      </c>
      <c r="Z1820" t="str">
        <f>HYPERLINK("Melting_Curves/meltCurve_sp_Q13541_4EBP1_HUMAN_.pdf", "Melting_Curves/meltCurve_sp_Q13541_4EBP1_HUMAN_.pdf")</f>
        <v>Melting_Curves/meltCurve_sp_Q13541_4EBP1_HUMAN_.pdf</v>
      </c>
      <c r="AA1820" t="s">
        <v>16007</v>
      </c>
      <c r="AB1820" t="s">
        <v>20654</v>
      </c>
    </row>
    <row r="1821" spans="1:28" x14ac:dyDescent="0.25">
      <c r="A1821" t="s">
        <v>1825</v>
      </c>
      <c r="B1821">
        <v>0.99904790336628502</v>
      </c>
      <c r="C1821">
        <v>0.98046815794433795</v>
      </c>
      <c r="D1821">
        <v>1.0490195697337299</v>
      </c>
      <c r="E1821">
        <v>0.78332985759413398</v>
      </c>
      <c r="F1821">
        <v>0.58633352452412502</v>
      </c>
      <c r="G1821">
        <v>0.428479792037253</v>
      </c>
      <c r="H1821">
        <v>0.35975014669073302</v>
      </c>
      <c r="I1821">
        <v>0.29331614868279898</v>
      </c>
      <c r="J1821">
        <v>0.28842942439932001</v>
      </c>
      <c r="K1821">
        <v>0.25307869010852302</v>
      </c>
      <c r="L1821">
        <v>1050.38306344035</v>
      </c>
      <c r="M1821">
        <v>20.0087974399781</v>
      </c>
      <c r="N1821">
        <v>54.7608530854544</v>
      </c>
      <c r="O1821">
        <v>51.980139220870399</v>
      </c>
      <c r="P1821">
        <v>-6.9151925802272599E-2</v>
      </c>
      <c r="Q1821">
        <v>0.28143418599847903</v>
      </c>
      <c r="R1821">
        <v>0.98704922288853203</v>
      </c>
      <c r="S1821" t="s">
        <v>6561</v>
      </c>
      <c r="T1821" t="s">
        <v>9478</v>
      </c>
      <c r="U1821" t="s">
        <v>9478</v>
      </c>
      <c r="V1821" t="s">
        <v>9478</v>
      </c>
      <c r="W1821">
        <v>2</v>
      </c>
      <c r="X1821" t="s">
        <v>11299</v>
      </c>
      <c r="Y1821">
        <v>0.59065380698917502</v>
      </c>
      <c r="Z1821" t="str">
        <f>HYPERLINK("Melting_Curves/meltCurve_sp_Q13542_4EBP2_HUMAN_.pdf", "Melting_Curves/meltCurve_sp_Q13542_4EBP2_HUMAN_.pdf")</f>
        <v>Melting_Curves/meltCurve_sp_Q13542_4EBP2_HUMAN_.pdf</v>
      </c>
      <c r="AA1821" t="s">
        <v>16008</v>
      </c>
      <c r="AB1821" t="s">
        <v>20655</v>
      </c>
    </row>
    <row r="1822" spans="1:28" x14ac:dyDescent="0.25">
      <c r="A1822" t="s">
        <v>1826</v>
      </c>
      <c r="B1822">
        <v>0.99904790336628502</v>
      </c>
      <c r="C1822">
        <v>0.98899661310153797</v>
      </c>
      <c r="D1822">
        <v>0.91723801918584602</v>
      </c>
      <c r="E1822">
        <v>0.66709784070167499</v>
      </c>
      <c r="F1822">
        <v>0.34325213515977498</v>
      </c>
      <c r="G1822">
        <v>0.18377640549468799</v>
      </c>
      <c r="H1822">
        <v>0.102974000938826</v>
      </c>
      <c r="I1822">
        <v>7.30722409727846E-2</v>
      </c>
      <c r="J1822">
        <v>7.6485991851024795E-2</v>
      </c>
      <c r="K1822">
        <v>8.4578490461005698E-2</v>
      </c>
      <c r="L1822">
        <v>1136.14485239587</v>
      </c>
      <c r="M1822">
        <v>22.223566998780001</v>
      </c>
      <c r="N1822">
        <v>51.507756495431401</v>
      </c>
      <c r="O1822">
        <v>50.714865234271798</v>
      </c>
      <c r="P1822">
        <v>-0.101183693889566</v>
      </c>
      <c r="Q1822">
        <v>7.6402327762242997E-2</v>
      </c>
      <c r="R1822">
        <v>0.998896984179514</v>
      </c>
      <c r="S1822" t="s">
        <v>6562</v>
      </c>
      <c r="T1822" t="s">
        <v>9478</v>
      </c>
      <c r="U1822" t="s">
        <v>9478</v>
      </c>
      <c r="V1822" t="s">
        <v>9478</v>
      </c>
      <c r="W1822">
        <v>12</v>
      </c>
      <c r="X1822" t="s">
        <v>11300</v>
      </c>
      <c r="Y1822">
        <v>0.42935498508021752</v>
      </c>
      <c r="Z1822" t="str">
        <f>HYPERLINK("Melting_Curves/meltCurve_sp_Q13546_RIPK1_HUMAN_.pdf", "Melting_Curves/meltCurve_sp_Q13546_RIPK1_HUMAN_.pdf")</f>
        <v>Melting_Curves/meltCurve_sp_Q13546_RIPK1_HUMAN_.pdf</v>
      </c>
      <c r="AA1822" t="s">
        <v>16009</v>
      </c>
      <c r="AB1822" t="s">
        <v>20656</v>
      </c>
    </row>
    <row r="1823" spans="1:28" x14ac:dyDescent="0.25">
      <c r="A1823" t="s">
        <v>1827</v>
      </c>
      <c r="B1823">
        <v>0.99904790336628502</v>
      </c>
      <c r="C1823">
        <v>0.94545945880895998</v>
      </c>
      <c r="D1823">
        <v>0.921537380896852</v>
      </c>
      <c r="E1823">
        <v>0.58490120109078003</v>
      </c>
      <c r="F1823">
        <v>0.27754913517540802</v>
      </c>
      <c r="G1823">
        <v>0.10976932162177599</v>
      </c>
      <c r="H1823">
        <v>7.2960595138182302E-2</v>
      </c>
      <c r="I1823">
        <v>3.5721553347078501E-2</v>
      </c>
      <c r="J1823">
        <v>3.7031872539797402E-2</v>
      </c>
      <c r="K1823">
        <v>2.8200806187806401E-2</v>
      </c>
      <c r="L1823">
        <v>1152.6773217104101</v>
      </c>
      <c r="M1823">
        <v>22.787637897926999</v>
      </c>
      <c r="N1823">
        <v>50.746158008033198</v>
      </c>
      <c r="O1823">
        <v>50.198733230882901</v>
      </c>
      <c r="P1823">
        <v>-0.109491139158338</v>
      </c>
      <c r="Q1823">
        <v>3.5229582404774598E-2</v>
      </c>
      <c r="R1823">
        <v>0.99857261116086304</v>
      </c>
      <c r="S1823" t="s">
        <v>6563</v>
      </c>
      <c r="T1823" t="s">
        <v>9478</v>
      </c>
      <c r="U1823" t="s">
        <v>9478</v>
      </c>
      <c r="V1823" t="s">
        <v>9478</v>
      </c>
      <c r="W1823">
        <v>6</v>
      </c>
      <c r="X1823" t="s">
        <v>11301</v>
      </c>
      <c r="Y1823">
        <v>0.38599947317909128</v>
      </c>
      <c r="Z1823" t="str">
        <f>HYPERLINK("Melting_Curves/meltCurve_sp_Q13547_HDAC1_HUMAN_.pdf", "Melting_Curves/meltCurve_sp_Q13547_HDAC1_HUMAN_.pdf")</f>
        <v>Melting_Curves/meltCurve_sp_Q13547_HDAC1_HUMAN_.pdf</v>
      </c>
      <c r="AA1823" t="s">
        <v>16010</v>
      </c>
      <c r="AB1823" t="s">
        <v>20657</v>
      </c>
    </row>
    <row r="1824" spans="1:28" x14ac:dyDescent="0.25">
      <c r="A1824" t="s">
        <v>1828</v>
      </c>
      <c r="B1824">
        <v>0.99904790336628502</v>
      </c>
      <c r="C1824">
        <v>0.92402269489232602</v>
      </c>
      <c r="D1824">
        <v>0.85993528614917703</v>
      </c>
      <c r="E1824">
        <v>0.80848402050094903</v>
      </c>
      <c r="F1824">
        <v>0.72086293925859202</v>
      </c>
      <c r="G1824">
        <v>0.34794004045271598</v>
      </c>
      <c r="H1824">
        <v>0.101341910927125</v>
      </c>
      <c r="I1824">
        <v>6.8040553075444807E-2</v>
      </c>
      <c r="J1824">
        <v>5.8222546919097701E-2</v>
      </c>
      <c r="K1824">
        <v>1.5238186254604E-2</v>
      </c>
      <c r="L1824">
        <v>944.42895972941801</v>
      </c>
      <c r="M1824">
        <v>17.196609891899701</v>
      </c>
      <c r="N1824">
        <v>54.919475890159902</v>
      </c>
      <c r="O1824">
        <v>54.192959642877497</v>
      </c>
      <c r="P1824">
        <v>-7.9335147633144795E-2</v>
      </c>
      <c r="Q1824">
        <v>0</v>
      </c>
      <c r="R1824">
        <v>0.98329376345613595</v>
      </c>
      <c r="S1824" t="s">
        <v>6564</v>
      </c>
      <c r="T1824" t="s">
        <v>9478</v>
      </c>
      <c r="U1824" t="s">
        <v>9478</v>
      </c>
      <c r="V1824" t="s">
        <v>9478</v>
      </c>
      <c r="W1824">
        <v>8</v>
      </c>
      <c r="X1824" t="s">
        <v>11302</v>
      </c>
      <c r="Y1824">
        <v>0.51380516822407152</v>
      </c>
      <c r="Z1824" t="str">
        <f>HYPERLINK("Melting_Curves/meltCurve_sp_Q13554_7_KCC2B_HUMAN_.pdf", "Melting_Curves/meltCurve_sp_Q13554_7_KCC2B_HUMAN_.pdf")</f>
        <v>Melting_Curves/meltCurve_sp_Q13554_7_KCC2B_HUMAN_.pdf</v>
      </c>
      <c r="AA1824" t="s">
        <v>16011</v>
      </c>
      <c r="AB1824" t="s">
        <v>20658</v>
      </c>
    </row>
    <row r="1825" spans="1:28" x14ac:dyDescent="0.25">
      <c r="A1825" t="s">
        <v>1829</v>
      </c>
      <c r="B1825">
        <v>0.99904790336628502</v>
      </c>
      <c r="C1825">
        <v>0.783819263424684</v>
      </c>
      <c r="D1825">
        <v>0.75682584697205302</v>
      </c>
      <c r="E1825">
        <v>0.69766537501926895</v>
      </c>
      <c r="F1825">
        <v>0.55754086136879599</v>
      </c>
      <c r="G1825">
        <v>0.26140818520959302</v>
      </c>
      <c r="H1825">
        <v>9.3156737295710695E-2</v>
      </c>
      <c r="I1825">
        <v>7.1868764083922898E-2</v>
      </c>
      <c r="J1825">
        <v>4.68111252338985E-2</v>
      </c>
      <c r="K1825">
        <v>4.38830612969872E-2</v>
      </c>
      <c r="L1825">
        <v>600.98344779485103</v>
      </c>
      <c r="M1825">
        <v>11.4840594986055</v>
      </c>
      <c r="N1825">
        <v>52.331962590733603</v>
      </c>
      <c r="O1825">
        <v>50.820586741646899</v>
      </c>
      <c r="P1825">
        <v>-5.6509289552258299E-2</v>
      </c>
      <c r="Q1825">
        <v>0</v>
      </c>
      <c r="R1825">
        <v>0.96111417715751901</v>
      </c>
      <c r="S1825" t="s">
        <v>6565</v>
      </c>
      <c r="T1825" t="s">
        <v>9478</v>
      </c>
      <c r="U1825" t="s">
        <v>9478</v>
      </c>
      <c r="V1825" t="s">
        <v>9478</v>
      </c>
      <c r="W1825">
        <v>9</v>
      </c>
      <c r="X1825" t="s">
        <v>11303</v>
      </c>
      <c r="Y1825">
        <v>0.44260714590333389</v>
      </c>
      <c r="Z1825" t="str">
        <f>HYPERLINK("Melting_Curves/meltCurve_sp_Q13555_10_KCC2G_HUMAN_.pdf", "Melting_Curves/meltCurve_sp_Q13555_10_KCC2G_HUMAN_.pdf")</f>
        <v>Melting_Curves/meltCurve_sp_Q13555_10_KCC2G_HUMAN_.pdf</v>
      </c>
      <c r="AA1825" t="s">
        <v>16012</v>
      </c>
      <c r="AB1825" t="s">
        <v>20659</v>
      </c>
    </row>
    <row r="1826" spans="1:28" x14ac:dyDescent="0.25">
      <c r="A1826" t="s">
        <v>1830</v>
      </c>
      <c r="B1826">
        <v>0.99904790336628502</v>
      </c>
      <c r="C1826">
        <v>1.02121921528661</v>
      </c>
      <c r="D1826">
        <v>0.964210583838775</v>
      </c>
      <c r="E1826">
        <v>0.87648658631043797</v>
      </c>
      <c r="F1826">
        <v>0.80411557022006197</v>
      </c>
      <c r="G1826">
        <v>0.488153729198056</v>
      </c>
      <c r="H1826">
        <v>0.197588025264435</v>
      </c>
      <c r="I1826">
        <v>0.10764534136746901</v>
      </c>
      <c r="J1826">
        <v>9.9673532913951896E-2</v>
      </c>
      <c r="K1826">
        <v>7.5648247928457202E-2</v>
      </c>
      <c r="L1826">
        <v>1090.4337642425801</v>
      </c>
      <c r="M1826">
        <v>19.342394963696002</v>
      </c>
      <c r="N1826">
        <v>56.628020254044699</v>
      </c>
      <c r="O1826">
        <v>55.783109496572102</v>
      </c>
      <c r="P1826">
        <v>-8.3104629179109601E-2</v>
      </c>
      <c r="Q1826">
        <v>4.1346752969487498E-2</v>
      </c>
      <c r="R1826">
        <v>0.99630508114791105</v>
      </c>
      <c r="S1826" t="s">
        <v>6566</v>
      </c>
      <c r="T1826" t="s">
        <v>9478</v>
      </c>
      <c r="U1826" t="s">
        <v>9478</v>
      </c>
      <c r="V1826" t="s">
        <v>9478</v>
      </c>
      <c r="W1826">
        <v>17</v>
      </c>
      <c r="X1826" t="s">
        <v>11304</v>
      </c>
      <c r="Y1826">
        <v>0.57729371083857572</v>
      </c>
      <c r="Z1826" t="str">
        <f>HYPERLINK("Melting_Curves/meltCurve_sp_Q13557_8_KCC2D_HUMAN_.pdf", "Melting_Curves/meltCurve_sp_Q13557_8_KCC2D_HUMAN_.pdf")</f>
        <v>Melting_Curves/meltCurve_sp_Q13557_8_KCC2D_HUMAN_.pdf</v>
      </c>
      <c r="AA1826" t="s">
        <v>16013</v>
      </c>
      <c r="AB1826" t="s">
        <v>20660</v>
      </c>
    </row>
    <row r="1827" spans="1:28" x14ac:dyDescent="0.25">
      <c r="A1827" t="s">
        <v>1831</v>
      </c>
      <c r="B1827">
        <v>0.99904790336628502</v>
      </c>
      <c r="C1827">
        <v>1.0615107428433099</v>
      </c>
      <c r="D1827">
        <v>1.0987415448200299</v>
      </c>
      <c r="E1827">
        <v>0.95753707120499998</v>
      </c>
      <c r="F1827">
        <v>0.79110060260966597</v>
      </c>
      <c r="G1827">
        <v>0.55597853965195398</v>
      </c>
      <c r="H1827">
        <v>0.42591435370396502</v>
      </c>
      <c r="I1827">
        <v>0.40090469864711098</v>
      </c>
      <c r="J1827">
        <v>0.37590541357177398</v>
      </c>
      <c r="K1827">
        <v>0.32329161288906</v>
      </c>
      <c r="L1827">
        <v>1287.0839445394199</v>
      </c>
      <c r="M1827">
        <v>23.400622528160099</v>
      </c>
      <c r="N1827">
        <v>58.1058890739275</v>
      </c>
      <c r="O1827">
        <v>54.605173067134601</v>
      </c>
      <c r="P1827">
        <v>-6.8917025909374596E-2</v>
      </c>
      <c r="Q1827">
        <v>0.35674185968227701</v>
      </c>
      <c r="R1827">
        <v>0.98004426156964797</v>
      </c>
      <c r="S1827" t="s">
        <v>6567</v>
      </c>
      <c r="T1827" t="s">
        <v>9478</v>
      </c>
      <c r="U1827" t="s">
        <v>9478</v>
      </c>
      <c r="V1827" t="s">
        <v>9478</v>
      </c>
      <c r="W1827">
        <v>19</v>
      </c>
      <c r="X1827" t="s">
        <v>11305</v>
      </c>
      <c r="Y1827">
        <v>0.68508381309221855</v>
      </c>
      <c r="Z1827" t="str">
        <f>HYPERLINK("Melting_Curves/meltCurve_sp_Q13561_DCTN2_HUMAN_.pdf", "Melting_Curves/meltCurve_sp_Q13561_DCTN2_HUMAN_.pdf")</f>
        <v>Melting_Curves/meltCurve_sp_Q13561_DCTN2_HUMAN_.pdf</v>
      </c>
      <c r="AA1827" t="s">
        <v>16014</v>
      </c>
      <c r="AB1827" t="s">
        <v>20661</v>
      </c>
    </row>
    <row r="1828" spans="1:28" x14ac:dyDescent="0.25">
      <c r="A1828" t="s">
        <v>1832</v>
      </c>
      <c r="B1828">
        <v>0.99904790336628502</v>
      </c>
      <c r="C1828">
        <v>0.93991528848017802</v>
      </c>
      <c r="D1828">
        <v>0.90069075044567704</v>
      </c>
      <c r="E1828">
        <v>0.55710565503447895</v>
      </c>
      <c r="F1828">
        <v>0.322080927184071</v>
      </c>
      <c r="G1828">
        <v>0.15318506898877199</v>
      </c>
      <c r="H1828">
        <v>0.120577932597247</v>
      </c>
      <c r="I1828">
        <v>6.3394120236497001E-2</v>
      </c>
      <c r="J1828">
        <v>5.3803974059530503E-2</v>
      </c>
      <c r="K1828">
        <v>1.38965842330801E-2</v>
      </c>
      <c r="L1828">
        <v>937.96249178905896</v>
      </c>
      <c r="M1828">
        <v>18.554227038240601</v>
      </c>
      <c r="N1828">
        <v>50.803024840230499</v>
      </c>
      <c r="O1828">
        <v>49.976249717031102</v>
      </c>
      <c r="P1828">
        <v>-8.8761226928247103E-2</v>
      </c>
      <c r="Q1828">
        <v>4.3720070064375303E-2</v>
      </c>
      <c r="R1828">
        <v>0.99672054621522399</v>
      </c>
      <c r="S1828" t="s">
        <v>6568</v>
      </c>
      <c r="T1828" t="s">
        <v>9478</v>
      </c>
      <c r="U1828" t="s">
        <v>9478</v>
      </c>
      <c r="V1828" t="s">
        <v>9478</v>
      </c>
      <c r="W1828">
        <v>2</v>
      </c>
      <c r="X1828" t="s">
        <v>11306</v>
      </c>
      <c r="Y1828">
        <v>0.39540210550017169</v>
      </c>
      <c r="Z1828" t="str">
        <f>HYPERLINK("Melting_Curves/meltCurve_sp_Q13572_ITPK1_HUMAN_.pdf", "Melting_Curves/meltCurve_sp_Q13572_ITPK1_HUMAN_.pdf")</f>
        <v>Melting_Curves/meltCurve_sp_Q13572_ITPK1_HUMAN_.pdf</v>
      </c>
      <c r="AA1828" t="s">
        <v>16015</v>
      </c>
      <c r="AB1828" t="s">
        <v>20662</v>
      </c>
    </row>
    <row r="1829" spans="1:28" x14ac:dyDescent="0.25">
      <c r="A1829" t="s">
        <v>1833</v>
      </c>
      <c r="B1829">
        <v>0.99904790336628502</v>
      </c>
      <c r="C1829">
        <v>1.00870054968989</v>
      </c>
      <c r="D1829">
        <v>0.96992296281620005</v>
      </c>
      <c r="E1829">
        <v>0.89982996646457603</v>
      </c>
      <c r="F1829">
        <v>0.84486312310617095</v>
      </c>
      <c r="G1829">
        <v>0.59411118155407106</v>
      </c>
      <c r="H1829">
        <v>0.52270668319840896</v>
      </c>
      <c r="I1829">
        <v>0.46456153127647998</v>
      </c>
      <c r="J1829">
        <v>0.52389732406213396</v>
      </c>
      <c r="K1829">
        <v>0.542925017326509</v>
      </c>
      <c r="L1829">
        <v>1363.0715575522499</v>
      </c>
      <c r="M1829">
        <v>25.226783623709</v>
      </c>
      <c r="O1829">
        <v>53.696603395432099</v>
      </c>
      <c r="P1829">
        <v>-5.84212845333471E-2</v>
      </c>
      <c r="Q1829">
        <v>0.502594671670341</v>
      </c>
      <c r="R1829">
        <v>0.98269910891574697</v>
      </c>
      <c r="S1829" t="s">
        <v>6569</v>
      </c>
      <c r="T1829" t="s">
        <v>9478</v>
      </c>
      <c r="U1829" t="s">
        <v>9478</v>
      </c>
      <c r="V1829" t="s">
        <v>9478</v>
      </c>
      <c r="W1829">
        <v>17</v>
      </c>
      <c r="X1829" t="s">
        <v>11307</v>
      </c>
      <c r="Y1829">
        <v>0.7397876600885428</v>
      </c>
      <c r="Z1829" t="str">
        <f>HYPERLINK("Melting_Curves/meltCurve_sp_Q13573_SNW1_HUMAN_.pdf", "Melting_Curves/meltCurve_sp_Q13573_SNW1_HUMAN_.pdf")</f>
        <v>Melting_Curves/meltCurve_sp_Q13573_SNW1_HUMAN_.pdf</v>
      </c>
      <c r="AA1829" t="s">
        <v>16016</v>
      </c>
      <c r="AB1829" t="s">
        <v>20663</v>
      </c>
    </row>
    <row r="1830" spans="1:28" x14ac:dyDescent="0.25">
      <c r="A1830" t="s">
        <v>1834</v>
      </c>
      <c r="B1830">
        <v>0.99904790336628502</v>
      </c>
      <c r="C1830">
        <v>0.71767786621680096</v>
      </c>
      <c r="D1830">
        <v>0.49116851577718901</v>
      </c>
      <c r="E1830">
        <v>0.30934410000558399</v>
      </c>
      <c r="F1830">
        <v>0.187687448653414</v>
      </c>
      <c r="G1830">
        <v>7.8863187699090301E-2</v>
      </c>
      <c r="H1830">
        <v>3.8128629111883201E-2</v>
      </c>
      <c r="I1830">
        <v>2.6272293156714002E-2</v>
      </c>
      <c r="J1830">
        <v>2.1384069733679699E-2</v>
      </c>
      <c r="K1830">
        <v>1.8119789750915799E-2</v>
      </c>
      <c r="L1830">
        <v>642.26477949922003</v>
      </c>
      <c r="M1830">
        <v>13.852508825297599</v>
      </c>
      <c r="N1830">
        <v>46.449850909383699</v>
      </c>
      <c r="O1830">
        <v>45.430327010429401</v>
      </c>
      <c r="P1830">
        <v>-7.5281819157137997E-2</v>
      </c>
      <c r="Q1830">
        <v>1.2567018228095301E-2</v>
      </c>
      <c r="R1830">
        <v>0.98611431855574205</v>
      </c>
      <c r="S1830" t="s">
        <v>6570</v>
      </c>
      <c r="T1830" t="s">
        <v>9478</v>
      </c>
      <c r="U1830" t="s">
        <v>9478</v>
      </c>
      <c r="V1830" t="s">
        <v>9478</v>
      </c>
      <c r="W1830">
        <v>88</v>
      </c>
      <c r="X1830" t="s">
        <v>11308</v>
      </c>
      <c r="Y1830">
        <v>0.25504834897309647</v>
      </c>
      <c r="Z1830" t="str">
        <f>HYPERLINK("Melting_Curves/meltCurve_sp_Q13576_IQGA2_HUMAN_.pdf", "Melting_Curves/meltCurve_sp_Q13576_IQGA2_HUMAN_.pdf")</f>
        <v>Melting_Curves/meltCurve_sp_Q13576_IQGA2_HUMAN_.pdf</v>
      </c>
      <c r="AA1830" t="s">
        <v>16017</v>
      </c>
      <c r="AB1830" t="s">
        <v>20664</v>
      </c>
    </row>
    <row r="1831" spans="1:28" x14ac:dyDescent="0.25">
      <c r="A1831" t="s">
        <v>1835</v>
      </c>
      <c r="B1831">
        <v>0.99904790336628502</v>
      </c>
      <c r="C1831">
        <v>0.96397275181100095</v>
      </c>
      <c r="D1831">
        <v>0.98397702041882296</v>
      </c>
      <c r="E1831">
        <v>0.89123255271562296</v>
      </c>
      <c r="F1831">
        <v>0.79469485651160798</v>
      </c>
      <c r="G1831">
        <v>0.70332835134440397</v>
      </c>
      <c r="H1831">
        <v>0.63703203275137998</v>
      </c>
      <c r="I1831">
        <v>0.61812843213444302</v>
      </c>
      <c r="J1831">
        <v>0.62007964905768398</v>
      </c>
      <c r="K1831">
        <v>0.62644873541841894</v>
      </c>
      <c r="L1831">
        <v>917.20020767154199</v>
      </c>
      <c r="M1831">
        <v>17.3834159250911</v>
      </c>
      <c r="O1831">
        <v>52.079547430456103</v>
      </c>
      <c r="P1831">
        <v>-3.2507697798202E-2</v>
      </c>
      <c r="Q1831">
        <v>0.61045852110930499</v>
      </c>
      <c r="R1831">
        <v>0.99434714967025895</v>
      </c>
      <c r="S1831" t="s">
        <v>6571</v>
      </c>
      <c r="T1831" t="s">
        <v>9478</v>
      </c>
      <c r="U1831" t="s">
        <v>9478</v>
      </c>
      <c r="V1831" t="s">
        <v>9478</v>
      </c>
      <c r="W1831">
        <v>8</v>
      </c>
      <c r="X1831" t="s">
        <v>11309</v>
      </c>
      <c r="Y1831">
        <v>0.78295724363868691</v>
      </c>
      <c r="Z1831" t="str">
        <f>HYPERLINK("Melting_Curves/meltCurve_sp_Q13586_STIM1_HUMAN_.pdf", "Melting_Curves/meltCurve_sp_Q13586_STIM1_HUMAN_.pdf")</f>
        <v>Melting_Curves/meltCurve_sp_Q13586_STIM1_HUMAN_.pdf</v>
      </c>
      <c r="AA1831" t="s">
        <v>16018</v>
      </c>
      <c r="AB1831" t="s">
        <v>20665</v>
      </c>
    </row>
    <row r="1832" spans="1:28" x14ac:dyDescent="0.25">
      <c r="A1832" t="s">
        <v>1836</v>
      </c>
      <c r="B1832">
        <v>0.99904790336628502</v>
      </c>
      <c r="C1832">
        <v>1.0186900992697101</v>
      </c>
      <c r="D1832">
        <v>0.97918513275858099</v>
      </c>
      <c r="E1832">
        <v>0.87752170371806004</v>
      </c>
      <c r="F1832">
        <v>0.68135968342424702</v>
      </c>
      <c r="G1832">
        <v>0.40245703878435302</v>
      </c>
      <c r="H1832">
        <v>0.30905899351098398</v>
      </c>
      <c r="I1832">
        <v>0.24947641749319199</v>
      </c>
      <c r="J1832">
        <v>0.27539519486722303</v>
      </c>
      <c r="K1832">
        <v>0.28185486921959402</v>
      </c>
      <c r="L1832">
        <v>1265.6954075435201</v>
      </c>
      <c r="M1832">
        <v>23.639376400350798</v>
      </c>
      <c r="N1832">
        <v>55.288395393679401</v>
      </c>
      <c r="O1832">
        <v>53.163088581185903</v>
      </c>
      <c r="P1832">
        <v>-8.1923681335195606E-2</v>
      </c>
      <c r="Q1832">
        <v>0.26305284707710203</v>
      </c>
      <c r="R1832">
        <v>0.99831450558136803</v>
      </c>
      <c r="S1832" t="s">
        <v>6572</v>
      </c>
      <c r="T1832" t="s">
        <v>9478</v>
      </c>
      <c r="U1832" t="s">
        <v>9478</v>
      </c>
      <c r="V1832" t="s">
        <v>9478</v>
      </c>
      <c r="W1832">
        <v>16</v>
      </c>
      <c r="X1832" t="s">
        <v>11310</v>
      </c>
      <c r="Y1832">
        <v>0.60324746698076315</v>
      </c>
      <c r="Z1832" t="str">
        <f>HYPERLINK("Melting_Curves/meltCurve_sp_Q13596_SNX1_HUMAN_.pdf", "Melting_Curves/meltCurve_sp_Q13596_SNX1_HUMAN_.pdf")</f>
        <v>Melting_Curves/meltCurve_sp_Q13596_SNX1_HUMAN_.pdf</v>
      </c>
      <c r="AA1832" t="s">
        <v>16019</v>
      </c>
      <c r="AB1832" t="s">
        <v>20666</v>
      </c>
    </row>
    <row r="1833" spans="1:28" x14ac:dyDescent="0.25">
      <c r="A1833" t="s">
        <v>1837</v>
      </c>
      <c r="B1833">
        <v>0.99904790336628502</v>
      </c>
      <c r="C1833">
        <v>0.93368945487466803</v>
      </c>
      <c r="D1833">
        <v>0.90983997571182895</v>
      </c>
      <c r="E1833">
        <v>0.88742865366732304</v>
      </c>
      <c r="F1833">
        <v>0.80347611956723397</v>
      </c>
      <c r="G1833">
        <v>0.59360669267575605</v>
      </c>
      <c r="H1833">
        <v>0.25483209921652</v>
      </c>
      <c r="I1833">
        <v>7.6496070764846102E-2</v>
      </c>
      <c r="J1833">
        <v>5.1030876985108199E-2</v>
      </c>
      <c r="K1833">
        <v>4.7573056203604601E-2</v>
      </c>
      <c r="L1833">
        <v>1047.03959094896</v>
      </c>
      <c r="M1833">
        <v>18.226642090635</v>
      </c>
      <c r="N1833">
        <v>57.445557067499998</v>
      </c>
      <c r="O1833">
        <v>56.767453155200798</v>
      </c>
      <c r="P1833">
        <v>-8.0272670336332799E-2</v>
      </c>
      <c r="Q1833">
        <v>0</v>
      </c>
      <c r="R1833">
        <v>0.98609078903737302</v>
      </c>
      <c r="S1833" t="s">
        <v>6573</v>
      </c>
      <c r="T1833" t="s">
        <v>9478</v>
      </c>
      <c r="U1833" t="s">
        <v>9478</v>
      </c>
      <c r="V1833" t="s">
        <v>9478</v>
      </c>
      <c r="W1833">
        <v>2</v>
      </c>
      <c r="X1833" t="s">
        <v>11311</v>
      </c>
      <c r="Y1833">
        <v>0.59454085857271943</v>
      </c>
      <c r="Z1833" t="str">
        <f>HYPERLINK("Melting_Curves/meltCurve_sp_Q13610_PWP1_HUMAN_.pdf", "Melting_Curves/meltCurve_sp_Q13610_PWP1_HUMAN_.pdf")</f>
        <v>Melting_Curves/meltCurve_sp_Q13610_PWP1_HUMAN_.pdf</v>
      </c>
      <c r="AA1833" t="s">
        <v>16020</v>
      </c>
      <c r="AB1833" t="s">
        <v>20667</v>
      </c>
    </row>
    <row r="1834" spans="1:28" x14ac:dyDescent="0.25">
      <c r="A1834" t="s">
        <v>1838</v>
      </c>
      <c r="B1834">
        <v>0.99904790336628502</v>
      </c>
      <c r="C1834">
        <v>0.99672266449061897</v>
      </c>
      <c r="D1834">
        <v>1.0359145055505401</v>
      </c>
      <c r="E1834">
        <v>0.98754569943065196</v>
      </c>
      <c r="F1834">
        <v>0.87377437850157802</v>
      </c>
      <c r="G1834">
        <v>0.60691094526091205</v>
      </c>
      <c r="H1834">
        <v>0.41082912562124302</v>
      </c>
      <c r="I1834">
        <v>0.12991145174205701</v>
      </c>
      <c r="J1834">
        <v>5.3419905856981899E-2</v>
      </c>
      <c r="K1834">
        <v>4.5261588894907598E-2</v>
      </c>
      <c r="L1834">
        <v>1116.94976138473</v>
      </c>
      <c r="M1834">
        <v>19.011158894587201</v>
      </c>
      <c r="N1834">
        <v>58.752324619789803</v>
      </c>
      <c r="O1834">
        <v>58.113840180507196</v>
      </c>
      <c r="P1834">
        <v>-8.1787384597902704E-2</v>
      </c>
      <c r="Q1834">
        <v>0</v>
      </c>
      <c r="R1834">
        <v>0.99185520059671295</v>
      </c>
      <c r="S1834" t="s">
        <v>6574</v>
      </c>
      <c r="T1834" t="s">
        <v>9478</v>
      </c>
      <c r="U1834" t="s">
        <v>9478</v>
      </c>
      <c r="V1834" t="s">
        <v>9478</v>
      </c>
      <c r="W1834">
        <v>28</v>
      </c>
      <c r="X1834" t="s">
        <v>11312</v>
      </c>
      <c r="Y1834">
        <v>0.63584983520491312</v>
      </c>
      <c r="Z1834" t="str">
        <f>HYPERLINK("Melting_Curves/meltCurve_sp_Q13616_CUL1_HUMAN_.pdf", "Melting_Curves/meltCurve_sp_Q13616_CUL1_HUMAN_.pdf")</f>
        <v>Melting_Curves/meltCurve_sp_Q13616_CUL1_HUMAN_.pdf</v>
      </c>
      <c r="AA1834" t="s">
        <v>16021</v>
      </c>
      <c r="AB1834" t="s">
        <v>20668</v>
      </c>
    </row>
    <row r="1835" spans="1:28" x14ac:dyDescent="0.25">
      <c r="A1835" t="s">
        <v>1839</v>
      </c>
      <c r="B1835">
        <v>0.99904790336628502</v>
      </c>
      <c r="C1835">
        <v>0.76724526318465602</v>
      </c>
      <c r="D1835">
        <v>0.90847507793064697</v>
      </c>
      <c r="E1835">
        <v>0.92402941786085002</v>
      </c>
      <c r="F1835">
        <v>0.7182341293458</v>
      </c>
      <c r="G1835">
        <v>0.23188551997089701</v>
      </c>
      <c r="H1835">
        <v>6.0237404989609701E-2</v>
      </c>
      <c r="I1835">
        <v>4.1023901708181203E-2</v>
      </c>
      <c r="J1835">
        <v>2.8578557855980499E-2</v>
      </c>
      <c r="K1835">
        <v>4.1425388529570797E-2</v>
      </c>
      <c r="L1835">
        <v>1599.09572631469</v>
      </c>
      <c r="M1835">
        <v>29.3366244321636</v>
      </c>
      <c r="N1835">
        <v>54.613690570037399</v>
      </c>
      <c r="O1835">
        <v>54.257118084193003</v>
      </c>
      <c r="P1835">
        <v>-0.131462351036434</v>
      </c>
      <c r="Q1835">
        <v>2.7465850067670199E-2</v>
      </c>
      <c r="R1835">
        <v>0.96149569500094201</v>
      </c>
      <c r="S1835" t="s">
        <v>6575</v>
      </c>
      <c r="T1835" t="s">
        <v>9478</v>
      </c>
      <c r="U1835" t="s">
        <v>9478</v>
      </c>
      <c r="V1835" t="s">
        <v>9478</v>
      </c>
      <c r="W1835">
        <v>26</v>
      </c>
      <c r="X1835" t="s">
        <v>11313</v>
      </c>
      <c r="Y1835">
        <v>0.50450238885253129</v>
      </c>
      <c r="Z1835" t="str">
        <f>HYPERLINK("Melting_Curves/meltCurve_sp_Q13617_CUL2_HUMAN_.pdf", "Melting_Curves/meltCurve_sp_Q13617_CUL2_HUMAN_.pdf")</f>
        <v>Melting_Curves/meltCurve_sp_Q13617_CUL2_HUMAN_.pdf</v>
      </c>
      <c r="AA1835" t="s">
        <v>16022</v>
      </c>
      <c r="AB1835" t="s">
        <v>20669</v>
      </c>
    </row>
    <row r="1836" spans="1:28" x14ac:dyDescent="0.25">
      <c r="A1836" t="s">
        <v>1840</v>
      </c>
      <c r="B1836">
        <v>0.99904790336628502</v>
      </c>
      <c r="C1836">
        <v>1.0145587574739301</v>
      </c>
      <c r="D1836">
        <v>1.1336397452781299</v>
      </c>
      <c r="E1836">
        <v>1.0781823448069301</v>
      </c>
      <c r="F1836">
        <v>0.99668656635194997</v>
      </c>
      <c r="G1836">
        <v>0.56377667095200101</v>
      </c>
      <c r="H1836">
        <v>9.1432735053890796E-2</v>
      </c>
      <c r="I1836">
        <v>6.9033963998021697E-2</v>
      </c>
      <c r="J1836">
        <v>4.7623514102496503E-2</v>
      </c>
      <c r="K1836">
        <v>4.5967339113666003E-2</v>
      </c>
      <c r="L1836">
        <v>3085.2615666226002</v>
      </c>
      <c r="M1836">
        <v>53.966399942161097</v>
      </c>
      <c r="N1836">
        <v>57.2931997269039</v>
      </c>
      <c r="O1836">
        <v>57.0917055431009</v>
      </c>
      <c r="P1836">
        <v>-0.22337325249274301</v>
      </c>
      <c r="Q1836">
        <v>5.4763566925153197E-2</v>
      </c>
      <c r="R1836">
        <v>0.98856576267586205</v>
      </c>
      <c r="S1836" t="s">
        <v>6576</v>
      </c>
      <c r="T1836" t="s">
        <v>9478</v>
      </c>
      <c r="U1836" t="s">
        <v>9478</v>
      </c>
      <c r="V1836" t="s">
        <v>9478</v>
      </c>
      <c r="W1836">
        <v>36</v>
      </c>
      <c r="X1836" t="s">
        <v>11314</v>
      </c>
      <c r="Y1836">
        <v>0.5977972263276482</v>
      </c>
      <c r="Z1836" t="str">
        <f>HYPERLINK("Melting_Curves/meltCurve_sp_Q13618_CUL3_HUMAN_.pdf", "Melting_Curves/meltCurve_sp_Q13618_CUL3_HUMAN_.pdf")</f>
        <v>Melting_Curves/meltCurve_sp_Q13618_CUL3_HUMAN_.pdf</v>
      </c>
      <c r="AA1836" t="s">
        <v>16023</v>
      </c>
      <c r="AB1836" t="s">
        <v>20670</v>
      </c>
    </row>
    <row r="1837" spans="1:28" x14ac:dyDescent="0.25">
      <c r="A1837" t="s">
        <v>1841</v>
      </c>
      <c r="B1837">
        <v>0.99904790336628502</v>
      </c>
      <c r="C1837">
        <v>1.01913849276221</v>
      </c>
      <c r="D1837">
        <v>1.1015886125662</v>
      </c>
      <c r="E1837">
        <v>0.79520913576785701</v>
      </c>
      <c r="F1837">
        <v>0.62406283049289601</v>
      </c>
      <c r="G1837">
        <v>0.24013781045434501</v>
      </c>
      <c r="H1837">
        <v>9.7685582493695203E-2</v>
      </c>
      <c r="I1837">
        <v>6.8076500637411497E-2</v>
      </c>
      <c r="J1837">
        <v>4.7227177834784501E-2</v>
      </c>
      <c r="K1837">
        <v>4.3585721476142099E-2</v>
      </c>
      <c r="L1837">
        <v>1228.0711728849301</v>
      </c>
      <c r="M1837">
        <v>22.837454969758099</v>
      </c>
      <c r="N1837">
        <v>53.966500392956803</v>
      </c>
      <c r="O1837">
        <v>53.367214081105899</v>
      </c>
      <c r="P1837">
        <v>-0.102809058304227</v>
      </c>
      <c r="Q1837">
        <v>3.9030109807169901E-2</v>
      </c>
      <c r="R1837">
        <v>0.98926832718815605</v>
      </c>
      <c r="S1837" t="s">
        <v>6577</v>
      </c>
      <c r="T1837" t="s">
        <v>9478</v>
      </c>
      <c r="U1837" t="s">
        <v>9478</v>
      </c>
      <c r="V1837" t="s">
        <v>9478</v>
      </c>
      <c r="W1837">
        <v>22</v>
      </c>
      <c r="X1837" t="s">
        <v>11315</v>
      </c>
      <c r="Y1837">
        <v>0.4907149438211757</v>
      </c>
      <c r="Z1837" t="str">
        <f>HYPERLINK("Melting_Curves/meltCurve_sp_Q13619_CUL4A_HUMAN_.pdf", "Melting_Curves/meltCurve_sp_Q13619_CUL4A_HUMAN_.pdf")</f>
        <v>Melting_Curves/meltCurve_sp_Q13619_CUL4A_HUMAN_.pdf</v>
      </c>
      <c r="AA1837" t="s">
        <v>16024</v>
      </c>
      <c r="AB1837" t="s">
        <v>20671</v>
      </c>
    </row>
    <row r="1838" spans="1:28" x14ac:dyDescent="0.25">
      <c r="A1838" t="s">
        <v>1842</v>
      </c>
      <c r="B1838">
        <v>0.99904790336628502</v>
      </c>
      <c r="C1838">
        <v>1.0138382872182801</v>
      </c>
      <c r="D1838">
        <v>1.0538446993789301</v>
      </c>
      <c r="E1838">
        <v>1.0099909617841001</v>
      </c>
      <c r="F1838">
        <v>0.86823854885529606</v>
      </c>
      <c r="G1838">
        <v>0.47467569096413997</v>
      </c>
      <c r="H1838">
        <v>0.13477934676554601</v>
      </c>
      <c r="I1838">
        <v>9.4634235633692207E-2</v>
      </c>
      <c r="J1838">
        <v>9.3074475875070006E-2</v>
      </c>
      <c r="K1838">
        <v>8.6177302873238701E-2</v>
      </c>
      <c r="L1838">
        <v>1773.3183405954601</v>
      </c>
      <c r="M1838">
        <v>31.452431912886599</v>
      </c>
      <c r="N1838">
        <v>56.683258859454597</v>
      </c>
      <c r="O1838">
        <v>56.154512413723403</v>
      </c>
      <c r="P1838">
        <v>-0.12921516302331301</v>
      </c>
      <c r="Q1838">
        <v>7.7212812231974001E-2</v>
      </c>
      <c r="R1838">
        <v>0.99711247764739397</v>
      </c>
      <c r="S1838" t="s">
        <v>6578</v>
      </c>
      <c r="T1838" t="s">
        <v>9478</v>
      </c>
      <c r="U1838" t="s">
        <v>9478</v>
      </c>
      <c r="V1838" t="s">
        <v>9478</v>
      </c>
      <c r="W1838">
        <v>28</v>
      </c>
      <c r="X1838" t="s">
        <v>11316</v>
      </c>
      <c r="Y1838">
        <v>0.58673131458992267</v>
      </c>
      <c r="Z1838" t="str">
        <f>HYPERLINK("Melting_Curves/meltCurve_sp_Q13620_1_CUL4B_HUMAN_.pdf", "Melting_Curves/meltCurve_sp_Q13620_1_CUL4B_HUMAN_.pdf")</f>
        <v>Melting_Curves/meltCurve_sp_Q13620_1_CUL4B_HUMAN_.pdf</v>
      </c>
      <c r="AA1838" t="s">
        <v>16025</v>
      </c>
      <c r="AB1838" t="s">
        <v>20672</v>
      </c>
    </row>
    <row r="1839" spans="1:28" x14ac:dyDescent="0.25">
      <c r="A1839" t="s">
        <v>1843</v>
      </c>
      <c r="B1839">
        <v>0.99904790336628502</v>
      </c>
      <c r="C1839">
        <v>0.84300157047908997</v>
      </c>
      <c r="D1839">
        <v>0.85849174138817796</v>
      </c>
      <c r="E1839">
        <v>0.75463267613009499</v>
      </c>
      <c r="F1839">
        <v>0.77266798424485705</v>
      </c>
      <c r="G1839">
        <v>0.45058517899637701</v>
      </c>
      <c r="H1839">
        <v>0.281974182454789</v>
      </c>
      <c r="I1839">
        <v>0.238046036506745</v>
      </c>
      <c r="J1839">
        <v>0.266128707240471</v>
      </c>
      <c r="K1839">
        <v>0.199707201072992</v>
      </c>
      <c r="L1839">
        <v>521.206365264228</v>
      </c>
      <c r="M1839">
        <v>9.3283094321635893</v>
      </c>
      <c r="N1839">
        <v>56.566355973199698</v>
      </c>
      <c r="O1839">
        <v>53.486123062357798</v>
      </c>
      <c r="P1839">
        <v>-4.1274174240622998E-2</v>
      </c>
      <c r="Q1839">
        <v>5.3977814550749799E-2</v>
      </c>
      <c r="R1839">
        <v>0.95494220450020695</v>
      </c>
      <c r="S1839" t="s">
        <v>6579</v>
      </c>
      <c r="T1839" t="s">
        <v>9478</v>
      </c>
      <c r="U1839" t="s">
        <v>9478</v>
      </c>
      <c r="V1839" t="s">
        <v>9478</v>
      </c>
      <c r="W1839">
        <v>2</v>
      </c>
      <c r="X1839" t="s">
        <v>11317</v>
      </c>
      <c r="Y1839">
        <v>0.57504996891840521</v>
      </c>
      <c r="Z1839" t="str">
        <f>HYPERLINK("Melting_Curves/meltCurve_sp_Q13625_ASPP2_HUMAN_.pdf", "Melting_Curves/meltCurve_sp_Q13625_ASPP2_HUMAN_.pdf")</f>
        <v>Melting_Curves/meltCurve_sp_Q13625_ASPP2_HUMAN_.pdf</v>
      </c>
      <c r="AA1839" t="s">
        <v>16026</v>
      </c>
      <c r="AB1839" t="s">
        <v>20673</v>
      </c>
    </row>
    <row r="1840" spans="1:28" x14ac:dyDescent="0.25">
      <c r="A1840" t="s">
        <v>1844</v>
      </c>
      <c r="B1840">
        <v>0.99904790336628502</v>
      </c>
      <c r="C1840">
        <v>0.95966051370104799</v>
      </c>
      <c r="D1840">
        <v>0.85514058404075899</v>
      </c>
      <c r="E1840">
        <v>0.635894916997642</v>
      </c>
      <c r="F1840">
        <v>0.60826646241965199</v>
      </c>
      <c r="G1840">
        <v>0.28997314693096798</v>
      </c>
      <c r="H1840">
        <v>0.24256483169384499</v>
      </c>
      <c r="I1840">
        <v>0.17400306474289001</v>
      </c>
      <c r="J1840">
        <v>0.13826263490952101</v>
      </c>
      <c r="K1840">
        <v>0.116801531776898</v>
      </c>
      <c r="L1840">
        <v>624.92559515581604</v>
      </c>
      <c r="M1840">
        <v>11.8180662715869</v>
      </c>
      <c r="N1840">
        <v>53.528824836336703</v>
      </c>
      <c r="O1840">
        <v>51.432940203298998</v>
      </c>
      <c r="P1840">
        <v>-5.3618124607684003E-2</v>
      </c>
      <c r="Q1840">
        <v>6.6841361106857899E-2</v>
      </c>
      <c r="R1840">
        <v>0.98817354675688795</v>
      </c>
      <c r="S1840" t="s">
        <v>6580</v>
      </c>
      <c r="T1840" t="s">
        <v>9478</v>
      </c>
      <c r="U1840" t="s">
        <v>9478</v>
      </c>
      <c r="V1840" t="s">
        <v>9478</v>
      </c>
      <c r="W1840">
        <v>2</v>
      </c>
      <c r="X1840" t="s">
        <v>11318</v>
      </c>
      <c r="Y1840">
        <v>0.49472605807266729</v>
      </c>
      <c r="Z1840" t="str">
        <f>HYPERLINK("Melting_Curves/meltCurve_sp_Q13627_3_DYR1A_HUMAN_.pdf", "Melting_Curves/meltCurve_sp_Q13627_3_DYR1A_HUMAN_.pdf")</f>
        <v>Melting_Curves/meltCurve_sp_Q13627_3_DYR1A_HUMAN_.pdf</v>
      </c>
      <c r="AA1840" t="s">
        <v>16027</v>
      </c>
      <c r="AB1840" t="s">
        <v>20674</v>
      </c>
    </row>
    <row r="1841" spans="1:28" x14ac:dyDescent="0.25">
      <c r="A1841" t="s">
        <v>1845</v>
      </c>
      <c r="B1841">
        <v>0.99904790336628502</v>
      </c>
      <c r="C1841">
        <v>0.96052534759969199</v>
      </c>
      <c r="D1841">
        <v>0.95935349251616098</v>
      </c>
      <c r="E1841">
        <v>0.85455875927751002</v>
      </c>
      <c r="F1841">
        <v>0.62565900014399101</v>
      </c>
      <c r="G1841">
        <v>0.24792008042921501</v>
      </c>
      <c r="H1841">
        <v>0.101156415283765</v>
      </c>
      <c r="I1841">
        <v>6.3072426400684903E-2</v>
      </c>
      <c r="J1841">
        <v>4.9600995066490502E-2</v>
      </c>
      <c r="K1841">
        <v>4.43978344503764E-2</v>
      </c>
      <c r="L1841">
        <v>1211.0833123586799</v>
      </c>
      <c r="M1841">
        <v>22.450466072424501</v>
      </c>
      <c r="N1841">
        <v>54.122440592937203</v>
      </c>
      <c r="O1841">
        <v>53.5221471118411</v>
      </c>
      <c r="P1841">
        <v>-0.10114037939935</v>
      </c>
      <c r="Q1841">
        <v>3.5540909591599598E-2</v>
      </c>
      <c r="R1841">
        <v>0.99872442231851499</v>
      </c>
      <c r="S1841" t="s">
        <v>6581</v>
      </c>
      <c r="T1841" t="s">
        <v>9478</v>
      </c>
      <c r="U1841" t="s">
        <v>9478</v>
      </c>
      <c r="V1841" t="s">
        <v>9478</v>
      </c>
      <c r="W1841">
        <v>16</v>
      </c>
      <c r="X1841" t="s">
        <v>11319</v>
      </c>
      <c r="Y1841">
        <v>0.49465137432005241</v>
      </c>
      <c r="Z1841" t="str">
        <f>HYPERLINK("Melting_Curves/meltCurve_sp_Q13630_FCL_HUMAN_.pdf", "Melting_Curves/meltCurve_sp_Q13630_FCL_HUMAN_.pdf")</f>
        <v>Melting_Curves/meltCurve_sp_Q13630_FCL_HUMAN_.pdf</v>
      </c>
      <c r="AA1841" t="s">
        <v>16028</v>
      </c>
      <c r="AB1841" t="s">
        <v>20675</v>
      </c>
    </row>
    <row r="1842" spans="1:28" x14ac:dyDescent="0.25">
      <c r="A1842" t="s">
        <v>1846</v>
      </c>
      <c r="B1842">
        <v>0.99904790336628502</v>
      </c>
      <c r="C1842">
        <v>1.0052490470239599</v>
      </c>
      <c r="D1842">
        <v>1.00388467504043</v>
      </c>
      <c r="E1842">
        <v>0.94857515736295495</v>
      </c>
      <c r="F1842">
        <v>0.85706835358306299</v>
      </c>
      <c r="G1842">
        <v>0.70736967152110797</v>
      </c>
      <c r="H1842">
        <v>0.60977032553705701</v>
      </c>
      <c r="I1842">
        <v>0.59517392532584201</v>
      </c>
      <c r="J1842">
        <v>0.61611443531605803</v>
      </c>
      <c r="K1842">
        <v>0.62539521679604904</v>
      </c>
      <c r="L1842">
        <v>1342.05726481281</v>
      </c>
      <c r="M1842">
        <v>24.749099148446302</v>
      </c>
      <c r="O1842">
        <v>53.876194436311202</v>
      </c>
      <c r="P1842">
        <v>-4.5414195745931397E-2</v>
      </c>
      <c r="Q1842">
        <v>0.60455776163604602</v>
      </c>
      <c r="R1842">
        <v>0.99525274802207597</v>
      </c>
      <c r="S1842" t="s">
        <v>6582</v>
      </c>
      <c r="T1842" t="s">
        <v>9478</v>
      </c>
      <c r="U1842" t="s">
        <v>9478</v>
      </c>
      <c r="V1842" t="s">
        <v>9478</v>
      </c>
      <c r="W1842">
        <v>13</v>
      </c>
      <c r="X1842" t="s">
        <v>11320</v>
      </c>
      <c r="Y1842">
        <v>0.79581145214338378</v>
      </c>
      <c r="Z1842" t="str">
        <f>HYPERLINK("Melting_Curves/meltCurve_sp_Q13642_1_FHL1_HUMAN_.pdf", "Melting_Curves/meltCurve_sp_Q13642_1_FHL1_HUMAN_.pdf")</f>
        <v>Melting_Curves/meltCurve_sp_Q13642_1_FHL1_HUMAN_.pdf</v>
      </c>
      <c r="AA1842" t="s">
        <v>16029</v>
      </c>
      <c r="AB1842" t="s">
        <v>20676</v>
      </c>
    </row>
    <row r="1843" spans="1:28" x14ac:dyDescent="0.25">
      <c r="A1843" t="s">
        <v>1847</v>
      </c>
      <c r="B1843">
        <v>0.99904790336628502</v>
      </c>
      <c r="C1843">
        <v>0.94453174516025695</v>
      </c>
      <c r="D1843">
        <v>0.84665793227993502</v>
      </c>
      <c r="E1843">
        <v>0.96596592500781897</v>
      </c>
      <c r="F1843">
        <v>0.19395558119841499</v>
      </c>
      <c r="G1843">
        <v>0.66254323672586701</v>
      </c>
      <c r="H1843">
        <v>0.41496595441322198</v>
      </c>
      <c r="I1843">
        <v>0.56470703572488601</v>
      </c>
      <c r="J1843">
        <v>0.47471066172813398</v>
      </c>
      <c r="K1843">
        <v>0.48538122875328299</v>
      </c>
      <c r="L1843">
        <v>12634.293768879401</v>
      </c>
      <c r="M1843">
        <v>250</v>
      </c>
      <c r="N1843">
        <v>51.086775053674003</v>
      </c>
      <c r="O1843">
        <v>50.533941044930799</v>
      </c>
      <c r="P1843">
        <v>-0.66039282405031396</v>
      </c>
      <c r="Q1843">
        <v>0.46604396817472399</v>
      </c>
      <c r="R1843">
        <v>0.77486713269455798</v>
      </c>
      <c r="S1843" t="s">
        <v>6583</v>
      </c>
      <c r="T1843" t="s">
        <v>9478</v>
      </c>
      <c r="U1843" t="s">
        <v>9478</v>
      </c>
      <c r="V1843" t="s">
        <v>9478</v>
      </c>
      <c r="W1843">
        <v>3</v>
      </c>
      <c r="X1843" t="s">
        <v>11321</v>
      </c>
      <c r="Y1843">
        <v>0.65363759877851069</v>
      </c>
      <c r="Z1843" t="str">
        <f>HYPERLINK("Melting_Curves/meltCurve_sp_Q13643_FHL3_HUMAN_.pdf", "Melting_Curves/meltCurve_sp_Q13643_FHL3_HUMAN_.pdf")</f>
        <v>Melting_Curves/meltCurve_sp_Q13643_FHL3_HUMAN_.pdf</v>
      </c>
      <c r="AA1843" t="s">
        <v>16030</v>
      </c>
      <c r="AB1843" t="s">
        <v>20677</v>
      </c>
    </row>
    <row r="1844" spans="1:28" x14ac:dyDescent="0.25">
      <c r="A1844" t="s">
        <v>1848</v>
      </c>
      <c r="B1844">
        <v>0.99904790336628502</v>
      </c>
      <c r="C1844">
        <v>1.0287717836211701</v>
      </c>
      <c r="D1844">
        <v>0.86657217086199401</v>
      </c>
      <c r="E1844">
        <v>0.43411187830304698</v>
      </c>
      <c r="F1844">
        <v>0.308211891043492</v>
      </c>
      <c r="G1844">
        <v>0.14557353130304199</v>
      </c>
      <c r="H1844">
        <v>0.117202644816014</v>
      </c>
      <c r="I1844">
        <v>2.0486980471990199E-2</v>
      </c>
      <c r="J1844">
        <v>1.9687886198210599E-2</v>
      </c>
      <c r="K1844">
        <v>3.6883196642526199E-2</v>
      </c>
      <c r="L1844">
        <v>986.10105969449705</v>
      </c>
      <c r="M1844">
        <v>19.819490541408701</v>
      </c>
      <c r="N1844">
        <v>49.995467424284598</v>
      </c>
      <c r="O1844">
        <v>49.255891080142099</v>
      </c>
      <c r="P1844">
        <v>-9.6008303287479196E-2</v>
      </c>
      <c r="Q1844">
        <v>4.5623205920081601E-2</v>
      </c>
      <c r="R1844">
        <v>0.98902208356035204</v>
      </c>
      <c r="S1844" t="s">
        <v>6584</v>
      </c>
      <c r="T1844" t="s">
        <v>9478</v>
      </c>
      <c r="U1844" t="s">
        <v>9478</v>
      </c>
      <c r="V1844" t="s">
        <v>9478</v>
      </c>
      <c r="W1844">
        <v>1</v>
      </c>
      <c r="X1844" t="s">
        <v>11322</v>
      </c>
      <c r="Y1844">
        <v>0.36946602460665912</v>
      </c>
      <c r="Z1844" t="str">
        <f>HYPERLINK("Melting_Curves/meltCurve_sp_Q13686_ALKB1_HUMAN_.pdf", "Melting_Curves/meltCurve_sp_Q13686_ALKB1_HUMAN_.pdf")</f>
        <v>Melting_Curves/meltCurve_sp_Q13686_ALKB1_HUMAN_.pdf</v>
      </c>
      <c r="AA1844" t="s">
        <v>16031</v>
      </c>
      <c r="AB1844" t="s">
        <v>20678</v>
      </c>
    </row>
    <row r="1845" spans="1:28" x14ac:dyDescent="0.25">
      <c r="A1845" t="s">
        <v>1849</v>
      </c>
      <c r="B1845">
        <v>0.99904790336628502</v>
      </c>
      <c r="C1845">
        <v>0.98986837429414998</v>
      </c>
      <c r="D1845">
        <v>0.97892865363625303</v>
      </c>
      <c r="E1845">
        <v>0.93598802216134502</v>
      </c>
      <c r="F1845">
        <v>0.85648404308607395</v>
      </c>
      <c r="G1845">
        <v>0.60935663943649698</v>
      </c>
      <c r="H1845">
        <v>0.49644880805296099</v>
      </c>
      <c r="I1845">
        <v>0.47385957509851401</v>
      </c>
      <c r="J1845">
        <v>0.47718077461647601</v>
      </c>
      <c r="K1845">
        <v>0.44036723757352297</v>
      </c>
      <c r="L1845">
        <v>1308.73042789335</v>
      </c>
      <c r="M1845">
        <v>23.799040734057701</v>
      </c>
      <c r="N1845">
        <v>60.993623187213402</v>
      </c>
      <c r="O1845">
        <v>54.607051525299397</v>
      </c>
      <c r="P1845">
        <v>-5.9715131791948803E-2</v>
      </c>
      <c r="Q1845">
        <v>0.45194204170684699</v>
      </c>
      <c r="R1845">
        <v>0.99722109440186302</v>
      </c>
      <c r="S1845" t="s">
        <v>6585</v>
      </c>
      <c r="T1845" t="s">
        <v>9478</v>
      </c>
      <c r="U1845" t="s">
        <v>9478</v>
      </c>
      <c r="V1845" t="s">
        <v>9478</v>
      </c>
      <c r="W1845">
        <v>9</v>
      </c>
      <c r="X1845" t="s">
        <v>11323</v>
      </c>
      <c r="Y1845">
        <v>0.731325508073015</v>
      </c>
      <c r="Z1845" t="str">
        <f>HYPERLINK("Melting_Curves/meltCurve_sp_Q13796_SHRM2_HUMAN_.pdf", "Melting_Curves/meltCurve_sp_Q13796_SHRM2_HUMAN_.pdf")</f>
        <v>Melting_Curves/meltCurve_sp_Q13796_SHRM2_HUMAN_.pdf</v>
      </c>
      <c r="AA1845" t="s">
        <v>16032</v>
      </c>
      <c r="AB1845" t="s">
        <v>20679</v>
      </c>
    </row>
    <row r="1846" spans="1:28" x14ac:dyDescent="0.25">
      <c r="A1846" t="s">
        <v>1850</v>
      </c>
      <c r="B1846">
        <v>0.99904790336628502</v>
      </c>
      <c r="C1846">
        <v>1.0562462772807399</v>
      </c>
      <c r="D1846">
        <v>1.2995418904301499</v>
      </c>
      <c r="E1846">
        <v>1.1327407847717601</v>
      </c>
      <c r="F1846">
        <v>0.93376888337179198</v>
      </c>
      <c r="G1846">
        <v>0.78441850565221305</v>
      </c>
      <c r="H1846">
        <v>0.244126961400007</v>
      </c>
      <c r="I1846">
        <v>8.4226253130523301E-2</v>
      </c>
      <c r="J1846">
        <v>5.67649069888915E-2</v>
      </c>
      <c r="K1846">
        <v>5.0607856978891898E-2</v>
      </c>
      <c r="L1846">
        <v>2195.1279322657801</v>
      </c>
      <c r="M1846">
        <v>37.311777508665003</v>
      </c>
      <c r="N1846">
        <v>58.980444827032898</v>
      </c>
      <c r="O1846">
        <v>58.6638257191101</v>
      </c>
      <c r="P1846">
        <v>-0.15188290974215901</v>
      </c>
      <c r="Q1846">
        <v>4.4805059585761198E-2</v>
      </c>
      <c r="R1846">
        <v>0.94919148758616601</v>
      </c>
      <c r="S1846" t="s">
        <v>6586</v>
      </c>
      <c r="T1846" t="s">
        <v>9478</v>
      </c>
      <c r="U1846" t="s">
        <v>9478</v>
      </c>
      <c r="V1846" t="s">
        <v>9478</v>
      </c>
      <c r="W1846">
        <v>159</v>
      </c>
      <c r="X1846" t="s">
        <v>11324</v>
      </c>
      <c r="Y1846">
        <v>0.64868804670351432</v>
      </c>
      <c r="Z1846" t="str">
        <f>HYPERLINK("Melting_Curves/meltCurve_sp_Q13813_2_SPTN1_HUMAN_.pdf", "Melting_Curves/meltCurve_sp_Q13813_2_SPTN1_HUMAN_.pdf")</f>
        <v>Melting_Curves/meltCurve_sp_Q13813_2_SPTN1_HUMAN_.pdf</v>
      </c>
      <c r="AA1846" t="s">
        <v>16033</v>
      </c>
      <c r="AB1846" t="s">
        <v>20680</v>
      </c>
    </row>
    <row r="1847" spans="1:28" x14ac:dyDescent="0.25">
      <c r="A1847" t="s">
        <v>1851</v>
      </c>
      <c r="B1847">
        <v>0.99904790336628502</v>
      </c>
      <c r="C1847">
        <v>1.1300638516133199</v>
      </c>
      <c r="D1847">
        <v>1.18821612823512</v>
      </c>
      <c r="E1847">
        <v>1.1036822473128001</v>
      </c>
      <c r="F1847">
        <v>0.91775474851464001</v>
      </c>
      <c r="G1847">
        <v>0.75392120755511804</v>
      </c>
      <c r="H1847">
        <v>0.31726982962998002</v>
      </c>
      <c r="I1847">
        <v>0.18355994290157801</v>
      </c>
      <c r="J1847">
        <v>0.14487520994434</v>
      </c>
      <c r="K1847">
        <v>0.128190502059985</v>
      </c>
      <c r="L1847">
        <v>1831.0263380455999</v>
      </c>
      <c r="M1847">
        <v>31.241284337400401</v>
      </c>
      <c r="N1847">
        <v>59.149503294293197</v>
      </c>
      <c r="O1847">
        <v>58.3706205654508</v>
      </c>
      <c r="P1847">
        <v>-0.117196253198784</v>
      </c>
      <c r="Q1847">
        <v>0.124135881244773</v>
      </c>
      <c r="R1847">
        <v>0.96231808566093302</v>
      </c>
      <c r="S1847" t="s">
        <v>6587</v>
      </c>
      <c r="T1847" t="s">
        <v>9478</v>
      </c>
      <c r="U1847" t="s">
        <v>9478</v>
      </c>
      <c r="V1847" t="s">
        <v>9478</v>
      </c>
      <c r="W1847">
        <v>159</v>
      </c>
      <c r="X1847" t="s">
        <v>11325</v>
      </c>
      <c r="Y1847">
        <v>0.67276739154237508</v>
      </c>
      <c r="Z1847" t="str">
        <f>HYPERLINK("Melting_Curves/meltCurve_sp_Q13813_SPTN1_HUMAN_.pdf", "Melting_Curves/meltCurve_sp_Q13813_SPTN1_HUMAN_.pdf")</f>
        <v>Melting_Curves/meltCurve_sp_Q13813_SPTN1_HUMAN_.pdf</v>
      </c>
      <c r="AA1847" t="s">
        <v>16033</v>
      </c>
      <c r="AB1847" t="s">
        <v>20681</v>
      </c>
    </row>
    <row r="1848" spans="1:28" x14ac:dyDescent="0.25">
      <c r="A1848" t="s">
        <v>1852</v>
      </c>
      <c r="B1848">
        <v>0.99904790336628502</v>
      </c>
      <c r="C1848">
        <v>0.95678146530170205</v>
      </c>
      <c r="D1848">
        <v>0.98013078924319097</v>
      </c>
      <c r="E1848">
        <v>0.84382118396881001</v>
      </c>
      <c r="F1848">
        <v>0.759135054126716</v>
      </c>
      <c r="G1848">
        <v>0.60577864551461602</v>
      </c>
      <c r="H1848">
        <v>0.32368305494659599</v>
      </c>
      <c r="I1848">
        <v>8.5728733168418905E-2</v>
      </c>
      <c r="J1848">
        <v>3.2410462967244598E-2</v>
      </c>
      <c r="K1848">
        <v>3.4435705742584997E-2</v>
      </c>
      <c r="L1848">
        <v>937.38210105968199</v>
      </c>
      <c r="M1848">
        <v>16.314862011767801</v>
      </c>
      <c r="N1848">
        <v>57.455717668322201</v>
      </c>
      <c r="O1848">
        <v>56.6133102042254</v>
      </c>
      <c r="P1848">
        <v>-7.2050404669675994E-2</v>
      </c>
      <c r="Q1848">
        <v>0</v>
      </c>
      <c r="R1848">
        <v>0.98324279577477403</v>
      </c>
      <c r="S1848" t="s">
        <v>6588</v>
      </c>
      <c r="T1848" t="s">
        <v>9478</v>
      </c>
      <c r="U1848" t="s">
        <v>9478</v>
      </c>
      <c r="V1848" t="s">
        <v>9478</v>
      </c>
      <c r="W1848">
        <v>17</v>
      </c>
      <c r="X1848" t="s">
        <v>11326</v>
      </c>
      <c r="Y1848">
        <v>0.59601668939446761</v>
      </c>
      <c r="Z1848" t="str">
        <f>HYPERLINK("Melting_Curves/meltCurve_sp_Q13825_AUHM_HUMAN_.pdf", "Melting_Curves/meltCurve_sp_Q13825_AUHM_HUMAN_.pdf")</f>
        <v>Melting_Curves/meltCurve_sp_Q13825_AUHM_HUMAN_.pdf</v>
      </c>
      <c r="AA1848" t="s">
        <v>16034</v>
      </c>
      <c r="AB1848" t="s">
        <v>20682</v>
      </c>
    </row>
    <row r="1849" spans="1:28" x14ac:dyDescent="0.25">
      <c r="A1849" t="s">
        <v>1853</v>
      </c>
      <c r="B1849">
        <v>0.99904790336628502</v>
      </c>
      <c r="C1849">
        <v>0.98647171856045301</v>
      </c>
      <c r="D1849">
        <v>0.99198430539994797</v>
      </c>
      <c r="E1849">
        <v>0.91482304430081496</v>
      </c>
      <c r="F1849">
        <v>0.77774309384952001</v>
      </c>
      <c r="G1849">
        <v>0.23607281489546</v>
      </c>
      <c r="H1849">
        <v>9.4194705335665693E-2</v>
      </c>
      <c r="I1849">
        <v>6.2867378535128304E-2</v>
      </c>
      <c r="J1849">
        <v>5.9769007270235097E-2</v>
      </c>
      <c r="K1849">
        <v>3.9382383951434403E-2</v>
      </c>
      <c r="L1849">
        <v>1810.6539299968799</v>
      </c>
      <c r="M1849">
        <v>33.093533270934103</v>
      </c>
      <c r="N1849">
        <v>54.894191014001002</v>
      </c>
      <c r="O1849">
        <v>54.514600203408797</v>
      </c>
      <c r="P1849">
        <v>-0.14392121100125699</v>
      </c>
      <c r="Q1849">
        <v>5.1685093100797698E-2</v>
      </c>
      <c r="R1849">
        <v>0.99821736205411904</v>
      </c>
      <c r="S1849" t="s">
        <v>6589</v>
      </c>
      <c r="T1849" t="s">
        <v>9478</v>
      </c>
      <c r="U1849" t="s">
        <v>9478</v>
      </c>
      <c r="V1849" t="s">
        <v>9478</v>
      </c>
      <c r="W1849">
        <v>18</v>
      </c>
      <c r="X1849" t="s">
        <v>11327</v>
      </c>
      <c r="Y1849">
        <v>0.52197285674087601</v>
      </c>
      <c r="Z1849" t="str">
        <f>HYPERLINK("Melting_Curves/meltCurve_sp_Q13838_DX39B_HUMAN_.pdf", "Melting_Curves/meltCurve_sp_Q13838_DX39B_HUMAN_.pdf")</f>
        <v>Melting_Curves/meltCurve_sp_Q13838_DX39B_HUMAN_.pdf</v>
      </c>
      <c r="AA1849" t="s">
        <v>16035</v>
      </c>
      <c r="AB1849" t="s">
        <v>20683</v>
      </c>
    </row>
    <row r="1850" spans="1:28" x14ac:dyDescent="0.25">
      <c r="A1850" t="s">
        <v>1854</v>
      </c>
      <c r="B1850">
        <v>0.99904790336628502</v>
      </c>
      <c r="C1850">
        <v>1.0921042664066001</v>
      </c>
      <c r="D1850">
        <v>1.1589162862295099</v>
      </c>
      <c r="E1850">
        <v>1.1790975258015901</v>
      </c>
      <c r="F1850">
        <v>1.0686924040152801</v>
      </c>
      <c r="G1850">
        <v>1.0007172533541999</v>
      </c>
      <c r="H1850">
        <v>0.71077444340121498</v>
      </c>
      <c r="I1850">
        <v>0.45274022788306501</v>
      </c>
      <c r="J1850">
        <v>0.118267812433795</v>
      </c>
      <c r="K1850">
        <v>7.0072730271789299E-2</v>
      </c>
      <c r="L1850">
        <v>1907.66833728765</v>
      </c>
      <c r="M1850">
        <v>30.173464269070099</v>
      </c>
      <c r="N1850">
        <v>63.2332169776342</v>
      </c>
      <c r="O1850">
        <v>62.947623717621298</v>
      </c>
      <c r="P1850">
        <v>-0.119556373700516</v>
      </c>
      <c r="Q1850">
        <v>2.3364054370089301E-3</v>
      </c>
      <c r="R1850">
        <v>0.95257487623982295</v>
      </c>
      <c r="S1850" t="s">
        <v>6590</v>
      </c>
      <c r="T1850" t="s">
        <v>9478</v>
      </c>
      <c r="U1850" t="s">
        <v>9478</v>
      </c>
      <c r="V1850" t="s">
        <v>9478</v>
      </c>
      <c r="W1850">
        <v>7</v>
      </c>
      <c r="X1850" t="s">
        <v>11328</v>
      </c>
      <c r="Y1850">
        <v>0.77749798666704961</v>
      </c>
      <c r="Z1850" t="str">
        <f>HYPERLINK("Melting_Curves/meltCurve_sp_Q13867_BLMH_HUMAN_.pdf", "Melting_Curves/meltCurve_sp_Q13867_BLMH_HUMAN_.pdf")</f>
        <v>Melting_Curves/meltCurve_sp_Q13867_BLMH_HUMAN_.pdf</v>
      </c>
      <c r="AA1850" t="s">
        <v>16036</v>
      </c>
      <c r="AB1850" t="s">
        <v>20684</v>
      </c>
    </row>
    <row r="1851" spans="1:28" x14ac:dyDescent="0.25">
      <c r="A1851" t="s">
        <v>1855</v>
      </c>
      <c r="B1851">
        <v>0.99904790336628502</v>
      </c>
      <c r="C1851">
        <v>1.05997910102042</v>
      </c>
      <c r="D1851">
        <v>1.0369067578671001</v>
      </c>
      <c r="E1851">
        <v>0.90933890467380696</v>
      </c>
      <c r="F1851">
        <v>0.80482494830043805</v>
      </c>
      <c r="G1851">
        <v>0.54458760148071395</v>
      </c>
      <c r="H1851">
        <v>0.25800351618593098</v>
      </c>
      <c r="I1851">
        <v>0.110773357899926</v>
      </c>
      <c r="J1851">
        <v>4.3420708400134497E-2</v>
      </c>
      <c r="K1851">
        <v>1.33710118451809E-2</v>
      </c>
      <c r="L1851">
        <v>1073.4883067359301</v>
      </c>
      <c r="M1851">
        <v>18.725359811581701</v>
      </c>
      <c r="N1851">
        <v>57.328048077491999</v>
      </c>
      <c r="O1851">
        <v>56.6862314807628</v>
      </c>
      <c r="P1851">
        <v>-8.2586855448571098E-2</v>
      </c>
      <c r="Q1851">
        <v>0</v>
      </c>
      <c r="R1851">
        <v>0.99494542294849797</v>
      </c>
      <c r="S1851" t="s">
        <v>6591</v>
      </c>
      <c r="T1851" t="s">
        <v>9478</v>
      </c>
      <c r="U1851" t="s">
        <v>9478</v>
      </c>
      <c r="V1851" t="s">
        <v>9478</v>
      </c>
      <c r="W1851">
        <v>5</v>
      </c>
      <c r="X1851" t="s">
        <v>11329</v>
      </c>
      <c r="Y1851">
        <v>0.59043555057825237</v>
      </c>
      <c r="Z1851" t="str">
        <f>HYPERLINK("Melting_Curves/meltCurve_sp_Q13868_EXOS2_HUMAN_.pdf", "Melting_Curves/meltCurve_sp_Q13868_EXOS2_HUMAN_.pdf")</f>
        <v>Melting_Curves/meltCurve_sp_Q13868_EXOS2_HUMAN_.pdf</v>
      </c>
      <c r="AA1851" t="s">
        <v>16037</v>
      </c>
      <c r="AB1851" t="s">
        <v>20685</v>
      </c>
    </row>
    <row r="1852" spans="1:28" x14ac:dyDescent="0.25">
      <c r="A1852" t="s">
        <v>1856</v>
      </c>
      <c r="B1852">
        <v>0.99904790336628502</v>
      </c>
      <c r="C1852">
        <v>0.98082499292168102</v>
      </c>
      <c r="D1852">
        <v>0.81033893137334101</v>
      </c>
      <c r="E1852">
        <v>0.48598834710345901</v>
      </c>
      <c r="F1852">
        <v>0.206977794786361</v>
      </c>
      <c r="G1852">
        <v>0.117488872405093</v>
      </c>
      <c r="H1852">
        <v>8.3324602359284197E-2</v>
      </c>
      <c r="I1852">
        <v>6.44876654821845E-2</v>
      </c>
      <c r="J1852">
        <v>5.8160292360001302E-2</v>
      </c>
      <c r="K1852">
        <v>5.1889319395731097E-2</v>
      </c>
      <c r="L1852">
        <v>1042.83069937454</v>
      </c>
      <c r="M1852">
        <v>21.139476414868401</v>
      </c>
      <c r="N1852">
        <v>49.612478932885601</v>
      </c>
      <c r="O1852">
        <v>48.895876285692502</v>
      </c>
      <c r="P1852">
        <v>-0.101978056970075</v>
      </c>
      <c r="Q1852">
        <v>5.6518523323000197E-2</v>
      </c>
      <c r="R1852">
        <v>0.998327305281695</v>
      </c>
      <c r="S1852" t="s">
        <v>6592</v>
      </c>
      <c r="T1852" t="s">
        <v>9478</v>
      </c>
      <c r="U1852" t="s">
        <v>9478</v>
      </c>
      <c r="V1852" t="s">
        <v>9478</v>
      </c>
      <c r="W1852">
        <v>18</v>
      </c>
      <c r="X1852" t="s">
        <v>11330</v>
      </c>
      <c r="Y1852">
        <v>0.3617608154328612</v>
      </c>
      <c r="Z1852" t="str">
        <f>HYPERLINK("Melting_Curves/meltCurve_sp_Q13884_SNTB1_HUMAN_.pdf", "Melting_Curves/meltCurve_sp_Q13884_SNTB1_HUMAN_.pdf")</f>
        <v>Melting_Curves/meltCurve_sp_Q13884_SNTB1_HUMAN_.pdf</v>
      </c>
      <c r="AA1852" t="s">
        <v>16038</v>
      </c>
      <c r="AB1852" t="s">
        <v>20686</v>
      </c>
    </row>
    <row r="1853" spans="1:28" x14ac:dyDescent="0.25">
      <c r="A1853" t="s">
        <v>1857</v>
      </c>
      <c r="B1853">
        <v>0.99904790336628502</v>
      </c>
      <c r="C1853">
        <v>0.66049978361484296</v>
      </c>
      <c r="D1853">
        <v>0.45318123635266</v>
      </c>
      <c r="E1853">
        <v>0.242432541927593</v>
      </c>
      <c r="F1853">
        <v>0.149846288722462</v>
      </c>
      <c r="G1853">
        <v>9.0262328882431603E-2</v>
      </c>
      <c r="H1853">
        <v>6.2003740107094897E-2</v>
      </c>
      <c r="I1853">
        <v>4.1625099667456401E-2</v>
      </c>
      <c r="J1853">
        <v>4.5740571754162303E-2</v>
      </c>
      <c r="K1853">
        <v>4.0193170204328298E-2</v>
      </c>
      <c r="L1853">
        <v>734.52125848192202</v>
      </c>
      <c r="M1853">
        <v>16.2338685306073</v>
      </c>
      <c r="N1853">
        <v>45.535215791088397</v>
      </c>
      <c r="O1853">
        <v>44.5763565655188</v>
      </c>
      <c r="P1853">
        <v>-8.6595061494307096E-2</v>
      </c>
      <c r="Q1853">
        <v>4.89497019761677E-2</v>
      </c>
      <c r="R1853">
        <v>0.98382742195999495</v>
      </c>
      <c r="S1853" t="s">
        <v>6593</v>
      </c>
      <c r="T1853" t="s">
        <v>9478</v>
      </c>
      <c r="U1853" t="s">
        <v>9478</v>
      </c>
      <c r="V1853" t="s">
        <v>9478</v>
      </c>
      <c r="W1853">
        <v>15</v>
      </c>
      <c r="X1853" t="s">
        <v>11331</v>
      </c>
      <c r="Y1853">
        <v>0.2403936868555856</v>
      </c>
      <c r="Z1853" t="str">
        <f>HYPERLINK("Melting_Curves/meltCurve_sp_Q13885_TBB2A_HUMAN_.pdf", "Melting_Curves/meltCurve_sp_Q13885_TBB2A_HUMAN_.pdf")</f>
        <v>Melting_Curves/meltCurve_sp_Q13885_TBB2A_HUMAN_.pdf</v>
      </c>
      <c r="AA1853" t="s">
        <v>16039</v>
      </c>
      <c r="AB1853" t="s">
        <v>20687</v>
      </c>
    </row>
    <row r="1854" spans="1:28" x14ac:dyDescent="0.25">
      <c r="A1854" t="s">
        <v>1858</v>
      </c>
      <c r="B1854">
        <v>0.99904790336628502</v>
      </c>
      <c r="C1854">
        <v>0.90279239237355602</v>
      </c>
      <c r="D1854">
        <v>0.88080842272178095</v>
      </c>
      <c r="E1854">
        <v>0.93782647844305</v>
      </c>
      <c r="F1854">
        <v>0.86878452878208601</v>
      </c>
      <c r="G1854">
        <v>0.67963066576965703</v>
      </c>
      <c r="H1854">
        <v>0.43669169326978102</v>
      </c>
      <c r="I1854">
        <v>0.33838261836343703</v>
      </c>
      <c r="J1854">
        <v>0.243961497147659</v>
      </c>
      <c r="K1854">
        <v>0.18358758263181099</v>
      </c>
      <c r="L1854">
        <v>732.67994483269001</v>
      </c>
      <c r="M1854">
        <v>12.224032241742201</v>
      </c>
      <c r="N1854">
        <v>60.284846345027098</v>
      </c>
      <c r="O1854">
        <v>58.401292869156002</v>
      </c>
      <c r="P1854">
        <v>-5.0560531813901598E-2</v>
      </c>
      <c r="Q1854">
        <v>3.3988807831191202E-2</v>
      </c>
      <c r="R1854">
        <v>0.97808773641621805</v>
      </c>
      <c r="S1854" t="s">
        <v>6594</v>
      </c>
      <c r="T1854" t="s">
        <v>9478</v>
      </c>
      <c r="U1854" t="s">
        <v>9478</v>
      </c>
      <c r="V1854" t="s">
        <v>9478</v>
      </c>
      <c r="W1854">
        <v>11</v>
      </c>
      <c r="X1854" t="s">
        <v>11332</v>
      </c>
      <c r="Y1854">
        <v>0.67911439673590479</v>
      </c>
      <c r="Z1854" t="str">
        <f>HYPERLINK("Melting_Curves/meltCurve_sp_Q13907_IDI1_HUMAN_.pdf", "Melting_Curves/meltCurve_sp_Q13907_IDI1_HUMAN_.pdf")</f>
        <v>Melting_Curves/meltCurve_sp_Q13907_IDI1_HUMAN_.pdf</v>
      </c>
      <c r="AA1854" t="s">
        <v>16040</v>
      </c>
      <c r="AB1854" t="s">
        <v>20688</v>
      </c>
    </row>
    <row r="1855" spans="1:28" x14ac:dyDescent="0.25">
      <c r="A1855" t="s">
        <v>1859</v>
      </c>
      <c r="B1855">
        <v>0.99904790336628502</v>
      </c>
      <c r="C1855">
        <v>0.86755571022141797</v>
      </c>
      <c r="D1855">
        <v>0.78368832536197996</v>
      </c>
      <c r="E1855">
        <v>0.74377147167958801</v>
      </c>
      <c r="F1855">
        <v>0.66121473066571501</v>
      </c>
      <c r="G1855">
        <v>0.51987509539461096</v>
      </c>
      <c r="H1855">
        <v>0.458734114347635</v>
      </c>
      <c r="I1855">
        <v>0.34200642381416202</v>
      </c>
      <c r="J1855">
        <v>0.37424053890996301</v>
      </c>
      <c r="K1855">
        <v>0.37297555555211598</v>
      </c>
      <c r="L1855">
        <v>411.91532916309802</v>
      </c>
      <c r="M1855">
        <v>7.7081300687958798</v>
      </c>
      <c r="N1855">
        <v>58.268023055139103</v>
      </c>
      <c r="O1855">
        <v>50.199220803583103</v>
      </c>
      <c r="P1855">
        <v>-2.93647788470793E-2</v>
      </c>
      <c r="Q1855">
        <v>0.236039649846112</v>
      </c>
      <c r="R1855">
        <v>0.97417238427963404</v>
      </c>
      <c r="S1855" t="s">
        <v>6595</v>
      </c>
      <c r="T1855" t="s">
        <v>9478</v>
      </c>
      <c r="U1855" t="s">
        <v>9478</v>
      </c>
      <c r="V1855" t="s">
        <v>9478</v>
      </c>
      <c r="W1855">
        <v>1</v>
      </c>
      <c r="X1855" t="s">
        <v>11333</v>
      </c>
      <c r="Y1855">
        <v>0.60778296651843899</v>
      </c>
      <c r="Z1855" t="str">
        <f>HYPERLINK("Melting_Curves/meltCurve_sp_Q13938_CAYP1_HUMAN_.pdf", "Melting_Curves/meltCurve_sp_Q13938_CAYP1_HUMAN_.pdf")</f>
        <v>Melting_Curves/meltCurve_sp_Q13938_CAYP1_HUMAN_.pdf</v>
      </c>
      <c r="AA1855" t="s">
        <v>16041</v>
      </c>
      <c r="AB1855" t="s">
        <v>20689</v>
      </c>
    </row>
    <row r="1856" spans="1:28" x14ac:dyDescent="0.25">
      <c r="A1856" t="s">
        <v>1860</v>
      </c>
      <c r="B1856">
        <v>0.99904790336628502</v>
      </c>
      <c r="C1856">
        <v>0.97950990597472498</v>
      </c>
      <c r="D1856">
        <v>0.929783461954514</v>
      </c>
      <c r="E1856">
        <v>0.91494686945675097</v>
      </c>
      <c r="F1856">
        <v>1.00263482690335</v>
      </c>
      <c r="G1856">
        <v>0.66489911308331695</v>
      </c>
      <c r="H1856">
        <v>0.28182983042531701</v>
      </c>
      <c r="I1856">
        <v>0.17484311121359999</v>
      </c>
      <c r="J1856">
        <v>0.167601361867599</v>
      </c>
      <c r="K1856">
        <v>0.17248256552904501</v>
      </c>
      <c r="L1856">
        <v>2082.3885432411398</v>
      </c>
      <c r="M1856">
        <v>36.088896349395</v>
      </c>
      <c r="N1856">
        <v>58.347829222536397</v>
      </c>
      <c r="O1856">
        <v>57.525336012150902</v>
      </c>
      <c r="P1856">
        <v>-0.131003234185738</v>
      </c>
      <c r="Q1856">
        <v>0.164731403537419</v>
      </c>
      <c r="R1856">
        <v>0.98958777620522698</v>
      </c>
      <c r="S1856" t="s">
        <v>6596</v>
      </c>
      <c r="T1856" t="s">
        <v>9478</v>
      </c>
      <c r="U1856" t="s">
        <v>9478</v>
      </c>
      <c r="V1856" t="s">
        <v>9478</v>
      </c>
      <c r="W1856">
        <v>2</v>
      </c>
      <c r="X1856" t="s">
        <v>11334</v>
      </c>
      <c r="Y1856">
        <v>0.66156371278518444</v>
      </c>
      <c r="Z1856" t="str">
        <f>HYPERLINK("Melting_Curves/meltCurve_sp_Q13951_2_PEBB_HUMAN_.pdf", "Melting_Curves/meltCurve_sp_Q13951_2_PEBB_HUMAN_.pdf")</f>
        <v>Melting_Curves/meltCurve_sp_Q13951_2_PEBB_HUMAN_.pdf</v>
      </c>
      <c r="AA1856" t="s">
        <v>16042</v>
      </c>
      <c r="AB1856" t="s">
        <v>20690</v>
      </c>
    </row>
    <row r="1857" spans="1:28" x14ac:dyDescent="0.25">
      <c r="A1857" t="s">
        <v>1861</v>
      </c>
      <c r="B1857">
        <v>0.99904790336628502</v>
      </c>
      <c r="C1857">
        <v>0.97949241326688996</v>
      </c>
      <c r="D1857">
        <v>1.0296066707079199</v>
      </c>
      <c r="E1857">
        <v>1.1322149420508401</v>
      </c>
      <c r="F1857">
        <v>0.94451385821220202</v>
      </c>
      <c r="G1857">
        <v>0.625123678145586</v>
      </c>
      <c r="H1857">
        <v>0.50440896242145306</v>
      </c>
      <c r="I1857">
        <v>0.51442651141421503</v>
      </c>
      <c r="J1857">
        <v>0.32231418576110499</v>
      </c>
      <c r="K1857">
        <v>0.44233509660993198</v>
      </c>
      <c r="L1857">
        <v>2125.99801340046</v>
      </c>
      <c r="M1857">
        <v>37.857346362521199</v>
      </c>
      <c r="N1857">
        <v>59.349273315871301</v>
      </c>
      <c r="O1857">
        <v>56.002124527532899</v>
      </c>
      <c r="P1857">
        <v>-9.5536509585424895E-2</v>
      </c>
      <c r="Q1857">
        <v>0.43469533055929699</v>
      </c>
      <c r="R1857">
        <v>0.94809754901221599</v>
      </c>
      <c r="S1857" t="s">
        <v>6597</v>
      </c>
      <c r="T1857" t="s">
        <v>9478</v>
      </c>
      <c r="U1857" t="s">
        <v>9478</v>
      </c>
      <c r="V1857" t="s">
        <v>9478</v>
      </c>
      <c r="W1857">
        <v>4</v>
      </c>
      <c r="X1857" t="s">
        <v>11335</v>
      </c>
      <c r="Y1857">
        <v>0.74159794293053027</v>
      </c>
      <c r="Z1857" t="str">
        <f>HYPERLINK("Melting_Curves/meltCurve_sp_Q14004_2_CDK13_HUMAN_.pdf", "Melting_Curves/meltCurve_sp_Q14004_2_CDK13_HUMAN_.pdf")</f>
        <v>Melting_Curves/meltCurve_sp_Q14004_2_CDK13_HUMAN_.pdf</v>
      </c>
      <c r="AA1857" t="s">
        <v>16043</v>
      </c>
      <c r="AB1857" t="s">
        <v>20691</v>
      </c>
    </row>
    <row r="1858" spans="1:28" x14ac:dyDescent="0.25">
      <c r="A1858" t="s">
        <v>1862</v>
      </c>
      <c r="B1858">
        <v>0.99904790336628502</v>
      </c>
      <c r="C1858">
        <v>1.0846709350054899</v>
      </c>
      <c r="D1858">
        <v>1.0666861003070001</v>
      </c>
      <c r="E1858">
        <v>0.84655616025595604</v>
      </c>
      <c r="F1858">
        <v>0.49917739651679599</v>
      </c>
      <c r="G1858">
        <v>0.20491542841579599</v>
      </c>
      <c r="H1858">
        <v>0.12598353770064799</v>
      </c>
      <c r="I1858">
        <v>8.3851245285791395E-2</v>
      </c>
      <c r="J1858">
        <v>5.5461986940854503E-2</v>
      </c>
      <c r="K1858">
        <v>3.3748519498902597E-2</v>
      </c>
      <c r="L1858">
        <v>1451.2160373543099</v>
      </c>
      <c r="M1858">
        <v>27.438946737620501</v>
      </c>
      <c r="N1858">
        <v>53.174740823983399</v>
      </c>
      <c r="O1858">
        <v>52.610386270194297</v>
      </c>
      <c r="P1858">
        <v>-0.121448571826619</v>
      </c>
      <c r="Q1858">
        <v>6.8565291654440599E-2</v>
      </c>
      <c r="R1858">
        <v>0.99031104623086796</v>
      </c>
      <c r="S1858" t="s">
        <v>6598</v>
      </c>
      <c r="T1858" t="s">
        <v>9478</v>
      </c>
      <c r="U1858" t="s">
        <v>9478</v>
      </c>
      <c r="V1858" t="s">
        <v>9478</v>
      </c>
      <c r="W1858">
        <v>1</v>
      </c>
      <c r="X1858" t="s">
        <v>11336</v>
      </c>
      <c r="Y1858">
        <v>0.47591292538188201</v>
      </c>
      <c r="Z1858" t="str">
        <f>HYPERLINK("Melting_Curves/meltCurve_sp_Q14005_3_IL16_HUMAN_.pdf", "Melting_Curves/meltCurve_sp_Q14005_3_IL16_HUMAN_.pdf")</f>
        <v>Melting_Curves/meltCurve_sp_Q14005_3_IL16_HUMAN_.pdf</v>
      </c>
      <c r="AA1858" t="s">
        <v>16044</v>
      </c>
      <c r="AB1858" t="s">
        <v>20692</v>
      </c>
    </row>
    <row r="1859" spans="1:28" x14ac:dyDescent="0.25">
      <c r="A1859" t="s">
        <v>1863</v>
      </c>
      <c r="B1859">
        <v>0.99904790336628502</v>
      </c>
      <c r="C1859">
        <v>0.92194342944533003</v>
      </c>
      <c r="D1859">
        <v>0.91802283835124798</v>
      </c>
      <c r="E1859">
        <v>0.72275088791457598</v>
      </c>
      <c r="F1859">
        <v>0.35742357730459201</v>
      </c>
      <c r="G1859">
        <v>0.17366167811969099</v>
      </c>
      <c r="H1859">
        <v>9.4402785667156194E-2</v>
      </c>
      <c r="I1859">
        <v>6.1970899182270903E-2</v>
      </c>
      <c r="J1859">
        <v>4.9194843776062099E-2</v>
      </c>
      <c r="K1859">
        <v>4.2559739868175198E-2</v>
      </c>
      <c r="L1859">
        <v>1109.5018159098299</v>
      </c>
      <c r="M1859">
        <v>21.489893733770199</v>
      </c>
      <c r="N1859">
        <v>51.869376919586102</v>
      </c>
      <c r="O1859">
        <v>51.188173939262498</v>
      </c>
      <c r="P1859">
        <v>-9.9983489985763105E-2</v>
      </c>
      <c r="Q1859">
        <v>4.7394704410162997E-2</v>
      </c>
      <c r="R1859">
        <v>0.99462105093275499</v>
      </c>
      <c r="S1859" t="s">
        <v>6599</v>
      </c>
      <c r="T1859" t="s">
        <v>9478</v>
      </c>
      <c r="U1859" t="s">
        <v>9478</v>
      </c>
      <c r="V1859" t="s">
        <v>9478</v>
      </c>
      <c r="W1859">
        <v>22</v>
      </c>
      <c r="X1859" t="s">
        <v>11337</v>
      </c>
      <c r="Y1859">
        <v>0.42821785240803389</v>
      </c>
      <c r="Z1859" t="str">
        <f>HYPERLINK("Melting_Curves/meltCurve_sp_Q14008_2_CKAP5_HUMAN_.pdf", "Melting_Curves/meltCurve_sp_Q14008_2_CKAP5_HUMAN_.pdf")</f>
        <v>Melting_Curves/meltCurve_sp_Q14008_2_CKAP5_HUMAN_.pdf</v>
      </c>
      <c r="AA1859" t="s">
        <v>16045</v>
      </c>
      <c r="AB1859" t="s">
        <v>20693</v>
      </c>
    </row>
    <row r="1860" spans="1:28" x14ac:dyDescent="0.25">
      <c r="A1860" t="s">
        <v>1864</v>
      </c>
      <c r="B1860">
        <v>0.99904790336628502</v>
      </c>
      <c r="C1860">
        <v>0.90542776867240604</v>
      </c>
      <c r="D1860">
        <v>0.94456661320071</v>
      </c>
      <c r="E1860">
        <v>0.94942913959300701</v>
      </c>
      <c r="F1860">
        <v>1.0191868867363101</v>
      </c>
      <c r="G1860">
        <v>0.83616931355153501</v>
      </c>
      <c r="H1860">
        <v>0.72344551889492503</v>
      </c>
      <c r="I1860">
        <v>0.71326670363092604</v>
      </c>
      <c r="J1860">
        <v>0.66061710917338201</v>
      </c>
      <c r="K1860">
        <v>0.70101881147882805</v>
      </c>
      <c r="L1860">
        <v>2893.27668200059</v>
      </c>
      <c r="M1860">
        <v>50.857384774249098</v>
      </c>
      <c r="O1860">
        <v>56.802246130146003</v>
      </c>
      <c r="P1860">
        <v>-6.7981036049507004E-2</v>
      </c>
      <c r="Q1860">
        <v>0.69629012432199</v>
      </c>
      <c r="R1860">
        <v>0.89650382989402999</v>
      </c>
      <c r="S1860" t="s">
        <v>6600</v>
      </c>
      <c r="T1860" t="s">
        <v>9478</v>
      </c>
      <c r="U1860" t="s">
        <v>9478</v>
      </c>
      <c r="V1860" t="s">
        <v>9478</v>
      </c>
      <c r="W1860">
        <v>5</v>
      </c>
      <c r="X1860" t="s">
        <v>11338</v>
      </c>
      <c r="Y1860">
        <v>0.8680140026801364</v>
      </c>
      <c r="Z1860" t="str">
        <f>HYPERLINK("Melting_Curves/meltCurve_sp_Q14011_CIRBP_HUMAN_.pdf", "Melting_Curves/meltCurve_sp_Q14011_CIRBP_HUMAN_.pdf")</f>
        <v>Melting_Curves/meltCurve_sp_Q14011_CIRBP_HUMAN_.pdf</v>
      </c>
      <c r="AA1860" t="s">
        <v>16046</v>
      </c>
      <c r="AB1860" t="s">
        <v>20694</v>
      </c>
    </row>
    <row r="1861" spans="1:28" x14ac:dyDescent="0.25">
      <c r="A1861" t="s">
        <v>1865</v>
      </c>
      <c r="B1861">
        <v>0.99904790336628502</v>
      </c>
      <c r="C1861">
        <v>0.96992218279499598</v>
      </c>
      <c r="D1861">
        <v>0.91486257144818905</v>
      </c>
      <c r="E1861">
        <v>0.747799063733117</v>
      </c>
      <c r="F1861">
        <v>0.540316732149284</v>
      </c>
      <c r="G1861">
        <v>0.30336078737719002</v>
      </c>
      <c r="H1861">
        <v>0.11945508588221899</v>
      </c>
      <c r="I1861">
        <v>7.3119230947195399E-2</v>
      </c>
      <c r="J1861">
        <v>5.4829475024314303E-2</v>
      </c>
      <c r="K1861">
        <v>4.2045916977079101E-2</v>
      </c>
      <c r="L1861">
        <v>807.98777787205495</v>
      </c>
      <c r="M1861">
        <v>15.087540789516099</v>
      </c>
      <c r="N1861">
        <v>53.5774039006035</v>
      </c>
      <c r="O1861">
        <v>52.638931755067702</v>
      </c>
      <c r="P1861">
        <v>-7.1420635301085805E-2</v>
      </c>
      <c r="Q1861">
        <v>3.3803987443287399E-3</v>
      </c>
      <c r="R1861">
        <v>0.999335446642861</v>
      </c>
      <c r="S1861" t="s">
        <v>6601</v>
      </c>
      <c r="T1861" t="s">
        <v>9478</v>
      </c>
      <c r="U1861" t="s">
        <v>9478</v>
      </c>
      <c r="V1861" t="s">
        <v>9478</v>
      </c>
      <c r="W1861">
        <v>9</v>
      </c>
      <c r="X1861" t="s">
        <v>11339</v>
      </c>
      <c r="Y1861">
        <v>0.47438947101186202</v>
      </c>
      <c r="Z1861" t="str">
        <f>HYPERLINK("Melting_Curves/meltCurve_sp_Q14012_KCC1A_HUMAN_.pdf", "Melting_Curves/meltCurve_sp_Q14012_KCC1A_HUMAN_.pdf")</f>
        <v>Melting_Curves/meltCurve_sp_Q14012_KCC1A_HUMAN_.pdf</v>
      </c>
      <c r="AA1861" t="s">
        <v>16047</v>
      </c>
      <c r="AB1861" t="s">
        <v>20695</v>
      </c>
    </row>
    <row r="1862" spans="1:28" x14ac:dyDescent="0.25">
      <c r="A1862" t="s">
        <v>1866</v>
      </c>
      <c r="B1862">
        <v>0.99904790336628502</v>
      </c>
      <c r="C1862">
        <v>1.02680310637506</v>
      </c>
      <c r="D1862">
        <v>0.92941482452086499</v>
      </c>
      <c r="E1862">
        <v>0.97838309692917902</v>
      </c>
      <c r="F1862">
        <v>0.90958009781629801</v>
      </c>
      <c r="G1862">
        <v>0.69767239657511504</v>
      </c>
      <c r="H1862">
        <v>0.41192366498438598</v>
      </c>
      <c r="I1862">
        <v>0.241296693373209</v>
      </c>
      <c r="J1862">
        <v>9.3840833558948705E-2</v>
      </c>
      <c r="K1862">
        <v>5.9963888161749801E-2</v>
      </c>
      <c r="L1862">
        <v>1092.7944995902101</v>
      </c>
      <c r="M1862">
        <v>18.303397491895701</v>
      </c>
      <c r="N1862">
        <v>59.704461847909599</v>
      </c>
      <c r="O1862">
        <v>59.005468424706301</v>
      </c>
      <c r="P1862">
        <v>-7.7553159406000299E-2</v>
      </c>
      <c r="Q1862">
        <v>0</v>
      </c>
      <c r="R1862">
        <v>0.99555150493216804</v>
      </c>
      <c r="S1862" t="s">
        <v>6602</v>
      </c>
      <c r="T1862" t="s">
        <v>9478</v>
      </c>
      <c r="U1862" t="s">
        <v>9478</v>
      </c>
      <c r="V1862" t="s">
        <v>9478</v>
      </c>
      <c r="W1862">
        <v>7</v>
      </c>
      <c r="X1862" t="s">
        <v>11340</v>
      </c>
      <c r="Y1862">
        <v>0.66584417960826348</v>
      </c>
      <c r="Z1862" t="str">
        <f>HYPERLINK("Melting_Curves/meltCurve_sp_Q14019_COTL1_HUMAN_.pdf", "Melting_Curves/meltCurve_sp_Q14019_COTL1_HUMAN_.pdf")</f>
        <v>Melting_Curves/meltCurve_sp_Q14019_COTL1_HUMAN_.pdf</v>
      </c>
      <c r="AA1862" t="s">
        <v>16048</v>
      </c>
      <c r="AB1862" t="s">
        <v>20696</v>
      </c>
    </row>
    <row r="1863" spans="1:28" x14ac:dyDescent="0.25">
      <c r="A1863" t="s">
        <v>1867</v>
      </c>
      <c r="B1863">
        <v>0.99904790336628502</v>
      </c>
      <c r="C1863">
        <v>1.01257136922027</v>
      </c>
      <c r="D1863">
        <v>1.0062003948256499</v>
      </c>
      <c r="E1863">
        <v>0.78622952492079101</v>
      </c>
      <c r="F1863">
        <v>0.413050182583313</v>
      </c>
      <c r="G1863">
        <v>0.19850007876244399</v>
      </c>
      <c r="H1863">
        <v>9.5516933081092506E-2</v>
      </c>
      <c r="I1863">
        <v>5.2602094217183502E-2</v>
      </c>
      <c r="J1863">
        <v>2.8393952495741399E-2</v>
      </c>
      <c r="K1863">
        <v>2.2966960071982599E-2</v>
      </c>
      <c r="L1863">
        <v>1289.24232753452</v>
      </c>
      <c r="M1863">
        <v>24.629919119569902</v>
      </c>
      <c r="N1863">
        <v>52.539639286856698</v>
      </c>
      <c r="O1863">
        <v>52.003159717798397</v>
      </c>
      <c r="P1863">
        <v>-0.113233580114228</v>
      </c>
      <c r="Q1863">
        <v>4.3696427030020302E-2</v>
      </c>
      <c r="R1863">
        <v>0.99630472393422398</v>
      </c>
      <c r="S1863" t="s">
        <v>6603</v>
      </c>
      <c r="T1863" t="s">
        <v>9478</v>
      </c>
      <c r="U1863" t="s">
        <v>9478</v>
      </c>
      <c r="V1863" t="s">
        <v>9478</v>
      </c>
      <c r="W1863">
        <v>15</v>
      </c>
      <c r="X1863" t="s">
        <v>11341</v>
      </c>
      <c r="Y1863">
        <v>0.44621224882238919</v>
      </c>
      <c r="Z1863" t="str">
        <f>HYPERLINK("Melting_Curves/meltCurve_sp_Q14032_BAAT_HUMAN_.pdf", "Melting_Curves/meltCurve_sp_Q14032_BAAT_HUMAN_.pdf")</f>
        <v>Melting_Curves/meltCurve_sp_Q14032_BAAT_HUMAN_.pdf</v>
      </c>
      <c r="AA1863" t="s">
        <v>16049</v>
      </c>
      <c r="AB1863" t="s">
        <v>20697</v>
      </c>
    </row>
    <row r="1864" spans="1:28" x14ac:dyDescent="0.25">
      <c r="A1864" t="s">
        <v>1868</v>
      </c>
      <c r="B1864">
        <v>0.99904790336628502</v>
      </c>
      <c r="C1864">
        <v>1.0703143566378199</v>
      </c>
      <c r="D1864">
        <v>0.96405820020932198</v>
      </c>
      <c r="E1864">
        <v>1.0065492746774001</v>
      </c>
      <c r="F1864">
        <v>1.1067899551718301</v>
      </c>
      <c r="G1864">
        <v>0.88950050763620003</v>
      </c>
      <c r="H1864">
        <v>0.74729442346577701</v>
      </c>
      <c r="I1864">
        <v>0.82333828358345895</v>
      </c>
      <c r="J1864">
        <v>0.90334550983116402</v>
      </c>
      <c r="K1864">
        <v>0.99789220270134205</v>
      </c>
      <c r="L1864">
        <v>14156.780621628801</v>
      </c>
      <c r="M1864">
        <v>250</v>
      </c>
      <c r="O1864">
        <v>56.623511183972902</v>
      </c>
      <c r="P1864">
        <v>-0.14573498741295701</v>
      </c>
      <c r="Q1864">
        <v>0.86796760206864298</v>
      </c>
      <c r="R1864">
        <v>0.52441594840455696</v>
      </c>
      <c r="S1864" t="s">
        <v>6604</v>
      </c>
      <c r="T1864" t="s">
        <v>9478</v>
      </c>
      <c r="U1864" t="s">
        <v>9478</v>
      </c>
      <c r="V1864" t="s">
        <v>9478</v>
      </c>
      <c r="W1864">
        <v>7</v>
      </c>
      <c r="X1864" t="s">
        <v>11342</v>
      </c>
      <c r="Y1864">
        <v>0.94115801849763514</v>
      </c>
      <c r="Z1864" t="str">
        <f>HYPERLINK("Melting_Curves/meltCurve_sp_Q14061_COX17_HUMAN_.pdf", "Melting_Curves/meltCurve_sp_Q14061_COX17_HUMAN_.pdf")</f>
        <v>Melting_Curves/meltCurve_sp_Q14061_COX17_HUMAN_.pdf</v>
      </c>
      <c r="AA1864" t="s">
        <v>16050</v>
      </c>
      <c r="AB1864" t="s">
        <v>20698</v>
      </c>
    </row>
    <row r="1865" spans="1:28" x14ac:dyDescent="0.25">
      <c r="A1865" t="s">
        <v>1869</v>
      </c>
      <c r="B1865">
        <v>0.99904790336628502</v>
      </c>
      <c r="C1865">
        <v>1.0070535263626299</v>
      </c>
      <c r="D1865">
        <v>1.02557610333406</v>
      </c>
      <c r="E1865">
        <v>1.00619452300113</v>
      </c>
      <c r="F1865">
        <v>0.96204454061498401</v>
      </c>
      <c r="G1865">
        <v>0.77227718307230497</v>
      </c>
      <c r="H1865">
        <v>0.61696270560720201</v>
      </c>
      <c r="I1865">
        <v>0.56825742205833096</v>
      </c>
      <c r="J1865">
        <v>0.50256987141169895</v>
      </c>
      <c r="K1865">
        <v>0.45662564051396498</v>
      </c>
      <c r="L1865">
        <v>1206.47588915655</v>
      </c>
      <c r="M1865">
        <v>20.675598171875802</v>
      </c>
      <c r="N1865">
        <v>66.806836837218796</v>
      </c>
      <c r="O1865">
        <v>57.814997709102698</v>
      </c>
      <c r="P1865">
        <v>-4.7969511058799201E-2</v>
      </c>
      <c r="Q1865">
        <v>0.463468386104609</v>
      </c>
      <c r="R1865">
        <v>0.99224042128235901</v>
      </c>
      <c r="S1865" t="s">
        <v>6605</v>
      </c>
      <c r="T1865" t="s">
        <v>9478</v>
      </c>
      <c r="U1865" t="s">
        <v>9478</v>
      </c>
      <c r="V1865" t="s">
        <v>9478</v>
      </c>
      <c r="W1865">
        <v>18</v>
      </c>
      <c r="X1865" t="s">
        <v>11343</v>
      </c>
      <c r="Y1865">
        <v>0.79738634315641244</v>
      </c>
      <c r="Z1865" t="str">
        <f>HYPERLINK("Melting_Curves/meltCurve_sp_Q14103_3_HNRPD_HUMAN_.pdf", "Melting_Curves/meltCurve_sp_Q14103_3_HNRPD_HUMAN_.pdf")</f>
        <v>Melting_Curves/meltCurve_sp_Q14103_3_HNRPD_HUMAN_.pdf</v>
      </c>
      <c r="AA1865" t="s">
        <v>16051</v>
      </c>
      <c r="AB1865" t="s">
        <v>20699</v>
      </c>
    </row>
    <row r="1866" spans="1:28" x14ac:dyDescent="0.25">
      <c r="A1866" t="s">
        <v>1870</v>
      </c>
      <c r="B1866">
        <v>0.99904790336628502</v>
      </c>
      <c r="C1866">
        <v>1.3280189748534099</v>
      </c>
      <c r="D1866">
        <v>1.2550373374044399</v>
      </c>
      <c r="E1866">
        <v>1.29877202571133</v>
      </c>
      <c r="F1866">
        <v>1.0862896385907499</v>
      </c>
      <c r="G1866">
        <v>1.2857275629249001</v>
      </c>
      <c r="H1866">
        <v>0.95005130067787003</v>
      </c>
      <c r="I1866">
        <v>0.91716383548959801</v>
      </c>
      <c r="J1866">
        <v>0.89539222501511995</v>
      </c>
      <c r="K1866">
        <v>0.62771592109123697</v>
      </c>
      <c r="L1866">
        <v>2058.3757862545399</v>
      </c>
      <c r="M1866">
        <v>28.852691029471298</v>
      </c>
      <c r="Q1866">
        <v>0</v>
      </c>
      <c r="R1866">
        <v>0.23936892504853899</v>
      </c>
      <c r="S1866" t="s">
        <v>6606</v>
      </c>
      <c r="T1866" t="s">
        <v>9478</v>
      </c>
      <c r="U1866" t="s">
        <v>9478</v>
      </c>
      <c r="V1866" t="s">
        <v>9478</v>
      </c>
      <c r="W1866">
        <v>17</v>
      </c>
      <c r="X1866" t="s">
        <v>11344</v>
      </c>
      <c r="Y1866">
        <v>0.96641836517198032</v>
      </c>
      <c r="Z1866" t="str">
        <f>HYPERLINK("Melting_Curves/meltCurve_sp_Q14103_4_HNRPD_HUMAN_.pdf", "Melting_Curves/meltCurve_sp_Q14103_4_HNRPD_HUMAN_.pdf")</f>
        <v>Melting_Curves/meltCurve_sp_Q14103_4_HNRPD_HUMAN_.pdf</v>
      </c>
      <c r="AA1866" t="s">
        <v>16051</v>
      </c>
      <c r="AB1866" t="s">
        <v>20700</v>
      </c>
    </row>
    <row r="1867" spans="1:28" x14ac:dyDescent="0.25">
      <c r="A1867" t="s">
        <v>1871</v>
      </c>
      <c r="B1867">
        <v>0.99904790336628502</v>
      </c>
      <c r="C1867">
        <v>0.985695090623668</v>
      </c>
      <c r="D1867">
        <v>0.88195617827463202</v>
      </c>
      <c r="E1867">
        <v>0.84480821240626103</v>
      </c>
      <c r="F1867">
        <v>1.0144203616367999</v>
      </c>
      <c r="G1867">
        <v>0.73065993665556395</v>
      </c>
      <c r="H1867">
        <v>0.51857644286937798</v>
      </c>
      <c r="I1867">
        <v>0.42377762261580698</v>
      </c>
      <c r="J1867">
        <v>0.25521859272662401</v>
      </c>
      <c r="K1867">
        <v>0.131086101786482</v>
      </c>
      <c r="L1867">
        <v>838.04874090415103</v>
      </c>
      <c r="M1867">
        <v>13.580936445199301</v>
      </c>
      <c r="N1867">
        <v>61.707728679549803</v>
      </c>
      <c r="O1867">
        <v>60.415911648306803</v>
      </c>
      <c r="P1867">
        <v>-5.6206052895970297E-2</v>
      </c>
      <c r="Q1867">
        <v>0</v>
      </c>
      <c r="R1867">
        <v>0.95614316928392795</v>
      </c>
      <c r="S1867" t="s">
        <v>6607</v>
      </c>
      <c r="T1867" t="s">
        <v>9478</v>
      </c>
      <c r="U1867" t="s">
        <v>9478</v>
      </c>
      <c r="V1867" t="s">
        <v>9478</v>
      </c>
      <c r="W1867">
        <v>2</v>
      </c>
      <c r="X1867" t="s">
        <v>11345</v>
      </c>
      <c r="Y1867">
        <v>0.7193544099473631</v>
      </c>
      <c r="Z1867" t="str">
        <f>HYPERLINK("Melting_Curves/meltCurve_sp_Q14116_2_IL18_HUMAN_.pdf", "Melting_Curves/meltCurve_sp_Q14116_2_IL18_HUMAN_.pdf")</f>
        <v>Melting_Curves/meltCurve_sp_Q14116_2_IL18_HUMAN_.pdf</v>
      </c>
      <c r="AA1867" t="s">
        <v>16052</v>
      </c>
      <c r="AB1867" t="s">
        <v>20701</v>
      </c>
    </row>
    <row r="1868" spans="1:28" x14ac:dyDescent="0.25">
      <c r="A1868" t="s">
        <v>1872</v>
      </c>
      <c r="B1868">
        <v>0.99904790336628502</v>
      </c>
      <c r="C1868">
        <v>0.95447655533729603</v>
      </c>
      <c r="D1868">
        <v>1.00182075734825</v>
      </c>
      <c r="E1868">
        <v>0.99372938919931897</v>
      </c>
      <c r="F1868">
        <v>0.89229775081590301</v>
      </c>
      <c r="G1868">
        <v>0.63416732863603598</v>
      </c>
      <c r="H1868">
        <v>0.18107900246933401</v>
      </c>
      <c r="I1868">
        <v>6.2280250391439397E-2</v>
      </c>
      <c r="J1868">
        <v>3.5631294616681401E-2</v>
      </c>
      <c r="K1868">
        <v>2.8459579457653501E-2</v>
      </c>
      <c r="L1868">
        <v>1651.3092600330299</v>
      </c>
      <c r="M1868">
        <v>28.532637812058599</v>
      </c>
      <c r="N1868">
        <v>57.918808734336203</v>
      </c>
      <c r="O1868">
        <v>57.592350944603801</v>
      </c>
      <c r="P1868">
        <v>-0.12251686882872501</v>
      </c>
      <c r="Q1868">
        <v>1.08200643137366E-2</v>
      </c>
      <c r="R1868">
        <v>0.99736298674845902</v>
      </c>
      <c r="S1868" t="s">
        <v>6608</v>
      </c>
      <c r="T1868" t="s">
        <v>9478</v>
      </c>
      <c r="U1868" t="s">
        <v>9478</v>
      </c>
      <c r="V1868" t="s">
        <v>9478</v>
      </c>
      <c r="W1868">
        <v>32</v>
      </c>
      <c r="X1868" t="s">
        <v>11346</v>
      </c>
      <c r="Y1868">
        <v>0.60727039365870483</v>
      </c>
      <c r="Z1868" t="str">
        <f>HYPERLINK("Melting_Curves/meltCurve_sp_Q14117_DPYS_HUMAN_.pdf", "Melting_Curves/meltCurve_sp_Q14117_DPYS_HUMAN_.pdf")</f>
        <v>Melting_Curves/meltCurve_sp_Q14117_DPYS_HUMAN_.pdf</v>
      </c>
      <c r="AA1868" t="s">
        <v>16053</v>
      </c>
      <c r="AB1868" t="s">
        <v>20702</v>
      </c>
    </row>
    <row r="1869" spans="1:28" x14ac:dyDescent="0.25">
      <c r="A1869" t="s">
        <v>1873</v>
      </c>
      <c r="B1869">
        <v>0.99904790336628502</v>
      </c>
      <c r="C1869">
        <v>0.94814175560077696</v>
      </c>
      <c r="D1869">
        <v>0.87658788972692203</v>
      </c>
      <c r="E1869">
        <v>0.84206849709610498</v>
      </c>
      <c r="F1869">
        <v>0.81519440634299001</v>
      </c>
      <c r="G1869">
        <v>0.65081443779316195</v>
      </c>
      <c r="H1869">
        <v>0.50899900795876896</v>
      </c>
      <c r="I1869">
        <v>0.44396405042175602</v>
      </c>
      <c r="J1869">
        <v>0.37917890914358099</v>
      </c>
      <c r="K1869">
        <v>0.39342798441536903</v>
      </c>
      <c r="L1869">
        <v>493.81201602841298</v>
      </c>
      <c r="M1869">
        <v>8.4463526605867791</v>
      </c>
      <c r="N1869">
        <v>62.212675540957903</v>
      </c>
      <c r="O1869">
        <v>55.463229376108998</v>
      </c>
      <c r="P1869">
        <v>-3.05079667268623E-2</v>
      </c>
      <c r="Q1869">
        <v>0.19941282265695301</v>
      </c>
      <c r="R1869">
        <v>0.98421139148011205</v>
      </c>
      <c r="S1869" t="s">
        <v>6609</v>
      </c>
      <c r="T1869" t="s">
        <v>9478</v>
      </c>
      <c r="U1869" t="s">
        <v>9478</v>
      </c>
      <c r="V1869" t="s">
        <v>9478</v>
      </c>
      <c r="W1869">
        <v>5</v>
      </c>
      <c r="X1869" t="s">
        <v>11347</v>
      </c>
      <c r="Y1869">
        <v>0.6934389836605287</v>
      </c>
      <c r="Z1869" t="str">
        <f>HYPERLINK("Melting_Curves/meltCurve_sp_Q14118_DAG1_HUMAN_.pdf", "Melting_Curves/meltCurve_sp_Q14118_DAG1_HUMAN_.pdf")</f>
        <v>Melting_Curves/meltCurve_sp_Q14118_DAG1_HUMAN_.pdf</v>
      </c>
      <c r="AA1869" t="s">
        <v>16054</v>
      </c>
      <c r="AB1869" t="s">
        <v>20703</v>
      </c>
    </row>
    <row r="1870" spans="1:28" x14ac:dyDescent="0.25">
      <c r="A1870" t="s">
        <v>1874</v>
      </c>
      <c r="B1870">
        <v>0.99904790336628502</v>
      </c>
      <c r="C1870">
        <v>0.95885945170970699</v>
      </c>
      <c r="D1870">
        <v>0.97183929611254705</v>
      </c>
      <c r="E1870">
        <v>0.96469783139987497</v>
      </c>
      <c r="F1870">
        <v>0.85370714346330501</v>
      </c>
      <c r="G1870">
        <v>0.69789316585930905</v>
      </c>
      <c r="H1870">
        <v>0.54726266035772797</v>
      </c>
      <c r="I1870">
        <v>0.52059162133346404</v>
      </c>
      <c r="J1870">
        <v>0.49905826441893902</v>
      </c>
      <c r="K1870">
        <v>0.49054768693518402</v>
      </c>
      <c r="L1870">
        <v>1089.0049034829101</v>
      </c>
      <c r="M1870">
        <v>19.512134498775101</v>
      </c>
      <c r="N1870">
        <v>66.459963323917606</v>
      </c>
      <c r="O1870">
        <v>55.235365881498701</v>
      </c>
      <c r="P1870">
        <v>-4.6096131632738603E-2</v>
      </c>
      <c r="Q1870">
        <v>0.47805909869025298</v>
      </c>
      <c r="R1870">
        <v>0.99406209333420503</v>
      </c>
      <c r="S1870" t="s">
        <v>6610</v>
      </c>
      <c r="T1870" t="s">
        <v>9478</v>
      </c>
      <c r="U1870" t="s">
        <v>9478</v>
      </c>
      <c r="V1870" t="s">
        <v>9478</v>
      </c>
      <c r="W1870">
        <v>9</v>
      </c>
      <c r="X1870" t="s">
        <v>11348</v>
      </c>
      <c r="Y1870">
        <v>0.76015723704043481</v>
      </c>
      <c r="Z1870" t="str">
        <f>HYPERLINK("Melting_Curves/meltCurve_sp_Q14126_DSG2_HUMAN_.pdf", "Melting_Curves/meltCurve_sp_Q14126_DSG2_HUMAN_.pdf")</f>
        <v>Melting_Curves/meltCurve_sp_Q14126_DSG2_HUMAN_.pdf</v>
      </c>
      <c r="AA1870" t="s">
        <v>16055</v>
      </c>
      <c r="AB1870" t="s">
        <v>20704</v>
      </c>
    </row>
    <row r="1871" spans="1:28" x14ac:dyDescent="0.25">
      <c r="A1871" t="s">
        <v>1875</v>
      </c>
      <c r="B1871">
        <v>0.99904790336628502</v>
      </c>
      <c r="C1871">
        <v>0.79756219220143698</v>
      </c>
      <c r="D1871">
        <v>0.83730957568767195</v>
      </c>
      <c r="E1871">
        <v>0.69741870872858303</v>
      </c>
      <c r="F1871">
        <v>0.47776205580709802</v>
      </c>
      <c r="G1871">
        <v>0.18558608440003399</v>
      </c>
      <c r="H1871">
        <v>0.21299672593685401</v>
      </c>
      <c r="I1871">
        <v>0.114647818918476</v>
      </c>
      <c r="J1871">
        <v>0.115573316598752</v>
      </c>
      <c r="K1871">
        <v>0.13267352069687299</v>
      </c>
      <c r="L1871">
        <v>640.11182357567998</v>
      </c>
      <c r="M1871">
        <v>12.3937342162722</v>
      </c>
      <c r="N1871">
        <v>52.192166618904203</v>
      </c>
      <c r="O1871">
        <v>50.358649988652203</v>
      </c>
      <c r="P1871">
        <v>-5.7810596206526101E-2</v>
      </c>
      <c r="Q1871">
        <v>6.0607522785906698E-2</v>
      </c>
      <c r="R1871">
        <v>0.96626939819554203</v>
      </c>
      <c r="S1871" t="s">
        <v>6611</v>
      </c>
      <c r="T1871" t="s">
        <v>9478</v>
      </c>
      <c r="U1871" t="s">
        <v>9478</v>
      </c>
      <c r="V1871" t="s">
        <v>9478</v>
      </c>
      <c r="W1871">
        <v>2</v>
      </c>
      <c r="X1871" t="s">
        <v>11349</v>
      </c>
      <c r="Y1871">
        <v>0.45350504246357493</v>
      </c>
      <c r="Z1871" t="str">
        <f>HYPERLINK("Melting_Curves/meltCurve_sp_Q14137_BOP1_HUMAN_.pdf", "Melting_Curves/meltCurve_sp_Q14137_BOP1_HUMAN_.pdf")</f>
        <v>Melting_Curves/meltCurve_sp_Q14137_BOP1_HUMAN_.pdf</v>
      </c>
      <c r="AA1871" t="s">
        <v>16056</v>
      </c>
      <c r="AB1871" t="s">
        <v>20705</v>
      </c>
    </row>
    <row r="1872" spans="1:28" x14ac:dyDescent="0.25">
      <c r="A1872" t="s">
        <v>1876</v>
      </c>
      <c r="B1872">
        <v>0.99904790336628502</v>
      </c>
      <c r="C1872">
        <v>0.82834093187345104</v>
      </c>
      <c r="D1872">
        <v>0.86366669598504797</v>
      </c>
      <c r="E1872">
        <v>0.66942978769550099</v>
      </c>
      <c r="F1872">
        <v>0.244623114860366</v>
      </c>
      <c r="G1872">
        <v>0.16030046498530101</v>
      </c>
      <c r="H1872">
        <v>9.6054836457535098E-2</v>
      </c>
      <c r="I1872">
        <v>6.6598263729251095E-2</v>
      </c>
      <c r="J1872">
        <v>5.1112823087742697E-2</v>
      </c>
      <c r="K1872">
        <v>3.6911350191467802E-2</v>
      </c>
      <c r="L1872">
        <v>920.22525850252202</v>
      </c>
      <c r="M1872">
        <v>18.1628642289472</v>
      </c>
      <c r="N1872">
        <v>50.8829796179716</v>
      </c>
      <c r="O1872">
        <v>50.063009695500298</v>
      </c>
      <c r="P1872">
        <v>-8.7312386017389207E-2</v>
      </c>
      <c r="Q1872">
        <v>3.7395724749835997E-2</v>
      </c>
      <c r="R1872">
        <v>0.973512542484818</v>
      </c>
      <c r="S1872" t="s">
        <v>6612</v>
      </c>
      <c r="T1872" t="s">
        <v>9478</v>
      </c>
      <c r="U1872" t="s">
        <v>9478</v>
      </c>
      <c r="V1872" t="s">
        <v>9478</v>
      </c>
      <c r="W1872">
        <v>10</v>
      </c>
      <c r="X1872" t="s">
        <v>11350</v>
      </c>
      <c r="Y1872">
        <v>0.39562339116069029</v>
      </c>
      <c r="Z1872" t="str">
        <f>HYPERLINK("Melting_Curves/meltCurve_sp_Q14139_UBE4A_HUMAN_.pdf", "Melting_Curves/meltCurve_sp_Q14139_UBE4A_HUMAN_.pdf")</f>
        <v>Melting_Curves/meltCurve_sp_Q14139_UBE4A_HUMAN_.pdf</v>
      </c>
      <c r="AA1872" t="s">
        <v>16057</v>
      </c>
      <c r="AB1872" t="s">
        <v>20706</v>
      </c>
    </row>
    <row r="1873" spans="1:28" x14ac:dyDescent="0.25">
      <c r="A1873" t="s">
        <v>1877</v>
      </c>
      <c r="B1873">
        <v>0.99904790336628502</v>
      </c>
      <c r="C1873">
        <v>0.91988768710064195</v>
      </c>
      <c r="D1873">
        <v>1.0584461132774301</v>
      </c>
      <c r="E1873">
        <v>1.0224410029723201</v>
      </c>
      <c r="F1873">
        <v>0.89854130914790098</v>
      </c>
      <c r="G1873">
        <v>0.618602908253571</v>
      </c>
      <c r="H1873">
        <v>0.42306556640417597</v>
      </c>
      <c r="I1873">
        <v>0.25130989858147801</v>
      </c>
      <c r="J1873">
        <v>8.2740645046488398E-2</v>
      </c>
      <c r="K1873">
        <v>6.9014826640780097E-2</v>
      </c>
      <c r="L1873">
        <v>1027.1759623227199</v>
      </c>
      <c r="M1873">
        <v>17.294279794946402</v>
      </c>
      <c r="N1873">
        <v>59.393971823687799</v>
      </c>
      <c r="O1873">
        <v>58.616909738523702</v>
      </c>
      <c r="P1873">
        <v>-7.3764032047920494E-2</v>
      </c>
      <c r="Q1873">
        <v>0</v>
      </c>
      <c r="R1873">
        <v>0.98547749561510301</v>
      </c>
      <c r="S1873" t="s">
        <v>6613</v>
      </c>
      <c r="T1873" t="s">
        <v>9478</v>
      </c>
      <c r="U1873" t="s">
        <v>9478</v>
      </c>
      <c r="V1873" t="s">
        <v>9478</v>
      </c>
      <c r="W1873">
        <v>17</v>
      </c>
      <c r="X1873" t="s">
        <v>11351</v>
      </c>
      <c r="Y1873">
        <v>0.65621102759225347</v>
      </c>
      <c r="Z1873" t="str">
        <f>HYPERLINK("Melting_Curves/meltCurve_sp_Q14141_2_SEPT6_HUMAN_.pdf", "Melting_Curves/meltCurve_sp_Q14141_2_SEPT6_HUMAN_.pdf")</f>
        <v>Melting_Curves/meltCurve_sp_Q14141_2_SEPT6_HUMAN_.pdf</v>
      </c>
      <c r="AA1873" t="s">
        <v>16058</v>
      </c>
      <c r="AB1873" t="s">
        <v>20707</v>
      </c>
    </row>
    <row r="1874" spans="1:28" x14ac:dyDescent="0.25">
      <c r="A1874" t="s">
        <v>1878</v>
      </c>
      <c r="B1874">
        <v>0.99904790336628502</v>
      </c>
      <c r="C1874">
        <v>0.94195912847718899</v>
      </c>
      <c r="D1874">
        <v>0.893130947328442</v>
      </c>
      <c r="E1874">
        <v>0.89776551737230803</v>
      </c>
      <c r="F1874">
        <v>0.87921053576735497</v>
      </c>
      <c r="G1874">
        <v>0.75017235694518103</v>
      </c>
      <c r="H1874">
        <v>0.70075795637235305</v>
      </c>
      <c r="I1874">
        <v>0.68896032517850003</v>
      </c>
      <c r="J1874">
        <v>0.64028580893265996</v>
      </c>
      <c r="K1874">
        <v>0.59431304953354602</v>
      </c>
      <c r="L1874">
        <v>337.957667320192</v>
      </c>
      <c r="M1874">
        <v>5.2120500009377597</v>
      </c>
      <c r="O1874">
        <v>57.127196944347801</v>
      </c>
      <c r="P1874">
        <v>-1.54727682002604E-2</v>
      </c>
      <c r="Q1874">
        <v>0.32522090081646399</v>
      </c>
      <c r="R1874">
        <v>0.97020398846895395</v>
      </c>
      <c r="S1874" t="s">
        <v>6614</v>
      </c>
      <c r="T1874" t="s">
        <v>9478</v>
      </c>
      <c r="U1874" t="s">
        <v>9478</v>
      </c>
      <c r="V1874" t="s">
        <v>9478</v>
      </c>
      <c r="W1874">
        <v>9</v>
      </c>
      <c r="X1874" t="s">
        <v>11352</v>
      </c>
      <c r="Y1874">
        <v>0.80191630677348191</v>
      </c>
      <c r="Z1874" t="str">
        <f>HYPERLINK("Melting_Curves/meltCurve_sp_Q14151_SAFB2_HUMAN_.pdf", "Melting_Curves/meltCurve_sp_Q14151_SAFB2_HUMAN_.pdf")</f>
        <v>Melting_Curves/meltCurve_sp_Q14151_SAFB2_HUMAN_.pdf</v>
      </c>
      <c r="AA1874" t="s">
        <v>16059</v>
      </c>
      <c r="AB1874" t="s">
        <v>20708</v>
      </c>
    </row>
    <row r="1875" spans="1:28" x14ac:dyDescent="0.25">
      <c r="A1875" t="s">
        <v>1879</v>
      </c>
      <c r="B1875">
        <v>0.99904790336628502</v>
      </c>
      <c r="C1875">
        <v>1.0641090938673301</v>
      </c>
      <c r="D1875">
        <v>1.0421161126296301</v>
      </c>
      <c r="E1875">
        <v>0.89116640355772703</v>
      </c>
      <c r="F1875">
        <v>0.59108721016814403</v>
      </c>
      <c r="G1875">
        <v>0.300896164252896</v>
      </c>
      <c r="H1875">
        <v>0.21422910871218701</v>
      </c>
      <c r="I1875">
        <v>0.19783810692451401</v>
      </c>
      <c r="J1875">
        <v>0.17096261211459801</v>
      </c>
      <c r="K1875">
        <v>0.19853086938636499</v>
      </c>
      <c r="L1875">
        <v>1572.72677120557</v>
      </c>
      <c r="M1875">
        <v>29.641059116380401</v>
      </c>
      <c r="N1875">
        <v>53.940437491969298</v>
      </c>
      <c r="O1875">
        <v>52.819319031582197</v>
      </c>
      <c r="P1875">
        <v>-0.113366558844301</v>
      </c>
      <c r="Q1875">
        <v>0.19194479984725499</v>
      </c>
      <c r="R1875">
        <v>0.99440217100922701</v>
      </c>
      <c r="S1875" t="s">
        <v>6615</v>
      </c>
      <c r="T1875" t="s">
        <v>9478</v>
      </c>
      <c r="U1875" t="s">
        <v>9478</v>
      </c>
      <c r="V1875" t="s">
        <v>9478</v>
      </c>
      <c r="W1875">
        <v>9</v>
      </c>
      <c r="X1875" t="s">
        <v>11353</v>
      </c>
      <c r="Y1875">
        <v>0.54906234201908011</v>
      </c>
      <c r="Z1875" t="str">
        <f>HYPERLINK("Melting_Curves/meltCurve_sp_Q14155_1_ARHG7_HUMAN_.pdf", "Melting_Curves/meltCurve_sp_Q14155_1_ARHG7_HUMAN_.pdf")</f>
        <v>Melting_Curves/meltCurve_sp_Q14155_1_ARHG7_HUMAN_.pdf</v>
      </c>
      <c r="AA1875" t="s">
        <v>16060</v>
      </c>
      <c r="AB1875" t="s">
        <v>20709</v>
      </c>
    </row>
    <row r="1876" spans="1:28" x14ac:dyDescent="0.25">
      <c r="A1876" t="s">
        <v>1880</v>
      </c>
      <c r="B1876">
        <v>0.99904790336628502</v>
      </c>
      <c r="C1876">
        <v>0.90904442818919295</v>
      </c>
      <c r="D1876">
        <v>0.867393122751417</v>
      </c>
      <c r="E1876">
        <v>0.84958086765465701</v>
      </c>
      <c r="F1876">
        <v>0.84173997487907903</v>
      </c>
      <c r="G1876">
        <v>0.68573695104225496</v>
      </c>
      <c r="H1876">
        <v>0.59041229999086597</v>
      </c>
      <c r="I1876">
        <v>0.57765158907167602</v>
      </c>
      <c r="J1876">
        <v>0.62983445674496696</v>
      </c>
      <c r="K1876">
        <v>0.61251933836345096</v>
      </c>
      <c r="L1876">
        <v>460.52405452242499</v>
      </c>
      <c r="M1876">
        <v>8.6339771338222295</v>
      </c>
      <c r="O1876">
        <v>50.708705437697702</v>
      </c>
      <c r="P1876">
        <v>-2.0090063285218E-2</v>
      </c>
      <c r="Q1876">
        <v>0.52843221185295797</v>
      </c>
      <c r="R1876">
        <v>0.92379294356499098</v>
      </c>
      <c r="S1876" t="s">
        <v>6616</v>
      </c>
      <c r="T1876" t="s">
        <v>9478</v>
      </c>
      <c r="U1876" t="s">
        <v>9478</v>
      </c>
      <c r="V1876" t="s">
        <v>9478</v>
      </c>
      <c r="W1876">
        <v>11</v>
      </c>
      <c r="X1876" t="s">
        <v>11354</v>
      </c>
      <c r="Y1876">
        <v>0.75540902300708312</v>
      </c>
      <c r="Z1876" t="str">
        <f>HYPERLINK("Melting_Curves/meltCurve_sp_Q14157_UBP2L_HUMAN_.pdf", "Melting_Curves/meltCurve_sp_Q14157_UBP2L_HUMAN_.pdf")</f>
        <v>Melting_Curves/meltCurve_sp_Q14157_UBP2L_HUMAN_.pdf</v>
      </c>
      <c r="AA1876" t="s">
        <v>16061</v>
      </c>
      <c r="AB1876" t="s">
        <v>20710</v>
      </c>
    </row>
    <row r="1877" spans="1:28" x14ac:dyDescent="0.25">
      <c r="A1877" t="s">
        <v>1881</v>
      </c>
      <c r="B1877">
        <v>0.99904790336628502</v>
      </c>
      <c r="C1877">
        <v>0.96118139871905905</v>
      </c>
      <c r="D1877">
        <v>0.82748336941636702</v>
      </c>
      <c r="E1877">
        <v>0.54643326827552496</v>
      </c>
      <c r="F1877">
        <v>0.418239293713078</v>
      </c>
      <c r="G1877">
        <v>0.28978000536124798</v>
      </c>
      <c r="H1877">
        <v>0.24242602480584599</v>
      </c>
      <c r="I1877">
        <v>0.30169730866766697</v>
      </c>
      <c r="J1877">
        <v>0.29091367483511099</v>
      </c>
      <c r="K1877">
        <v>0.32013924505656199</v>
      </c>
      <c r="L1877">
        <v>1002.30680330878</v>
      </c>
      <c r="M1877">
        <v>20.580663158693199</v>
      </c>
      <c r="N1877">
        <v>50.746731509561101</v>
      </c>
      <c r="O1877">
        <v>48.248599772742701</v>
      </c>
      <c r="P1877">
        <v>-7.6582996519727803E-2</v>
      </c>
      <c r="Q1877">
        <v>0.281867057587946</v>
      </c>
      <c r="R1877">
        <v>0.99313715782911705</v>
      </c>
      <c r="S1877" t="s">
        <v>6617</v>
      </c>
      <c r="T1877" t="s">
        <v>9478</v>
      </c>
      <c r="U1877" t="s">
        <v>9478</v>
      </c>
      <c r="V1877" t="s">
        <v>9478</v>
      </c>
      <c r="W1877">
        <v>25</v>
      </c>
      <c r="X1877" t="s">
        <v>11355</v>
      </c>
      <c r="Y1877">
        <v>0.49967191722414073</v>
      </c>
      <c r="Z1877" t="str">
        <f>HYPERLINK("Melting_Curves/meltCurve_sp_Q14160_SCRIB_HUMAN_.pdf", "Melting_Curves/meltCurve_sp_Q14160_SCRIB_HUMAN_.pdf")</f>
        <v>Melting_Curves/meltCurve_sp_Q14160_SCRIB_HUMAN_.pdf</v>
      </c>
      <c r="AA1877" t="s">
        <v>16062</v>
      </c>
      <c r="AB1877" t="s">
        <v>20711</v>
      </c>
    </row>
    <row r="1878" spans="1:28" x14ac:dyDescent="0.25">
      <c r="A1878" t="s">
        <v>1882</v>
      </c>
      <c r="B1878">
        <v>0.99904790336628502</v>
      </c>
      <c r="C1878">
        <v>1.14048360881757</v>
      </c>
      <c r="D1878">
        <v>1.0843021927557699</v>
      </c>
      <c r="E1878">
        <v>0.81201340212612505</v>
      </c>
      <c r="F1878">
        <v>0.61191700610292499</v>
      </c>
      <c r="G1878">
        <v>0.36763981927999401</v>
      </c>
      <c r="H1878">
        <v>0.32653042435065499</v>
      </c>
      <c r="I1878">
        <v>0.32117797802801801</v>
      </c>
      <c r="J1878">
        <v>0.33000212107407301</v>
      </c>
      <c r="K1878">
        <v>0.29186772796365801</v>
      </c>
      <c r="L1878">
        <v>1473.0524564962</v>
      </c>
      <c r="M1878">
        <v>28.173129871660102</v>
      </c>
      <c r="N1878">
        <v>54.1758836403015</v>
      </c>
      <c r="O1878">
        <v>52.0244181991959</v>
      </c>
      <c r="P1878">
        <v>-9.3023836764584394E-2</v>
      </c>
      <c r="Q1878">
        <v>0.31289556591539702</v>
      </c>
      <c r="R1878">
        <v>0.97029534910281301</v>
      </c>
      <c r="S1878" t="s">
        <v>6618</v>
      </c>
      <c r="T1878" t="s">
        <v>9478</v>
      </c>
      <c r="U1878" t="s">
        <v>9478</v>
      </c>
      <c r="V1878" t="s">
        <v>9478</v>
      </c>
      <c r="W1878">
        <v>6</v>
      </c>
      <c r="X1878" t="s">
        <v>11356</v>
      </c>
      <c r="Y1878">
        <v>0.5992712998542522</v>
      </c>
      <c r="Z1878" t="str">
        <f>HYPERLINK("Melting_Curves/meltCurve_sp_Q14161_GIT2_HUMAN_.pdf", "Melting_Curves/meltCurve_sp_Q14161_GIT2_HUMAN_.pdf")</f>
        <v>Melting_Curves/meltCurve_sp_Q14161_GIT2_HUMAN_.pdf</v>
      </c>
      <c r="AA1878" t="s">
        <v>16063</v>
      </c>
      <c r="AB1878" t="s">
        <v>20712</v>
      </c>
    </row>
    <row r="1879" spans="1:28" x14ac:dyDescent="0.25">
      <c r="A1879" t="s">
        <v>1883</v>
      </c>
      <c r="B1879">
        <v>0.99904790336628502</v>
      </c>
      <c r="C1879">
        <v>0.82629389149641397</v>
      </c>
      <c r="D1879">
        <v>0.40090942429668802</v>
      </c>
      <c r="E1879">
        <v>0.20466821114303199</v>
      </c>
      <c r="F1879">
        <v>0.12434073722109899</v>
      </c>
      <c r="G1879">
        <v>9.0797983006431396E-2</v>
      </c>
      <c r="H1879">
        <v>6.1738920823759098E-2</v>
      </c>
      <c r="I1879">
        <v>5.7697406261815798E-2</v>
      </c>
      <c r="J1879">
        <v>4.9463696109978701E-2</v>
      </c>
      <c r="K1879">
        <v>4.3318949208188497E-2</v>
      </c>
      <c r="L1879">
        <v>1107.7065726507701</v>
      </c>
      <c r="M1879">
        <v>24.489078469967598</v>
      </c>
      <c r="N1879">
        <v>45.514245892725597</v>
      </c>
      <c r="O1879">
        <v>44.934298783613201</v>
      </c>
      <c r="P1879">
        <v>-0.126673664059995</v>
      </c>
      <c r="Q1879">
        <v>7.0294366234554595E-2</v>
      </c>
      <c r="R1879">
        <v>0.99221575166084097</v>
      </c>
      <c r="S1879" t="s">
        <v>6619</v>
      </c>
      <c r="T1879" t="s">
        <v>9478</v>
      </c>
      <c r="U1879" t="s">
        <v>9478</v>
      </c>
      <c r="V1879" t="s">
        <v>9478</v>
      </c>
      <c r="W1879">
        <v>14</v>
      </c>
      <c r="X1879" t="s">
        <v>11357</v>
      </c>
      <c r="Y1879">
        <v>0.24197029211234161</v>
      </c>
      <c r="Z1879" t="str">
        <f>HYPERLINK("Melting_Curves/meltCurve_sp_Q14166_TTL12_HUMAN_.pdf", "Melting_Curves/meltCurve_sp_Q14166_TTL12_HUMAN_.pdf")</f>
        <v>Melting_Curves/meltCurve_sp_Q14166_TTL12_HUMAN_.pdf</v>
      </c>
      <c r="AA1879" t="s">
        <v>16064</v>
      </c>
      <c r="AB1879" t="s">
        <v>20713</v>
      </c>
    </row>
    <row r="1880" spans="1:28" x14ac:dyDescent="0.25">
      <c r="A1880" t="s">
        <v>1884</v>
      </c>
      <c r="B1880">
        <v>0.99904790336628502</v>
      </c>
      <c r="C1880">
        <v>0.89551609326816695</v>
      </c>
      <c r="D1880">
        <v>0.93428530649905905</v>
      </c>
      <c r="E1880">
        <v>1.01917930487662</v>
      </c>
      <c r="F1880">
        <v>0.697476783338982</v>
      </c>
      <c r="G1880">
        <v>0.34308492958755399</v>
      </c>
      <c r="H1880">
        <v>0.10760716705222501</v>
      </c>
      <c r="I1880">
        <v>5.7439746356385199E-2</v>
      </c>
      <c r="J1880">
        <v>1.33759583570577E-2</v>
      </c>
      <c r="K1880">
        <v>1.5715102608411E-2</v>
      </c>
      <c r="L1880">
        <v>1354.0332992752301</v>
      </c>
      <c r="M1880">
        <v>24.506052826841</v>
      </c>
      <c r="N1880">
        <v>55.315996953230602</v>
      </c>
      <c r="O1880">
        <v>54.889030485905899</v>
      </c>
      <c r="P1880">
        <v>-0.11008283009887999</v>
      </c>
      <c r="Q1880">
        <v>1.37535550299229E-2</v>
      </c>
      <c r="R1880">
        <v>0.98589608464776302</v>
      </c>
      <c r="S1880" t="s">
        <v>6620</v>
      </c>
      <c r="T1880" t="s">
        <v>9478</v>
      </c>
      <c r="U1880" t="s">
        <v>9478</v>
      </c>
      <c r="V1880" t="s">
        <v>9478</v>
      </c>
      <c r="W1880">
        <v>1</v>
      </c>
      <c r="X1880" t="s">
        <v>11358</v>
      </c>
      <c r="Y1880">
        <v>0.52462699925778822</v>
      </c>
      <c r="Z1880" t="str">
        <f>HYPERLINK("Melting_Curves/meltCurve_sp_Q14181_DPOA2_HUMAN_.pdf", "Melting_Curves/meltCurve_sp_Q14181_DPOA2_HUMAN_.pdf")</f>
        <v>Melting_Curves/meltCurve_sp_Q14181_DPOA2_HUMAN_.pdf</v>
      </c>
      <c r="AA1880" t="s">
        <v>16065</v>
      </c>
      <c r="AB1880" t="s">
        <v>20714</v>
      </c>
    </row>
    <row r="1881" spans="1:28" x14ac:dyDescent="0.25">
      <c r="A1881" t="s">
        <v>1885</v>
      </c>
      <c r="B1881">
        <v>0.99904790336628502</v>
      </c>
      <c r="C1881">
        <v>1.08034971150865</v>
      </c>
      <c r="D1881">
        <v>1.1989696316743399</v>
      </c>
      <c r="E1881">
        <v>0.77730546381268395</v>
      </c>
      <c r="F1881">
        <v>0.34365998267959302</v>
      </c>
      <c r="G1881">
        <v>0.14190442028347799</v>
      </c>
      <c r="H1881">
        <v>0.11553382584791</v>
      </c>
      <c r="I1881">
        <v>0.10722334168004299</v>
      </c>
      <c r="J1881">
        <v>0.11115488057152299</v>
      </c>
      <c r="K1881">
        <v>0.15628468929372799</v>
      </c>
      <c r="L1881">
        <v>2114.7758528505101</v>
      </c>
      <c r="M1881">
        <v>41.079790419188001</v>
      </c>
      <c r="N1881">
        <v>51.839938759170401</v>
      </c>
      <c r="O1881">
        <v>51.358171168022501</v>
      </c>
      <c r="P1881">
        <v>-0.17513754954487001</v>
      </c>
      <c r="Q1881">
        <v>0.12417006866195</v>
      </c>
      <c r="R1881">
        <v>0.97280358372416098</v>
      </c>
      <c r="S1881" t="s">
        <v>6621</v>
      </c>
      <c r="T1881" t="s">
        <v>9478</v>
      </c>
      <c r="U1881" t="s">
        <v>9478</v>
      </c>
      <c r="V1881" t="s">
        <v>9478</v>
      </c>
      <c r="W1881">
        <v>2</v>
      </c>
      <c r="X1881" t="s">
        <v>11359</v>
      </c>
      <c r="Y1881">
        <v>0.46226578691837072</v>
      </c>
      <c r="Z1881" t="str">
        <f>HYPERLINK("Melting_Curves/meltCurve_sp_Q14185_DOCK1_HUMAN_.pdf", "Melting_Curves/meltCurve_sp_Q14185_DOCK1_HUMAN_.pdf")</f>
        <v>Melting_Curves/meltCurve_sp_Q14185_DOCK1_HUMAN_.pdf</v>
      </c>
      <c r="AA1881" t="s">
        <v>16066</v>
      </c>
      <c r="AB1881" t="s">
        <v>20715</v>
      </c>
    </row>
    <row r="1882" spans="1:28" x14ac:dyDescent="0.25">
      <c r="A1882" t="s">
        <v>1886</v>
      </c>
      <c r="B1882">
        <v>0.99904790336628502</v>
      </c>
      <c r="C1882">
        <v>0.93797916515076196</v>
      </c>
      <c r="D1882">
        <v>0.88580071832555696</v>
      </c>
      <c r="E1882">
        <v>0.84295822096778905</v>
      </c>
      <c r="F1882">
        <v>0.78393947976854605</v>
      </c>
      <c r="G1882">
        <v>0.54455012045134099</v>
      </c>
      <c r="H1882">
        <v>0.492060214369756</v>
      </c>
      <c r="I1882">
        <v>0.47859902354279599</v>
      </c>
      <c r="J1882">
        <v>0.44940014536460698</v>
      </c>
      <c r="K1882">
        <v>0.44487703455262301</v>
      </c>
      <c r="L1882">
        <v>653.91686560605206</v>
      </c>
      <c r="M1882">
        <v>12.1716834218157</v>
      </c>
      <c r="N1882">
        <v>61.694302485930301</v>
      </c>
      <c r="O1882">
        <v>52.3359642317115</v>
      </c>
      <c r="P1882">
        <v>-3.5112775642086799E-2</v>
      </c>
      <c r="Q1882">
        <v>0.39622426750357198</v>
      </c>
      <c r="R1882">
        <v>0.97633300480713803</v>
      </c>
      <c r="S1882" t="s">
        <v>6622</v>
      </c>
      <c r="T1882" t="s">
        <v>9478</v>
      </c>
      <c r="U1882" t="s">
        <v>9478</v>
      </c>
      <c r="V1882" t="s">
        <v>9478</v>
      </c>
      <c r="W1882">
        <v>8</v>
      </c>
      <c r="X1882" t="s">
        <v>11360</v>
      </c>
      <c r="Y1882">
        <v>0.68839181591426191</v>
      </c>
      <c r="Z1882" t="str">
        <f>HYPERLINK("Melting_Curves/meltCurve_sp_Q14192_FHL2_HUMAN_.pdf", "Melting_Curves/meltCurve_sp_Q14192_FHL2_HUMAN_.pdf")</f>
        <v>Melting_Curves/meltCurve_sp_Q14192_FHL2_HUMAN_.pdf</v>
      </c>
      <c r="AA1882" t="s">
        <v>16067</v>
      </c>
      <c r="AB1882" t="s">
        <v>20716</v>
      </c>
    </row>
    <row r="1883" spans="1:28" x14ac:dyDescent="0.25">
      <c r="A1883" t="s">
        <v>1887</v>
      </c>
      <c r="B1883">
        <v>0.99904790336628502</v>
      </c>
      <c r="C1883">
        <v>1.0505112058827999</v>
      </c>
      <c r="D1883">
        <v>0.99125653582436901</v>
      </c>
      <c r="E1883">
        <v>0.75881108419732202</v>
      </c>
      <c r="F1883">
        <v>0.48959836467796802</v>
      </c>
      <c r="G1883">
        <v>0.232193240735106</v>
      </c>
      <c r="H1883">
        <v>0.121311379454874</v>
      </c>
      <c r="I1883">
        <v>8.4199262248028706E-2</v>
      </c>
      <c r="J1883">
        <v>6.6615178517263604E-2</v>
      </c>
      <c r="K1883">
        <v>5.4091811520715398E-2</v>
      </c>
      <c r="L1883">
        <v>1117.8761055351799</v>
      </c>
      <c r="M1883">
        <v>21.230894456871699</v>
      </c>
      <c r="N1883">
        <v>52.983726850794</v>
      </c>
      <c r="O1883">
        <v>52.192819762018701</v>
      </c>
      <c r="P1883">
        <v>-9.5390367603604004E-2</v>
      </c>
      <c r="Q1883">
        <v>6.2015156942593401E-2</v>
      </c>
      <c r="R1883">
        <v>0.99682560351179705</v>
      </c>
      <c r="S1883" t="s">
        <v>6623</v>
      </c>
      <c r="T1883" t="s">
        <v>9478</v>
      </c>
      <c r="U1883" t="s">
        <v>9478</v>
      </c>
      <c r="V1883" t="s">
        <v>9478</v>
      </c>
      <c r="W1883">
        <v>37</v>
      </c>
      <c r="X1883" t="s">
        <v>11361</v>
      </c>
      <c r="Y1883">
        <v>0.46927720106148452</v>
      </c>
      <c r="Z1883" t="str">
        <f>HYPERLINK("Melting_Curves/meltCurve_sp_Q14203_6_DCTN1_HUMAN_.pdf", "Melting_Curves/meltCurve_sp_Q14203_6_DCTN1_HUMAN_.pdf")</f>
        <v>Melting_Curves/meltCurve_sp_Q14203_6_DCTN1_HUMAN_.pdf</v>
      </c>
      <c r="AA1883" t="s">
        <v>16068</v>
      </c>
      <c r="AB1883" t="s">
        <v>20717</v>
      </c>
    </row>
    <row r="1884" spans="1:28" x14ac:dyDescent="0.25">
      <c r="A1884" t="s">
        <v>1888</v>
      </c>
      <c r="B1884">
        <v>0.99904790336628502</v>
      </c>
      <c r="C1884">
        <v>1.0435116696523501</v>
      </c>
      <c r="D1884">
        <v>0.97529743616768305</v>
      </c>
      <c r="E1884">
        <v>0.47201661468727002</v>
      </c>
      <c r="F1884">
        <v>0.224382310285516</v>
      </c>
      <c r="G1884">
        <v>0.15346728699994</v>
      </c>
      <c r="H1884">
        <v>0.10021775950153899</v>
      </c>
      <c r="I1884">
        <v>6.8323019736933402E-2</v>
      </c>
      <c r="J1884">
        <v>5.5254877084994498E-2</v>
      </c>
      <c r="K1884">
        <v>4.2160689103932399E-2</v>
      </c>
      <c r="L1884">
        <v>1572.4088523839</v>
      </c>
      <c r="M1884">
        <v>31.624763459993002</v>
      </c>
      <c r="N1884">
        <v>50.005109003537903</v>
      </c>
      <c r="O1884">
        <v>49.5232675724085</v>
      </c>
      <c r="P1884">
        <v>-0.14651190347812801</v>
      </c>
      <c r="Q1884">
        <v>8.2274898714725306E-2</v>
      </c>
      <c r="R1884">
        <v>0.99291621656893803</v>
      </c>
      <c r="S1884" t="s">
        <v>6624</v>
      </c>
      <c r="T1884" t="s">
        <v>9478</v>
      </c>
      <c r="U1884" t="s">
        <v>9478</v>
      </c>
      <c r="V1884" t="s">
        <v>9478</v>
      </c>
      <c r="W1884">
        <v>113</v>
      </c>
      <c r="X1884" t="s">
        <v>11362</v>
      </c>
      <c r="Y1884">
        <v>0.38471986541891018</v>
      </c>
      <c r="Z1884" t="str">
        <f>HYPERLINK("Melting_Curves/meltCurve_sp_Q14204_DYHC1_HUMAN_.pdf", "Melting_Curves/meltCurve_sp_Q14204_DYHC1_HUMAN_.pdf")</f>
        <v>Melting_Curves/meltCurve_sp_Q14204_DYHC1_HUMAN_.pdf</v>
      </c>
      <c r="AA1884" t="s">
        <v>16069</v>
      </c>
      <c r="AB1884" t="s">
        <v>20718</v>
      </c>
    </row>
    <row r="1885" spans="1:28" x14ac:dyDescent="0.25">
      <c r="A1885" t="s">
        <v>1889</v>
      </c>
      <c r="B1885">
        <v>0.99904790336628502</v>
      </c>
      <c r="C1885">
        <v>0.95145378751439502</v>
      </c>
      <c r="D1885">
        <v>0.95567207094739004</v>
      </c>
      <c r="E1885">
        <v>0.84851568296072399</v>
      </c>
      <c r="F1885">
        <v>0.75388602066330401</v>
      </c>
      <c r="G1885">
        <v>0.49887407881447299</v>
      </c>
      <c r="H1885">
        <v>0.111878704959399</v>
      </c>
      <c r="I1885">
        <v>6.1096403910139603E-2</v>
      </c>
      <c r="J1885">
        <v>4.8338236412115397E-2</v>
      </c>
      <c r="K1885">
        <v>3.5162360135266503E-2</v>
      </c>
      <c r="L1885">
        <v>1060.92821797599</v>
      </c>
      <c r="M1885">
        <v>18.903870229236901</v>
      </c>
      <c r="N1885">
        <v>56.122275747707199</v>
      </c>
      <c r="O1885">
        <v>55.505554745922602</v>
      </c>
      <c r="P1885">
        <v>-8.5147509570274296E-2</v>
      </c>
      <c r="Q1885">
        <v>0</v>
      </c>
      <c r="R1885">
        <v>0.98911592471177101</v>
      </c>
      <c r="S1885" t="s">
        <v>6625</v>
      </c>
      <c r="T1885" t="s">
        <v>9478</v>
      </c>
      <c r="U1885" t="s">
        <v>9478</v>
      </c>
      <c r="V1885" t="s">
        <v>9478</v>
      </c>
      <c r="W1885">
        <v>11</v>
      </c>
      <c r="X1885" t="s">
        <v>11363</v>
      </c>
      <c r="Y1885">
        <v>0.55119434514887489</v>
      </c>
      <c r="Z1885" t="str">
        <f>HYPERLINK("Melting_Curves/meltCurve_sp_Q14232_EI2BA_HUMAN_.pdf", "Melting_Curves/meltCurve_sp_Q14232_EI2BA_HUMAN_.pdf")</f>
        <v>Melting_Curves/meltCurve_sp_Q14232_EI2BA_HUMAN_.pdf</v>
      </c>
      <c r="AA1885" t="s">
        <v>16070</v>
      </c>
      <c r="AB1885" t="s">
        <v>20719</v>
      </c>
    </row>
    <row r="1886" spans="1:28" x14ac:dyDescent="0.25">
      <c r="A1886" t="s">
        <v>1890</v>
      </c>
      <c r="B1886">
        <v>0.99904790336628502</v>
      </c>
      <c r="C1886">
        <v>0.99949008494048297</v>
      </c>
      <c r="D1886">
        <v>0.96795456445541705</v>
      </c>
      <c r="E1886">
        <v>0.91501101800214402</v>
      </c>
      <c r="F1886">
        <v>0.84439095159238298</v>
      </c>
      <c r="G1886">
        <v>0.56632055809918402</v>
      </c>
      <c r="H1886">
        <v>9.6184013676694005E-2</v>
      </c>
      <c r="I1886">
        <v>4.2542003302271099E-2</v>
      </c>
      <c r="J1886">
        <v>2.8937151164606101E-2</v>
      </c>
      <c r="K1886">
        <v>2.7278673945885401E-2</v>
      </c>
      <c r="L1886">
        <v>1512.0367033175701</v>
      </c>
      <c r="M1886">
        <v>26.4805707346238</v>
      </c>
      <c r="N1886">
        <v>57.099864176170698</v>
      </c>
      <c r="O1886">
        <v>56.7771996155357</v>
      </c>
      <c r="P1886">
        <v>-0.116599860095774</v>
      </c>
      <c r="Q1886">
        <v>0</v>
      </c>
      <c r="R1886">
        <v>0.99245774579170898</v>
      </c>
      <c r="S1886" t="s">
        <v>6626</v>
      </c>
      <c r="T1886" t="s">
        <v>9478</v>
      </c>
      <c r="U1886" t="s">
        <v>9478</v>
      </c>
      <c r="V1886" t="s">
        <v>9478</v>
      </c>
      <c r="W1886">
        <v>21</v>
      </c>
      <c r="X1886" t="s">
        <v>11364</v>
      </c>
      <c r="Y1886">
        <v>0.57820327312494024</v>
      </c>
      <c r="Z1886" t="str">
        <f>HYPERLINK("Melting_Curves/meltCurve_sp_Q14240_IF4A2_HUMAN_.pdf", "Melting_Curves/meltCurve_sp_Q14240_IF4A2_HUMAN_.pdf")</f>
        <v>Melting_Curves/meltCurve_sp_Q14240_IF4A2_HUMAN_.pdf</v>
      </c>
      <c r="AA1886" t="s">
        <v>16071</v>
      </c>
      <c r="AB1886" t="s">
        <v>20720</v>
      </c>
    </row>
    <row r="1887" spans="1:28" x14ac:dyDescent="0.25">
      <c r="A1887" t="s">
        <v>1891</v>
      </c>
      <c r="B1887">
        <v>0.99904790336628502</v>
      </c>
      <c r="C1887">
        <v>0.95105584364892704</v>
      </c>
      <c r="D1887">
        <v>0.95113453543340098</v>
      </c>
      <c r="E1887">
        <v>0.75857362890370095</v>
      </c>
      <c r="F1887">
        <v>0.66263703495800197</v>
      </c>
      <c r="G1887">
        <v>0.48691566694705501</v>
      </c>
      <c r="H1887">
        <v>0.44476350343308102</v>
      </c>
      <c r="I1887">
        <v>0.38684083186180002</v>
      </c>
      <c r="J1887">
        <v>0.37804934513664801</v>
      </c>
      <c r="K1887">
        <v>0.41907586930633201</v>
      </c>
      <c r="L1887">
        <v>825.64872792313599</v>
      </c>
      <c r="M1887">
        <v>15.9062210269195</v>
      </c>
      <c r="N1887">
        <v>56.995241382200298</v>
      </c>
      <c r="O1887">
        <v>51.107629828536503</v>
      </c>
      <c r="P1887">
        <v>-4.8311695902997401E-2</v>
      </c>
      <c r="Q1887">
        <v>0.37913649181137599</v>
      </c>
      <c r="R1887">
        <v>0.99249793656260299</v>
      </c>
      <c r="S1887" t="s">
        <v>6627</v>
      </c>
      <c r="T1887" t="s">
        <v>9478</v>
      </c>
      <c r="U1887" t="s">
        <v>9478</v>
      </c>
      <c r="V1887" t="s">
        <v>9478</v>
      </c>
      <c r="W1887">
        <v>8</v>
      </c>
      <c r="X1887" t="s">
        <v>11365</v>
      </c>
      <c r="Y1887">
        <v>0.63826290919275663</v>
      </c>
      <c r="Z1887" t="str">
        <f>HYPERLINK("Melting_Curves/meltCurve_sp_Q14241_ELOA1_HUMAN_.pdf", "Melting_Curves/meltCurve_sp_Q14241_ELOA1_HUMAN_.pdf")</f>
        <v>Melting_Curves/meltCurve_sp_Q14241_ELOA1_HUMAN_.pdf</v>
      </c>
      <c r="AA1887" t="s">
        <v>16072</v>
      </c>
      <c r="AB1887" t="s">
        <v>20721</v>
      </c>
    </row>
    <row r="1888" spans="1:28" x14ac:dyDescent="0.25">
      <c r="A1888" t="s">
        <v>1892</v>
      </c>
      <c r="B1888">
        <v>0.99904790336628502</v>
      </c>
      <c r="C1888">
        <v>1.0181058561098999</v>
      </c>
      <c r="D1888">
        <v>0.979574541515705</v>
      </c>
      <c r="E1888">
        <v>0.93053704848102903</v>
      </c>
      <c r="F1888">
        <v>0.99511945047878403</v>
      </c>
      <c r="G1888">
        <v>0.76022927356863201</v>
      </c>
      <c r="H1888">
        <v>0.68526033169461498</v>
      </c>
      <c r="I1888">
        <v>0.67093073390094504</v>
      </c>
      <c r="J1888">
        <v>0.74773470814364495</v>
      </c>
      <c r="K1888">
        <v>0.75120863144546002</v>
      </c>
      <c r="L1888">
        <v>4591.6620493134296</v>
      </c>
      <c r="M1888">
        <v>82.206886248450303</v>
      </c>
      <c r="O1888">
        <v>55.821926476080499</v>
      </c>
      <c r="P1888">
        <v>-0.10537152007487199</v>
      </c>
      <c r="Q1888">
        <v>0.71379328057470803</v>
      </c>
      <c r="R1888">
        <v>0.94075894772436996</v>
      </c>
      <c r="S1888" t="s">
        <v>6628</v>
      </c>
      <c r="T1888" t="s">
        <v>9478</v>
      </c>
      <c r="U1888" t="s">
        <v>9478</v>
      </c>
      <c r="V1888" t="s">
        <v>9478</v>
      </c>
      <c r="W1888">
        <v>14</v>
      </c>
      <c r="X1888" t="s">
        <v>11366</v>
      </c>
      <c r="Y1888">
        <v>0.86531305571416839</v>
      </c>
      <c r="Z1888" t="str">
        <f>HYPERLINK("Melting_Curves/meltCurve_sp_Q14244_2_MAP7_HUMAN_.pdf", "Melting_Curves/meltCurve_sp_Q14244_2_MAP7_HUMAN_.pdf")</f>
        <v>Melting_Curves/meltCurve_sp_Q14244_2_MAP7_HUMAN_.pdf</v>
      </c>
      <c r="AA1888" t="s">
        <v>16073</v>
      </c>
      <c r="AB1888" t="s">
        <v>20722</v>
      </c>
    </row>
    <row r="1889" spans="1:28" x14ac:dyDescent="0.25">
      <c r="A1889" t="s">
        <v>1893</v>
      </c>
      <c r="B1889">
        <v>0.99904790336628502</v>
      </c>
      <c r="C1889">
        <v>0.89222357510936401</v>
      </c>
      <c r="D1889">
        <v>0.94604912084152903</v>
      </c>
      <c r="E1889">
        <v>0.89055336177673605</v>
      </c>
      <c r="F1889">
        <v>0.88160200339195705</v>
      </c>
      <c r="G1889">
        <v>0.63396731493668201</v>
      </c>
      <c r="H1889">
        <v>0.69525608870421496</v>
      </c>
      <c r="I1889">
        <v>0.47734286049424401</v>
      </c>
      <c r="J1889">
        <v>0.56434359874219697</v>
      </c>
      <c r="K1889">
        <v>0.56215249815203405</v>
      </c>
      <c r="L1889">
        <v>668.87986942886505</v>
      </c>
      <c r="M1889">
        <v>12.0808317213243</v>
      </c>
      <c r="O1889">
        <v>53.915437601397599</v>
      </c>
      <c r="P1889">
        <v>-2.84118866473126E-2</v>
      </c>
      <c r="Q1889">
        <v>0.49292245281814001</v>
      </c>
      <c r="R1889">
        <v>0.88914828949180702</v>
      </c>
      <c r="S1889" t="s">
        <v>6629</v>
      </c>
      <c r="T1889" t="s">
        <v>9478</v>
      </c>
      <c r="U1889" t="s">
        <v>9478</v>
      </c>
      <c r="V1889" t="s">
        <v>9478</v>
      </c>
      <c r="W1889">
        <v>33</v>
      </c>
      <c r="X1889" t="s">
        <v>11367</v>
      </c>
      <c r="Y1889">
        <v>0.76396660705662967</v>
      </c>
      <c r="Z1889" t="str">
        <f>HYPERLINK("Melting_Curves/meltCurve_sp_Q14247_3_SRC8_HUMAN_.pdf", "Melting_Curves/meltCurve_sp_Q14247_3_SRC8_HUMAN_.pdf")</f>
        <v>Melting_Curves/meltCurve_sp_Q14247_3_SRC8_HUMAN_.pdf</v>
      </c>
      <c r="AA1889" t="s">
        <v>16074</v>
      </c>
      <c r="AB1889" t="s">
        <v>20723</v>
      </c>
    </row>
    <row r="1890" spans="1:28" x14ac:dyDescent="0.25">
      <c r="A1890" t="s">
        <v>1894</v>
      </c>
      <c r="B1890">
        <v>0.99904790336628502</v>
      </c>
      <c r="C1890">
        <v>1.03866213577011</v>
      </c>
      <c r="D1890">
        <v>0.99998618371578296</v>
      </c>
      <c r="E1890">
        <v>1.01787386543182</v>
      </c>
      <c r="F1890">
        <v>1.0579094291000299</v>
      </c>
      <c r="G1890">
        <v>0.82950825603743195</v>
      </c>
      <c r="H1890">
        <v>0.786295282879244</v>
      </c>
      <c r="I1890">
        <v>0.79761406465388196</v>
      </c>
      <c r="J1890">
        <v>0.83706029245077695</v>
      </c>
      <c r="K1890">
        <v>0.88045170045464005</v>
      </c>
      <c r="L1890">
        <v>14038.268207876699</v>
      </c>
      <c r="M1890">
        <v>250</v>
      </c>
      <c r="O1890">
        <v>56.149490011970201</v>
      </c>
      <c r="P1890">
        <v>-0.194397268196182</v>
      </c>
      <c r="Q1890">
        <v>0.82535511358888403</v>
      </c>
      <c r="R1890">
        <v>0.89832711726803705</v>
      </c>
      <c r="S1890" t="s">
        <v>6630</v>
      </c>
      <c r="T1890" t="s">
        <v>9478</v>
      </c>
      <c r="U1890" t="s">
        <v>9478</v>
      </c>
      <c r="V1890" t="s">
        <v>9478</v>
      </c>
      <c r="W1890">
        <v>37</v>
      </c>
      <c r="X1890" t="s">
        <v>11368</v>
      </c>
      <c r="Y1890">
        <v>0.91940737678108653</v>
      </c>
      <c r="Z1890" t="str">
        <f>HYPERLINK("Melting_Curves/meltCurve_sp_Q14247_SRC8_HUMAN_.pdf", "Melting_Curves/meltCurve_sp_Q14247_SRC8_HUMAN_.pdf")</f>
        <v>Melting_Curves/meltCurve_sp_Q14247_SRC8_HUMAN_.pdf</v>
      </c>
      <c r="AA1890" t="s">
        <v>16074</v>
      </c>
      <c r="AB1890" t="s">
        <v>20724</v>
      </c>
    </row>
    <row r="1891" spans="1:28" x14ac:dyDescent="0.25">
      <c r="A1891" t="s">
        <v>1895</v>
      </c>
      <c r="B1891">
        <v>0.99904790336628502</v>
      </c>
      <c r="C1891">
        <v>1.02470227092273</v>
      </c>
      <c r="D1891">
        <v>0.88221521524618796</v>
      </c>
      <c r="E1891">
        <v>0.65015214364832996</v>
      </c>
      <c r="F1891">
        <v>0.35457499127348902</v>
      </c>
      <c r="G1891">
        <v>0.22724808676168801</v>
      </c>
      <c r="H1891">
        <v>0.13423412007958399</v>
      </c>
      <c r="I1891">
        <v>6.49905634515133E-2</v>
      </c>
      <c r="J1891">
        <v>5.55659818512401E-2</v>
      </c>
      <c r="K1891">
        <v>5.6996754583687498E-2</v>
      </c>
      <c r="L1891">
        <v>927.72246790556301</v>
      </c>
      <c r="M1891">
        <v>18.0936359331657</v>
      </c>
      <c r="N1891">
        <v>51.620438855786396</v>
      </c>
      <c r="O1891">
        <v>50.659407947091701</v>
      </c>
      <c r="P1891">
        <v>-8.4181468242455093E-2</v>
      </c>
      <c r="Q1891">
        <v>5.7264728823824697E-2</v>
      </c>
      <c r="R1891">
        <v>0.99500976507611605</v>
      </c>
      <c r="S1891" t="s">
        <v>6631</v>
      </c>
      <c r="T1891" t="s">
        <v>9478</v>
      </c>
      <c r="U1891" t="s">
        <v>9478</v>
      </c>
      <c r="V1891" t="s">
        <v>9478</v>
      </c>
      <c r="W1891">
        <v>2</v>
      </c>
      <c r="X1891" t="s">
        <v>11369</v>
      </c>
      <c r="Y1891">
        <v>0.4272141658175288</v>
      </c>
      <c r="Z1891" t="str">
        <f>HYPERLINK("Melting_Curves/meltCurve_sp_Q14249_NUCG_HUMAN_.pdf", "Melting_Curves/meltCurve_sp_Q14249_NUCG_HUMAN_.pdf")</f>
        <v>Melting_Curves/meltCurve_sp_Q14249_NUCG_HUMAN_.pdf</v>
      </c>
      <c r="AA1891" t="s">
        <v>16075</v>
      </c>
      <c r="AB1891" t="s">
        <v>20725</v>
      </c>
    </row>
    <row r="1892" spans="1:28" x14ac:dyDescent="0.25">
      <c r="A1892" t="s">
        <v>1896</v>
      </c>
      <c r="B1892">
        <v>0.99904790336628502</v>
      </c>
      <c r="C1892">
        <v>1.10939989917702</v>
      </c>
      <c r="D1892">
        <v>1.0600585372406499</v>
      </c>
      <c r="E1892">
        <v>0.70475553381364298</v>
      </c>
      <c r="F1892">
        <v>0.47973420977389297</v>
      </c>
      <c r="G1892">
        <v>0.33759883487508202</v>
      </c>
      <c r="H1892">
        <v>0.303984076613243</v>
      </c>
      <c r="I1892">
        <v>0.29050367818065598</v>
      </c>
      <c r="J1892">
        <v>0.302262176803612</v>
      </c>
      <c r="K1892">
        <v>0.21569686700620999</v>
      </c>
      <c r="L1892">
        <v>1506.00648504887</v>
      </c>
      <c r="M1892">
        <v>29.541096646633399</v>
      </c>
      <c r="N1892">
        <v>52.464976535416199</v>
      </c>
      <c r="O1892">
        <v>50.748146828735401</v>
      </c>
      <c r="P1892">
        <v>-0.104300134519206</v>
      </c>
      <c r="Q1892">
        <v>0.28330330502705298</v>
      </c>
      <c r="R1892">
        <v>0.97545763883578995</v>
      </c>
      <c r="S1892" t="s">
        <v>6632</v>
      </c>
      <c r="T1892" t="s">
        <v>9478</v>
      </c>
      <c r="U1892" t="s">
        <v>9478</v>
      </c>
      <c r="V1892" t="s">
        <v>9478</v>
      </c>
      <c r="W1892">
        <v>3</v>
      </c>
      <c r="X1892" t="s">
        <v>11370</v>
      </c>
      <c r="Y1892">
        <v>0.55026134175234109</v>
      </c>
      <c r="Z1892" t="str">
        <f>HYPERLINK("Melting_Curves/meltCurve_sp_Q14257_RCN2_HUMAN_.pdf", "Melting_Curves/meltCurve_sp_Q14257_RCN2_HUMAN_.pdf")</f>
        <v>Melting_Curves/meltCurve_sp_Q14257_RCN2_HUMAN_.pdf</v>
      </c>
      <c r="AA1892" t="s">
        <v>16076</v>
      </c>
      <c r="AB1892" t="s">
        <v>20726</v>
      </c>
    </row>
    <row r="1893" spans="1:28" x14ac:dyDescent="0.25">
      <c r="A1893" t="s">
        <v>1897</v>
      </c>
      <c r="B1893">
        <v>0.99904790336628502</v>
      </c>
      <c r="C1893">
        <v>0.92652103593165103</v>
      </c>
      <c r="D1893">
        <v>0.93221351100174099</v>
      </c>
      <c r="E1893">
        <v>0.84040332772848203</v>
      </c>
      <c r="F1893">
        <v>0.56398141858151196</v>
      </c>
      <c r="G1893">
        <v>0.309191068164066</v>
      </c>
      <c r="H1893">
        <v>0.20255504002979899</v>
      </c>
      <c r="I1893">
        <v>0.15748547642878699</v>
      </c>
      <c r="J1893">
        <v>0.15378326458967301</v>
      </c>
      <c r="K1893">
        <v>0.14585797454829399</v>
      </c>
      <c r="L1893">
        <v>1074.21152643401</v>
      </c>
      <c r="M1893">
        <v>20.226128397783398</v>
      </c>
      <c r="N1893">
        <v>53.9706354300708</v>
      </c>
      <c r="O1893">
        <v>52.599113261568398</v>
      </c>
      <c r="P1893">
        <v>-8.2885875178321897E-2</v>
      </c>
      <c r="Q1893">
        <v>0.13783060778650399</v>
      </c>
      <c r="R1893">
        <v>0.99451298029646495</v>
      </c>
      <c r="S1893" t="s">
        <v>6633</v>
      </c>
      <c r="T1893" t="s">
        <v>9478</v>
      </c>
      <c r="U1893" t="s">
        <v>9478</v>
      </c>
      <c r="V1893" t="s">
        <v>9478</v>
      </c>
      <c r="W1893">
        <v>20</v>
      </c>
      <c r="X1893" t="s">
        <v>11371</v>
      </c>
      <c r="Y1893">
        <v>0.52622325734808217</v>
      </c>
      <c r="Z1893" t="str">
        <f>HYPERLINK("Melting_Curves/meltCurve_sp_Q14258_TRI25_HUMAN_.pdf", "Melting_Curves/meltCurve_sp_Q14258_TRI25_HUMAN_.pdf")</f>
        <v>Melting_Curves/meltCurve_sp_Q14258_TRI25_HUMAN_.pdf</v>
      </c>
      <c r="AA1893" t="s">
        <v>16077</v>
      </c>
      <c r="AB1893" t="s">
        <v>20727</v>
      </c>
    </row>
    <row r="1894" spans="1:28" x14ac:dyDescent="0.25">
      <c r="A1894" t="s">
        <v>1898</v>
      </c>
      <c r="B1894">
        <v>0.99904790336628502</v>
      </c>
      <c r="C1894">
        <v>1.0880687343352899</v>
      </c>
      <c r="D1894">
        <v>1.10125284320685</v>
      </c>
      <c r="E1894">
        <v>0.95253402609403304</v>
      </c>
      <c r="F1894">
        <v>0.57718979193278497</v>
      </c>
      <c r="G1894">
        <v>0.22586875573746401</v>
      </c>
      <c r="H1894">
        <v>8.2035030626061795E-2</v>
      </c>
      <c r="I1894">
        <v>5.3085199803691099E-2</v>
      </c>
      <c r="J1894">
        <v>3.4817684959358497E-2</v>
      </c>
      <c r="K1894">
        <v>3.1719032705555303E-2</v>
      </c>
      <c r="L1894">
        <v>1616.22362538535</v>
      </c>
      <c r="M1894">
        <v>30.0954511073164</v>
      </c>
      <c r="N1894">
        <v>53.877954352280398</v>
      </c>
      <c r="O1894">
        <v>53.467814982805997</v>
      </c>
      <c r="P1894">
        <v>-0.134176805526704</v>
      </c>
      <c r="Q1894">
        <v>4.6487873103388401E-2</v>
      </c>
      <c r="R1894">
        <v>0.98783555260813605</v>
      </c>
      <c r="S1894" t="s">
        <v>6634</v>
      </c>
      <c r="T1894" t="s">
        <v>9478</v>
      </c>
      <c r="U1894" t="s">
        <v>9478</v>
      </c>
      <c r="V1894" t="s">
        <v>9478</v>
      </c>
      <c r="W1894">
        <v>2</v>
      </c>
      <c r="X1894" t="s">
        <v>11372</v>
      </c>
      <c r="Y1894">
        <v>0.48823138558744211</v>
      </c>
      <c r="Z1894" t="str">
        <f>HYPERLINK("Melting_Curves/meltCurve_sp_Q14289_2_FAK2_HUMAN_.pdf", "Melting_Curves/meltCurve_sp_Q14289_2_FAK2_HUMAN_.pdf")</f>
        <v>Melting_Curves/meltCurve_sp_Q14289_2_FAK2_HUMAN_.pdf</v>
      </c>
      <c r="AA1894" t="s">
        <v>16078</v>
      </c>
      <c r="AB1894" t="s">
        <v>20728</v>
      </c>
    </row>
    <row r="1895" spans="1:28" x14ac:dyDescent="0.25">
      <c r="A1895" t="s">
        <v>1899</v>
      </c>
      <c r="B1895">
        <v>0.99904790336628502</v>
      </c>
      <c r="C1895">
        <v>0.99063668891525403</v>
      </c>
      <c r="D1895">
        <v>0.92555375554228103</v>
      </c>
      <c r="E1895">
        <v>0.786985428592754</v>
      </c>
      <c r="F1895">
        <v>0.51348294522210702</v>
      </c>
      <c r="G1895">
        <v>0.245565343468646</v>
      </c>
      <c r="H1895">
        <v>0.13865064546957301</v>
      </c>
      <c r="I1895">
        <v>8.8774254683901696E-2</v>
      </c>
      <c r="J1895">
        <v>7.9637462744867896E-2</v>
      </c>
      <c r="K1895">
        <v>5.3357300415317298E-2</v>
      </c>
      <c r="L1895">
        <v>1003.10113472632</v>
      </c>
      <c r="M1895">
        <v>18.944277695558899</v>
      </c>
      <c r="N1895">
        <v>53.279973638100799</v>
      </c>
      <c r="O1895">
        <v>52.370659491408503</v>
      </c>
      <c r="P1895">
        <v>-8.5432615171699797E-2</v>
      </c>
      <c r="Q1895">
        <v>5.5338617926220503E-2</v>
      </c>
      <c r="R1895">
        <v>0.99907722524415299</v>
      </c>
      <c r="S1895" t="s">
        <v>6635</v>
      </c>
      <c r="T1895" t="s">
        <v>9478</v>
      </c>
      <c r="U1895" t="s">
        <v>9478</v>
      </c>
      <c r="V1895" t="s">
        <v>9478</v>
      </c>
      <c r="W1895">
        <v>10</v>
      </c>
      <c r="X1895" t="s">
        <v>11373</v>
      </c>
      <c r="Y1895">
        <v>0.47736235587760428</v>
      </c>
      <c r="Z1895" t="str">
        <f>HYPERLINK("Melting_Curves/meltCurve_sp_Q14318_2_FKBP8_HUMAN_.pdf", "Melting_Curves/meltCurve_sp_Q14318_2_FKBP8_HUMAN_.pdf")</f>
        <v>Melting_Curves/meltCurve_sp_Q14318_2_FKBP8_HUMAN_.pdf</v>
      </c>
      <c r="AA1895" t="s">
        <v>16079</v>
      </c>
      <c r="AB1895" t="s">
        <v>20729</v>
      </c>
    </row>
    <row r="1896" spans="1:28" x14ac:dyDescent="0.25">
      <c r="A1896" t="s">
        <v>1900</v>
      </c>
      <c r="B1896">
        <v>0.99904790336628502</v>
      </c>
      <c r="C1896">
        <v>0.97591461948026004</v>
      </c>
      <c r="D1896">
        <v>0.92366312043007204</v>
      </c>
      <c r="E1896">
        <v>0.97093766036059603</v>
      </c>
      <c r="F1896">
        <v>0.73699842446360897</v>
      </c>
      <c r="G1896">
        <v>0.35236439759507299</v>
      </c>
      <c r="H1896">
        <v>0.25167265847044601</v>
      </c>
      <c r="I1896">
        <v>0.16534372510289599</v>
      </c>
      <c r="J1896">
        <v>0.17616963072689901</v>
      </c>
      <c r="K1896">
        <v>0.120373467331693</v>
      </c>
      <c r="L1896">
        <v>1444.4027355764899</v>
      </c>
      <c r="M1896">
        <v>26.421856868006898</v>
      </c>
      <c r="N1896">
        <v>55.447329816651397</v>
      </c>
      <c r="O1896">
        <v>54.356696241244897</v>
      </c>
      <c r="P1896">
        <v>-0.102652706320318</v>
      </c>
      <c r="Q1896">
        <v>0.15527482840368001</v>
      </c>
      <c r="R1896">
        <v>0.99177810341245998</v>
      </c>
      <c r="S1896" t="s">
        <v>6636</v>
      </c>
      <c r="T1896" t="s">
        <v>9478</v>
      </c>
      <c r="U1896" t="s">
        <v>9478</v>
      </c>
      <c r="V1896" t="s">
        <v>9478</v>
      </c>
      <c r="W1896">
        <v>10</v>
      </c>
      <c r="X1896" t="s">
        <v>11374</v>
      </c>
      <c r="Y1896">
        <v>0.57534036901568109</v>
      </c>
      <c r="Z1896" t="str">
        <f>HYPERLINK("Melting_Curves/meltCurve_sp_Q14318_FKBP8_HUMAN_.pdf", "Melting_Curves/meltCurve_sp_Q14318_FKBP8_HUMAN_.pdf")</f>
        <v>Melting_Curves/meltCurve_sp_Q14318_FKBP8_HUMAN_.pdf</v>
      </c>
      <c r="AA1896" t="s">
        <v>16079</v>
      </c>
      <c r="AB1896" t="s">
        <v>20730</v>
      </c>
    </row>
    <row r="1897" spans="1:28" x14ac:dyDescent="0.25">
      <c r="A1897" t="s">
        <v>1901</v>
      </c>
      <c r="B1897">
        <v>0.99904790336628502</v>
      </c>
      <c r="C1897">
        <v>0.94367450698591204</v>
      </c>
      <c r="D1897">
        <v>0.91802907117895705</v>
      </c>
      <c r="E1897">
        <v>0.89496587891130697</v>
      </c>
      <c r="F1897">
        <v>0.94277540185281306</v>
      </c>
      <c r="G1897">
        <v>0.65395895806045201</v>
      </c>
      <c r="H1897">
        <v>0.46485812513242503</v>
      </c>
      <c r="I1897">
        <v>0.35702435764096202</v>
      </c>
      <c r="J1897">
        <v>0.34588642685499099</v>
      </c>
      <c r="K1897">
        <v>0.33373610218120398</v>
      </c>
      <c r="L1897">
        <v>1194.9620503021999</v>
      </c>
      <c r="M1897">
        <v>20.891645051480101</v>
      </c>
      <c r="N1897">
        <v>59.970192705400301</v>
      </c>
      <c r="O1897">
        <v>56.681753310419602</v>
      </c>
      <c r="P1897">
        <v>-6.3614226210776906E-2</v>
      </c>
      <c r="Q1897">
        <v>0.30964420383135</v>
      </c>
      <c r="R1897">
        <v>0.97515693502810297</v>
      </c>
      <c r="S1897" t="s">
        <v>6637</v>
      </c>
      <c r="T1897" t="s">
        <v>9478</v>
      </c>
      <c r="U1897" t="s">
        <v>9478</v>
      </c>
      <c r="V1897" t="s">
        <v>9478</v>
      </c>
      <c r="W1897">
        <v>8</v>
      </c>
      <c r="X1897" t="s">
        <v>11375</v>
      </c>
      <c r="Y1897">
        <v>0.71332594574500885</v>
      </c>
      <c r="Z1897" t="str">
        <f>HYPERLINK("Melting_Curves/meltCurve_sp_Q14320_FA50A_HUMAN_.pdf", "Melting_Curves/meltCurve_sp_Q14320_FA50A_HUMAN_.pdf")</f>
        <v>Melting_Curves/meltCurve_sp_Q14320_FA50A_HUMAN_.pdf</v>
      </c>
      <c r="AA1897" t="s">
        <v>16080</v>
      </c>
      <c r="AB1897" t="s">
        <v>20731</v>
      </c>
    </row>
    <row r="1898" spans="1:28" x14ac:dyDescent="0.25">
      <c r="A1898" t="s">
        <v>1902</v>
      </c>
      <c r="B1898">
        <v>0.99904790336628502</v>
      </c>
      <c r="C1898">
        <v>0.90020749531980404</v>
      </c>
      <c r="D1898">
        <v>0.86142680936486504</v>
      </c>
      <c r="E1898">
        <v>0.81445506520602196</v>
      </c>
      <c r="F1898">
        <v>0.44076176881524298</v>
      </c>
      <c r="G1898">
        <v>0.100581929344013</v>
      </c>
      <c r="H1898">
        <v>5.6169071066511499E-2</v>
      </c>
      <c r="I1898">
        <v>3.8585935060564E-2</v>
      </c>
      <c r="J1898">
        <v>3.05151161252099E-2</v>
      </c>
      <c r="K1898">
        <v>2.2890508827865301E-2</v>
      </c>
      <c r="L1898">
        <v>1345.8899409893299</v>
      </c>
      <c r="M1898">
        <v>25.680772864425801</v>
      </c>
      <c r="N1898">
        <v>52.497283814069</v>
      </c>
      <c r="O1898">
        <v>52.093775834362297</v>
      </c>
      <c r="P1898">
        <v>-0.120624477891097</v>
      </c>
      <c r="Q1898">
        <v>2.1258638658118199E-2</v>
      </c>
      <c r="R1898">
        <v>0.98495208032158699</v>
      </c>
      <c r="S1898" t="s">
        <v>6638</v>
      </c>
      <c r="T1898" t="s">
        <v>9478</v>
      </c>
      <c r="U1898" t="s">
        <v>9478</v>
      </c>
      <c r="V1898" t="s">
        <v>9478</v>
      </c>
      <c r="W1898">
        <v>11</v>
      </c>
      <c r="X1898" t="s">
        <v>11376</v>
      </c>
      <c r="Y1898">
        <v>0.43460103874937261</v>
      </c>
      <c r="Z1898" t="str">
        <f>HYPERLINK("Melting_Curves/meltCurve_sp_Q14353_GAMT_HUMAN_.pdf", "Melting_Curves/meltCurve_sp_Q14353_GAMT_HUMAN_.pdf")</f>
        <v>Melting_Curves/meltCurve_sp_Q14353_GAMT_HUMAN_.pdf</v>
      </c>
      <c r="AA1898" t="s">
        <v>16081</v>
      </c>
      <c r="AB1898" t="s">
        <v>20732</v>
      </c>
    </row>
    <row r="1899" spans="1:28" x14ac:dyDescent="0.25">
      <c r="A1899" t="s">
        <v>1903</v>
      </c>
      <c r="B1899">
        <v>0.99904790336628502</v>
      </c>
      <c r="C1899">
        <v>0.93657483792899399</v>
      </c>
      <c r="D1899">
        <v>0.79640640610313196</v>
      </c>
      <c r="E1899">
        <v>0.57435361878428404</v>
      </c>
      <c r="F1899">
        <v>0.44706383475471501</v>
      </c>
      <c r="G1899">
        <v>0.32082918061278298</v>
      </c>
      <c r="H1899">
        <v>0.20412029297776699</v>
      </c>
      <c r="I1899">
        <v>0.14967965167740799</v>
      </c>
      <c r="J1899">
        <v>0.118602870122235</v>
      </c>
      <c r="K1899">
        <v>7.2448335795161897E-2</v>
      </c>
      <c r="L1899">
        <v>573.69792778057695</v>
      </c>
      <c r="M1899">
        <v>11.1286420061569</v>
      </c>
      <c r="N1899">
        <v>52.027054284307397</v>
      </c>
      <c r="O1899">
        <v>49.970881318350898</v>
      </c>
      <c r="P1899">
        <v>-5.3000156214428898E-2</v>
      </c>
      <c r="Q1899">
        <v>4.8361738490306297E-2</v>
      </c>
      <c r="R1899">
        <v>0.99576055837093802</v>
      </c>
      <c r="S1899" t="s">
        <v>6639</v>
      </c>
      <c r="T1899" t="s">
        <v>9478</v>
      </c>
      <c r="U1899" t="s">
        <v>9478</v>
      </c>
      <c r="V1899" t="s">
        <v>9478</v>
      </c>
      <c r="W1899">
        <v>15</v>
      </c>
      <c r="X1899" t="s">
        <v>11377</v>
      </c>
      <c r="Y1899">
        <v>0.44789442845475419</v>
      </c>
      <c r="Z1899" t="str">
        <f>HYPERLINK("Melting_Curves/meltCurve_sp_Q14376_GALE_HUMAN_.pdf", "Melting_Curves/meltCurve_sp_Q14376_GALE_HUMAN_.pdf")</f>
        <v>Melting_Curves/meltCurve_sp_Q14376_GALE_HUMAN_.pdf</v>
      </c>
      <c r="AA1899" t="s">
        <v>16082</v>
      </c>
      <c r="AB1899" t="s">
        <v>20733</v>
      </c>
    </row>
    <row r="1900" spans="1:28" x14ac:dyDescent="0.25">
      <c r="A1900" t="s">
        <v>1904</v>
      </c>
      <c r="B1900">
        <v>0.99904790336628502</v>
      </c>
      <c r="C1900">
        <v>0.82351232579654399</v>
      </c>
      <c r="D1900">
        <v>0.48256161942633402</v>
      </c>
      <c r="E1900">
        <v>0.23116815515528999</v>
      </c>
      <c r="F1900">
        <v>0.13169268455812</v>
      </c>
      <c r="G1900">
        <v>9.1512421775929206E-2</v>
      </c>
      <c r="H1900">
        <v>5.47250514274931E-2</v>
      </c>
      <c r="I1900">
        <v>3.8360350527331999E-2</v>
      </c>
      <c r="J1900">
        <v>2.60799282523776E-2</v>
      </c>
      <c r="K1900">
        <v>2.8968299518543E-2</v>
      </c>
      <c r="L1900">
        <v>898.24665145059498</v>
      </c>
      <c r="M1900">
        <v>19.540106662817202</v>
      </c>
      <c r="N1900">
        <v>46.193797050018397</v>
      </c>
      <c r="O1900">
        <v>45.496022383893099</v>
      </c>
      <c r="P1900">
        <v>-0.102514293849833</v>
      </c>
      <c r="Q1900">
        <v>4.5280971701688398E-2</v>
      </c>
      <c r="R1900">
        <v>0.99457867882413298</v>
      </c>
      <c r="S1900" t="s">
        <v>6640</v>
      </c>
      <c r="T1900" t="s">
        <v>9478</v>
      </c>
      <c r="U1900" t="s">
        <v>9478</v>
      </c>
      <c r="V1900" t="s">
        <v>9478</v>
      </c>
      <c r="W1900">
        <v>12</v>
      </c>
      <c r="X1900" t="s">
        <v>11378</v>
      </c>
      <c r="Y1900">
        <v>0.25085004885687739</v>
      </c>
      <c r="Z1900" t="str">
        <f>HYPERLINK("Melting_Curves/meltCurve_sp_Q14397_GCKR_HUMAN_.pdf", "Melting_Curves/meltCurve_sp_Q14397_GCKR_HUMAN_.pdf")</f>
        <v>Melting_Curves/meltCurve_sp_Q14397_GCKR_HUMAN_.pdf</v>
      </c>
      <c r="AA1900" t="s">
        <v>16083</v>
      </c>
      <c r="AB1900" t="s">
        <v>20734</v>
      </c>
    </row>
    <row r="1901" spans="1:28" x14ac:dyDescent="0.25">
      <c r="A1901" t="s">
        <v>1905</v>
      </c>
      <c r="B1901">
        <v>0.99904790336628502</v>
      </c>
      <c r="C1901">
        <v>0.99155285070940602</v>
      </c>
      <c r="D1901">
        <v>1.0093702708229799</v>
      </c>
      <c r="E1901">
        <v>0.91654064494958698</v>
      </c>
      <c r="F1901">
        <v>0.87608839644774605</v>
      </c>
      <c r="G1901">
        <v>0.71169617855285505</v>
      </c>
      <c r="H1901">
        <v>0.62712107042778997</v>
      </c>
      <c r="I1901">
        <v>0.59211106769043298</v>
      </c>
      <c r="J1901">
        <v>0.61954568189596104</v>
      </c>
      <c r="K1901">
        <v>0.51847787443468096</v>
      </c>
      <c r="L1901">
        <v>913.11168696365996</v>
      </c>
      <c r="M1901">
        <v>16.4419085577806</v>
      </c>
      <c r="O1901">
        <v>54.733605400603601</v>
      </c>
      <c r="P1901">
        <v>-3.4171399869083803E-2</v>
      </c>
      <c r="Q1901">
        <v>0.54501824008853195</v>
      </c>
      <c r="R1901">
        <v>0.98301455581432895</v>
      </c>
      <c r="S1901" t="s">
        <v>6641</v>
      </c>
      <c r="T1901" t="s">
        <v>9478</v>
      </c>
      <c r="U1901" t="s">
        <v>9478</v>
      </c>
      <c r="V1901" t="s">
        <v>9478</v>
      </c>
      <c r="W1901">
        <v>13</v>
      </c>
      <c r="X1901" t="s">
        <v>11379</v>
      </c>
      <c r="Y1901">
        <v>0.7882869207515929</v>
      </c>
      <c r="Z1901" t="str">
        <f>HYPERLINK("Melting_Curves/meltCurve_sp_Q14444_2_CAPR1_HUMAN_.pdf", "Melting_Curves/meltCurve_sp_Q14444_2_CAPR1_HUMAN_.pdf")</f>
        <v>Melting_Curves/meltCurve_sp_Q14444_2_CAPR1_HUMAN_.pdf</v>
      </c>
      <c r="AA1901" t="s">
        <v>16084</v>
      </c>
      <c r="AB1901" t="s">
        <v>20735</v>
      </c>
    </row>
    <row r="1902" spans="1:28" x14ac:dyDescent="0.25">
      <c r="A1902" t="s">
        <v>1906</v>
      </c>
      <c r="B1902">
        <v>0.99904790336628502</v>
      </c>
      <c r="C1902">
        <v>1.0667473473684199</v>
      </c>
      <c r="D1902">
        <v>1.0403679438688</v>
      </c>
      <c r="E1902">
        <v>0.90410912544532096</v>
      </c>
      <c r="F1902">
        <v>0.74157223878857104</v>
      </c>
      <c r="G1902">
        <v>0.41440006908899701</v>
      </c>
      <c r="H1902">
        <v>0.230925470298945</v>
      </c>
      <c r="I1902">
        <v>0.163923790832401</v>
      </c>
      <c r="J1902">
        <v>0.12766694244042401</v>
      </c>
      <c r="K1902">
        <v>0.117212204391289</v>
      </c>
      <c r="L1902">
        <v>1168.3911215548501</v>
      </c>
      <c r="M1902">
        <v>21.142428226258701</v>
      </c>
      <c r="N1902">
        <v>55.937055350031301</v>
      </c>
      <c r="O1902">
        <v>54.775612792294801</v>
      </c>
      <c r="P1902">
        <v>-8.5644815420267598E-2</v>
      </c>
      <c r="Q1902">
        <v>0.112472219226722</v>
      </c>
      <c r="R1902">
        <v>0.99476249479999501</v>
      </c>
      <c r="S1902" t="s">
        <v>6642</v>
      </c>
      <c r="T1902" t="s">
        <v>9478</v>
      </c>
      <c r="U1902" t="s">
        <v>9478</v>
      </c>
      <c r="V1902" t="s">
        <v>9478</v>
      </c>
      <c r="W1902">
        <v>10</v>
      </c>
      <c r="X1902" t="s">
        <v>11380</v>
      </c>
      <c r="Y1902">
        <v>0.57480531510656785</v>
      </c>
      <c r="Z1902" t="str">
        <f>HYPERLINK("Melting_Curves/meltCurve_sp_Q14498_2_RBM39_HUMAN_.pdf", "Melting_Curves/meltCurve_sp_Q14498_2_RBM39_HUMAN_.pdf")</f>
        <v>Melting_Curves/meltCurve_sp_Q14498_2_RBM39_HUMAN_.pdf</v>
      </c>
      <c r="AA1902" t="s">
        <v>16085</v>
      </c>
      <c r="AB1902" t="s">
        <v>20736</v>
      </c>
    </row>
    <row r="1903" spans="1:28" x14ac:dyDescent="0.25">
      <c r="A1903" t="s">
        <v>1907</v>
      </c>
      <c r="B1903">
        <v>0.99904790336628502</v>
      </c>
      <c r="C1903">
        <v>0.94709311846940003</v>
      </c>
      <c r="D1903">
        <v>0.92761993688425504</v>
      </c>
      <c r="E1903">
        <v>0.83850585602781702</v>
      </c>
      <c r="F1903">
        <v>0.78045690914649402</v>
      </c>
      <c r="G1903">
        <v>0.44741950444502898</v>
      </c>
      <c r="H1903">
        <v>7.8520792811088494E-2</v>
      </c>
      <c r="I1903">
        <v>5.1314648938780502E-2</v>
      </c>
      <c r="J1903">
        <v>2.88664529451973E-2</v>
      </c>
      <c r="K1903">
        <v>2.5149105819530601E-2</v>
      </c>
      <c r="L1903">
        <v>1158.2332776401499</v>
      </c>
      <c r="M1903">
        <v>20.7316679357581</v>
      </c>
      <c r="N1903">
        <v>55.867828919068501</v>
      </c>
      <c r="O1903">
        <v>55.355811149251103</v>
      </c>
      <c r="P1903">
        <v>-9.3631782048146095E-2</v>
      </c>
      <c r="Q1903">
        <v>0</v>
      </c>
      <c r="R1903">
        <v>0.98717528174717895</v>
      </c>
      <c r="S1903" t="s">
        <v>6643</v>
      </c>
      <c r="T1903" t="s">
        <v>9478</v>
      </c>
      <c r="U1903" t="s">
        <v>9478</v>
      </c>
      <c r="V1903" t="s">
        <v>9478</v>
      </c>
      <c r="W1903">
        <v>1</v>
      </c>
      <c r="X1903" t="s">
        <v>11381</v>
      </c>
      <c r="Y1903">
        <v>0.5412390737688989</v>
      </c>
      <c r="Z1903" t="str">
        <f>HYPERLINK("Melting_Curves/meltCurve_sp_Q14520_2_HABP2_HUMAN_.pdf", "Melting_Curves/meltCurve_sp_Q14520_2_HABP2_HUMAN_.pdf")</f>
        <v>Melting_Curves/meltCurve_sp_Q14520_2_HABP2_HUMAN_.pdf</v>
      </c>
      <c r="AA1903" t="s">
        <v>16086</v>
      </c>
      <c r="AB1903" t="s">
        <v>20737</v>
      </c>
    </row>
    <row r="1904" spans="1:28" x14ac:dyDescent="0.25">
      <c r="A1904" t="s">
        <v>1908</v>
      </c>
      <c r="B1904">
        <v>0.99904790336628502</v>
      </c>
      <c r="C1904">
        <v>0.94387260117580196</v>
      </c>
      <c r="D1904">
        <v>0.83321769109855504</v>
      </c>
      <c r="E1904">
        <v>0.59333153810166805</v>
      </c>
      <c r="F1904">
        <v>0.71617411638489303</v>
      </c>
      <c r="G1904">
        <v>0.51621632469826195</v>
      </c>
      <c r="H1904">
        <v>0.550283938876858</v>
      </c>
      <c r="I1904">
        <v>0.56636805575478</v>
      </c>
      <c r="J1904">
        <v>0.58013417695295499</v>
      </c>
      <c r="K1904">
        <v>0.76147064188870495</v>
      </c>
      <c r="L1904">
        <v>1416.1827497402701</v>
      </c>
      <c r="M1904">
        <v>30.649473483824899</v>
      </c>
      <c r="O1904">
        <v>46.010414586760703</v>
      </c>
      <c r="P1904">
        <v>-6.5466590012436404E-2</v>
      </c>
      <c r="Q1904">
        <v>0.60689348629582196</v>
      </c>
      <c r="R1904">
        <v>0.809739988311036</v>
      </c>
      <c r="S1904" t="s">
        <v>6644</v>
      </c>
      <c r="T1904" t="s">
        <v>9478</v>
      </c>
      <c r="U1904" t="s">
        <v>9478</v>
      </c>
      <c r="V1904" t="s">
        <v>9478</v>
      </c>
      <c r="W1904">
        <v>2</v>
      </c>
      <c r="X1904" t="s">
        <v>11382</v>
      </c>
      <c r="Y1904">
        <v>0.69048263665201881</v>
      </c>
      <c r="Z1904" t="str">
        <f>HYPERLINK("Melting_Curves/meltCurve_sp_Q14527_HLTF_HUMAN_.pdf", "Melting_Curves/meltCurve_sp_Q14527_HLTF_HUMAN_.pdf")</f>
        <v>Melting_Curves/meltCurve_sp_Q14527_HLTF_HUMAN_.pdf</v>
      </c>
      <c r="AA1904" t="s">
        <v>16087</v>
      </c>
      <c r="AB1904" t="s">
        <v>20738</v>
      </c>
    </row>
    <row r="1905" spans="1:28" x14ac:dyDescent="0.25">
      <c r="A1905" t="s">
        <v>1909</v>
      </c>
      <c r="B1905">
        <v>0.99904790336628502</v>
      </c>
      <c r="C1905">
        <v>0.94591818460610899</v>
      </c>
      <c r="D1905">
        <v>0.93567040764479503</v>
      </c>
      <c r="E1905">
        <v>0.89366034042617903</v>
      </c>
      <c r="F1905">
        <v>0.68614248825896396</v>
      </c>
      <c r="G1905">
        <v>0.17991312705042301</v>
      </c>
      <c r="H1905">
        <v>7.1690781504218995E-2</v>
      </c>
      <c r="I1905">
        <v>4.90156915121275E-2</v>
      </c>
      <c r="J1905">
        <v>3.4135653563087197E-2</v>
      </c>
      <c r="K1905">
        <v>2.8664610622670301E-2</v>
      </c>
      <c r="L1905">
        <v>1633.4640434130699</v>
      </c>
      <c r="M1905">
        <v>30.1967857596063</v>
      </c>
      <c r="N1905">
        <v>54.211322885064298</v>
      </c>
      <c r="O1905">
        <v>53.858398647649899</v>
      </c>
      <c r="P1905">
        <v>-0.13573367451830001</v>
      </c>
      <c r="Q1905">
        <v>3.1638433560418698E-2</v>
      </c>
      <c r="R1905">
        <v>0.99505293370790204</v>
      </c>
      <c r="S1905" t="s">
        <v>6645</v>
      </c>
      <c r="T1905" t="s">
        <v>9478</v>
      </c>
      <c r="U1905" t="s">
        <v>9478</v>
      </c>
      <c r="V1905" t="s">
        <v>9478</v>
      </c>
      <c r="W1905">
        <v>24</v>
      </c>
      <c r="X1905" t="s">
        <v>11383</v>
      </c>
      <c r="Y1905">
        <v>0.49286175918735342</v>
      </c>
      <c r="Z1905" t="str">
        <f>HYPERLINK("Melting_Curves/meltCurve_sp_Q14554_PDIA5_HUMAN_.pdf", "Melting_Curves/meltCurve_sp_Q14554_PDIA5_HUMAN_.pdf")</f>
        <v>Melting_Curves/meltCurve_sp_Q14554_PDIA5_HUMAN_.pdf</v>
      </c>
      <c r="AA1905" t="s">
        <v>16088</v>
      </c>
      <c r="AB1905" t="s">
        <v>20739</v>
      </c>
    </row>
    <row r="1906" spans="1:28" x14ac:dyDescent="0.25">
      <c r="A1906" t="s">
        <v>1910</v>
      </c>
      <c r="B1906">
        <v>0.99904790336628502</v>
      </c>
      <c r="C1906">
        <v>1.07164704132485</v>
      </c>
      <c r="D1906">
        <v>1.1730994077970001</v>
      </c>
      <c r="E1906">
        <v>0.93005029452134502</v>
      </c>
      <c r="F1906">
        <v>0.49361791797375698</v>
      </c>
      <c r="G1906">
        <v>0.18602642700448199</v>
      </c>
      <c r="H1906">
        <v>6.20613844780913E-2</v>
      </c>
      <c r="I1906">
        <v>4.4787109140184897E-2</v>
      </c>
      <c r="J1906">
        <v>2.27728042335077E-2</v>
      </c>
      <c r="K1906">
        <v>2.66921810357891E-2</v>
      </c>
      <c r="L1906">
        <v>1848.0270563952099</v>
      </c>
      <c r="M1906">
        <v>34.847773637792102</v>
      </c>
      <c r="N1906">
        <v>53.181341681767002</v>
      </c>
      <c r="O1906">
        <v>52.857697408323297</v>
      </c>
      <c r="P1906">
        <v>-0.15710862553263899</v>
      </c>
      <c r="Q1906">
        <v>4.6783259189446202E-2</v>
      </c>
      <c r="R1906">
        <v>0.97969255207405004</v>
      </c>
      <c r="S1906" t="s">
        <v>6646</v>
      </c>
      <c r="T1906" t="s">
        <v>9478</v>
      </c>
      <c r="U1906" t="s">
        <v>9478</v>
      </c>
      <c r="V1906" t="s">
        <v>9478</v>
      </c>
      <c r="W1906">
        <v>8</v>
      </c>
      <c r="X1906" t="s">
        <v>11384</v>
      </c>
      <c r="Y1906">
        <v>0.4654412498747213</v>
      </c>
      <c r="Z1906" t="str">
        <f>HYPERLINK("Melting_Curves/meltCurve_sp_Q14558_KPRA_HUMAN_.pdf", "Melting_Curves/meltCurve_sp_Q14558_KPRA_HUMAN_.pdf")</f>
        <v>Melting_Curves/meltCurve_sp_Q14558_KPRA_HUMAN_.pdf</v>
      </c>
      <c r="AA1906" t="s">
        <v>16089</v>
      </c>
      <c r="AB1906" t="s">
        <v>20740</v>
      </c>
    </row>
    <row r="1907" spans="1:28" x14ac:dyDescent="0.25">
      <c r="A1907" t="s">
        <v>1911</v>
      </c>
      <c r="B1907">
        <v>0.99904790336628502</v>
      </c>
      <c r="C1907">
        <v>0.98392749309872196</v>
      </c>
      <c r="D1907">
        <v>0.90265658920252301</v>
      </c>
      <c r="E1907">
        <v>0.44709194307065597</v>
      </c>
      <c r="F1907">
        <v>0.24407321491019399</v>
      </c>
      <c r="G1907">
        <v>0.146227614679006</v>
      </c>
      <c r="H1907">
        <v>9.9019563427020299E-2</v>
      </c>
      <c r="I1907">
        <v>8.1745917708527599E-2</v>
      </c>
      <c r="J1907">
        <v>7.42577901822465E-2</v>
      </c>
      <c r="K1907">
        <v>7.5461008784335107E-2</v>
      </c>
      <c r="L1907">
        <v>1261.2735323243401</v>
      </c>
      <c r="M1907">
        <v>25.541990589523401</v>
      </c>
      <c r="N1907">
        <v>49.758665996220401</v>
      </c>
      <c r="O1907">
        <v>49.080688689671</v>
      </c>
      <c r="P1907">
        <v>-0.118623115934033</v>
      </c>
      <c r="Q1907">
        <v>8.82414546890396E-2</v>
      </c>
      <c r="R1907">
        <v>0.99794861259968404</v>
      </c>
      <c r="S1907" t="s">
        <v>6647</v>
      </c>
      <c r="T1907" t="s">
        <v>9478</v>
      </c>
      <c r="U1907" t="s">
        <v>9478</v>
      </c>
      <c r="V1907" t="s">
        <v>9478</v>
      </c>
      <c r="W1907">
        <v>20</v>
      </c>
      <c r="X1907" t="s">
        <v>11385</v>
      </c>
      <c r="Y1907">
        <v>0.38108509952361691</v>
      </c>
      <c r="Z1907" t="str">
        <f>HYPERLINK("Melting_Curves/meltCurve_sp_Q14566_MCM6_HUMAN_.pdf", "Melting_Curves/meltCurve_sp_Q14566_MCM6_HUMAN_.pdf")</f>
        <v>Melting_Curves/meltCurve_sp_Q14566_MCM6_HUMAN_.pdf</v>
      </c>
      <c r="AA1907" t="s">
        <v>16090</v>
      </c>
      <c r="AB1907" t="s">
        <v>20741</v>
      </c>
    </row>
    <row r="1908" spans="1:28" x14ac:dyDescent="0.25">
      <c r="A1908" t="s">
        <v>1912</v>
      </c>
      <c r="B1908">
        <v>0.99904790336628502</v>
      </c>
      <c r="C1908">
        <v>1.0020648325049599</v>
      </c>
      <c r="D1908">
        <v>0.99906571095306496</v>
      </c>
      <c r="E1908">
        <v>0.91079678329447</v>
      </c>
      <c r="F1908">
        <v>0.86783769535187005</v>
      </c>
      <c r="G1908">
        <v>0.59567000763151801</v>
      </c>
      <c r="H1908">
        <v>0.22911420891758399</v>
      </c>
      <c r="I1908">
        <v>0.179743780787119</v>
      </c>
      <c r="J1908">
        <v>0.16755688190349</v>
      </c>
      <c r="K1908">
        <v>0.173129292835487</v>
      </c>
      <c r="L1908">
        <v>1424.4800242076301</v>
      </c>
      <c r="M1908">
        <v>25.049742795906798</v>
      </c>
      <c r="N1908">
        <v>57.6267226486612</v>
      </c>
      <c r="O1908">
        <v>56.507359947843199</v>
      </c>
      <c r="P1908">
        <v>-9.5225389919038297E-2</v>
      </c>
      <c r="Q1908">
        <v>0.140771441908666</v>
      </c>
      <c r="R1908">
        <v>0.99376272267830101</v>
      </c>
      <c r="S1908" t="s">
        <v>6648</v>
      </c>
      <c r="T1908" t="s">
        <v>9478</v>
      </c>
      <c r="U1908" t="s">
        <v>9478</v>
      </c>
      <c r="V1908" t="s">
        <v>9478</v>
      </c>
      <c r="W1908">
        <v>1</v>
      </c>
      <c r="X1908" t="s">
        <v>11386</v>
      </c>
      <c r="Y1908">
        <v>0.63157326456554486</v>
      </c>
      <c r="Z1908" t="str">
        <f>HYPERLINK("Melting_Curves/meltCurve_sp_Q14596_2_NBR1_HUMAN_.pdf", "Melting_Curves/meltCurve_sp_Q14596_2_NBR1_HUMAN_.pdf")</f>
        <v>Melting_Curves/meltCurve_sp_Q14596_2_NBR1_HUMAN_.pdf</v>
      </c>
      <c r="AA1908" t="s">
        <v>16091</v>
      </c>
      <c r="AB1908" t="s">
        <v>20742</v>
      </c>
    </row>
    <row r="1909" spans="1:28" x14ac:dyDescent="0.25">
      <c r="A1909" t="s">
        <v>1913</v>
      </c>
      <c r="B1909">
        <v>0.99904790336628502</v>
      </c>
      <c r="C1909">
        <v>1.04341622168142</v>
      </c>
      <c r="D1909">
        <v>1.02533964798711</v>
      </c>
      <c r="E1909">
        <v>0.89473347855150398</v>
      </c>
      <c r="F1909">
        <v>0.77189769274023401</v>
      </c>
      <c r="G1909">
        <v>0.57683781436813097</v>
      </c>
      <c r="H1909">
        <v>0.35890217810802399</v>
      </c>
      <c r="I1909">
        <v>0.34121467073391498</v>
      </c>
      <c r="J1909">
        <v>0.32478944938750998</v>
      </c>
      <c r="K1909">
        <v>0.20896418276840201</v>
      </c>
      <c r="L1909">
        <v>917.85540021028203</v>
      </c>
      <c r="M1909">
        <v>16.374244240953601</v>
      </c>
      <c r="N1909">
        <v>58.220012421773802</v>
      </c>
      <c r="O1909">
        <v>55.238763784565897</v>
      </c>
      <c r="P1909">
        <v>-5.7211470060092903E-2</v>
      </c>
      <c r="Q1909">
        <v>0.228040207955373</v>
      </c>
      <c r="R1909">
        <v>0.98876337335526798</v>
      </c>
      <c r="S1909" t="s">
        <v>6649</v>
      </c>
      <c r="T1909" t="s">
        <v>9478</v>
      </c>
      <c r="U1909" t="s">
        <v>9478</v>
      </c>
      <c r="V1909" t="s">
        <v>9478</v>
      </c>
      <c r="W1909">
        <v>10</v>
      </c>
      <c r="X1909" t="s">
        <v>11387</v>
      </c>
      <c r="Y1909">
        <v>0.65373049314874765</v>
      </c>
      <c r="Z1909" t="str">
        <f>HYPERLINK("Melting_Curves/meltCurve_sp_Q14624_ITIH4_HUMAN_.pdf", "Melting_Curves/meltCurve_sp_Q14624_ITIH4_HUMAN_.pdf")</f>
        <v>Melting_Curves/meltCurve_sp_Q14624_ITIH4_HUMAN_.pdf</v>
      </c>
      <c r="AA1909" t="s">
        <v>16092</v>
      </c>
      <c r="AB1909" t="s">
        <v>20743</v>
      </c>
    </row>
    <row r="1910" spans="1:28" x14ac:dyDescent="0.25">
      <c r="A1910" t="s">
        <v>1914</v>
      </c>
      <c r="B1910">
        <v>0.99904790336628502</v>
      </c>
      <c r="C1910">
        <v>1.02998072619086</v>
      </c>
      <c r="D1910">
        <v>1.0398941609400001</v>
      </c>
      <c r="E1910">
        <v>0.918150676493938</v>
      </c>
      <c r="F1910">
        <v>0.57185026484225698</v>
      </c>
      <c r="G1910">
        <v>0.23992884708992401</v>
      </c>
      <c r="H1910">
        <v>0.124101168692501</v>
      </c>
      <c r="I1910">
        <v>8.3301080070980804E-2</v>
      </c>
      <c r="J1910">
        <v>6.7229078231779094E-2</v>
      </c>
      <c r="K1910">
        <v>6.0217813881344201E-2</v>
      </c>
      <c r="L1910">
        <v>1506.32480446414</v>
      </c>
      <c r="M1910">
        <v>28.144849124454701</v>
      </c>
      <c r="N1910">
        <v>53.835440374679301</v>
      </c>
      <c r="O1910">
        <v>53.252451473533</v>
      </c>
      <c r="P1910">
        <v>-0.122099563698732</v>
      </c>
      <c r="Q1910">
        <v>7.5916935686062004E-2</v>
      </c>
      <c r="R1910">
        <v>0.99630616442023001</v>
      </c>
      <c r="S1910" t="s">
        <v>6650</v>
      </c>
      <c r="T1910" t="s">
        <v>9478</v>
      </c>
      <c r="U1910" t="s">
        <v>9478</v>
      </c>
      <c r="V1910" t="s">
        <v>9478</v>
      </c>
      <c r="W1910">
        <v>15</v>
      </c>
      <c r="X1910" t="s">
        <v>11388</v>
      </c>
      <c r="Y1910">
        <v>0.49921046638355832</v>
      </c>
      <c r="Z1910" t="str">
        <f>HYPERLINK("Melting_Curves/meltCurve_sp_Q14651_PLSI_HUMAN_.pdf", "Melting_Curves/meltCurve_sp_Q14651_PLSI_HUMAN_.pdf")</f>
        <v>Melting_Curves/meltCurve_sp_Q14651_PLSI_HUMAN_.pdf</v>
      </c>
      <c r="AA1910" t="s">
        <v>16093</v>
      </c>
      <c r="AB1910" t="s">
        <v>20744</v>
      </c>
    </row>
    <row r="1911" spans="1:28" x14ac:dyDescent="0.25">
      <c r="A1911" t="s">
        <v>1915</v>
      </c>
      <c r="B1911">
        <v>0.99904790336628502</v>
      </c>
      <c r="C1911">
        <v>0.97301905506798003</v>
      </c>
      <c r="D1911">
        <v>0.91613871707615702</v>
      </c>
      <c r="E1911">
        <v>0.89176935454386597</v>
      </c>
      <c r="F1911">
        <v>0.74423711560723405</v>
      </c>
      <c r="G1911">
        <v>0.36299595488196801</v>
      </c>
      <c r="H1911">
        <v>0.136492693779459</v>
      </c>
      <c r="I1911">
        <v>9.5937863072594096E-2</v>
      </c>
      <c r="J1911">
        <v>7.0010355525249604E-2</v>
      </c>
      <c r="K1911">
        <v>6.6202846336902696E-2</v>
      </c>
      <c r="L1911">
        <v>1187.0052236827</v>
      </c>
      <c r="M1911">
        <v>21.509957409995401</v>
      </c>
      <c r="N1911">
        <v>55.435678475889198</v>
      </c>
      <c r="O1911">
        <v>54.713643590434202</v>
      </c>
      <c r="P1911">
        <v>-9.37142235158097E-2</v>
      </c>
      <c r="Q1911">
        <v>4.6520910878241097E-2</v>
      </c>
      <c r="R1911">
        <v>0.99552683951991106</v>
      </c>
      <c r="S1911" t="s">
        <v>6651</v>
      </c>
      <c r="T1911" t="s">
        <v>9478</v>
      </c>
      <c r="U1911" t="s">
        <v>9478</v>
      </c>
      <c r="V1911" t="s">
        <v>9478</v>
      </c>
      <c r="W1911">
        <v>4</v>
      </c>
      <c r="X1911" t="s">
        <v>11389</v>
      </c>
      <c r="Y1911">
        <v>0.54041508440258235</v>
      </c>
      <c r="Z1911" t="str">
        <f>HYPERLINK("Melting_Curves/meltCurve_sp_Q14653_IRF3_HUMAN_.pdf", "Melting_Curves/meltCurve_sp_Q14653_IRF3_HUMAN_.pdf")</f>
        <v>Melting_Curves/meltCurve_sp_Q14653_IRF3_HUMAN_.pdf</v>
      </c>
      <c r="AA1911" t="s">
        <v>16094</v>
      </c>
      <c r="AB1911" t="s">
        <v>20745</v>
      </c>
    </row>
    <row r="1912" spans="1:28" x14ac:dyDescent="0.25">
      <c r="A1912" t="s">
        <v>1916</v>
      </c>
      <c r="B1912">
        <v>0.99904790336628502</v>
      </c>
      <c r="C1912">
        <v>1.0259036382158699</v>
      </c>
      <c r="D1912">
        <v>0.99613983472449896</v>
      </c>
      <c r="E1912">
        <v>0.93004992608965198</v>
      </c>
      <c r="F1912">
        <v>0.95759290332482205</v>
      </c>
      <c r="G1912">
        <v>0.65157949678168903</v>
      </c>
      <c r="H1912">
        <v>0.32493622659281601</v>
      </c>
      <c r="I1912">
        <v>0.19512851551038099</v>
      </c>
      <c r="J1912">
        <v>0.115874535729657</v>
      </c>
      <c r="K1912">
        <v>9.8742220535613198E-2</v>
      </c>
      <c r="L1912">
        <v>1368.72505910017</v>
      </c>
      <c r="M1912">
        <v>23.4637536398651</v>
      </c>
      <c r="N1912">
        <v>58.780035890323902</v>
      </c>
      <c r="O1912">
        <v>57.914832661554698</v>
      </c>
      <c r="P1912">
        <v>-9.3020591550787193E-2</v>
      </c>
      <c r="Q1912">
        <v>8.1616880582669707E-2</v>
      </c>
      <c r="R1912">
        <v>0.99651077164134005</v>
      </c>
      <c r="S1912" t="s">
        <v>6652</v>
      </c>
      <c r="T1912" t="s">
        <v>9478</v>
      </c>
      <c r="U1912" t="s">
        <v>9478</v>
      </c>
      <c r="V1912" t="s">
        <v>9478</v>
      </c>
      <c r="W1912">
        <v>5</v>
      </c>
      <c r="X1912" t="s">
        <v>11390</v>
      </c>
      <c r="Y1912">
        <v>0.65137464716530502</v>
      </c>
      <c r="Z1912" t="str">
        <f>HYPERLINK("Melting_Curves/meltCurve_sp_Q14657_LAGE3_HUMAN_.pdf", "Melting_Curves/meltCurve_sp_Q14657_LAGE3_HUMAN_.pdf")</f>
        <v>Melting_Curves/meltCurve_sp_Q14657_LAGE3_HUMAN_.pdf</v>
      </c>
      <c r="AA1912" t="s">
        <v>16095</v>
      </c>
      <c r="AB1912" t="s">
        <v>20746</v>
      </c>
    </row>
    <row r="1913" spans="1:28" x14ac:dyDescent="0.25">
      <c r="A1913" t="s">
        <v>1917</v>
      </c>
      <c r="B1913">
        <v>0.99904790336628502</v>
      </c>
      <c r="C1913">
        <v>0.92467661804373202</v>
      </c>
      <c r="D1913">
        <v>0.82048770396592197</v>
      </c>
      <c r="E1913">
        <v>0.65823329946147102</v>
      </c>
      <c r="F1913">
        <v>0.52761612897347199</v>
      </c>
      <c r="G1913">
        <v>0.227486399953687</v>
      </c>
      <c r="H1913">
        <v>0.14633596746667299</v>
      </c>
      <c r="I1913">
        <v>0.13022837947183999</v>
      </c>
      <c r="J1913">
        <v>0.105309365597336</v>
      </c>
      <c r="K1913">
        <v>0.11376769844163501</v>
      </c>
      <c r="L1913">
        <v>689.00274595433496</v>
      </c>
      <c r="M1913">
        <v>13.2537609187162</v>
      </c>
      <c r="N1913">
        <v>52.452129635055897</v>
      </c>
      <c r="O1913">
        <v>50.8447408160891</v>
      </c>
      <c r="P1913">
        <v>-6.1553444941821397E-2</v>
      </c>
      <c r="Q1913">
        <v>5.5617120449100797E-2</v>
      </c>
      <c r="R1913">
        <v>0.99164235364322195</v>
      </c>
      <c r="S1913" t="s">
        <v>6653</v>
      </c>
      <c r="T1913" t="s">
        <v>9478</v>
      </c>
      <c r="U1913" t="s">
        <v>9478</v>
      </c>
      <c r="V1913" t="s">
        <v>9478</v>
      </c>
      <c r="W1913">
        <v>9</v>
      </c>
      <c r="X1913" t="s">
        <v>11391</v>
      </c>
      <c r="Y1913">
        <v>0.45823183745928869</v>
      </c>
      <c r="Z1913" t="str">
        <f>HYPERLINK("Melting_Curves/meltCurve_sp_Q14669_TRIPC_HUMAN_.pdf", "Melting_Curves/meltCurve_sp_Q14669_TRIPC_HUMAN_.pdf")</f>
        <v>Melting_Curves/meltCurve_sp_Q14669_TRIPC_HUMAN_.pdf</v>
      </c>
      <c r="AA1913" t="s">
        <v>16096</v>
      </c>
      <c r="AB1913" t="s">
        <v>20747</v>
      </c>
    </row>
    <row r="1914" spans="1:28" x14ac:dyDescent="0.25">
      <c r="A1914" t="s">
        <v>1918</v>
      </c>
      <c r="B1914">
        <v>0.99904790336628502</v>
      </c>
      <c r="C1914">
        <v>1.05172437210226</v>
      </c>
      <c r="D1914">
        <v>0.98312323852804295</v>
      </c>
      <c r="E1914">
        <v>0.94679974878197604</v>
      </c>
      <c r="F1914">
        <v>0.95050266627911295</v>
      </c>
      <c r="G1914">
        <v>0.76306777251064195</v>
      </c>
      <c r="H1914">
        <v>0.66427300447581905</v>
      </c>
      <c r="I1914">
        <v>0.55113606877041499</v>
      </c>
      <c r="J1914">
        <v>0.53075045354110595</v>
      </c>
      <c r="K1914">
        <v>0.55023860988724005</v>
      </c>
      <c r="L1914">
        <v>1139.0676571746401</v>
      </c>
      <c r="M1914">
        <v>19.797035385124602</v>
      </c>
      <c r="O1914">
        <v>56.959851949150398</v>
      </c>
      <c r="P1914">
        <v>-4.1943304520228097E-2</v>
      </c>
      <c r="Q1914">
        <v>0.51730077795013496</v>
      </c>
      <c r="R1914">
        <v>0.98304512771278396</v>
      </c>
      <c r="S1914" t="s">
        <v>6654</v>
      </c>
      <c r="T1914" t="s">
        <v>9478</v>
      </c>
      <c r="U1914" t="s">
        <v>9478</v>
      </c>
      <c r="V1914" t="s">
        <v>9478</v>
      </c>
      <c r="W1914">
        <v>6</v>
      </c>
      <c r="X1914" t="s">
        <v>11392</v>
      </c>
      <c r="Y1914">
        <v>0.80522806793729318</v>
      </c>
      <c r="Z1914" t="str">
        <f>HYPERLINK("Melting_Curves/meltCurve_sp_Q14676_3_MDC1_HUMAN_.pdf", "Melting_Curves/meltCurve_sp_Q14676_3_MDC1_HUMAN_.pdf")</f>
        <v>Melting_Curves/meltCurve_sp_Q14676_3_MDC1_HUMAN_.pdf</v>
      </c>
      <c r="AA1914" t="s">
        <v>16097</v>
      </c>
      <c r="AB1914" t="s">
        <v>20748</v>
      </c>
    </row>
    <row r="1915" spans="1:28" x14ac:dyDescent="0.25">
      <c r="A1915" t="s">
        <v>1919</v>
      </c>
      <c r="B1915">
        <v>0.99904790336628502</v>
      </c>
      <c r="C1915">
        <v>1.00268688669092</v>
      </c>
      <c r="D1915">
        <v>0.97283030976860796</v>
      </c>
      <c r="E1915">
        <v>0.86524356461410901</v>
      </c>
      <c r="F1915">
        <v>0.83641313397244599</v>
      </c>
      <c r="G1915">
        <v>0.61047452979432204</v>
      </c>
      <c r="H1915">
        <v>0.59298876195403105</v>
      </c>
      <c r="I1915">
        <v>0.48135128173227998</v>
      </c>
      <c r="J1915">
        <v>0.51348092983598803</v>
      </c>
      <c r="K1915">
        <v>0.53541763444881296</v>
      </c>
      <c r="L1915">
        <v>942.47780575022398</v>
      </c>
      <c r="M1915">
        <v>17.445226878369802</v>
      </c>
      <c r="O1915">
        <v>53.330068563939399</v>
      </c>
      <c r="P1915">
        <v>-4.10195710284035E-2</v>
      </c>
      <c r="Q1915">
        <v>0.49844058271115299</v>
      </c>
      <c r="R1915">
        <v>0.97893296541007502</v>
      </c>
      <c r="S1915" t="s">
        <v>6655</v>
      </c>
      <c r="T1915" t="s">
        <v>9478</v>
      </c>
      <c r="U1915" t="s">
        <v>9478</v>
      </c>
      <c r="V1915" t="s">
        <v>9478</v>
      </c>
      <c r="W1915">
        <v>7</v>
      </c>
      <c r="X1915" t="s">
        <v>11393</v>
      </c>
      <c r="Y1915">
        <v>0.74131371588489137</v>
      </c>
      <c r="Z1915" t="str">
        <f>HYPERLINK("Melting_Curves/meltCurve_sp_Q14677_EPN4_HUMAN_.pdf", "Melting_Curves/meltCurve_sp_Q14677_EPN4_HUMAN_.pdf")</f>
        <v>Melting_Curves/meltCurve_sp_Q14677_EPN4_HUMAN_.pdf</v>
      </c>
      <c r="AA1915" t="s">
        <v>16098</v>
      </c>
      <c r="AB1915" t="s">
        <v>20749</v>
      </c>
    </row>
    <row r="1916" spans="1:28" x14ac:dyDescent="0.25">
      <c r="A1916" t="s">
        <v>1920</v>
      </c>
      <c r="B1916">
        <v>0.99904790336628502</v>
      </c>
      <c r="C1916">
        <v>1.0655334812488</v>
      </c>
      <c r="D1916">
        <v>1.0379760890312699</v>
      </c>
      <c r="E1916">
        <v>0.78392056540393795</v>
      </c>
      <c r="F1916">
        <v>0.52300011643381705</v>
      </c>
      <c r="G1916">
        <v>0.28086115147364099</v>
      </c>
      <c r="H1916">
        <v>0.17460827031475501</v>
      </c>
      <c r="I1916">
        <v>0.13559113180607499</v>
      </c>
      <c r="J1916">
        <v>0.12728644594531499</v>
      </c>
      <c r="K1916">
        <v>0.114832143527114</v>
      </c>
      <c r="L1916">
        <v>1205.9336624743901</v>
      </c>
      <c r="M1916">
        <v>22.8865499255838</v>
      </c>
      <c r="N1916">
        <v>53.367233165675103</v>
      </c>
      <c r="O1916">
        <v>52.294479290278602</v>
      </c>
      <c r="P1916">
        <v>-9.5656661964929598E-2</v>
      </c>
      <c r="Q1916">
        <v>0.12573650025358199</v>
      </c>
      <c r="R1916">
        <v>0.99271413053539403</v>
      </c>
      <c r="S1916" t="s">
        <v>6656</v>
      </c>
      <c r="T1916" t="s">
        <v>9478</v>
      </c>
      <c r="U1916" t="s">
        <v>9478</v>
      </c>
      <c r="V1916" t="s">
        <v>9478</v>
      </c>
      <c r="W1916">
        <v>18</v>
      </c>
      <c r="X1916" t="s">
        <v>11394</v>
      </c>
      <c r="Y1916">
        <v>0.50507308523401162</v>
      </c>
      <c r="Z1916" t="str">
        <f>HYPERLINK("Melting_Curves/meltCurve_sp_Q14678_2_KANK1_HUMAN_.pdf", "Melting_Curves/meltCurve_sp_Q14678_2_KANK1_HUMAN_.pdf")</f>
        <v>Melting_Curves/meltCurve_sp_Q14678_2_KANK1_HUMAN_.pdf</v>
      </c>
      <c r="AA1916" t="s">
        <v>16099</v>
      </c>
      <c r="AB1916" t="s">
        <v>20750</v>
      </c>
    </row>
    <row r="1917" spans="1:28" x14ac:dyDescent="0.25">
      <c r="A1917" t="s">
        <v>1921</v>
      </c>
      <c r="B1917">
        <v>0.99904790336628502</v>
      </c>
      <c r="C1917">
        <v>1.0038020727655901</v>
      </c>
      <c r="D1917">
        <v>0.99226173907315196</v>
      </c>
      <c r="E1917">
        <v>0.76185998208904904</v>
      </c>
      <c r="F1917">
        <v>0.41114429306009098</v>
      </c>
      <c r="G1917">
        <v>0.197151273662002</v>
      </c>
      <c r="H1917">
        <v>0.122003465288791</v>
      </c>
      <c r="I1917">
        <v>9.4751950268651394E-2</v>
      </c>
      <c r="J1917">
        <v>7.8615989149572102E-2</v>
      </c>
      <c r="K1917">
        <v>8.6117434658872796E-2</v>
      </c>
      <c r="L1917">
        <v>1368.06215202208</v>
      </c>
      <c r="M1917">
        <v>26.350127748088202</v>
      </c>
      <c r="N1917">
        <v>52.324020778435802</v>
      </c>
      <c r="O1917">
        <v>51.622355302381202</v>
      </c>
      <c r="P1917">
        <v>-0.115828402083101</v>
      </c>
      <c r="Q1917">
        <v>9.2335381423286594E-2</v>
      </c>
      <c r="R1917">
        <v>0.99876282895248802</v>
      </c>
      <c r="S1917" t="s">
        <v>6657</v>
      </c>
      <c r="T1917" t="s">
        <v>9478</v>
      </c>
      <c r="U1917" t="s">
        <v>9478</v>
      </c>
      <c r="V1917" t="s">
        <v>9478</v>
      </c>
      <c r="W1917">
        <v>18</v>
      </c>
      <c r="X1917" t="s">
        <v>11395</v>
      </c>
      <c r="Y1917">
        <v>0.46041565718631561</v>
      </c>
      <c r="Z1917" t="str">
        <f>HYPERLINK("Melting_Curves/meltCurve_sp_Q14683_SMC1A_HUMAN_.pdf", "Melting_Curves/meltCurve_sp_Q14683_SMC1A_HUMAN_.pdf")</f>
        <v>Melting_Curves/meltCurve_sp_Q14683_SMC1A_HUMAN_.pdf</v>
      </c>
      <c r="AA1917" t="s">
        <v>16100</v>
      </c>
      <c r="AB1917" t="s">
        <v>20751</v>
      </c>
    </row>
    <row r="1918" spans="1:28" x14ac:dyDescent="0.25">
      <c r="A1918" t="s">
        <v>1922</v>
      </c>
      <c r="B1918">
        <v>0.99904790336628502</v>
      </c>
      <c r="C1918">
        <v>1.02480593612466</v>
      </c>
      <c r="D1918">
        <v>0.98299288546230501</v>
      </c>
      <c r="E1918">
        <v>0.99422860018555803</v>
      </c>
      <c r="F1918">
        <v>1.1263744758357099</v>
      </c>
      <c r="G1918">
        <v>0.80905922396957397</v>
      </c>
      <c r="H1918">
        <v>0.85695521657787799</v>
      </c>
      <c r="I1918">
        <v>0.86894950383639602</v>
      </c>
      <c r="J1918">
        <v>0.97779564718155798</v>
      </c>
      <c r="K1918">
        <v>0.94352672107757296</v>
      </c>
      <c r="L1918">
        <v>3293.66256851461</v>
      </c>
      <c r="M1918">
        <v>59.712886137084503</v>
      </c>
      <c r="O1918">
        <v>55.096558319766501</v>
      </c>
      <c r="P1918">
        <v>-2.8945382097802001E-2</v>
      </c>
      <c r="Q1918">
        <v>0.89316943854687103</v>
      </c>
      <c r="R1918">
        <v>0.478767924080439</v>
      </c>
      <c r="S1918" t="s">
        <v>6658</v>
      </c>
      <c r="T1918" t="s">
        <v>9478</v>
      </c>
      <c r="U1918" t="s">
        <v>9478</v>
      </c>
      <c r="V1918" t="s">
        <v>9478</v>
      </c>
      <c r="W1918">
        <v>2</v>
      </c>
      <c r="X1918" t="s">
        <v>11396</v>
      </c>
      <c r="Y1918">
        <v>0.94733042488763175</v>
      </c>
      <c r="Z1918" t="str">
        <f>HYPERLINK("Melting_Curves/meltCurve_sp_Q14684_2_RRP1B_HUMAN_.pdf", "Melting_Curves/meltCurve_sp_Q14684_2_RRP1B_HUMAN_.pdf")</f>
        <v>Melting_Curves/meltCurve_sp_Q14684_2_RRP1B_HUMAN_.pdf</v>
      </c>
      <c r="AA1918" t="s">
        <v>16101</v>
      </c>
      <c r="AB1918" t="s">
        <v>20752</v>
      </c>
    </row>
    <row r="1919" spans="1:28" x14ac:dyDescent="0.25">
      <c r="A1919" t="s">
        <v>1923</v>
      </c>
      <c r="B1919">
        <v>0.99904790336628502</v>
      </c>
      <c r="C1919">
        <v>0.96459070462201602</v>
      </c>
      <c r="D1919">
        <v>1.0125969103255299</v>
      </c>
      <c r="E1919">
        <v>0.85371561385538897</v>
      </c>
      <c r="F1919">
        <v>0.54747484481916697</v>
      </c>
      <c r="G1919">
        <v>7.79026785476956E-2</v>
      </c>
      <c r="H1919">
        <v>1.7844737357134901E-2</v>
      </c>
      <c r="I1919">
        <v>8.2423437108855094E-3</v>
      </c>
      <c r="J1919">
        <v>1.30740982211929E-2</v>
      </c>
      <c r="K1919">
        <v>1.8080466131793801E-2</v>
      </c>
      <c r="L1919">
        <v>1718.1658457511601</v>
      </c>
      <c r="M1919">
        <v>32.327222585497303</v>
      </c>
      <c r="N1919">
        <v>53.164638528343403</v>
      </c>
      <c r="O1919">
        <v>52.947050730692602</v>
      </c>
      <c r="P1919">
        <v>-0.15192650295430399</v>
      </c>
      <c r="Q1919">
        <v>4.6752329616556601E-3</v>
      </c>
      <c r="R1919">
        <v>0.99792146673584203</v>
      </c>
      <c r="S1919" t="s">
        <v>6659</v>
      </c>
      <c r="T1919" t="s">
        <v>9478</v>
      </c>
      <c r="U1919" t="s">
        <v>9478</v>
      </c>
      <c r="V1919" t="s">
        <v>9478</v>
      </c>
      <c r="W1919">
        <v>4</v>
      </c>
      <c r="X1919" t="s">
        <v>11397</v>
      </c>
      <c r="Y1919">
        <v>0.44651695428840871</v>
      </c>
      <c r="Z1919" t="str">
        <f>HYPERLINK("Melting_Curves/meltCurve_sp_Q14687_2_GSE1_HUMAN_.pdf", "Melting_Curves/meltCurve_sp_Q14687_2_GSE1_HUMAN_.pdf")</f>
        <v>Melting_Curves/meltCurve_sp_Q14687_2_GSE1_HUMAN_.pdf</v>
      </c>
      <c r="AA1919" t="s">
        <v>16102</v>
      </c>
      <c r="AB1919" t="s">
        <v>20753</v>
      </c>
    </row>
    <row r="1920" spans="1:28" x14ac:dyDescent="0.25">
      <c r="A1920" t="s">
        <v>1924</v>
      </c>
      <c r="B1920">
        <v>0.99904790336628502</v>
      </c>
      <c r="C1920">
        <v>0.94843225075707505</v>
      </c>
      <c r="D1920">
        <v>0.88751769596104302</v>
      </c>
      <c r="E1920">
        <v>0.66704299241055298</v>
      </c>
      <c r="F1920">
        <v>0.56280617783888198</v>
      </c>
      <c r="G1920">
        <v>0.297416766187653</v>
      </c>
      <c r="H1920">
        <v>0.25941464626222399</v>
      </c>
      <c r="I1920">
        <v>0.19795115515045</v>
      </c>
      <c r="J1920">
        <v>0.22646173593032701</v>
      </c>
      <c r="K1920">
        <v>0.22106325082039899</v>
      </c>
      <c r="L1920">
        <v>789.50612184119404</v>
      </c>
      <c r="M1920">
        <v>15.312734995148601</v>
      </c>
      <c r="N1920">
        <v>53.183337339557397</v>
      </c>
      <c r="O1920">
        <v>50.703487124898302</v>
      </c>
      <c r="P1920">
        <v>-6.14039833627174E-2</v>
      </c>
      <c r="Q1920">
        <v>0.186793315505316</v>
      </c>
      <c r="R1920">
        <v>0.99288235624944399</v>
      </c>
      <c r="S1920" t="s">
        <v>6660</v>
      </c>
      <c r="T1920" t="s">
        <v>9478</v>
      </c>
      <c r="U1920" t="s">
        <v>9478</v>
      </c>
      <c r="V1920" t="s">
        <v>9478</v>
      </c>
      <c r="W1920">
        <v>5</v>
      </c>
      <c r="X1920" t="s">
        <v>11398</v>
      </c>
      <c r="Y1920">
        <v>0.51797305105191915</v>
      </c>
      <c r="Z1920" t="str">
        <f>HYPERLINK("Melting_Curves/meltCurve_sp_Q14689_6_DIP2A_HUMAN_.pdf", "Melting_Curves/meltCurve_sp_Q14689_6_DIP2A_HUMAN_.pdf")</f>
        <v>Melting_Curves/meltCurve_sp_Q14689_6_DIP2A_HUMAN_.pdf</v>
      </c>
      <c r="AA1920" t="s">
        <v>16103</v>
      </c>
      <c r="AB1920" t="s">
        <v>20754</v>
      </c>
    </row>
    <row r="1921" spans="1:28" x14ac:dyDescent="0.25">
      <c r="A1921" t="s">
        <v>1925</v>
      </c>
      <c r="B1921">
        <v>0.99904790336628502</v>
      </c>
      <c r="C1921">
        <v>0.89319076128831598</v>
      </c>
      <c r="D1921">
        <v>0.81620201261756697</v>
      </c>
      <c r="E1921">
        <v>0.92359393867706396</v>
      </c>
      <c r="F1921">
        <v>0.86819639792567604</v>
      </c>
      <c r="G1921">
        <v>0.78763193829740297</v>
      </c>
      <c r="H1921">
        <v>0.58474874790657705</v>
      </c>
      <c r="I1921">
        <v>0.57956468819338502</v>
      </c>
      <c r="J1921">
        <v>0.59711446235598598</v>
      </c>
      <c r="K1921">
        <v>0.41403404413372003</v>
      </c>
      <c r="L1921">
        <v>357.40069988327599</v>
      </c>
      <c r="M1921">
        <v>5.2314871716182099</v>
      </c>
      <c r="N1921">
        <v>68.317238987455099</v>
      </c>
      <c r="O1921">
        <v>60.238421047168202</v>
      </c>
      <c r="P1921">
        <v>-2.1825438902657101E-2</v>
      </c>
      <c r="Q1921">
        <v>0</v>
      </c>
      <c r="R1921">
        <v>0.88628911265794097</v>
      </c>
      <c r="S1921" t="s">
        <v>6661</v>
      </c>
      <c r="T1921" t="s">
        <v>9478</v>
      </c>
      <c r="U1921" t="s">
        <v>9478</v>
      </c>
      <c r="V1921" t="s">
        <v>9478</v>
      </c>
      <c r="W1921">
        <v>1</v>
      </c>
      <c r="X1921" t="s">
        <v>11399</v>
      </c>
      <c r="Y1921">
        <v>0.75956130641819497</v>
      </c>
      <c r="Z1921" t="str">
        <f>HYPERLINK("Melting_Curves/meltCurve_sp_Q14690_RRP5_HUMAN_.pdf", "Melting_Curves/meltCurve_sp_Q14690_RRP5_HUMAN_.pdf")</f>
        <v>Melting_Curves/meltCurve_sp_Q14690_RRP5_HUMAN_.pdf</v>
      </c>
      <c r="AA1921" t="s">
        <v>16104</v>
      </c>
      <c r="AB1921" t="s">
        <v>20755</v>
      </c>
    </row>
    <row r="1922" spans="1:28" x14ac:dyDescent="0.25">
      <c r="A1922" t="s">
        <v>1926</v>
      </c>
      <c r="B1922">
        <v>0.99904790336628502</v>
      </c>
      <c r="C1922">
        <v>0.83424439129398298</v>
      </c>
      <c r="D1922">
        <v>0.70108733172822801</v>
      </c>
      <c r="E1922">
        <v>0.48142302467341502</v>
      </c>
      <c r="F1922">
        <v>0.29660348708506901</v>
      </c>
      <c r="G1922">
        <v>0.161710063020675</v>
      </c>
      <c r="H1922">
        <v>9.8205774498471704E-2</v>
      </c>
      <c r="I1922">
        <v>7.7972332352560098E-2</v>
      </c>
      <c r="J1922">
        <v>6.8185361198025193E-2</v>
      </c>
      <c r="K1922">
        <v>5.8914297280820302E-2</v>
      </c>
      <c r="L1922">
        <v>630.02001280533796</v>
      </c>
      <c r="M1922">
        <v>12.845304490112699</v>
      </c>
      <c r="N1922">
        <v>49.3096723610456</v>
      </c>
      <c r="O1922">
        <v>47.903627682831498</v>
      </c>
      <c r="P1922">
        <v>-6.4830047618320494E-2</v>
      </c>
      <c r="Q1922">
        <v>3.3103555814033903E-2</v>
      </c>
      <c r="R1922">
        <v>0.99609467879814295</v>
      </c>
      <c r="S1922" t="s">
        <v>6662</v>
      </c>
      <c r="T1922" t="s">
        <v>9478</v>
      </c>
      <c r="U1922" t="s">
        <v>9478</v>
      </c>
      <c r="V1922" t="s">
        <v>9478</v>
      </c>
      <c r="W1922">
        <v>9</v>
      </c>
      <c r="X1922" t="s">
        <v>11400</v>
      </c>
      <c r="Y1922">
        <v>0.35621962585616962</v>
      </c>
      <c r="Z1922" t="str">
        <f>HYPERLINK("Melting_Curves/meltCurve_sp_Q14694_UBP10_HUMAN_.pdf", "Melting_Curves/meltCurve_sp_Q14694_UBP10_HUMAN_.pdf")</f>
        <v>Melting_Curves/meltCurve_sp_Q14694_UBP10_HUMAN_.pdf</v>
      </c>
      <c r="AA1922" t="s">
        <v>16105</v>
      </c>
      <c r="AB1922" t="s">
        <v>20756</v>
      </c>
    </row>
    <row r="1923" spans="1:28" x14ac:dyDescent="0.25">
      <c r="A1923" t="s">
        <v>1927</v>
      </c>
      <c r="B1923">
        <v>0.99904790336628502</v>
      </c>
      <c r="C1923">
        <v>0.98793458330983797</v>
      </c>
      <c r="D1923">
        <v>0.93460878266073499</v>
      </c>
      <c r="E1923">
        <v>0.96251787451992399</v>
      </c>
      <c r="F1923">
        <v>0.96527322686111205</v>
      </c>
      <c r="G1923">
        <v>0.83381227501102095</v>
      </c>
      <c r="H1923">
        <v>0.71070937067185702</v>
      </c>
      <c r="I1923">
        <v>0.68109636206824398</v>
      </c>
      <c r="J1923">
        <v>0.63191112499351898</v>
      </c>
      <c r="K1923">
        <v>0.572931132749112</v>
      </c>
      <c r="L1923">
        <v>800.46392383881505</v>
      </c>
      <c r="M1923">
        <v>13.3620764500179</v>
      </c>
      <c r="O1923">
        <v>58.611632244083097</v>
      </c>
      <c r="P1923">
        <v>-2.7097560586139699E-2</v>
      </c>
      <c r="Q1923">
        <v>0.52463081554511604</v>
      </c>
      <c r="R1923">
        <v>0.97580012297030805</v>
      </c>
      <c r="S1923" t="s">
        <v>6663</v>
      </c>
      <c r="T1923" t="s">
        <v>9478</v>
      </c>
      <c r="U1923" t="s">
        <v>9478</v>
      </c>
      <c r="V1923" t="s">
        <v>9478</v>
      </c>
      <c r="W1923">
        <v>9</v>
      </c>
      <c r="X1923" t="s">
        <v>11401</v>
      </c>
      <c r="Y1923">
        <v>0.84263072240782222</v>
      </c>
      <c r="Z1923" t="str">
        <f>HYPERLINK("Melting_Curves/meltCurve_sp_Q14696_MESD_HUMAN_.pdf", "Melting_Curves/meltCurve_sp_Q14696_MESD_HUMAN_.pdf")</f>
        <v>Melting_Curves/meltCurve_sp_Q14696_MESD_HUMAN_.pdf</v>
      </c>
      <c r="AA1923" t="s">
        <v>16106</v>
      </c>
      <c r="AB1923" t="s">
        <v>20757</v>
      </c>
    </row>
    <row r="1924" spans="1:28" x14ac:dyDescent="0.25">
      <c r="A1924" t="s">
        <v>1928</v>
      </c>
      <c r="B1924">
        <v>0.99904790336628502</v>
      </c>
      <c r="C1924">
        <v>1.0829470077890899</v>
      </c>
      <c r="D1924">
        <v>1.15911092573456</v>
      </c>
      <c r="E1924">
        <v>0.59189956829786405</v>
      </c>
      <c r="F1924">
        <v>0.24280472790025001</v>
      </c>
      <c r="G1924">
        <v>0.12068278568358801</v>
      </c>
      <c r="H1924">
        <v>0.105635102585213</v>
      </c>
      <c r="I1924">
        <v>5.7529087192777002E-2</v>
      </c>
      <c r="J1924">
        <v>6.6471441370602499E-2</v>
      </c>
      <c r="K1924">
        <v>0</v>
      </c>
      <c r="L1924">
        <v>1965.75614582918</v>
      </c>
      <c r="M1924">
        <v>38.903838618614301</v>
      </c>
      <c r="N1924">
        <v>50.7318598078637</v>
      </c>
      <c r="O1924">
        <v>50.395648729360197</v>
      </c>
      <c r="P1924">
        <v>-0.179065622825647</v>
      </c>
      <c r="Q1924">
        <v>7.2163018676401403E-2</v>
      </c>
      <c r="R1924">
        <v>0.97495741821155102</v>
      </c>
      <c r="S1924" t="s">
        <v>6664</v>
      </c>
      <c r="T1924" t="s">
        <v>9478</v>
      </c>
      <c r="U1924" t="s">
        <v>9478</v>
      </c>
      <c r="V1924" t="s">
        <v>9478</v>
      </c>
      <c r="W1924">
        <v>32</v>
      </c>
      <c r="X1924" t="s">
        <v>11402</v>
      </c>
      <c r="Y1924">
        <v>0.40121798500017231</v>
      </c>
      <c r="Z1924" t="str">
        <f>HYPERLINK("Melting_Curves/meltCurve_sp_Q14697_2_GANAB_HUMAN_.pdf", "Melting_Curves/meltCurve_sp_Q14697_2_GANAB_HUMAN_.pdf")</f>
        <v>Melting_Curves/meltCurve_sp_Q14697_2_GANAB_HUMAN_.pdf</v>
      </c>
      <c r="AA1924" t="s">
        <v>16107</v>
      </c>
      <c r="AB1924" t="s">
        <v>20758</v>
      </c>
    </row>
    <row r="1925" spans="1:28" x14ac:dyDescent="0.25">
      <c r="A1925" t="s">
        <v>1929</v>
      </c>
      <c r="B1925">
        <v>0.99904790336628502</v>
      </c>
      <c r="C1925">
        <v>0.97414194482766703</v>
      </c>
      <c r="D1925">
        <v>1.01024942112636</v>
      </c>
      <c r="E1925">
        <v>0.63389897102975601</v>
      </c>
      <c r="F1925">
        <v>0.16655911619240801</v>
      </c>
      <c r="G1925">
        <v>8.9265178936125997E-2</v>
      </c>
      <c r="H1925">
        <v>5.1212950518944499E-2</v>
      </c>
      <c r="I1925">
        <v>3.7335493011604201E-2</v>
      </c>
      <c r="J1925">
        <v>2.6598156564749401E-2</v>
      </c>
      <c r="K1925">
        <v>2.1617927321379501E-2</v>
      </c>
      <c r="L1925">
        <v>2101.10846044146</v>
      </c>
      <c r="M1925">
        <v>41.533371117981901</v>
      </c>
      <c r="N1925">
        <v>50.697538819268701</v>
      </c>
      <c r="O1925">
        <v>50.4715864826059</v>
      </c>
      <c r="P1925">
        <v>-0.196932043581275</v>
      </c>
      <c r="Q1925">
        <v>4.2749993796037701E-2</v>
      </c>
      <c r="R1925">
        <v>0.99805796300577998</v>
      </c>
      <c r="S1925" t="s">
        <v>6665</v>
      </c>
      <c r="T1925" t="s">
        <v>9478</v>
      </c>
      <c r="U1925" t="s">
        <v>9478</v>
      </c>
      <c r="V1925" t="s">
        <v>9478</v>
      </c>
      <c r="W1925">
        <v>32</v>
      </c>
      <c r="X1925" t="s">
        <v>11403</v>
      </c>
      <c r="Y1925">
        <v>0.38371269578364842</v>
      </c>
      <c r="Z1925" t="str">
        <f>HYPERLINK("Melting_Curves/meltCurve_sp_Q14697_GANAB_HUMAN_.pdf", "Melting_Curves/meltCurve_sp_Q14697_GANAB_HUMAN_.pdf")</f>
        <v>Melting_Curves/meltCurve_sp_Q14697_GANAB_HUMAN_.pdf</v>
      </c>
      <c r="AA1925" t="s">
        <v>16107</v>
      </c>
      <c r="AB1925" t="s">
        <v>20759</v>
      </c>
    </row>
    <row r="1926" spans="1:28" x14ac:dyDescent="0.25">
      <c r="A1926" t="s">
        <v>1930</v>
      </c>
      <c r="B1926">
        <v>0.99904790336628502</v>
      </c>
      <c r="C1926">
        <v>0.93712533148157995</v>
      </c>
      <c r="D1926">
        <v>1.0220376469472501</v>
      </c>
      <c r="E1926">
        <v>0.92729615920858299</v>
      </c>
      <c r="F1926">
        <v>0.73486468586809695</v>
      </c>
      <c r="G1926">
        <v>0.29052212610345102</v>
      </c>
      <c r="H1926">
        <v>6.1925144834519698E-2</v>
      </c>
      <c r="I1926">
        <v>3.3370420706311001E-2</v>
      </c>
      <c r="J1926">
        <v>2.82659055023287E-2</v>
      </c>
      <c r="K1926">
        <v>2.6026437164397599E-2</v>
      </c>
      <c r="L1926">
        <v>1494.5669755802001</v>
      </c>
      <c r="M1926">
        <v>27.203112597916601</v>
      </c>
      <c r="N1926">
        <v>55.005267683802501</v>
      </c>
      <c r="O1926">
        <v>54.646701470883002</v>
      </c>
      <c r="P1926">
        <v>-0.122504972734417</v>
      </c>
      <c r="Q1926">
        <v>1.5637895020806099E-2</v>
      </c>
      <c r="R1926">
        <v>0.99724133307338902</v>
      </c>
      <c r="S1926" t="s">
        <v>6666</v>
      </c>
      <c r="T1926" t="s">
        <v>9478</v>
      </c>
      <c r="U1926" t="s">
        <v>9478</v>
      </c>
      <c r="V1926" t="s">
        <v>9478</v>
      </c>
      <c r="W1926">
        <v>7</v>
      </c>
      <c r="X1926" t="s">
        <v>11404</v>
      </c>
      <c r="Y1926">
        <v>0.51371345725998663</v>
      </c>
      <c r="Z1926" t="str">
        <f>HYPERLINK("Melting_Curves/meltCurve_sp_Q14749_GNMT_HUMAN_.pdf", "Melting_Curves/meltCurve_sp_Q14749_GNMT_HUMAN_.pdf")</f>
        <v>Melting_Curves/meltCurve_sp_Q14749_GNMT_HUMAN_.pdf</v>
      </c>
      <c r="AA1926" t="s">
        <v>16108</v>
      </c>
      <c r="AB1926" t="s">
        <v>20760</v>
      </c>
    </row>
    <row r="1927" spans="1:28" x14ac:dyDescent="0.25">
      <c r="A1927" t="s">
        <v>1931</v>
      </c>
      <c r="B1927">
        <v>0.99904790336628502</v>
      </c>
      <c r="C1927">
        <v>1.01560849803352</v>
      </c>
      <c r="D1927">
        <v>1.00437033613586</v>
      </c>
      <c r="E1927">
        <v>0.78986275161327402</v>
      </c>
      <c r="F1927">
        <v>0.58897500178790696</v>
      </c>
      <c r="G1927">
        <v>0.36791240971176298</v>
      </c>
      <c r="H1927">
        <v>0.28038614403713202</v>
      </c>
      <c r="I1927">
        <v>0.25910249882250602</v>
      </c>
      <c r="J1927">
        <v>0.24210027513670099</v>
      </c>
      <c r="K1927">
        <v>0.197915528474569</v>
      </c>
      <c r="L1927">
        <v>1071.5331753750299</v>
      </c>
      <c r="M1927">
        <v>20.326070632659398</v>
      </c>
      <c r="N1927">
        <v>54.308425164509501</v>
      </c>
      <c r="O1927">
        <v>52.214875175252203</v>
      </c>
      <c r="P1927">
        <v>-7.5485916173907E-2</v>
      </c>
      <c r="Q1927">
        <v>0.224372017132945</v>
      </c>
      <c r="R1927">
        <v>0.99633939884496803</v>
      </c>
      <c r="S1927" t="s">
        <v>6667</v>
      </c>
      <c r="T1927" t="s">
        <v>9478</v>
      </c>
      <c r="U1927" t="s">
        <v>9478</v>
      </c>
      <c r="V1927" t="s">
        <v>9478</v>
      </c>
      <c r="W1927">
        <v>69</v>
      </c>
      <c r="X1927" t="s">
        <v>11405</v>
      </c>
      <c r="Y1927">
        <v>0.56356038979782086</v>
      </c>
      <c r="Z1927" t="str">
        <f>HYPERLINK("Melting_Curves/meltCurve_sp_Q14789_GOGB1_HUMAN_.pdf", "Melting_Curves/meltCurve_sp_Q14789_GOGB1_HUMAN_.pdf")</f>
        <v>Melting_Curves/meltCurve_sp_Q14789_GOGB1_HUMAN_.pdf</v>
      </c>
      <c r="AA1927" t="s">
        <v>16109</v>
      </c>
      <c r="AB1927" t="s">
        <v>20761</v>
      </c>
    </row>
    <row r="1928" spans="1:28" x14ac:dyDescent="0.25">
      <c r="A1928" t="s">
        <v>1932</v>
      </c>
      <c r="B1928">
        <v>0.99904790336628502</v>
      </c>
      <c r="C1928">
        <v>0.87718398929541397</v>
      </c>
      <c r="D1928">
        <v>0.92266359380216201</v>
      </c>
      <c r="E1928">
        <v>0.79720969675929398</v>
      </c>
      <c r="F1928">
        <v>0.43645105697436598</v>
      </c>
      <c r="G1928">
        <v>0.12505528838435001</v>
      </c>
      <c r="H1928">
        <v>5.9655278322438401E-2</v>
      </c>
      <c r="I1928">
        <v>3.4646091155385597E-2</v>
      </c>
      <c r="J1928">
        <v>3.5014543856679299E-2</v>
      </c>
      <c r="K1928">
        <v>1.3355441421714799E-2</v>
      </c>
      <c r="L1928">
        <v>1295.51771354164</v>
      </c>
      <c r="M1928">
        <v>24.721403070456301</v>
      </c>
      <c r="N1928">
        <v>52.496127001142902</v>
      </c>
      <c r="O1928">
        <v>52.065395372982998</v>
      </c>
      <c r="P1928">
        <v>-0.116204091885569</v>
      </c>
      <c r="Q1928">
        <v>2.10704749014912E-2</v>
      </c>
      <c r="R1928">
        <v>0.98919820790600099</v>
      </c>
      <c r="S1928" t="s">
        <v>6668</v>
      </c>
      <c r="T1928" t="s">
        <v>9478</v>
      </c>
      <c r="U1928" t="s">
        <v>9478</v>
      </c>
      <c r="V1928" t="s">
        <v>9478</v>
      </c>
      <c r="W1928">
        <v>4</v>
      </c>
      <c r="X1928" t="s">
        <v>11406</v>
      </c>
      <c r="Y1928">
        <v>0.43501188931997781</v>
      </c>
      <c r="Z1928" t="str">
        <f>HYPERLINK("Melting_Curves/meltCurve_sp_Q14790_CASP8_HUMAN_.pdf", "Melting_Curves/meltCurve_sp_Q14790_CASP8_HUMAN_.pdf")</f>
        <v>Melting_Curves/meltCurve_sp_Q14790_CASP8_HUMAN_.pdf</v>
      </c>
      <c r="AA1928" t="s">
        <v>16110</v>
      </c>
      <c r="AB1928" t="s">
        <v>20762</v>
      </c>
    </row>
    <row r="1929" spans="1:28" x14ac:dyDescent="0.25">
      <c r="A1929" t="s">
        <v>1933</v>
      </c>
      <c r="B1929">
        <v>0.99904790336628502</v>
      </c>
      <c r="C1929">
        <v>1.0178154844571401</v>
      </c>
      <c r="D1929">
        <v>0.95783446945772499</v>
      </c>
      <c r="E1929">
        <v>0.75408274496525596</v>
      </c>
      <c r="F1929">
        <v>0.70597068329678203</v>
      </c>
      <c r="G1929">
        <v>0.58376718459560895</v>
      </c>
      <c r="H1929">
        <v>0.498331068091935</v>
      </c>
      <c r="I1929">
        <v>0.50304506168249696</v>
      </c>
      <c r="J1929">
        <v>0.45736453725124099</v>
      </c>
      <c r="K1929">
        <v>0.56594611570685305</v>
      </c>
      <c r="L1929">
        <v>915.75500671797101</v>
      </c>
      <c r="M1929">
        <v>17.918861941975599</v>
      </c>
      <c r="O1929">
        <v>50.481895815894603</v>
      </c>
      <c r="P1929">
        <v>-4.4415207325962498E-2</v>
      </c>
      <c r="Q1929">
        <v>0.49951034872648797</v>
      </c>
      <c r="R1929">
        <v>0.97203911422230604</v>
      </c>
      <c r="S1929" t="s">
        <v>6669</v>
      </c>
      <c r="T1929" t="s">
        <v>9478</v>
      </c>
      <c r="U1929" t="s">
        <v>9478</v>
      </c>
      <c r="V1929" t="s">
        <v>9478</v>
      </c>
      <c r="W1929">
        <v>3</v>
      </c>
      <c r="X1929" t="s">
        <v>11407</v>
      </c>
      <c r="Y1929">
        <v>0.69327668388020014</v>
      </c>
      <c r="Z1929" t="str">
        <f>HYPERLINK("Melting_Curves/meltCurve_sp_Q147X3_NAA30_HUMAN_.pdf", "Melting_Curves/meltCurve_sp_Q147X3_NAA30_HUMAN_.pdf")</f>
        <v>Melting_Curves/meltCurve_sp_Q147X3_NAA30_HUMAN_.pdf</v>
      </c>
      <c r="AA1929" t="s">
        <v>16111</v>
      </c>
      <c r="AB1929" t="s">
        <v>20763</v>
      </c>
    </row>
    <row r="1930" spans="1:28" x14ac:dyDescent="0.25">
      <c r="A1930" t="s">
        <v>1934</v>
      </c>
      <c r="B1930">
        <v>0.99904790336628502</v>
      </c>
      <c r="C1930">
        <v>0.96194456147835405</v>
      </c>
      <c r="D1930">
        <v>0.89998697422112195</v>
      </c>
      <c r="E1930">
        <v>0.906412617610722</v>
      </c>
      <c r="F1930">
        <v>0.67740868957316103</v>
      </c>
      <c r="G1930">
        <v>0.34974595309212703</v>
      </c>
      <c r="H1930">
        <v>0.31730169642102601</v>
      </c>
      <c r="I1930">
        <v>0.31110062082607598</v>
      </c>
      <c r="J1930">
        <v>0.36588313982166998</v>
      </c>
      <c r="K1930">
        <v>0.29993718260124702</v>
      </c>
      <c r="L1930">
        <v>1750.22892179831</v>
      </c>
      <c r="M1930">
        <v>33.008577710362999</v>
      </c>
      <c r="N1930">
        <v>54.676704487172003</v>
      </c>
      <c r="O1930">
        <v>52.829981292864197</v>
      </c>
      <c r="P1930">
        <v>-0.10688859868721499</v>
      </c>
      <c r="Q1930">
        <v>0.315705441028092</v>
      </c>
      <c r="R1930">
        <v>0.98282951017452802</v>
      </c>
      <c r="S1930" t="s">
        <v>6670</v>
      </c>
      <c r="T1930" t="s">
        <v>9478</v>
      </c>
      <c r="U1930" t="s">
        <v>9478</v>
      </c>
      <c r="V1930" t="s">
        <v>9478</v>
      </c>
      <c r="W1930">
        <v>2</v>
      </c>
      <c r="X1930" t="s">
        <v>11408</v>
      </c>
      <c r="Y1930">
        <v>0.61644490037270583</v>
      </c>
      <c r="Z1930" t="str">
        <f>HYPERLINK("Melting_Curves/meltCurve_sp_Q14814_6_MEF2D_HUMAN_.pdf", "Melting_Curves/meltCurve_sp_Q14814_6_MEF2D_HUMAN_.pdf")</f>
        <v>Melting_Curves/meltCurve_sp_Q14814_6_MEF2D_HUMAN_.pdf</v>
      </c>
      <c r="AA1930" t="s">
        <v>16112</v>
      </c>
      <c r="AB1930" t="s">
        <v>20764</v>
      </c>
    </row>
    <row r="1931" spans="1:28" x14ac:dyDescent="0.25">
      <c r="A1931" t="s">
        <v>1935</v>
      </c>
      <c r="B1931">
        <v>0.99904790336628502</v>
      </c>
      <c r="C1931">
        <v>1.04084906101866</v>
      </c>
      <c r="D1931">
        <v>1.00188601278803</v>
      </c>
      <c r="E1931">
        <v>1.00227007176211</v>
      </c>
      <c r="F1931">
        <v>1.0773872673266101</v>
      </c>
      <c r="G1931">
        <v>0.83905548302400201</v>
      </c>
      <c r="H1931">
        <v>0.80985937419101495</v>
      </c>
      <c r="I1931">
        <v>0.90784979565398705</v>
      </c>
      <c r="J1931">
        <v>0.98170985155067203</v>
      </c>
      <c r="K1931">
        <v>1.0497024323628099</v>
      </c>
      <c r="L1931">
        <v>2231.6654012822501</v>
      </c>
      <c r="M1931">
        <v>40.730051609205098</v>
      </c>
      <c r="O1931">
        <v>54.660034370256199</v>
      </c>
      <c r="P1931">
        <v>-1.4389682642832399E-2</v>
      </c>
      <c r="Q1931">
        <v>0.92275590287879306</v>
      </c>
      <c r="R1931">
        <v>0.27603608674010699</v>
      </c>
      <c r="S1931" t="s">
        <v>6671</v>
      </c>
      <c r="T1931" t="s">
        <v>9478</v>
      </c>
      <c r="U1931" t="s">
        <v>9478</v>
      </c>
      <c r="V1931" t="s">
        <v>9478</v>
      </c>
      <c r="W1931">
        <v>25</v>
      </c>
      <c r="X1931" t="s">
        <v>11409</v>
      </c>
      <c r="Y1931">
        <v>0.96112268920601873</v>
      </c>
      <c r="Z1931" t="str">
        <f>HYPERLINK("Melting_Curves/meltCurve_sp_Q14847_LASP1_HUMAN_.pdf", "Melting_Curves/meltCurve_sp_Q14847_LASP1_HUMAN_.pdf")</f>
        <v>Melting_Curves/meltCurve_sp_Q14847_LASP1_HUMAN_.pdf</v>
      </c>
      <c r="AA1931" t="s">
        <v>16113</v>
      </c>
      <c r="AB1931" t="s">
        <v>20765</v>
      </c>
    </row>
    <row r="1932" spans="1:28" x14ac:dyDescent="0.25">
      <c r="A1932" t="s">
        <v>1936</v>
      </c>
      <c r="B1932">
        <v>0.99904790336628502</v>
      </c>
      <c r="C1932">
        <v>0.96196733432242398</v>
      </c>
      <c r="D1932">
        <v>0.99142713277457195</v>
      </c>
      <c r="E1932">
        <v>0.98641997221767697</v>
      </c>
      <c r="F1932">
        <v>0.99401451063209501</v>
      </c>
      <c r="G1932">
        <v>0.83770727511672305</v>
      </c>
      <c r="H1932">
        <v>0.53003916173938603</v>
      </c>
      <c r="I1932">
        <v>0.18139647493014199</v>
      </c>
      <c r="J1932">
        <v>4.8522365107599601E-2</v>
      </c>
      <c r="K1932">
        <v>3.9895500360153303E-2</v>
      </c>
      <c r="L1932">
        <v>1722.77243251301</v>
      </c>
      <c r="M1932">
        <v>28.269693148706299</v>
      </c>
      <c r="N1932">
        <v>60.9406130833341</v>
      </c>
      <c r="O1932">
        <v>60.638119434162498</v>
      </c>
      <c r="P1932">
        <v>-0.11655180071988901</v>
      </c>
      <c r="Q1932">
        <v>0</v>
      </c>
      <c r="R1932">
        <v>0.99624187161342903</v>
      </c>
      <c r="S1932" t="s">
        <v>6672</v>
      </c>
      <c r="T1932" t="s">
        <v>9478</v>
      </c>
      <c r="U1932" t="s">
        <v>9478</v>
      </c>
      <c r="V1932" t="s">
        <v>9478</v>
      </c>
      <c r="W1932">
        <v>13</v>
      </c>
      <c r="X1932" t="s">
        <v>11410</v>
      </c>
      <c r="Y1932">
        <v>0.70389497889711417</v>
      </c>
      <c r="Z1932" t="str">
        <f>HYPERLINK("Melting_Curves/meltCurve_sp_Q14894_CRYM_HUMAN_.pdf", "Melting_Curves/meltCurve_sp_Q14894_CRYM_HUMAN_.pdf")</f>
        <v>Melting_Curves/meltCurve_sp_Q14894_CRYM_HUMAN_.pdf</v>
      </c>
      <c r="AA1932" t="s">
        <v>16114</v>
      </c>
      <c r="AB1932" t="s">
        <v>20766</v>
      </c>
    </row>
    <row r="1933" spans="1:28" x14ac:dyDescent="0.25">
      <c r="A1933" t="s">
        <v>1937</v>
      </c>
      <c r="B1933">
        <v>0.99904790336628502</v>
      </c>
      <c r="C1933">
        <v>0.85502559996883898</v>
      </c>
      <c r="D1933">
        <v>1.04544137143468</v>
      </c>
      <c r="E1933">
        <v>0.96879344145092605</v>
      </c>
      <c r="F1933">
        <v>0.611297067576133</v>
      </c>
      <c r="G1933">
        <v>0.23872914032832199</v>
      </c>
      <c r="H1933">
        <v>0.13879493732503101</v>
      </c>
      <c r="I1933">
        <v>0.10137482606353</v>
      </c>
      <c r="J1933">
        <v>7.4116613883420293E-2</v>
      </c>
      <c r="K1933">
        <v>4.7251158912239501E-2</v>
      </c>
      <c r="L1933">
        <v>1662.16543673616</v>
      </c>
      <c r="M1933">
        <v>30.915128829539398</v>
      </c>
      <c r="N1933">
        <v>54.088839331797303</v>
      </c>
      <c r="O1933">
        <v>53.541968867202499</v>
      </c>
      <c r="P1933">
        <v>-0.13216998222604501</v>
      </c>
      <c r="Q1933">
        <v>8.4383441060444903E-2</v>
      </c>
      <c r="R1933">
        <v>0.98178938456189502</v>
      </c>
      <c r="S1933" t="s">
        <v>6673</v>
      </c>
      <c r="T1933" t="s">
        <v>9478</v>
      </c>
      <c r="U1933" t="s">
        <v>9478</v>
      </c>
      <c r="V1933" t="s">
        <v>9478</v>
      </c>
      <c r="W1933">
        <v>18</v>
      </c>
      <c r="X1933" t="s">
        <v>11411</v>
      </c>
      <c r="Y1933">
        <v>0.510169938442811</v>
      </c>
      <c r="Z1933" t="str">
        <f>HYPERLINK("Melting_Curves/meltCurve_sp_Q14914_2_PTGR1_HUMAN_.pdf", "Melting_Curves/meltCurve_sp_Q14914_2_PTGR1_HUMAN_.pdf")</f>
        <v>Melting_Curves/meltCurve_sp_Q14914_2_PTGR1_HUMAN_.pdf</v>
      </c>
      <c r="AA1933" t="s">
        <v>16115</v>
      </c>
      <c r="AB1933" t="s">
        <v>20767</v>
      </c>
    </row>
    <row r="1934" spans="1:28" x14ac:dyDescent="0.25">
      <c r="A1934" t="s">
        <v>1938</v>
      </c>
      <c r="B1934">
        <v>0.99904790336628502</v>
      </c>
      <c r="C1934">
        <v>0.80578158723631399</v>
      </c>
      <c r="D1934">
        <v>0.89571904931472701</v>
      </c>
      <c r="E1934">
        <v>0.86560221773326895</v>
      </c>
      <c r="F1934">
        <v>1.11349343406699</v>
      </c>
      <c r="G1934">
        <v>0.58060855780620002</v>
      </c>
      <c r="H1934">
        <v>0.45077720776677099</v>
      </c>
      <c r="I1934">
        <v>0.38048429022687402</v>
      </c>
      <c r="J1934">
        <v>0.33357424379692302</v>
      </c>
      <c r="K1934">
        <v>0.27545249420472101</v>
      </c>
      <c r="L1934">
        <v>9503.6153611951195</v>
      </c>
      <c r="M1934">
        <v>167.37277451836201</v>
      </c>
      <c r="N1934">
        <v>57.216468228149097</v>
      </c>
      <c r="O1934">
        <v>56.773024850988598</v>
      </c>
      <c r="P1934">
        <v>-0.47164549515302401</v>
      </c>
      <c r="Q1934">
        <v>0.36006937067794897</v>
      </c>
      <c r="R1934">
        <v>0.883059161198543</v>
      </c>
      <c r="S1934" t="s">
        <v>6674</v>
      </c>
      <c r="T1934" t="s">
        <v>9478</v>
      </c>
      <c r="U1934" t="s">
        <v>9478</v>
      </c>
      <c r="V1934" t="s">
        <v>9478</v>
      </c>
      <c r="W1934">
        <v>3</v>
      </c>
      <c r="X1934" t="s">
        <v>11412</v>
      </c>
      <c r="Y1934">
        <v>0.71817032971284189</v>
      </c>
      <c r="Z1934" t="str">
        <f>HYPERLINK("Melting_Curves/meltCurve_sp_Q14938_5_NFIX_HUMAN_.pdf", "Melting_Curves/meltCurve_sp_Q14938_5_NFIX_HUMAN_.pdf")</f>
        <v>Melting_Curves/meltCurve_sp_Q14938_5_NFIX_HUMAN_.pdf</v>
      </c>
      <c r="AA1934" t="s">
        <v>16116</v>
      </c>
      <c r="AB1934" t="s">
        <v>20768</v>
      </c>
    </row>
    <row r="1935" spans="1:28" x14ac:dyDescent="0.25">
      <c r="A1935" t="s">
        <v>1939</v>
      </c>
      <c r="B1935">
        <v>0.99904790336628502</v>
      </c>
      <c r="C1935">
        <v>0.98090253398219795</v>
      </c>
      <c r="D1935">
        <v>0.94776569620156903</v>
      </c>
      <c r="E1935">
        <v>0.92393686214030701</v>
      </c>
      <c r="F1935">
        <v>0.94735724146399702</v>
      </c>
      <c r="G1935">
        <v>0.69217208720879397</v>
      </c>
      <c r="H1935">
        <v>0.59360018568043604</v>
      </c>
      <c r="I1935">
        <v>0.53622837062878304</v>
      </c>
      <c r="J1935">
        <v>0.55132142371089599</v>
      </c>
      <c r="K1935">
        <v>0.54030306293603403</v>
      </c>
      <c r="L1935">
        <v>1535.88735716057</v>
      </c>
      <c r="M1935">
        <v>27.498105298450199</v>
      </c>
      <c r="O1935">
        <v>55.561425877252397</v>
      </c>
      <c r="P1935">
        <v>-5.7115090889485402E-2</v>
      </c>
      <c r="Q1935">
        <v>0.53838773863544398</v>
      </c>
      <c r="R1935">
        <v>0.97828192715461404</v>
      </c>
      <c r="S1935" t="s">
        <v>6675</v>
      </c>
      <c r="T1935" t="s">
        <v>9478</v>
      </c>
      <c r="U1935" t="s">
        <v>9478</v>
      </c>
      <c r="V1935" t="s">
        <v>9478</v>
      </c>
      <c r="W1935">
        <v>20</v>
      </c>
      <c r="X1935" t="s">
        <v>11413</v>
      </c>
      <c r="Y1935">
        <v>0.78594058927726762</v>
      </c>
      <c r="Z1935" t="str">
        <f>HYPERLINK("Melting_Curves/meltCurve_sp_Q14966_ZN638_HUMAN_.pdf", "Melting_Curves/meltCurve_sp_Q14966_ZN638_HUMAN_.pdf")</f>
        <v>Melting_Curves/meltCurve_sp_Q14966_ZN638_HUMAN_.pdf</v>
      </c>
      <c r="AA1935" t="s">
        <v>16117</v>
      </c>
      <c r="AB1935" t="s">
        <v>20769</v>
      </c>
    </row>
    <row r="1936" spans="1:28" x14ac:dyDescent="0.25">
      <c r="A1936" t="s">
        <v>1940</v>
      </c>
      <c r="B1936">
        <v>0.99904790336628502</v>
      </c>
      <c r="C1936">
        <v>1.03352467141434</v>
      </c>
      <c r="D1936">
        <v>1.05184511152472</v>
      </c>
      <c r="E1936">
        <v>0.81329381316998195</v>
      </c>
      <c r="F1936">
        <v>0.493587418454975</v>
      </c>
      <c r="G1936">
        <v>0.298421580542858</v>
      </c>
      <c r="H1936">
        <v>9.4850018380474299E-2</v>
      </c>
      <c r="I1936">
        <v>6.0223073098424701E-2</v>
      </c>
      <c r="J1936">
        <v>4.4057550758556503E-2</v>
      </c>
      <c r="K1936">
        <v>3.4515062749647399E-2</v>
      </c>
      <c r="L1936">
        <v>1104.6775477428901</v>
      </c>
      <c r="M1936">
        <v>20.716411401162201</v>
      </c>
      <c r="N1936">
        <v>53.519311530190798</v>
      </c>
      <c r="O1936">
        <v>52.8343786675809</v>
      </c>
      <c r="P1936">
        <v>-9.4455553881604704E-2</v>
      </c>
      <c r="Q1936">
        <v>3.6443316838711597E-2</v>
      </c>
      <c r="R1936">
        <v>0.99085796036323603</v>
      </c>
      <c r="S1936" t="s">
        <v>6676</v>
      </c>
      <c r="T1936" t="s">
        <v>9478</v>
      </c>
      <c r="U1936" t="s">
        <v>9478</v>
      </c>
      <c r="V1936" t="s">
        <v>9478</v>
      </c>
      <c r="W1936">
        <v>31</v>
      </c>
      <c r="X1936" t="s">
        <v>11414</v>
      </c>
      <c r="Y1936">
        <v>0.47683121072404561</v>
      </c>
      <c r="Z1936" t="str">
        <f>HYPERLINK("Melting_Curves/meltCurve_sp_Q14974_IMB1_HUMAN_.pdf", "Melting_Curves/meltCurve_sp_Q14974_IMB1_HUMAN_.pdf")</f>
        <v>Melting_Curves/meltCurve_sp_Q14974_IMB1_HUMAN_.pdf</v>
      </c>
      <c r="AA1936" t="s">
        <v>16118</v>
      </c>
      <c r="AB1936" t="s">
        <v>20770</v>
      </c>
    </row>
    <row r="1937" spans="1:28" x14ac:dyDescent="0.25">
      <c r="A1937" t="s">
        <v>1941</v>
      </c>
      <c r="B1937">
        <v>0.99904790336628502</v>
      </c>
      <c r="C1937">
        <v>1.0203099259861499</v>
      </c>
      <c r="D1937">
        <v>0.96771660634780499</v>
      </c>
      <c r="E1937">
        <v>0.92149152392879097</v>
      </c>
      <c r="F1937">
        <v>0.946992356853674</v>
      </c>
      <c r="G1937">
        <v>0.63574859274606699</v>
      </c>
      <c r="H1937">
        <v>0.58972167772283901</v>
      </c>
      <c r="I1937">
        <v>0.61895039166659804</v>
      </c>
      <c r="J1937">
        <v>0.72648759060089096</v>
      </c>
      <c r="K1937">
        <v>0.75399720353486399</v>
      </c>
      <c r="L1937">
        <v>13295.998220399601</v>
      </c>
      <c r="M1937">
        <v>249.19641714189001</v>
      </c>
      <c r="O1937">
        <v>53.352059572055403</v>
      </c>
      <c r="P1937">
        <v>-0.39120100965662202</v>
      </c>
      <c r="Q1937">
        <v>0.66498107098705805</v>
      </c>
      <c r="R1937">
        <v>0.89281530514853702</v>
      </c>
      <c r="S1937" t="s">
        <v>6677</v>
      </c>
      <c r="T1937" t="s">
        <v>9478</v>
      </c>
      <c r="U1937" t="s">
        <v>9478</v>
      </c>
      <c r="V1937" t="s">
        <v>9478</v>
      </c>
      <c r="W1937">
        <v>16</v>
      </c>
      <c r="X1937" t="s">
        <v>11415</v>
      </c>
      <c r="Y1937">
        <v>0.81415743332891033</v>
      </c>
      <c r="Z1937" t="str">
        <f>HYPERLINK("Melting_Curves/meltCurve_sp_Q14978_NOLC1_HUMAN_.pdf", "Melting_Curves/meltCurve_sp_Q14978_NOLC1_HUMAN_.pdf")</f>
        <v>Melting_Curves/meltCurve_sp_Q14978_NOLC1_HUMAN_.pdf</v>
      </c>
      <c r="AA1937" t="s">
        <v>16119</v>
      </c>
      <c r="AB1937" t="s">
        <v>20771</v>
      </c>
    </row>
    <row r="1938" spans="1:28" x14ac:dyDescent="0.25">
      <c r="A1938" t="s">
        <v>1942</v>
      </c>
      <c r="B1938">
        <v>0.99904790336628502</v>
      </c>
      <c r="C1938">
        <v>1.03602671137881</v>
      </c>
      <c r="D1938">
        <v>1.06793939236782</v>
      </c>
      <c r="E1938">
        <v>0.97239280909552805</v>
      </c>
      <c r="F1938">
        <v>0.83551527721061802</v>
      </c>
      <c r="G1938">
        <v>0.489116974818321</v>
      </c>
      <c r="H1938">
        <v>0.30394695290997398</v>
      </c>
      <c r="I1938">
        <v>0.25483444548647399</v>
      </c>
      <c r="J1938">
        <v>0.231454264016485</v>
      </c>
      <c r="K1938">
        <v>0.189038237581207</v>
      </c>
      <c r="L1938">
        <v>1443.5770174618599</v>
      </c>
      <c r="M1938">
        <v>25.892711332071201</v>
      </c>
      <c r="N1938">
        <v>56.9785788573001</v>
      </c>
      <c r="O1938">
        <v>55.422898237897897</v>
      </c>
      <c r="P1938">
        <v>-9.1847221550592703E-2</v>
      </c>
      <c r="Q1938">
        <v>0.21361980063046099</v>
      </c>
      <c r="R1938">
        <v>0.99382253532118603</v>
      </c>
      <c r="S1938" t="s">
        <v>6678</v>
      </c>
      <c r="T1938" t="s">
        <v>9478</v>
      </c>
      <c r="U1938" t="s">
        <v>9478</v>
      </c>
      <c r="V1938" t="s">
        <v>9478</v>
      </c>
      <c r="W1938">
        <v>81</v>
      </c>
      <c r="X1938" t="s">
        <v>11416</v>
      </c>
      <c r="Y1938">
        <v>0.63334730381345306</v>
      </c>
      <c r="Z1938" t="str">
        <f>HYPERLINK("Melting_Curves/meltCurve_sp_Q14980_NUMA1_HUMAN_.pdf", "Melting_Curves/meltCurve_sp_Q14980_NUMA1_HUMAN_.pdf")</f>
        <v>Melting_Curves/meltCurve_sp_Q14980_NUMA1_HUMAN_.pdf</v>
      </c>
      <c r="AA1938" t="s">
        <v>16120</v>
      </c>
      <c r="AB1938" t="s">
        <v>20772</v>
      </c>
    </row>
    <row r="1939" spans="1:28" x14ac:dyDescent="0.25">
      <c r="A1939" t="s">
        <v>1943</v>
      </c>
      <c r="B1939">
        <v>0.99904790336628502</v>
      </c>
      <c r="C1939">
        <v>1.05562699628979</v>
      </c>
      <c r="D1939">
        <v>1.0595420679247101</v>
      </c>
      <c r="E1939">
        <v>0.76270867752549698</v>
      </c>
      <c r="F1939">
        <v>0.34710607889291201</v>
      </c>
      <c r="G1939">
        <v>0.20195536557062599</v>
      </c>
      <c r="H1939">
        <v>0.14080279661290199</v>
      </c>
      <c r="I1939">
        <v>0.10351054116241799</v>
      </c>
      <c r="J1939">
        <v>0.100303877489354</v>
      </c>
      <c r="K1939">
        <v>4.6698934250736103E-2</v>
      </c>
      <c r="L1939">
        <v>1725.7598573878599</v>
      </c>
      <c r="M1939">
        <v>33.480902589529101</v>
      </c>
      <c r="N1939">
        <v>51.9211743009784</v>
      </c>
      <c r="O1939">
        <v>51.361754178957398</v>
      </c>
      <c r="P1939">
        <v>-0.145399424219398</v>
      </c>
      <c r="Q1939">
        <v>0.107797152457637</v>
      </c>
      <c r="R1939">
        <v>0.98986329885109103</v>
      </c>
      <c r="S1939" t="s">
        <v>6679</v>
      </c>
      <c r="T1939" t="s">
        <v>9478</v>
      </c>
      <c r="U1939" t="s">
        <v>9478</v>
      </c>
      <c r="V1939" t="s">
        <v>9478</v>
      </c>
      <c r="W1939">
        <v>7</v>
      </c>
      <c r="X1939" t="s">
        <v>11417</v>
      </c>
      <c r="Y1939">
        <v>0.45567892299153162</v>
      </c>
      <c r="Z1939" t="str">
        <f>HYPERLINK("Melting_Curves/meltCurve_sp_Q14997_PSME4_HUMAN_.pdf", "Melting_Curves/meltCurve_sp_Q14997_PSME4_HUMAN_.pdf")</f>
        <v>Melting_Curves/meltCurve_sp_Q14997_PSME4_HUMAN_.pdf</v>
      </c>
      <c r="AA1939" t="s">
        <v>16121</v>
      </c>
      <c r="AB1939" t="s">
        <v>20773</v>
      </c>
    </row>
    <row r="1940" spans="1:28" x14ac:dyDescent="0.25">
      <c r="A1940" t="s">
        <v>1944</v>
      </c>
      <c r="B1940">
        <v>0.99904790336628502</v>
      </c>
      <c r="C1940">
        <v>1.0459539857295199</v>
      </c>
      <c r="D1940">
        <v>1.0341989941718499</v>
      </c>
      <c r="E1940">
        <v>0.74880339169478505</v>
      </c>
      <c r="F1940">
        <v>0.33743424253225002</v>
      </c>
      <c r="G1940">
        <v>0.15661104554538199</v>
      </c>
      <c r="H1940">
        <v>0.102478830376157</v>
      </c>
      <c r="I1940">
        <v>7.9910646194215798E-2</v>
      </c>
      <c r="J1940">
        <v>7.5403527462216804E-2</v>
      </c>
      <c r="K1940">
        <v>6.0908874747014202E-2</v>
      </c>
      <c r="L1940">
        <v>1700.7693605739501</v>
      </c>
      <c r="M1940">
        <v>33.016209198947003</v>
      </c>
      <c r="N1940">
        <v>51.805137192339302</v>
      </c>
      <c r="O1940">
        <v>51.3252665819561</v>
      </c>
      <c r="P1940">
        <v>-0.14716620371469999</v>
      </c>
      <c r="Q1940">
        <v>8.4896327903490901E-2</v>
      </c>
      <c r="R1940">
        <v>0.99593674347882</v>
      </c>
      <c r="S1940" t="s">
        <v>6680</v>
      </c>
      <c r="T1940" t="s">
        <v>9478</v>
      </c>
      <c r="U1940" t="s">
        <v>9478</v>
      </c>
      <c r="V1940" t="s">
        <v>9478</v>
      </c>
      <c r="W1940">
        <v>12</v>
      </c>
      <c r="X1940" t="s">
        <v>11418</v>
      </c>
      <c r="Y1940">
        <v>0.44087817082643049</v>
      </c>
      <c r="Z1940" t="str">
        <f>HYPERLINK("Melting_Curves/meltCurve_sp_Q14C86_4_GAPD1_HUMAN_.pdf", "Melting_Curves/meltCurve_sp_Q14C86_4_GAPD1_HUMAN_.pdf")</f>
        <v>Melting_Curves/meltCurve_sp_Q14C86_4_GAPD1_HUMAN_.pdf</v>
      </c>
      <c r="AA1940" t="s">
        <v>16122</v>
      </c>
      <c r="AB1940" t="s">
        <v>20774</v>
      </c>
    </row>
    <row r="1941" spans="1:28" x14ac:dyDescent="0.25">
      <c r="A1941" t="s">
        <v>1945</v>
      </c>
      <c r="B1941">
        <v>0.99904790336628502</v>
      </c>
      <c r="C1941">
        <v>0.99564860876869898</v>
      </c>
      <c r="D1941">
        <v>0.95775421310342401</v>
      </c>
      <c r="E1941">
        <v>0.862832967557154</v>
      </c>
      <c r="F1941">
        <v>0.27801038136651002</v>
      </c>
      <c r="G1941">
        <v>0.16143986731349899</v>
      </c>
      <c r="H1941">
        <v>0.123415587961572</v>
      </c>
      <c r="I1941">
        <v>9.0449651271565401E-2</v>
      </c>
      <c r="J1941">
        <v>0.115042351226585</v>
      </c>
      <c r="K1941">
        <v>9.5545663809213005E-2</v>
      </c>
      <c r="L1941">
        <v>2762.7091721568499</v>
      </c>
      <c r="M1941">
        <v>53.587202762629403</v>
      </c>
      <c r="N1941">
        <v>51.809216850175403</v>
      </c>
      <c r="O1941">
        <v>51.4837380528637</v>
      </c>
      <c r="P1941">
        <v>-0.23017024667826699</v>
      </c>
      <c r="Q1941">
        <v>0.115459105602602</v>
      </c>
      <c r="R1941">
        <v>0.99723132044215301</v>
      </c>
      <c r="S1941" t="s">
        <v>6681</v>
      </c>
      <c r="T1941" t="s">
        <v>9478</v>
      </c>
      <c r="U1941" t="s">
        <v>9478</v>
      </c>
      <c r="V1941" t="s">
        <v>9478</v>
      </c>
      <c r="W1941">
        <v>3</v>
      </c>
      <c r="X1941" t="s">
        <v>11419</v>
      </c>
      <c r="Y1941">
        <v>0.4579162411118155</v>
      </c>
      <c r="Z1941" t="str">
        <f>HYPERLINK("Melting_Curves/meltCurve_sp_Q14CX7_2_NAA25_HUMAN_.pdf", "Melting_Curves/meltCurve_sp_Q14CX7_2_NAA25_HUMAN_.pdf")</f>
        <v>Melting_Curves/meltCurve_sp_Q14CX7_2_NAA25_HUMAN_.pdf</v>
      </c>
      <c r="AA1941" t="s">
        <v>16123</v>
      </c>
      <c r="AB1941" t="s">
        <v>20775</v>
      </c>
    </row>
    <row r="1942" spans="1:28" x14ac:dyDescent="0.25">
      <c r="A1942" t="s">
        <v>1946</v>
      </c>
      <c r="B1942">
        <v>0.99904790336628502</v>
      </c>
      <c r="C1942">
        <v>0.80783641516470805</v>
      </c>
      <c r="D1942">
        <v>0.87279925986100404</v>
      </c>
      <c r="E1942">
        <v>1.1314569925354001</v>
      </c>
      <c r="F1942">
        <v>0.94235573233162095</v>
      </c>
      <c r="G1942">
        <v>0.70745506446155704</v>
      </c>
      <c r="H1942">
        <v>0.848215872452311</v>
      </c>
      <c r="I1942">
        <v>0.72939019355688595</v>
      </c>
      <c r="J1942">
        <v>0.80887896716824603</v>
      </c>
      <c r="K1942">
        <v>0.83192262164818098</v>
      </c>
      <c r="L1942">
        <v>13303.1654861263</v>
      </c>
      <c r="M1942">
        <v>250</v>
      </c>
      <c r="O1942">
        <v>53.209235887266097</v>
      </c>
      <c r="P1942">
        <v>-0.252337975419544</v>
      </c>
      <c r="Q1942">
        <v>0.78517254204231202</v>
      </c>
      <c r="R1942">
        <v>0.408878850760099</v>
      </c>
      <c r="S1942" t="s">
        <v>6682</v>
      </c>
      <c r="T1942" t="s">
        <v>9478</v>
      </c>
      <c r="U1942" t="s">
        <v>9478</v>
      </c>
      <c r="V1942" t="s">
        <v>9478</v>
      </c>
      <c r="W1942">
        <v>1</v>
      </c>
      <c r="X1942" t="s">
        <v>11420</v>
      </c>
      <c r="Y1942">
        <v>0.87980735683174949</v>
      </c>
      <c r="Z1942" t="str">
        <f>HYPERLINK("Melting_Curves/meltCurve_sp_Q14CZ8_HECAM_HUMAN_.pdf", "Melting_Curves/meltCurve_sp_Q14CZ8_HECAM_HUMAN_.pdf")</f>
        <v>Melting_Curves/meltCurve_sp_Q14CZ8_HECAM_HUMAN_.pdf</v>
      </c>
      <c r="AA1942" t="s">
        <v>16124</v>
      </c>
      <c r="AB1942" t="s">
        <v>20776</v>
      </c>
    </row>
    <row r="1943" spans="1:28" x14ac:dyDescent="0.25">
      <c r="A1943" t="s">
        <v>1947</v>
      </c>
      <c r="B1943">
        <v>0.99904790336628502</v>
      </c>
      <c r="C1943">
        <v>1.0292890320413499</v>
      </c>
      <c r="D1943">
        <v>1.0508411180102899</v>
      </c>
      <c r="E1943">
        <v>0.92783260639588305</v>
      </c>
      <c r="F1943">
        <v>0.49152819015916099</v>
      </c>
      <c r="G1943">
        <v>0.35543248325073701</v>
      </c>
      <c r="H1943">
        <v>0.24319800359652499</v>
      </c>
      <c r="I1943">
        <v>0.237150352788666</v>
      </c>
      <c r="J1943">
        <v>0.266350765725755</v>
      </c>
      <c r="K1943">
        <v>0.25560871357376502</v>
      </c>
      <c r="L1943">
        <v>2456.5066066436598</v>
      </c>
      <c r="M1943">
        <v>47.090600895371601</v>
      </c>
      <c r="N1943">
        <v>53.0258621590879</v>
      </c>
      <c r="O1943">
        <v>52.071724582340401</v>
      </c>
      <c r="P1943">
        <v>-0.16569684819133901</v>
      </c>
      <c r="Q1943">
        <v>0.26710543738014297</v>
      </c>
      <c r="R1943">
        <v>0.99079746307931005</v>
      </c>
      <c r="S1943" t="s">
        <v>6683</v>
      </c>
      <c r="T1943" t="s">
        <v>9478</v>
      </c>
      <c r="U1943" t="s">
        <v>9478</v>
      </c>
      <c r="V1943" t="s">
        <v>9478</v>
      </c>
      <c r="W1943">
        <v>4</v>
      </c>
      <c r="X1943" t="s">
        <v>11421</v>
      </c>
      <c r="Y1943">
        <v>0.56620966909272996</v>
      </c>
      <c r="Z1943" t="str">
        <f>HYPERLINK("Melting_Curves/meltCurve_sp_Q15007_FL2D_HUMAN_.pdf", "Melting_Curves/meltCurve_sp_Q15007_FL2D_HUMAN_.pdf")</f>
        <v>Melting_Curves/meltCurve_sp_Q15007_FL2D_HUMAN_.pdf</v>
      </c>
      <c r="AA1943" t="s">
        <v>16125</v>
      </c>
      <c r="AB1943" t="s">
        <v>20777</v>
      </c>
    </row>
    <row r="1944" spans="1:28" x14ac:dyDescent="0.25">
      <c r="A1944" t="s">
        <v>1948</v>
      </c>
      <c r="B1944">
        <v>0.99904790336628502</v>
      </c>
      <c r="C1944">
        <v>1.00271234981458</v>
      </c>
      <c r="D1944">
        <v>0.88050538065456196</v>
      </c>
      <c r="E1944">
        <v>0.63385784883452401</v>
      </c>
      <c r="F1944">
        <v>0.37275407581876102</v>
      </c>
      <c r="G1944">
        <v>0.16908709444672201</v>
      </c>
      <c r="H1944">
        <v>8.5111675784093496E-2</v>
      </c>
      <c r="I1944">
        <v>6.2477885916309997E-2</v>
      </c>
      <c r="J1944">
        <v>4.9138773782619903E-2</v>
      </c>
      <c r="K1944">
        <v>4.0647204452052201E-2</v>
      </c>
      <c r="L1944">
        <v>947.63464691777995</v>
      </c>
      <c r="M1944">
        <v>18.487416035808799</v>
      </c>
      <c r="N1944">
        <v>51.472038904537001</v>
      </c>
      <c r="O1944">
        <v>50.669914529806398</v>
      </c>
      <c r="P1944">
        <v>-8.7849559543134004E-2</v>
      </c>
      <c r="Q1944">
        <v>3.6937988358601903E-2</v>
      </c>
      <c r="R1944">
        <v>0.99925785110847798</v>
      </c>
      <c r="S1944" t="s">
        <v>6684</v>
      </c>
      <c r="T1944" t="s">
        <v>9478</v>
      </c>
      <c r="U1944" t="s">
        <v>9478</v>
      </c>
      <c r="V1944" t="s">
        <v>9478</v>
      </c>
      <c r="W1944">
        <v>14</v>
      </c>
      <c r="X1944" t="s">
        <v>11422</v>
      </c>
      <c r="Y1944">
        <v>0.41377742837791398</v>
      </c>
      <c r="Z1944" t="str">
        <f>HYPERLINK("Melting_Curves/meltCurve_sp_Q15008_PSMD6_HUMAN_.pdf", "Melting_Curves/meltCurve_sp_Q15008_PSMD6_HUMAN_.pdf")</f>
        <v>Melting_Curves/meltCurve_sp_Q15008_PSMD6_HUMAN_.pdf</v>
      </c>
      <c r="AA1944" t="s">
        <v>16126</v>
      </c>
      <c r="AB1944" t="s">
        <v>20778</v>
      </c>
    </row>
    <row r="1945" spans="1:28" x14ac:dyDescent="0.25">
      <c r="A1945" t="s">
        <v>1949</v>
      </c>
      <c r="B1945">
        <v>0.99904790336628502</v>
      </c>
      <c r="C1945">
        <v>1.05072793720475</v>
      </c>
      <c r="D1945">
        <v>1.05729219118054</v>
      </c>
      <c r="E1945">
        <v>0.99501515677996</v>
      </c>
      <c r="F1945">
        <v>0.842179326130443</v>
      </c>
      <c r="G1945">
        <v>0.60058630234019506</v>
      </c>
      <c r="H1945">
        <v>0.39025605504708699</v>
      </c>
      <c r="I1945">
        <v>0.24823035337320701</v>
      </c>
      <c r="J1945">
        <v>7.6921513405532299E-2</v>
      </c>
      <c r="K1945">
        <v>5.6796371550792701E-2</v>
      </c>
      <c r="L1945">
        <v>973.634969109591</v>
      </c>
      <c r="M1945">
        <v>16.528777862312101</v>
      </c>
      <c r="N1945">
        <v>58.905442762218598</v>
      </c>
      <c r="O1945">
        <v>58.063464461545102</v>
      </c>
      <c r="P1945">
        <v>-7.1171773901516494E-2</v>
      </c>
      <c r="Q1945">
        <v>0</v>
      </c>
      <c r="R1945">
        <v>0.990088147514538</v>
      </c>
      <c r="S1945" t="s">
        <v>6685</v>
      </c>
      <c r="T1945" t="s">
        <v>9478</v>
      </c>
      <c r="U1945" t="s">
        <v>9478</v>
      </c>
      <c r="V1945" t="s">
        <v>9478</v>
      </c>
      <c r="W1945">
        <v>13</v>
      </c>
      <c r="X1945" t="s">
        <v>11423</v>
      </c>
      <c r="Y1945">
        <v>0.64114415517877599</v>
      </c>
      <c r="Z1945" t="str">
        <f>HYPERLINK("Melting_Curves/meltCurve_sp_Q15018_F175B_HUMAN_.pdf", "Melting_Curves/meltCurve_sp_Q15018_F175B_HUMAN_.pdf")</f>
        <v>Melting_Curves/meltCurve_sp_Q15018_F175B_HUMAN_.pdf</v>
      </c>
      <c r="AA1945" t="s">
        <v>16127</v>
      </c>
      <c r="AB1945" t="s">
        <v>20779</v>
      </c>
    </row>
    <row r="1946" spans="1:28" x14ac:dyDescent="0.25">
      <c r="A1946" t="s">
        <v>1950</v>
      </c>
      <c r="B1946">
        <v>0.99904790336628502</v>
      </c>
      <c r="C1946">
        <v>0.99217763868763298</v>
      </c>
      <c r="D1946">
        <v>1.08181947647025</v>
      </c>
      <c r="E1946">
        <v>0.99452905207467601</v>
      </c>
      <c r="F1946">
        <v>0.85817698589736502</v>
      </c>
      <c r="G1946">
        <v>0.56043404682743003</v>
      </c>
      <c r="H1946">
        <v>0.34962593917038598</v>
      </c>
      <c r="I1946">
        <v>0.21697456662381701</v>
      </c>
      <c r="J1946">
        <v>5.31822547884548E-2</v>
      </c>
      <c r="K1946">
        <v>3.56089002509863E-2</v>
      </c>
      <c r="L1946">
        <v>1034.3836568460599</v>
      </c>
      <c r="M1946">
        <v>17.712226707636201</v>
      </c>
      <c r="N1946">
        <v>58.399414834427503</v>
      </c>
      <c r="O1946">
        <v>57.670260814132703</v>
      </c>
      <c r="P1946">
        <v>-7.6786361596250297E-2</v>
      </c>
      <c r="Q1946">
        <v>0</v>
      </c>
      <c r="R1946">
        <v>0.989534969818199</v>
      </c>
      <c r="S1946" t="s">
        <v>6686</v>
      </c>
      <c r="T1946" t="s">
        <v>9478</v>
      </c>
      <c r="U1946" t="s">
        <v>9478</v>
      </c>
      <c r="V1946" t="s">
        <v>9478</v>
      </c>
      <c r="W1946">
        <v>18</v>
      </c>
      <c r="X1946" t="s">
        <v>11424</v>
      </c>
      <c r="Y1946">
        <v>0.62513119933886852</v>
      </c>
      <c r="Z1946" t="str">
        <f>HYPERLINK("Melting_Curves/meltCurve_sp_Q15019_SEPT2_HUMAN_.pdf", "Melting_Curves/meltCurve_sp_Q15019_SEPT2_HUMAN_.pdf")</f>
        <v>Melting_Curves/meltCurve_sp_Q15019_SEPT2_HUMAN_.pdf</v>
      </c>
      <c r="AA1946" t="s">
        <v>16128</v>
      </c>
      <c r="AB1946" t="s">
        <v>20780</v>
      </c>
    </row>
    <row r="1947" spans="1:28" x14ac:dyDescent="0.25">
      <c r="A1947" t="s">
        <v>1951</v>
      </c>
      <c r="B1947">
        <v>0.99904790336628502</v>
      </c>
      <c r="C1947">
        <v>1.00464508477095</v>
      </c>
      <c r="D1947">
        <v>1.0522025935052901</v>
      </c>
      <c r="E1947">
        <v>0.88540960010595704</v>
      </c>
      <c r="F1947">
        <v>0.45463911071833502</v>
      </c>
      <c r="G1947">
        <v>0.17738337126542</v>
      </c>
      <c r="H1947">
        <v>0.106547714000036</v>
      </c>
      <c r="I1947">
        <v>9.2448803890853998E-2</v>
      </c>
      <c r="J1947">
        <v>9.3000812569549798E-2</v>
      </c>
      <c r="K1947">
        <v>7.6159995175588802E-2</v>
      </c>
      <c r="L1947">
        <v>1939.1633879696899</v>
      </c>
      <c r="M1947">
        <v>36.949926582945402</v>
      </c>
      <c r="N1947">
        <v>52.789120542726202</v>
      </c>
      <c r="O1947">
        <v>52.327835387787502</v>
      </c>
      <c r="P1947">
        <v>-0.15939908911100301</v>
      </c>
      <c r="Q1947">
        <v>9.7049830417138105E-2</v>
      </c>
      <c r="R1947">
        <v>0.99695770690679497</v>
      </c>
      <c r="S1947" t="s">
        <v>6687</v>
      </c>
      <c r="T1947" t="s">
        <v>9478</v>
      </c>
      <c r="U1947" t="s">
        <v>9478</v>
      </c>
      <c r="V1947" t="s">
        <v>9478</v>
      </c>
      <c r="W1947">
        <v>25</v>
      </c>
      <c r="X1947" t="s">
        <v>11425</v>
      </c>
      <c r="Y1947">
        <v>0.47654052810733222</v>
      </c>
      <c r="Z1947" t="str">
        <f>HYPERLINK("Melting_Curves/meltCurve_sp_Q15020_SART3_HUMAN_.pdf", "Melting_Curves/meltCurve_sp_Q15020_SART3_HUMAN_.pdf")</f>
        <v>Melting_Curves/meltCurve_sp_Q15020_SART3_HUMAN_.pdf</v>
      </c>
      <c r="AA1947" t="s">
        <v>16129</v>
      </c>
      <c r="AB1947" t="s">
        <v>20781</v>
      </c>
    </row>
    <row r="1948" spans="1:28" x14ac:dyDescent="0.25">
      <c r="A1948" t="s">
        <v>1952</v>
      </c>
      <c r="B1948">
        <v>0.99904790336628502</v>
      </c>
      <c r="C1948">
        <v>1.05163147578506</v>
      </c>
      <c r="D1948">
        <v>1.0674380189821799</v>
      </c>
      <c r="E1948">
        <v>0.93268069509290197</v>
      </c>
      <c r="F1948">
        <v>0.87412029530385005</v>
      </c>
      <c r="G1948">
        <v>0.60474424516737102</v>
      </c>
      <c r="H1948">
        <v>0.30488441437812702</v>
      </c>
      <c r="I1948">
        <v>0.12370408051797201</v>
      </c>
      <c r="J1948">
        <v>6.8062490759674896E-2</v>
      </c>
      <c r="K1948">
        <v>3.2144199425015701E-2</v>
      </c>
      <c r="L1948">
        <v>1154.58302154379</v>
      </c>
      <c r="M1948">
        <v>19.830609165787202</v>
      </c>
      <c r="N1948">
        <v>58.222269258110302</v>
      </c>
      <c r="O1948">
        <v>57.639905689095798</v>
      </c>
      <c r="P1948">
        <v>-8.6013663250110103E-2</v>
      </c>
      <c r="Q1948">
        <v>0</v>
      </c>
      <c r="R1948">
        <v>0.99431021341487102</v>
      </c>
      <c r="S1948" t="s">
        <v>6688</v>
      </c>
      <c r="T1948" t="s">
        <v>9478</v>
      </c>
      <c r="U1948" t="s">
        <v>9478</v>
      </c>
      <c r="V1948" t="s">
        <v>9478</v>
      </c>
      <c r="W1948">
        <v>5</v>
      </c>
      <c r="X1948" t="s">
        <v>11426</v>
      </c>
      <c r="Y1948">
        <v>0.61857579107404981</v>
      </c>
      <c r="Z1948" t="str">
        <f>HYPERLINK("Melting_Curves/meltCurve_sp_Q15024_EXOS7_HUMAN_.pdf", "Melting_Curves/meltCurve_sp_Q15024_EXOS7_HUMAN_.pdf")</f>
        <v>Melting_Curves/meltCurve_sp_Q15024_EXOS7_HUMAN_.pdf</v>
      </c>
      <c r="AA1948" t="s">
        <v>16130</v>
      </c>
      <c r="AB1948" t="s">
        <v>20782</v>
      </c>
    </row>
    <row r="1949" spans="1:28" x14ac:dyDescent="0.25">
      <c r="A1949" t="s">
        <v>1953</v>
      </c>
      <c r="B1949">
        <v>0.99904790336628502</v>
      </c>
      <c r="C1949">
        <v>0.94623399259997198</v>
      </c>
      <c r="D1949">
        <v>0.98554201440122002</v>
      </c>
      <c r="E1949">
        <v>0.88240678976089304</v>
      </c>
      <c r="F1949">
        <v>0.79186180576516296</v>
      </c>
      <c r="G1949">
        <v>0.559417027764056</v>
      </c>
      <c r="H1949">
        <v>0.37468173410482403</v>
      </c>
      <c r="I1949">
        <v>0.35418320616795801</v>
      </c>
      <c r="J1949">
        <v>0.34463413667133203</v>
      </c>
      <c r="K1949">
        <v>0.26843971489617102</v>
      </c>
      <c r="L1949">
        <v>925.23100210227994</v>
      </c>
      <c r="M1949">
        <v>16.6633212395013</v>
      </c>
      <c r="N1949">
        <v>58.243827674170298</v>
      </c>
      <c r="O1949">
        <v>54.743813175451301</v>
      </c>
      <c r="P1949">
        <v>-5.5531390921468901E-2</v>
      </c>
      <c r="Q1949">
        <v>0.27030228681926699</v>
      </c>
      <c r="R1949">
        <v>0.992732564518362</v>
      </c>
      <c r="S1949" t="s">
        <v>6689</v>
      </c>
      <c r="T1949" t="s">
        <v>9478</v>
      </c>
      <c r="U1949" t="s">
        <v>9478</v>
      </c>
      <c r="V1949" t="s">
        <v>9478</v>
      </c>
      <c r="W1949">
        <v>12</v>
      </c>
      <c r="X1949" t="s">
        <v>11427</v>
      </c>
      <c r="Y1949">
        <v>0.66002165171318861</v>
      </c>
      <c r="Z1949" t="str">
        <f>HYPERLINK("Melting_Curves/meltCurve_sp_Q15029_2_U5S1_HUMAN_.pdf", "Melting_Curves/meltCurve_sp_Q15029_2_U5S1_HUMAN_.pdf")</f>
        <v>Melting_Curves/meltCurve_sp_Q15029_2_U5S1_HUMAN_.pdf</v>
      </c>
      <c r="AA1949" t="s">
        <v>16131</v>
      </c>
      <c r="AB1949" t="s">
        <v>20783</v>
      </c>
    </row>
    <row r="1950" spans="1:28" x14ac:dyDescent="0.25">
      <c r="A1950" t="s">
        <v>1954</v>
      </c>
      <c r="B1950">
        <v>0.99904790336628502</v>
      </c>
      <c r="C1950">
        <v>0.87624956008812804</v>
      </c>
      <c r="D1950">
        <v>0.87714543919877497</v>
      </c>
      <c r="E1950">
        <v>0.68791836357584302</v>
      </c>
      <c r="F1950">
        <v>0.50863751232155696</v>
      </c>
      <c r="G1950">
        <v>0.30259424847940702</v>
      </c>
      <c r="H1950">
        <v>0.19686242864282499</v>
      </c>
      <c r="I1950">
        <v>0.20679443415021001</v>
      </c>
      <c r="J1950">
        <v>0.14727936985028101</v>
      </c>
      <c r="K1950">
        <v>0.14012381228071</v>
      </c>
      <c r="L1950">
        <v>673.91727762274502</v>
      </c>
      <c r="M1950">
        <v>12.943669329949101</v>
      </c>
      <c r="N1950">
        <v>53.019962204224598</v>
      </c>
      <c r="O1950">
        <v>50.869632335180398</v>
      </c>
      <c r="P1950">
        <v>-5.7010539332067997E-2</v>
      </c>
      <c r="Q1950">
        <v>0.103937496162538</v>
      </c>
      <c r="R1950">
        <v>0.99243512758777397</v>
      </c>
      <c r="S1950" t="s">
        <v>6690</v>
      </c>
      <c r="T1950" t="s">
        <v>9478</v>
      </c>
      <c r="U1950" t="s">
        <v>9478</v>
      </c>
      <c r="V1950" t="s">
        <v>9478</v>
      </c>
      <c r="W1950">
        <v>4</v>
      </c>
      <c r="X1950" t="s">
        <v>11428</v>
      </c>
      <c r="Y1950">
        <v>0.48902928011518632</v>
      </c>
      <c r="Z1950" t="str">
        <f>HYPERLINK("Melting_Curves/meltCurve_sp_Q15036_2_SNX17_HUMAN_.pdf", "Melting_Curves/meltCurve_sp_Q15036_2_SNX17_HUMAN_.pdf")</f>
        <v>Melting_Curves/meltCurve_sp_Q15036_2_SNX17_HUMAN_.pdf</v>
      </c>
      <c r="AA1950" t="s">
        <v>16132</v>
      </c>
      <c r="AB1950" t="s">
        <v>20784</v>
      </c>
    </row>
    <row r="1951" spans="1:28" x14ac:dyDescent="0.25">
      <c r="A1951" t="s">
        <v>1955</v>
      </c>
      <c r="B1951">
        <v>0.99904790336628502</v>
      </c>
      <c r="C1951">
        <v>0.99135541832742002</v>
      </c>
      <c r="D1951">
        <v>0.810463467300096</v>
      </c>
      <c r="E1951">
        <v>0.61602216818323696</v>
      </c>
      <c r="F1951">
        <v>0.55677400489298501</v>
      </c>
      <c r="G1951">
        <v>0.37605998644927202</v>
      </c>
      <c r="H1951">
        <v>0.29293629937343102</v>
      </c>
      <c r="I1951">
        <v>0.24795912726779401</v>
      </c>
      <c r="J1951">
        <v>0.24880966820845499</v>
      </c>
      <c r="K1951">
        <v>0.18418675400011</v>
      </c>
      <c r="L1951">
        <v>613.12208043373403</v>
      </c>
      <c r="M1951">
        <v>11.912788940408801</v>
      </c>
      <c r="N1951">
        <v>53.444356005118003</v>
      </c>
      <c r="O1951">
        <v>50.081549117490901</v>
      </c>
      <c r="P1951">
        <v>-4.8883037244105698E-2</v>
      </c>
      <c r="Q1951">
        <v>0.178183610900745</v>
      </c>
      <c r="R1951">
        <v>0.98878060081296404</v>
      </c>
      <c r="S1951" t="s">
        <v>6691</v>
      </c>
      <c r="T1951" t="s">
        <v>9478</v>
      </c>
      <c r="U1951" t="s">
        <v>9478</v>
      </c>
      <c r="V1951" t="s">
        <v>9478</v>
      </c>
      <c r="W1951">
        <v>4</v>
      </c>
      <c r="X1951" t="s">
        <v>11429</v>
      </c>
      <c r="Y1951">
        <v>0.51862124143920441</v>
      </c>
      <c r="Z1951" t="str">
        <f>HYPERLINK("Melting_Curves/meltCurve_sp_Q15043_2_S39AE_HUMAN_.pdf", "Melting_Curves/meltCurve_sp_Q15043_2_S39AE_HUMAN_.pdf")</f>
        <v>Melting_Curves/meltCurve_sp_Q15043_2_S39AE_HUMAN_.pdf</v>
      </c>
      <c r="AA1951" t="s">
        <v>16133</v>
      </c>
      <c r="AB1951" t="s">
        <v>20785</v>
      </c>
    </row>
    <row r="1952" spans="1:28" x14ac:dyDescent="0.25">
      <c r="A1952" t="s">
        <v>1956</v>
      </c>
      <c r="B1952">
        <v>0.99904790336628502</v>
      </c>
      <c r="C1952">
        <v>0.96242983035030905</v>
      </c>
      <c r="D1952">
        <v>0.83678235941188805</v>
      </c>
      <c r="E1952">
        <v>0.42812009279798602</v>
      </c>
      <c r="F1952">
        <v>0.173195626662766</v>
      </c>
      <c r="G1952">
        <v>9.3936501832713307E-2</v>
      </c>
      <c r="H1952">
        <v>5.2904859833462797E-2</v>
      </c>
      <c r="I1952">
        <v>3.8139036871560797E-2</v>
      </c>
      <c r="J1952">
        <v>3.2599100907345101E-2</v>
      </c>
      <c r="K1952">
        <v>2.7672397393336299E-2</v>
      </c>
      <c r="L1952">
        <v>1135.6979181629099</v>
      </c>
      <c r="M1952">
        <v>23.108600106287899</v>
      </c>
      <c r="N1952">
        <v>49.304307555514399</v>
      </c>
      <c r="O1952">
        <v>48.782514943124198</v>
      </c>
      <c r="P1952">
        <v>-0.114197264098792</v>
      </c>
      <c r="Q1952">
        <v>3.57308721129867E-2</v>
      </c>
      <c r="R1952">
        <v>0.99947008045445895</v>
      </c>
      <c r="S1952" t="s">
        <v>6692</v>
      </c>
      <c r="T1952" t="s">
        <v>9478</v>
      </c>
      <c r="U1952" t="s">
        <v>9478</v>
      </c>
      <c r="V1952" t="s">
        <v>9478</v>
      </c>
      <c r="W1952">
        <v>19</v>
      </c>
      <c r="X1952" t="s">
        <v>11430</v>
      </c>
      <c r="Y1952">
        <v>0.33975907519445181</v>
      </c>
      <c r="Z1952" t="str">
        <f>HYPERLINK("Melting_Curves/meltCurve_sp_Q15046_SYK_HUMAN_.pdf", "Melting_Curves/meltCurve_sp_Q15046_SYK_HUMAN_.pdf")</f>
        <v>Melting_Curves/meltCurve_sp_Q15046_SYK_HUMAN_.pdf</v>
      </c>
      <c r="AA1952" t="s">
        <v>16134</v>
      </c>
      <c r="AB1952" t="s">
        <v>20786</v>
      </c>
    </row>
    <row r="1953" spans="1:28" x14ac:dyDescent="0.25">
      <c r="A1953" t="s">
        <v>1957</v>
      </c>
      <c r="B1953">
        <v>0.99904790336628502</v>
      </c>
      <c r="C1953">
        <v>0.94163526302623302</v>
      </c>
      <c r="D1953">
        <v>0.753957306945641</v>
      </c>
      <c r="E1953">
        <v>0.42274071001344299</v>
      </c>
      <c r="F1953">
        <v>0.17961913052289999</v>
      </c>
      <c r="G1953">
        <v>0.134861904429535</v>
      </c>
      <c r="H1953">
        <v>0.10504171584100799</v>
      </c>
      <c r="I1953">
        <v>7.4144620123268695E-2</v>
      </c>
      <c r="J1953">
        <v>0.101383987416928</v>
      </c>
      <c r="K1953">
        <v>9.0036962712990401E-2</v>
      </c>
      <c r="L1953">
        <v>1005.6896314408</v>
      </c>
      <c r="M1953">
        <v>20.784892962617299</v>
      </c>
      <c r="N1953">
        <v>48.828751338214097</v>
      </c>
      <c r="O1953">
        <v>47.944393377952601</v>
      </c>
      <c r="P1953">
        <v>-9.9067148039446107E-2</v>
      </c>
      <c r="Q1953">
        <v>8.5955019180770698E-2</v>
      </c>
      <c r="R1953">
        <v>0.99769343948681299</v>
      </c>
      <c r="S1953" t="s">
        <v>6693</v>
      </c>
      <c r="T1953" t="s">
        <v>9478</v>
      </c>
      <c r="U1953" t="s">
        <v>9478</v>
      </c>
      <c r="V1953" t="s">
        <v>9478</v>
      </c>
      <c r="W1953">
        <v>3</v>
      </c>
      <c r="X1953" t="s">
        <v>11431</v>
      </c>
      <c r="Y1953">
        <v>0.35335193613065158</v>
      </c>
      <c r="Z1953" t="str">
        <f>HYPERLINK("Melting_Curves/meltCurve_sp_Q15048_LRC14_HUMAN_.pdf", "Melting_Curves/meltCurve_sp_Q15048_LRC14_HUMAN_.pdf")</f>
        <v>Melting_Curves/meltCurve_sp_Q15048_LRC14_HUMAN_.pdf</v>
      </c>
      <c r="AA1953" t="s">
        <v>16135</v>
      </c>
      <c r="AB1953" t="s">
        <v>20787</v>
      </c>
    </row>
    <row r="1954" spans="1:28" x14ac:dyDescent="0.25">
      <c r="A1954" t="s">
        <v>1958</v>
      </c>
      <c r="B1954">
        <v>0.99904790336628502</v>
      </c>
      <c r="C1954">
        <v>1.06496668582021</v>
      </c>
      <c r="D1954">
        <v>1.1825097933648401</v>
      </c>
      <c r="E1954">
        <v>0.84410230233041394</v>
      </c>
      <c r="F1954">
        <v>0.80249357243333197</v>
      </c>
      <c r="G1954">
        <v>0.451548685747173</v>
      </c>
      <c r="H1954">
        <v>0.28084086852158102</v>
      </c>
      <c r="I1954">
        <v>0.14979455566816399</v>
      </c>
      <c r="J1954">
        <v>0.20877686405891799</v>
      </c>
      <c r="K1954">
        <v>0.16275961286142099</v>
      </c>
      <c r="L1954">
        <v>1215.98479420785</v>
      </c>
      <c r="M1954">
        <v>21.923415672745801</v>
      </c>
      <c r="N1954">
        <v>56.433864448676204</v>
      </c>
      <c r="O1954">
        <v>55.009817616872397</v>
      </c>
      <c r="P1954">
        <v>-8.4011854781651393E-2</v>
      </c>
      <c r="Q1954">
        <v>0.15681524827724599</v>
      </c>
      <c r="R1954">
        <v>0.96409901200104198</v>
      </c>
      <c r="S1954" t="s">
        <v>6694</v>
      </c>
      <c r="T1954" t="s">
        <v>9478</v>
      </c>
      <c r="U1954" t="s">
        <v>9478</v>
      </c>
      <c r="V1954" t="s">
        <v>9478</v>
      </c>
      <c r="W1954">
        <v>3</v>
      </c>
      <c r="X1954" t="s">
        <v>11432</v>
      </c>
      <c r="Y1954">
        <v>0.60113082253140082</v>
      </c>
      <c r="Z1954" t="str">
        <f>HYPERLINK("Melting_Curves/meltCurve_sp_Q15052_ARHG6_HUMAN_.pdf", "Melting_Curves/meltCurve_sp_Q15052_ARHG6_HUMAN_.pdf")</f>
        <v>Melting_Curves/meltCurve_sp_Q15052_ARHG6_HUMAN_.pdf</v>
      </c>
      <c r="AA1954" t="s">
        <v>16136</v>
      </c>
      <c r="AB1954" t="s">
        <v>20788</v>
      </c>
    </row>
    <row r="1955" spans="1:28" x14ac:dyDescent="0.25">
      <c r="A1955" t="s">
        <v>1959</v>
      </c>
      <c r="B1955">
        <v>0.99904790336628502</v>
      </c>
      <c r="C1955">
        <v>0.96382309429704804</v>
      </c>
      <c r="D1955">
        <v>0.92545864442475501</v>
      </c>
      <c r="E1955">
        <v>0.90637912701080003</v>
      </c>
      <c r="F1955">
        <v>0.99188650612679596</v>
      </c>
      <c r="G1955">
        <v>0.70812223873902103</v>
      </c>
      <c r="H1955">
        <v>0.68572152180192503</v>
      </c>
      <c r="I1955">
        <v>0.68220106578865303</v>
      </c>
      <c r="J1955">
        <v>0.76827601582347305</v>
      </c>
      <c r="K1955">
        <v>0.73526838529377803</v>
      </c>
      <c r="L1955">
        <v>13436.9169241742</v>
      </c>
      <c r="M1955">
        <v>250</v>
      </c>
      <c r="O1955">
        <v>53.7442036708782</v>
      </c>
      <c r="P1955">
        <v>-0.330363600880765</v>
      </c>
      <c r="Q1955">
        <v>0.71591781131889298</v>
      </c>
      <c r="R1955">
        <v>0.86757979146588005</v>
      </c>
      <c r="S1955" t="s">
        <v>6695</v>
      </c>
      <c r="T1955" t="s">
        <v>9478</v>
      </c>
      <c r="U1955" t="s">
        <v>9478</v>
      </c>
      <c r="V1955" t="s">
        <v>9478</v>
      </c>
      <c r="W1955">
        <v>16</v>
      </c>
      <c r="X1955" t="s">
        <v>11433</v>
      </c>
      <c r="Y1955">
        <v>0.846126858697689</v>
      </c>
      <c r="Z1955" t="str">
        <f>HYPERLINK("Melting_Curves/meltCurve_sp_Q15056_2_IF4H_HUMAN_.pdf", "Melting_Curves/meltCurve_sp_Q15056_2_IF4H_HUMAN_.pdf")</f>
        <v>Melting_Curves/meltCurve_sp_Q15056_2_IF4H_HUMAN_.pdf</v>
      </c>
      <c r="AA1955" t="s">
        <v>16137</v>
      </c>
      <c r="AB1955" t="s">
        <v>20789</v>
      </c>
    </row>
    <row r="1956" spans="1:28" x14ac:dyDescent="0.25">
      <c r="A1956" t="s">
        <v>1960</v>
      </c>
      <c r="B1956">
        <v>0.99904790336628502</v>
      </c>
      <c r="C1956">
        <v>0.91448135990414203</v>
      </c>
      <c r="D1956">
        <v>0.88786116093427703</v>
      </c>
      <c r="E1956">
        <v>0.67392498331780604</v>
      </c>
      <c r="F1956">
        <v>0.34248744507270901</v>
      </c>
      <c r="G1956">
        <v>0.170860422692207</v>
      </c>
      <c r="H1956">
        <v>0.115078335356397</v>
      </c>
      <c r="I1956">
        <v>8.3986765625630996E-2</v>
      </c>
      <c r="J1956">
        <v>7.7305723151124495E-2</v>
      </c>
      <c r="K1956">
        <v>7.28007202201367E-2</v>
      </c>
      <c r="L1956">
        <v>1006.72798467862</v>
      </c>
      <c r="M1956">
        <v>19.7072057406445</v>
      </c>
      <c r="N1956">
        <v>51.464194655638501</v>
      </c>
      <c r="O1956">
        <v>50.566979845382498</v>
      </c>
      <c r="P1956">
        <v>-9.0838200253356496E-2</v>
      </c>
      <c r="Q1956">
        <v>6.7700410553883705E-2</v>
      </c>
      <c r="R1956">
        <v>0.994637549105443</v>
      </c>
      <c r="S1956" t="s">
        <v>6696</v>
      </c>
      <c r="T1956" t="s">
        <v>9478</v>
      </c>
      <c r="U1956" t="s">
        <v>9478</v>
      </c>
      <c r="V1956" t="s">
        <v>9478</v>
      </c>
      <c r="W1956">
        <v>9</v>
      </c>
      <c r="X1956" t="s">
        <v>11434</v>
      </c>
      <c r="Y1956">
        <v>0.42546112116959017</v>
      </c>
      <c r="Z1956" t="str">
        <f>HYPERLINK("Melting_Curves/meltCurve_sp_Q15057_ACAP2_HUMAN_.pdf", "Melting_Curves/meltCurve_sp_Q15057_ACAP2_HUMAN_.pdf")</f>
        <v>Melting_Curves/meltCurve_sp_Q15057_ACAP2_HUMAN_.pdf</v>
      </c>
      <c r="AA1956" t="s">
        <v>16138</v>
      </c>
      <c r="AB1956" t="s">
        <v>20790</v>
      </c>
    </row>
    <row r="1957" spans="1:28" x14ac:dyDescent="0.25">
      <c r="A1957" t="s">
        <v>1961</v>
      </c>
      <c r="B1957">
        <v>0.99904790336628502</v>
      </c>
      <c r="C1957">
        <v>1.0992271960047399</v>
      </c>
      <c r="D1957">
        <v>1.0144407280632901</v>
      </c>
      <c r="E1957">
        <v>0.98195490121432005</v>
      </c>
      <c r="F1957">
        <v>0.87132538136311999</v>
      </c>
      <c r="G1957">
        <v>0.64672885841626004</v>
      </c>
      <c r="H1957">
        <v>0.57462999231970902</v>
      </c>
      <c r="I1957">
        <v>0.56245220646337102</v>
      </c>
      <c r="J1957">
        <v>0.53921351851626698</v>
      </c>
      <c r="K1957">
        <v>0.55151447488133098</v>
      </c>
      <c r="L1957">
        <v>1693.6342746790899</v>
      </c>
      <c r="M1957">
        <v>31.010564943092799</v>
      </c>
      <c r="O1957">
        <v>54.389144445389199</v>
      </c>
      <c r="P1957">
        <v>-6.4027338057168495E-2</v>
      </c>
      <c r="Q1957">
        <v>0.55081473839609896</v>
      </c>
      <c r="R1957">
        <v>0.97786837084161704</v>
      </c>
      <c r="S1957" t="s">
        <v>6697</v>
      </c>
      <c r="T1957" t="s">
        <v>9478</v>
      </c>
      <c r="U1957" t="s">
        <v>9478</v>
      </c>
      <c r="V1957" t="s">
        <v>9478</v>
      </c>
      <c r="W1957">
        <v>7</v>
      </c>
      <c r="X1957" t="s">
        <v>11435</v>
      </c>
      <c r="Y1957">
        <v>0.7724263816123379</v>
      </c>
      <c r="Z1957" t="str">
        <f>HYPERLINK("Melting_Curves/meltCurve_sp_Q15059_BRD3_HUMAN_.pdf", "Melting_Curves/meltCurve_sp_Q15059_BRD3_HUMAN_.pdf")</f>
        <v>Melting_Curves/meltCurve_sp_Q15059_BRD3_HUMAN_.pdf</v>
      </c>
      <c r="AA1957" t="s">
        <v>16139</v>
      </c>
      <c r="AB1957" t="s">
        <v>20791</v>
      </c>
    </row>
    <row r="1958" spans="1:28" x14ac:dyDescent="0.25">
      <c r="A1958" t="s">
        <v>1962</v>
      </c>
      <c r="B1958">
        <v>0.99904790336628502</v>
      </c>
      <c r="C1958">
        <v>0.97838606704395403</v>
      </c>
      <c r="D1958">
        <v>1.0103669278413301</v>
      </c>
      <c r="E1958">
        <v>0.83679040995746401</v>
      </c>
      <c r="F1958">
        <v>0.735161042621019</v>
      </c>
      <c r="G1958">
        <v>0.35536375694504602</v>
      </c>
      <c r="H1958">
        <v>0.26155054523930998</v>
      </c>
      <c r="I1958">
        <v>0.14569009735525901</v>
      </c>
      <c r="J1958">
        <v>0.17856448655033599</v>
      </c>
      <c r="K1958">
        <v>0.12551072221773699</v>
      </c>
      <c r="L1958">
        <v>1093.64518598318</v>
      </c>
      <c r="M1958">
        <v>20.0314289967327</v>
      </c>
      <c r="N1958">
        <v>55.435277886041497</v>
      </c>
      <c r="O1958">
        <v>54.061083491761003</v>
      </c>
      <c r="P1958">
        <v>-8.0525149362421097E-2</v>
      </c>
      <c r="Q1958">
        <v>0.13073879578863801</v>
      </c>
      <c r="R1958">
        <v>0.99280559300833104</v>
      </c>
      <c r="S1958" t="s">
        <v>6698</v>
      </c>
      <c r="T1958" t="s">
        <v>9478</v>
      </c>
      <c r="U1958" t="s">
        <v>9478</v>
      </c>
      <c r="V1958" t="s">
        <v>9478</v>
      </c>
      <c r="W1958">
        <v>1</v>
      </c>
      <c r="X1958" t="s">
        <v>11436</v>
      </c>
      <c r="Y1958">
        <v>0.56533357453612143</v>
      </c>
      <c r="Z1958" t="str">
        <f>HYPERLINK("Melting_Curves/meltCurve_sp_Q15063_4_POSTN_HUMAN_.pdf", "Melting_Curves/meltCurve_sp_Q15063_4_POSTN_HUMAN_.pdf")</f>
        <v>Melting_Curves/meltCurve_sp_Q15063_4_POSTN_HUMAN_.pdf</v>
      </c>
      <c r="AA1958" t="s">
        <v>16140</v>
      </c>
      <c r="AB1958" t="s">
        <v>20792</v>
      </c>
    </row>
    <row r="1959" spans="1:28" x14ac:dyDescent="0.25">
      <c r="A1959" t="s">
        <v>1963</v>
      </c>
      <c r="B1959">
        <v>0.99904790336628502</v>
      </c>
      <c r="C1959">
        <v>0.90638030554489302</v>
      </c>
      <c r="D1959">
        <v>0.86880553831479101</v>
      </c>
      <c r="E1959">
        <v>0.73645953917552598</v>
      </c>
      <c r="F1959">
        <v>0.62079478566684099</v>
      </c>
      <c r="G1959">
        <v>0.36548871536755401</v>
      </c>
      <c r="H1959">
        <v>0.208050801671367</v>
      </c>
      <c r="I1959">
        <v>8.3092215982082496E-2</v>
      </c>
      <c r="J1959">
        <v>5.7513208536057299E-2</v>
      </c>
      <c r="K1959">
        <v>0</v>
      </c>
      <c r="L1959">
        <v>703.41379544451297</v>
      </c>
      <c r="M1959">
        <v>12.9597796603927</v>
      </c>
      <c r="N1959">
        <v>54.276678490937499</v>
      </c>
      <c r="O1959">
        <v>53.033118614757697</v>
      </c>
      <c r="P1959">
        <v>-6.1103795435068303E-2</v>
      </c>
      <c r="Q1959">
        <v>0</v>
      </c>
      <c r="R1959">
        <v>0.99028019825631997</v>
      </c>
      <c r="S1959" t="s">
        <v>6699</v>
      </c>
      <c r="T1959" t="s">
        <v>9478</v>
      </c>
      <c r="U1959" t="s">
        <v>9478</v>
      </c>
      <c r="V1959" t="s">
        <v>9478</v>
      </c>
      <c r="W1959">
        <v>42</v>
      </c>
      <c r="X1959" t="s">
        <v>11437</v>
      </c>
      <c r="Y1959">
        <v>0.49956676513423431</v>
      </c>
      <c r="Z1959" t="str">
        <f>HYPERLINK("Melting_Curves/meltCurve_sp_Q15067_2_ACOX1_HUMAN_.pdf", "Melting_Curves/meltCurve_sp_Q15067_2_ACOX1_HUMAN_.pdf")</f>
        <v>Melting_Curves/meltCurve_sp_Q15067_2_ACOX1_HUMAN_.pdf</v>
      </c>
      <c r="AA1959" t="s">
        <v>16141</v>
      </c>
      <c r="AB1959" t="s">
        <v>20793</v>
      </c>
    </row>
    <row r="1960" spans="1:28" x14ac:dyDescent="0.25">
      <c r="A1960" t="s">
        <v>1964</v>
      </c>
      <c r="B1960">
        <v>0.99904790336628502</v>
      </c>
      <c r="C1960">
        <v>0.94110915970386599</v>
      </c>
      <c r="D1960">
        <v>0.94161171585880599</v>
      </c>
      <c r="E1960">
        <v>0.73365077690702596</v>
      </c>
      <c r="F1960">
        <v>0.49044104643099601</v>
      </c>
      <c r="G1960">
        <v>0.31038700026941501</v>
      </c>
      <c r="H1960">
        <v>0.20111932243915101</v>
      </c>
      <c r="I1960">
        <v>0.163949789052897</v>
      </c>
      <c r="J1960">
        <v>0.121190466977018</v>
      </c>
      <c r="K1960">
        <v>7.7743195334598197E-2</v>
      </c>
      <c r="L1960">
        <v>814.34206806182704</v>
      </c>
      <c r="M1960">
        <v>15.46496041824</v>
      </c>
      <c r="N1960">
        <v>53.325193257141201</v>
      </c>
      <c r="O1960">
        <v>51.800338162199999</v>
      </c>
      <c r="P1960">
        <v>-6.80713397023366E-2</v>
      </c>
      <c r="Q1960">
        <v>8.80539567392494E-2</v>
      </c>
      <c r="R1960">
        <v>0.99628891660781205</v>
      </c>
      <c r="S1960" t="s">
        <v>6700</v>
      </c>
      <c r="T1960" t="s">
        <v>9478</v>
      </c>
      <c r="U1960" t="s">
        <v>9478</v>
      </c>
      <c r="V1960" t="s">
        <v>9478</v>
      </c>
      <c r="W1960">
        <v>42</v>
      </c>
      <c r="X1960" t="s">
        <v>11438</v>
      </c>
      <c r="Y1960">
        <v>0.49184449563836757</v>
      </c>
      <c r="Z1960" t="str">
        <f>HYPERLINK("Melting_Curves/meltCurve_sp_Q15067_ACOX1_HUMAN_.pdf", "Melting_Curves/meltCurve_sp_Q15067_ACOX1_HUMAN_.pdf")</f>
        <v>Melting_Curves/meltCurve_sp_Q15067_ACOX1_HUMAN_.pdf</v>
      </c>
      <c r="AA1960" t="s">
        <v>16141</v>
      </c>
      <c r="AB1960" t="s">
        <v>20794</v>
      </c>
    </row>
    <row r="1961" spans="1:28" x14ac:dyDescent="0.25">
      <c r="A1961" t="s">
        <v>1965</v>
      </c>
      <c r="B1961">
        <v>0.99904790336628502</v>
      </c>
      <c r="C1961">
        <v>1.0425328201709601</v>
      </c>
      <c r="D1961">
        <v>1.0878315358059301</v>
      </c>
      <c r="E1961">
        <v>1.02448156456481</v>
      </c>
      <c r="F1961">
        <v>0.95677156772671101</v>
      </c>
      <c r="G1961">
        <v>0.76242502919941701</v>
      </c>
      <c r="H1961">
        <v>0.66816685710313095</v>
      </c>
      <c r="I1961">
        <v>0.67683566557619901</v>
      </c>
      <c r="J1961">
        <v>0.65506651417461703</v>
      </c>
      <c r="K1961">
        <v>0.53026957696994403</v>
      </c>
      <c r="L1961">
        <v>1552.6596942772801</v>
      </c>
      <c r="M1961">
        <v>27.470471531995099</v>
      </c>
      <c r="O1961">
        <v>56.224065491601301</v>
      </c>
      <c r="P1961">
        <v>-4.7331402637652203E-2</v>
      </c>
      <c r="Q1961">
        <v>0.61250912370581401</v>
      </c>
      <c r="R1961">
        <v>0.93888604260865205</v>
      </c>
      <c r="S1961" t="s">
        <v>6701</v>
      </c>
      <c r="T1961" t="s">
        <v>9478</v>
      </c>
      <c r="U1961" t="s">
        <v>9478</v>
      </c>
      <c r="V1961" t="s">
        <v>9478</v>
      </c>
      <c r="W1961">
        <v>92</v>
      </c>
      <c r="X1961" t="s">
        <v>11439</v>
      </c>
      <c r="Y1961">
        <v>0.82891796034013931</v>
      </c>
      <c r="Z1961" t="str">
        <f>HYPERLINK("Melting_Curves/meltCurve_sp_Q15075_EEA1_HUMAN_.pdf", "Melting_Curves/meltCurve_sp_Q15075_EEA1_HUMAN_.pdf")</f>
        <v>Melting_Curves/meltCurve_sp_Q15075_EEA1_HUMAN_.pdf</v>
      </c>
      <c r="AA1961" t="s">
        <v>16142</v>
      </c>
      <c r="AB1961" t="s">
        <v>20795</v>
      </c>
    </row>
    <row r="1962" spans="1:28" x14ac:dyDescent="0.25">
      <c r="A1962" t="s">
        <v>1966</v>
      </c>
      <c r="B1962">
        <v>0.99904790336628502</v>
      </c>
      <c r="C1962">
        <v>0.98009998314264501</v>
      </c>
      <c r="D1962">
        <v>0.80175667571303899</v>
      </c>
      <c r="E1962">
        <v>0.59310970981143996</v>
      </c>
      <c r="F1962">
        <v>0.42015751636107501</v>
      </c>
      <c r="G1962">
        <v>0.18501930145479101</v>
      </c>
      <c r="H1962">
        <v>7.3782562876727895E-2</v>
      </c>
      <c r="I1962">
        <v>5.2068313701788903E-2</v>
      </c>
      <c r="J1962">
        <v>4.0459410467762601E-2</v>
      </c>
      <c r="K1962">
        <v>2.4615703711197801E-2</v>
      </c>
      <c r="L1962">
        <v>735.70398191906202</v>
      </c>
      <c r="M1962">
        <v>14.325373696471599</v>
      </c>
      <c r="N1962">
        <v>51.356704410132103</v>
      </c>
      <c r="O1962">
        <v>50.387047235009398</v>
      </c>
      <c r="P1962">
        <v>-7.1085293279991801E-2</v>
      </c>
      <c r="Q1962">
        <v>0</v>
      </c>
      <c r="R1962">
        <v>0.99681451026182899</v>
      </c>
      <c r="S1962" t="s">
        <v>6702</v>
      </c>
      <c r="T1962" t="s">
        <v>9478</v>
      </c>
      <c r="U1962" t="s">
        <v>9478</v>
      </c>
      <c r="V1962" t="s">
        <v>9478</v>
      </c>
      <c r="W1962">
        <v>5</v>
      </c>
      <c r="X1962" t="s">
        <v>11440</v>
      </c>
      <c r="Y1962">
        <v>0.40313130202103342</v>
      </c>
      <c r="Z1962" t="str">
        <f>HYPERLINK("Melting_Curves/meltCurve_sp_Q15102_PA1B3_HUMAN_.pdf", "Melting_Curves/meltCurve_sp_Q15102_PA1B3_HUMAN_.pdf")</f>
        <v>Melting_Curves/meltCurve_sp_Q15102_PA1B3_HUMAN_.pdf</v>
      </c>
      <c r="AA1962" t="s">
        <v>16143</v>
      </c>
      <c r="AB1962" t="s">
        <v>20796</v>
      </c>
    </row>
    <row r="1963" spans="1:28" x14ac:dyDescent="0.25">
      <c r="A1963" t="s">
        <v>1967</v>
      </c>
      <c r="B1963">
        <v>0.99904790336628502</v>
      </c>
      <c r="C1963">
        <v>0.90459172461127302</v>
      </c>
      <c r="D1963">
        <v>0.79841183161067697</v>
      </c>
      <c r="E1963">
        <v>0.35100393690457998</v>
      </c>
      <c r="F1963">
        <v>0.18888077197073699</v>
      </c>
      <c r="G1963">
        <v>9.75962607726404E-2</v>
      </c>
      <c r="H1963">
        <v>5.9585224212337203E-2</v>
      </c>
      <c r="I1963">
        <v>3.5727910970965698E-2</v>
      </c>
      <c r="J1963">
        <v>2.6720277019652201E-2</v>
      </c>
      <c r="K1963">
        <v>2.4478831135286601E-2</v>
      </c>
      <c r="L1963">
        <v>1003.75540689053</v>
      </c>
      <c r="M1963">
        <v>20.673548422879101</v>
      </c>
      <c r="N1963">
        <v>48.720186975705097</v>
      </c>
      <c r="O1963">
        <v>48.105202242644403</v>
      </c>
      <c r="P1963">
        <v>-0.103755651535843</v>
      </c>
      <c r="Q1963">
        <v>3.4313058134383997E-2</v>
      </c>
      <c r="R1963">
        <v>0.99720715682612604</v>
      </c>
      <c r="S1963" t="s">
        <v>6703</v>
      </c>
      <c r="T1963" t="s">
        <v>9478</v>
      </c>
      <c r="U1963" t="s">
        <v>9478</v>
      </c>
      <c r="V1963" t="s">
        <v>9478</v>
      </c>
      <c r="W1963">
        <v>7</v>
      </c>
      <c r="X1963" t="s">
        <v>11441</v>
      </c>
      <c r="Y1963">
        <v>0.32231175431236792</v>
      </c>
      <c r="Z1963" t="str">
        <f>HYPERLINK("Melting_Curves/meltCurve_sp_Q15118_PDK1_HUMAN_.pdf", "Melting_Curves/meltCurve_sp_Q15118_PDK1_HUMAN_.pdf")</f>
        <v>Melting_Curves/meltCurve_sp_Q15118_PDK1_HUMAN_.pdf</v>
      </c>
      <c r="AA1963" t="s">
        <v>16144</v>
      </c>
      <c r="AB1963" t="s">
        <v>20797</v>
      </c>
    </row>
    <row r="1964" spans="1:28" x14ac:dyDescent="0.25">
      <c r="A1964" t="s">
        <v>1968</v>
      </c>
      <c r="B1964">
        <v>0.99904790336628502</v>
      </c>
      <c r="C1964">
        <v>0.85644056124247203</v>
      </c>
      <c r="D1964">
        <v>0.67454301180002896</v>
      </c>
      <c r="E1964">
        <v>0.25591956432715302</v>
      </c>
      <c r="F1964">
        <v>0.102310670187371</v>
      </c>
      <c r="G1964">
        <v>6.4658289119609594E-2</v>
      </c>
      <c r="H1964">
        <v>3.0853686098019199E-2</v>
      </c>
      <c r="I1964">
        <v>2.0984717934572301E-2</v>
      </c>
      <c r="J1964">
        <v>1.9301202544760799E-2</v>
      </c>
      <c r="K1964">
        <v>1.9383541007995601E-2</v>
      </c>
      <c r="L1964">
        <v>972.67551233659901</v>
      </c>
      <c r="M1964">
        <v>20.552797517938199</v>
      </c>
      <c r="N1964">
        <v>47.413820455291699</v>
      </c>
      <c r="O1964">
        <v>46.884504186138102</v>
      </c>
      <c r="P1964">
        <v>-0.10754181604579401</v>
      </c>
      <c r="Q1964">
        <v>1.8742363286313499E-2</v>
      </c>
      <c r="R1964">
        <v>0.99771308645066803</v>
      </c>
      <c r="S1964" t="s">
        <v>6704</v>
      </c>
      <c r="T1964" t="s">
        <v>9478</v>
      </c>
      <c r="U1964" t="s">
        <v>9478</v>
      </c>
      <c r="V1964" t="s">
        <v>9478</v>
      </c>
      <c r="W1964">
        <v>8</v>
      </c>
      <c r="X1964" t="s">
        <v>11442</v>
      </c>
      <c r="Y1964">
        <v>0.27173060982853581</v>
      </c>
      <c r="Z1964" t="str">
        <f>HYPERLINK("Melting_Curves/meltCurve_sp_Q15119_PDK2_HUMAN_.pdf", "Melting_Curves/meltCurve_sp_Q15119_PDK2_HUMAN_.pdf")</f>
        <v>Melting_Curves/meltCurve_sp_Q15119_PDK2_HUMAN_.pdf</v>
      </c>
      <c r="AA1964" t="s">
        <v>16145</v>
      </c>
      <c r="AB1964" t="s">
        <v>20798</v>
      </c>
    </row>
    <row r="1965" spans="1:28" x14ac:dyDescent="0.25">
      <c r="A1965" t="s">
        <v>1969</v>
      </c>
      <c r="B1965">
        <v>0.99904790336628502</v>
      </c>
      <c r="C1965">
        <v>0.84036289952087195</v>
      </c>
      <c r="D1965">
        <v>0.77620827501483103</v>
      </c>
      <c r="E1965">
        <v>0.35000975573479098</v>
      </c>
      <c r="F1965">
        <v>0.173744870269568</v>
      </c>
      <c r="G1965">
        <v>0.131156757587051</v>
      </c>
      <c r="H1965">
        <v>5.7452710050423197E-2</v>
      </c>
      <c r="I1965">
        <v>7.4994536465459005E-2</v>
      </c>
      <c r="J1965">
        <v>3.4216496339392603E-2</v>
      </c>
      <c r="K1965">
        <v>1.9130423758231901E-2</v>
      </c>
      <c r="L1965">
        <v>886.13894212431603</v>
      </c>
      <c r="M1965">
        <v>18.364893813933499</v>
      </c>
      <c r="N1965">
        <v>48.470960641516101</v>
      </c>
      <c r="O1965">
        <v>47.690582912522899</v>
      </c>
      <c r="P1965">
        <v>-9.2439691187039E-2</v>
      </c>
      <c r="Q1965">
        <v>3.9841592026199801E-2</v>
      </c>
      <c r="R1965">
        <v>0.99069918742309304</v>
      </c>
      <c r="S1965" t="s">
        <v>6705</v>
      </c>
      <c r="T1965" t="s">
        <v>9478</v>
      </c>
      <c r="U1965" t="s">
        <v>9478</v>
      </c>
      <c r="V1965" t="s">
        <v>9478</v>
      </c>
      <c r="W1965">
        <v>6</v>
      </c>
      <c r="X1965" t="s">
        <v>11443</v>
      </c>
      <c r="Y1965">
        <v>0.32016808318105078</v>
      </c>
      <c r="Z1965" t="str">
        <f>HYPERLINK("Melting_Curves/meltCurve_sp_Q15120_PDK3_HUMAN_.pdf", "Melting_Curves/meltCurve_sp_Q15120_PDK3_HUMAN_.pdf")</f>
        <v>Melting_Curves/meltCurve_sp_Q15120_PDK3_HUMAN_.pdf</v>
      </c>
      <c r="AA1965" t="s">
        <v>16146</v>
      </c>
      <c r="AB1965" t="s">
        <v>20799</v>
      </c>
    </row>
    <row r="1966" spans="1:28" x14ac:dyDescent="0.25">
      <c r="A1966" t="s">
        <v>1970</v>
      </c>
      <c r="B1966">
        <v>0.99904790336628502</v>
      </c>
      <c r="C1966">
        <v>0.93939402378367398</v>
      </c>
      <c r="D1966">
        <v>0.863776504341773</v>
      </c>
      <c r="E1966">
        <v>0.98776165855127296</v>
      </c>
      <c r="F1966">
        <v>0.77921937554179899</v>
      </c>
      <c r="G1966">
        <v>0.66960493202773697</v>
      </c>
      <c r="H1966">
        <v>0.47025406124447899</v>
      </c>
      <c r="I1966">
        <v>0.55573759469943995</v>
      </c>
      <c r="J1966">
        <v>0.40903817778982199</v>
      </c>
      <c r="K1966">
        <v>0.35782311670189099</v>
      </c>
      <c r="L1966">
        <v>570.61278457269304</v>
      </c>
      <c r="M1966">
        <v>9.7555717366861394</v>
      </c>
      <c r="N1966">
        <v>62.840127878610303</v>
      </c>
      <c r="O1966">
        <v>56.192027617265097</v>
      </c>
      <c r="P1966">
        <v>-3.2766314861213501E-2</v>
      </c>
      <c r="Q1966">
        <v>0.245468392860554</v>
      </c>
      <c r="R1966">
        <v>0.93619931060222294</v>
      </c>
      <c r="S1966" t="s">
        <v>6706</v>
      </c>
      <c r="T1966" t="s">
        <v>9478</v>
      </c>
      <c r="U1966" t="s">
        <v>9478</v>
      </c>
      <c r="V1966" t="s">
        <v>9478</v>
      </c>
      <c r="W1966">
        <v>2</v>
      </c>
      <c r="X1966" t="s">
        <v>11444</v>
      </c>
      <c r="Y1966">
        <v>0.71514068277062282</v>
      </c>
      <c r="Z1966" t="str">
        <f>HYPERLINK("Melting_Curves/meltCurve_sp_Q15124_2_PGM5_HUMAN_.pdf", "Melting_Curves/meltCurve_sp_Q15124_2_PGM5_HUMAN_.pdf")</f>
        <v>Melting_Curves/meltCurve_sp_Q15124_2_PGM5_HUMAN_.pdf</v>
      </c>
      <c r="AA1966" t="s">
        <v>16147</v>
      </c>
      <c r="AB1966" t="s">
        <v>20800</v>
      </c>
    </row>
    <row r="1967" spans="1:28" x14ac:dyDescent="0.25">
      <c r="A1967" t="s">
        <v>1971</v>
      </c>
      <c r="B1967">
        <v>0.99904790336628502</v>
      </c>
      <c r="C1967">
        <v>1.0696990309757499</v>
      </c>
      <c r="D1967">
        <v>0.85609769165820904</v>
      </c>
      <c r="E1967">
        <v>0.40373596065273898</v>
      </c>
      <c r="F1967">
        <v>0.18141052170640701</v>
      </c>
      <c r="G1967">
        <v>9.3145867821280801E-2</v>
      </c>
      <c r="H1967">
        <v>5.9190169713173299E-2</v>
      </c>
      <c r="I1967">
        <v>4.6845505191701699E-2</v>
      </c>
      <c r="J1967">
        <v>2.84393461409231E-2</v>
      </c>
      <c r="K1967">
        <v>2.8479578710575E-2</v>
      </c>
      <c r="L1967">
        <v>1314.0413724182199</v>
      </c>
      <c r="M1967">
        <v>26.741371441584999</v>
      </c>
      <c r="N1967">
        <v>49.3179288251822</v>
      </c>
      <c r="O1967">
        <v>48.866563767089701</v>
      </c>
      <c r="P1967">
        <v>-0.130481119982476</v>
      </c>
      <c r="Q1967">
        <v>4.6257095077518302E-2</v>
      </c>
      <c r="R1967">
        <v>0.99418287118109705</v>
      </c>
      <c r="S1967" t="s">
        <v>6707</v>
      </c>
      <c r="T1967" t="s">
        <v>9478</v>
      </c>
      <c r="U1967" t="s">
        <v>9478</v>
      </c>
      <c r="V1967" t="s">
        <v>9478</v>
      </c>
      <c r="W1967">
        <v>10</v>
      </c>
      <c r="X1967" t="s">
        <v>11445</v>
      </c>
      <c r="Y1967">
        <v>0.34416283349266241</v>
      </c>
      <c r="Z1967" t="str">
        <f>HYPERLINK("Melting_Curves/meltCurve_sp_Q15126_PMVK_HUMAN_.pdf", "Melting_Curves/meltCurve_sp_Q15126_PMVK_HUMAN_.pdf")</f>
        <v>Melting_Curves/meltCurve_sp_Q15126_PMVK_HUMAN_.pdf</v>
      </c>
      <c r="AA1967" t="s">
        <v>16148</v>
      </c>
      <c r="AB1967" t="s">
        <v>20801</v>
      </c>
    </row>
    <row r="1968" spans="1:28" x14ac:dyDescent="0.25">
      <c r="A1968" t="s">
        <v>1972</v>
      </c>
      <c r="B1968">
        <v>0.99904790336628502</v>
      </c>
      <c r="C1968">
        <v>0.99373080516708401</v>
      </c>
      <c r="D1968">
        <v>1.0364372412499101</v>
      </c>
      <c r="E1968">
        <v>0.860037677166123</v>
      </c>
      <c r="F1968">
        <v>0.54105166836748997</v>
      </c>
      <c r="G1968">
        <v>0.25061975553764898</v>
      </c>
      <c r="H1968">
        <v>0.13629274693648299</v>
      </c>
      <c r="I1968">
        <v>9.9672205586045198E-2</v>
      </c>
      <c r="J1968">
        <v>8.7952046071376605E-2</v>
      </c>
      <c r="K1968">
        <v>7.4612984558867307E-2</v>
      </c>
      <c r="L1968">
        <v>1349.7834802575201</v>
      </c>
      <c r="M1968">
        <v>25.3815281271754</v>
      </c>
      <c r="N1968">
        <v>53.5922388218343</v>
      </c>
      <c r="O1968">
        <v>52.852937813224699</v>
      </c>
      <c r="P1968">
        <v>-0.109405717590564</v>
      </c>
      <c r="Q1968">
        <v>8.8732507211026795E-2</v>
      </c>
      <c r="R1968">
        <v>0.99723980732706696</v>
      </c>
      <c r="S1968" t="s">
        <v>6708</v>
      </c>
      <c r="T1968" t="s">
        <v>9478</v>
      </c>
      <c r="U1968" t="s">
        <v>9478</v>
      </c>
      <c r="V1968" t="s">
        <v>9478</v>
      </c>
      <c r="W1968">
        <v>250</v>
      </c>
      <c r="X1968" t="s">
        <v>11446</v>
      </c>
      <c r="Y1968">
        <v>0.49724073972223792</v>
      </c>
      <c r="Z1968" t="str">
        <f>HYPERLINK("Melting_Curves/meltCurve_sp_Q15149_8_PLEC_HUMAN_.pdf", "Melting_Curves/meltCurve_sp_Q15149_8_PLEC_HUMAN_.pdf")</f>
        <v>Melting_Curves/meltCurve_sp_Q15149_8_PLEC_HUMAN_.pdf</v>
      </c>
      <c r="AA1968" t="s">
        <v>16149</v>
      </c>
      <c r="AB1968" t="s">
        <v>20802</v>
      </c>
    </row>
    <row r="1969" spans="1:28" x14ac:dyDescent="0.25">
      <c r="A1969" t="s">
        <v>1973</v>
      </c>
      <c r="B1969">
        <v>0.99904790336628502</v>
      </c>
      <c r="C1969">
        <v>0.80056255330642301</v>
      </c>
      <c r="D1969">
        <v>0.68547721879370505</v>
      </c>
      <c r="E1969">
        <v>0.60505107497253796</v>
      </c>
      <c r="F1969">
        <v>0.56655057383384599</v>
      </c>
      <c r="G1969">
        <v>0.43295310660290298</v>
      </c>
      <c r="H1969">
        <v>0.304421518950245</v>
      </c>
      <c r="I1969">
        <v>0.25548668533131003</v>
      </c>
      <c r="J1969">
        <v>0.33212808346045197</v>
      </c>
      <c r="K1969">
        <v>0.24313957622628701</v>
      </c>
      <c r="L1969">
        <v>402.60196320778601</v>
      </c>
      <c r="M1969">
        <v>7.9553211081899997</v>
      </c>
      <c r="N1969">
        <v>53.435778925923103</v>
      </c>
      <c r="O1969">
        <v>47.709993017651698</v>
      </c>
      <c r="P1969">
        <v>-3.4563774672806698E-2</v>
      </c>
      <c r="Q1969">
        <v>0.171807046604849</v>
      </c>
      <c r="R1969">
        <v>0.96025974904218603</v>
      </c>
      <c r="S1969" t="s">
        <v>6709</v>
      </c>
      <c r="T1969" t="s">
        <v>9478</v>
      </c>
      <c r="U1969" t="s">
        <v>9478</v>
      </c>
      <c r="V1969" t="s">
        <v>9478</v>
      </c>
      <c r="W1969">
        <v>1</v>
      </c>
      <c r="X1969" t="s">
        <v>11447</v>
      </c>
      <c r="Y1969">
        <v>0.51116351428368656</v>
      </c>
      <c r="Z1969" t="str">
        <f>HYPERLINK("Melting_Curves/meltCurve_sp_Q15170_2_TCAL1_HUMAN_.pdf", "Melting_Curves/meltCurve_sp_Q15170_2_TCAL1_HUMAN_.pdf")</f>
        <v>Melting_Curves/meltCurve_sp_Q15170_2_TCAL1_HUMAN_.pdf</v>
      </c>
      <c r="AA1969" t="s">
        <v>16150</v>
      </c>
      <c r="AB1969" t="s">
        <v>20803</v>
      </c>
    </row>
    <row r="1970" spans="1:28" x14ac:dyDescent="0.25">
      <c r="A1970" t="s">
        <v>1974</v>
      </c>
      <c r="B1970">
        <v>0.99904790336628502</v>
      </c>
      <c r="C1970">
        <v>0.92933725418829005</v>
      </c>
      <c r="D1970">
        <v>0.87382177128518201</v>
      </c>
      <c r="E1970">
        <v>0.25630875385935098</v>
      </c>
      <c r="F1970">
        <v>0.11982810286360999</v>
      </c>
      <c r="G1970">
        <v>7.3511097717337007E-2</v>
      </c>
      <c r="H1970">
        <v>3.99434688602016E-2</v>
      </c>
      <c r="I1970">
        <v>2.22071583661883E-2</v>
      </c>
      <c r="J1970">
        <v>2.3497459887685101E-2</v>
      </c>
      <c r="K1970">
        <v>1.48909550525963E-2</v>
      </c>
      <c r="L1970">
        <v>1616.1215078484199</v>
      </c>
      <c r="M1970">
        <v>33.4266569333167</v>
      </c>
      <c r="N1970">
        <v>48.460324223068099</v>
      </c>
      <c r="O1970">
        <v>48.176239825063703</v>
      </c>
      <c r="P1970">
        <v>-0.16701078380173601</v>
      </c>
      <c r="Q1970">
        <v>3.7185765964779197E-2</v>
      </c>
      <c r="R1970">
        <v>0.99550106981810804</v>
      </c>
      <c r="S1970" t="s">
        <v>6710</v>
      </c>
      <c r="T1970" t="s">
        <v>9478</v>
      </c>
      <c r="U1970" t="s">
        <v>9478</v>
      </c>
      <c r="V1970" t="s">
        <v>9478</v>
      </c>
      <c r="W1970">
        <v>12</v>
      </c>
      <c r="X1970" t="s">
        <v>11448</v>
      </c>
      <c r="Y1970">
        <v>0.30976570245340562</v>
      </c>
      <c r="Z1970" t="str">
        <f>HYPERLINK("Melting_Curves/meltCurve_sp_Q15172_2A5A_HUMAN_.pdf", "Melting_Curves/meltCurve_sp_Q15172_2A5A_HUMAN_.pdf")</f>
        <v>Melting_Curves/meltCurve_sp_Q15172_2A5A_HUMAN_.pdf</v>
      </c>
      <c r="AA1970" t="s">
        <v>16151</v>
      </c>
      <c r="AB1970" t="s">
        <v>20804</v>
      </c>
    </row>
    <row r="1971" spans="1:28" x14ac:dyDescent="0.25">
      <c r="A1971" t="s">
        <v>1975</v>
      </c>
      <c r="B1971">
        <v>0.99904790336628502</v>
      </c>
      <c r="C1971">
        <v>0.88963526586446795</v>
      </c>
      <c r="D1971">
        <v>0.915816015600872</v>
      </c>
      <c r="E1971">
        <v>0.84235172441509998</v>
      </c>
      <c r="F1971">
        <v>0.59361836288064096</v>
      </c>
      <c r="G1971">
        <v>0.22153877587680701</v>
      </c>
      <c r="H1971">
        <v>7.5350477311686107E-2</v>
      </c>
      <c r="I1971">
        <v>3.9795872847679097E-2</v>
      </c>
      <c r="J1971">
        <v>3.2366078990924897E-2</v>
      </c>
      <c r="K1971">
        <v>2.4658327827809499E-2</v>
      </c>
      <c r="L1971">
        <v>1133.5118515679301</v>
      </c>
      <c r="M1971">
        <v>21.088839522570598</v>
      </c>
      <c r="N1971">
        <v>53.796629521351299</v>
      </c>
      <c r="O1971">
        <v>53.273069913634103</v>
      </c>
      <c r="P1971">
        <v>-9.8059650396828096E-2</v>
      </c>
      <c r="Q1971">
        <v>9.1819343904669202E-3</v>
      </c>
      <c r="R1971">
        <v>0.99049555072915896</v>
      </c>
      <c r="S1971" t="s">
        <v>6711</v>
      </c>
      <c r="T1971" t="s">
        <v>9478</v>
      </c>
      <c r="U1971" t="s">
        <v>9478</v>
      </c>
      <c r="V1971" t="s">
        <v>9478</v>
      </c>
      <c r="W1971">
        <v>14</v>
      </c>
      <c r="X1971" t="s">
        <v>11449</v>
      </c>
      <c r="Y1971">
        <v>0.47566121772683961</v>
      </c>
      <c r="Z1971" t="str">
        <f>HYPERLINK("Melting_Curves/meltCurve_sp_Q15181_IPYR_HUMAN_.pdf", "Melting_Curves/meltCurve_sp_Q15181_IPYR_HUMAN_.pdf")</f>
        <v>Melting_Curves/meltCurve_sp_Q15181_IPYR_HUMAN_.pdf</v>
      </c>
      <c r="AA1971" t="s">
        <v>16152</v>
      </c>
      <c r="AB1971" t="s">
        <v>20805</v>
      </c>
    </row>
    <row r="1972" spans="1:28" x14ac:dyDescent="0.25">
      <c r="A1972" t="s">
        <v>1976</v>
      </c>
      <c r="B1972">
        <v>0.99904790336628502</v>
      </c>
      <c r="C1972">
        <v>1.0010249639417701</v>
      </c>
      <c r="D1972">
        <v>0.92088727570898199</v>
      </c>
      <c r="E1972">
        <v>0.52884710220929199</v>
      </c>
      <c r="F1972">
        <v>0.25697543352421398</v>
      </c>
      <c r="G1972">
        <v>0.15122427305128699</v>
      </c>
      <c r="H1972">
        <v>8.3532150424633203E-2</v>
      </c>
      <c r="I1972">
        <v>8.0801626850647706E-2</v>
      </c>
      <c r="J1972">
        <v>9.3413649439937102E-2</v>
      </c>
      <c r="K1972">
        <v>7.9002027938936403E-2</v>
      </c>
      <c r="L1972">
        <v>1288.6360692123001</v>
      </c>
      <c r="M1972">
        <v>25.797621906827398</v>
      </c>
      <c r="N1972">
        <v>50.324740758607199</v>
      </c>
      <c r="O1972">
        <v>49.654490405154299</v>
      </c>
      <c r="P1972">
        <v>-0.118584564063554</v>
      </c>
      <c r="Q1972">
        <v>8.7018880925760295E-2</v>
      </c>
      <c r="R1972">
        <v>0.99898287983927603</v>
      </c>
      <c r="S1972" t="s">
        <v>6712</v>
      </c>
      <c r="T1972" t="s">
        <v>9478</v>
      </c>
      <c r="U1972" t="s">
        <v>9478</v>
      </c>
      <c r="V1972" t="s">
        <v>9478</v>
      </c>
      <c r="W1972">
        <v>3</v>
      </c>
      <c r="X1972" t="s">
        <v>11450</v>
      </c>
      <c r="Y1972">
        <v>0.39753307588068892</v>
      </c>
      <c r="Z1972" t="str">
        <f>HYPERLINK("Melting_Curves/meltCurve_sp_Q15208_STK38_HUMAN_.pdf", "Melting_Curves/meltCurve_sp_Q15208_STK38_HUMAN_.pdf")</f>
        <v>Melting_Curves/meltCurve_sp_Q15208_STK38_HUMAN_.pdf</v>
      </c>
      <c r="AA1972" t="s">
        <v>16153</v>
      </c>
      <c r="AB1972" t="s">
        <v>20806</v>
      </c>
    </row>
    <row r="1973" spans="1:28" x14ac:dyDescent="0.25">
      <c r="A1973" t="s">
        <v>1977</v>
      </c>
      <c r="B1973">
        <v>0.99904790336628502</v>
      </c>
      <c r="C1973">
        <v>0.98787677073541402</v>
      </c>
      <c r="D1973">
        <v>0.84775886981165305</v>
      </c>
      <c r="E1973">
        <v>0.52300411997189999</v>
      </c>
      <c r="F1973">
        <v>0.33257349422733301</v>
      </c>
      <c r="G1973">
        <v>0.207788914991822</v>
      </c>
      <c r="H1973">
        <v>0.17671183487980499</v>
      </c>
      <c r="I1973">
        <v>0.177890857065783</v>
      </c>
      <c r="J1973">
        <v>0.18546507272634999</v>
      </c>
      <c r="K1973">
        <v>0.197706824529672</v>
      </c>
      <c r="L1973">
        <v>1083.5478564769801</v>
      </c>
      <c r="M1973">
        <v>21.995104941818301</v>
      </c>
      <c r="N1973">
        <v>50.2738524589316</v>
      </c>
      <c r="O1973">
        <v>48.861346630988798</v>
      </c>
      <c r="P1973">
        <v>-9.2431469736863697E-2</v>
      </c>
      <c r="Q1973">
        <v>0.17868539676957701</v>
      </c>
      <c r="R1973">
        <v>0.998905773740148</v>
      </c>
      <c r="S1973" t="s">
        <v>6713</v>
      </c>
      <c r="T1973" t="s">
        <v>9478</v>
      </c>
      <c r="U1973" t="s">
        <v>9478</v>
      </c>
      <c r="V1973" t="s">
        <v>9478</v>
      </c>
      <c r="W1973">
        <v>23</v>
      </c>
      <c r="X1973" t="s">
        <v>11451</v>
      </c>
      <c r="Y1973">
        <v>0.44175408662276622</v>
      </c>
      <c r="Z1973" t="str">
        <f>HYPERLINK("Melting_Curves/meltCurve_sp_Q15233_NONO_HUMAN_.pdf", "Melting_Curves/meltCurve_sp_Q15233_NONO_HUMAN_.pdf")</f>
        <v>Melting_Curves/meltCurve_sp_Q15233_NONO_HUMAN_.pdf</v>
      </c>
      <c r="AA1973" t="s">
        <v>16154</v>
      </c>
      <c r="AB1973" t="s">
        <v>20807</v>
      </c>
    </row>
    <row r="1974" spans="1:28" x14ac:dyDescent="0.25">
      <c r="A1974" t="s">
        <v>1978</v>
      </c>
      <c r="B1974">
        <v>0.99904790336628502</v>
      </c>
      <c r="C1974">
        <v>0.91829227624127996</v>
      </c>
      <c r="D1974">
        <v>0.89015042938824396</v>
      </c>
      <c r="E1974">
        <v>0.94714899895635796</v>
      </c>
      <c r="F1974">
        <v>0.88134727041767702</v>
      </c>
      <c r="G1974">
        <v>0.45614245725237401</v>
      </c>
      <c r="H1974">
        <v>7.3131920405089701E-2</v>
      </c>
      <c r="I1974">
        <v>4.3588274390807598E-2</v>
      </c>
      <c r="J1974">
        <v>2.7571075512782001E-2</v>
      </c>
      <c r="K1974">
        <v>2.4404905432334999E-2</v>
      </c>
      <c r="L1974">
        <v>1741.8969273167199</v>
      </c>
      <c r="M1974">
        <v>30.825298611884701</v>
      </c>
      <c r="N1974">
        <v>56.554867987944903</v>
      </c>
      <c r="O1974">
        <v>56.272454301212697</v>
      </c>
      <c r="P1974">
        <v>-0.135245398866948</v>
      </c>
      <c r="Q1974">
        <v>1.2428581384276299E-2</v>
      </c>
      <c r="R1974">
        <v>0.98791625312768805</v>
      </c>
      <c r="S1974" t="s">
        <v>6714</v>
      </c>
      <c r="T1974" t="s">
        <v>9478</v>
      </c>
      <c r="U1974" t="s">
        <v>9478</v>
      </c>
      <c r="V1974" t="s">
        <v>9478</v>
      </c>
      <c r="W1974">
        <v>9</v>
      </c>
      <c r="X1974" t="s">
        <v>11452</v>
      </c>
      <c r="Y1974">
        <v>0.56215066453752038</v>
      </c>
      <c r="Z1974" t="str">
        <f>HYPERLINK("Melting_Curves/meltCurve_sp_Q15257_2_PTPA_HUMAN_.pdf", "Melting_Curves/meltCurve_sp_Q15257_2_PTPA_HUMAN_.pdf")</f>
        <v>Melting_Curves/meltCurve_sp_Q15257_2_PTPA_HUMAN_.pdf</v>
      </c>
      <c r="AA1974" t="s">
        <v>16155</v>
      </c>
      <c r="AB1974" t="s">
        <v>20808</v>
      </c>
    </row>
    <row r="1975" spans="1:28" x14ac:dyDescent="0.25">
      <c r="A1975" t="s">
        <v>1979</v>
      </c>
      <c r="B1975">
        <v>0.99904790336628502</v>
      </c>
      <c r="C1975">
        <v>0.94075932466453904</v>
      </c>
      <c r="D1975">
        <v>0.76701418501524499</v>
      </c>
      <c r="E1975">
        <v>0.73253778731522501</v>
      </c>
      <c r="F1975">
        <v>0.33730217153963199</v>
      </c>
      <c r="G1975">
        <v>0.16974451073250099</v>
      </c>
      <c r="H1975">
        <v>0.116089473150935</v>
      </c>
      <c r="I1975">
        <v>0.114670671060563</v>
      </c>
      <c r="J1975">
        <v>0.13007983393406999</v>
      </c>
      <c r="K1975">
        <v>9.4009171883573994E-2</v>
      </c>
      <c r="L1975">
        <v>861.49238249813504</v>
      </c>
      <c r="M1975">
        <v>16.923809568720099</v>
      </c>
      <c r="N1975">
        <v>51.4291047642335</v>
      </c>
      <c r="O1975">
        <v>50.209380782972502</v>
      </c>
      <c r="P1975">
        <v>-7.7586841936039194E-2</v>
      </c>
      <c r="Q1975">
        <v>7.9322859937075399E-2</v>
      </c>
      <c r="R1975">
        <v>0.97452621155574504</v>
      </c>
      <c r="S1975" t="s">
        <v>6715</v>
      </c>
      <c r="T1975" t="s">
        <v>9478</v>
      </c>
      <c r="U1975" t="s">
        <v>9478</v>
      </c>
      <c r="V1975" t="s">
        <v>9478</v>
      </c>
      <c r="W1975">
        <v>10</v>
      </c>
      <c r="X1975" t="s">
        <v>11453</v>
      </c>
      <c r="Y1975">
        <v>0.43130588117486529</v>
      </c>
      <c r="Z1975" t="str">
        <f>HYPERLINK("Melting_Curves/meltCurve_sp_Q15257_PTPA_HUMAN_.pdf", "Melting_Curves/meltCurve_sp_Q15257_PTPA_HUMAN_.pdf")</f>
        <v>Melting_Curves/meltCurve_sp_Q15257_PTPA_HUMAN_.pdf</v>
      </c>
      <c r="AA1975" t="s">
        <v>16155</v>
      </c>
      <c r="AB1975" t="s">
        <v>20809</v>
      </c>
    </row>
    <row r="1976" spans="1:28" x14ac:dyDescent="0.25">
      <c r="A1976" t="s">
        <v>1980</v>
      </c>
      <c r="B1976">
        <v>0.99904790336628502</v>
      </c>
      <c r="C1976">
        <v>0.92676954579432602</v>
      </c>
      <c r="D1976">
        <v>0.875736449794842</v>
      </c>
      <c r="E1976">
        <v>0.66960139084952897</v>
      </c>
      <c r="F1976">
        <v>0.51427538783396598</v>
      </c>
      <c r="G1976">
        <v>0.34717059258301303</v>
      </c>
      <c r="H1976">
        <v>0.26460177664094398</v>
      </c>
      <c r="I1976">
        <v>0.23681911015956</v>
      </c>
      <c r="J1976">
        <v>0.225640612528483</v>
      </c>
      <c r="K1976">
        <v>0.13831430690327301</v>
      </c>
      <c r="L1976">
        <v>658.21079035482899</v>
      </c>
      <c r="M1976">
        <v>12.687633950405701</v>
      </c>
      <c r="N1976">
        <v>53.369610358299802</v>
      </c>
      <c r="O1976">
        <v>50.640008511431198</v>
      </c>
      <c r="P1976">
        <v>-5.32975264621421E-2</v>
      </c>
      <c r="Q1976">
        <v>0.14926197255889201</v>
      </c>
      <c r="R1976">
        <v>0.99583034905728396</v>
      </c>
      <c r="S1976" t="s">
        <v>6716</v>
      </c>
      <c r="T1976" t="s">
        <v>9478</v>
      </c>
      <c r="U1976" t="s">
        <v>9478</v>
      </c>
      <c r="V1976" t="s">
        <v>9478</v>
      </c>
      <c r="W1976">
        <v>3</v>
      </c>
      <c r="X1976" t="s">
        <v>11454</v>
      </c>
      <c r="Y1976">
        <v>0.51046966537700433</v>
      </c>
      <c r="Z1976" t="str">
        <f>HYPERLINK("Melting_Curves/meltCurve_sp_Q15262_PTPRK_HUMAN_.pdf", "Melting_Curves/meltCurve_sp_Q15262_PTPRK_HUMAN_.pdf")</f>
        <v>Melting_Curves/meltCurve_sp_Q15262_PTPRK_HUMAN_.pdf</v>
      </c>
      <c r="AA1976" t="s">
        <v>16156</v>
      </c>
      <c r="AB1976" t="s">
        <v>20810</v>
      </c>
    </row>
    <row r="1977" spans="1:28" x14ac:dyDescent="0.25">
      <c r="A1977" t="s">
        <v>1981</v>
      </c>
      <c r="B1977">
        <v>0.99904790336628502</v>
      </c>
      <c r="C1977">
        <v>1.0109294705482501</v>
      </c>
      <c r="D1977">
        <v>1.02584062007546</v>
      </c>
      <c r="E1977">
        <v>1.06345478195694</v>
      </c>
      <c r="F1977">
        <v>0.99882489441686495</v>
      </c>
      <c r="G1977">
        <v>0.86615015265268003</v>
      </c>
      <c r="H1977">
        <v>0.71761326614346199</v>
      </c>
      <c r="I1977">
        <v>0.75229650542538296</v>
      </c>
      <c r="J1977">
        <v>0.70562120865429201</v>
      </c>
      <c r="K1977">
        <v>0.45142604832218802</v>
      </c>
      <c r="L1977">
        <v>678.51165031130199</v>
      </c>
      <c r="M1977">
        <v>9.6616591788998498</v>
      </c>
      <c r="O1977">
        <v>67.416617772363594</v>
      </c>
      <c r="P1977">
        <v>-3.5848052420395897E-2</v>
      </c>
      <c r="Q1977">
        <v>0</v>
      </c>
      <c r="R1977">
        <v>0.907509894506763</v>
      </c>
      <c r="S1977" t="s">
        <v>6717</v>
      </c>
      <c r="T1977" t="s">
        <v>9478</v>
      </c>
      <c r="U1977" t="s">
        <v>9478</v>
      </c>
      <c r="V1977" t="s">
        <v>9478</v>
      </c>
      <c r="W1977">
        <v>12</v>
      </c>
      <c r="X1977" t="s">
        <v>11455</v>
      </c>
      <c r="Y1977">
        <v>0.86714518953241226</v>
      </c>
      <c r="Z1977" t="str">
        <f>HYPERLINK("Melting_Curves/meltCurve_sp_Q15274_NADC_HUMAN_.pdf", "Melting_Curves/meltCurve_sp_Q15274_NADC_HUMAN_.pdf")</f>
        <v>Melting_Curves/meltCurve_sp_Q15274_NADC_HUMAN_.pdf</v>
      </c>
      <c r="AA1977" t="s">
        <v>16157</v>
      </c>
      <c r="AB1977" t="s">
        <v>20811</v>
      </c>
    </row>
    <row r="1978" spans="1:28" x14ac:dyDescent="0.25">
      <c r="A1978" t="s">
        <v>1982</v>
      </c>
      <c r="B1978">
        <v>0.99904790336628502</v>
      </c>
      <c r="C1978">
        <v>1.0064100193421399</v>
      </c>
      <c r="D1978">
        <v>1.00712894316438</v>
      </c>
      <c r="E1978">
        <v>0.91891325909064403</v>
      </c>
      <c r="F1978">
        <v>0.83563206653109701</v>
      </c>
      <c r="G1978">
        <v>0.57309874301438901</v>
      </c>
      <c r="H1978">
        <v>0.49722835936523102</v>
      </c>
      <c r="I1978">
        <v>0.46294664006263703</v>
      </c>
      <c r="J1978">
        <v>0.47065045709264502</v>
      </c>
      <c r="K1978">
        <v>0.39294421058322199</v>
      </c>
      <c r="L1978">
        <v>1227.8521143212299</v>
      </c>
      <c r="M1978">
        <v>22.4398792715808</v>
      </c>
      <c r="N1978">
        <v>60.023356944767301</v>
      </c>
      <c r="O1978">
        <v>54.288426071418201</v>
      </c>
      <c r="P1978">
        <v>-5.8777271766083897E-2</v>
      </c>
      <c r="Q1978">
        <v>0.43121625182972101</v>
      </c>
      <c r="R1978">
        <v>0.992204512179512</v>
      </c>
      <c r="S1978" t="s">
        <v>6718</v>
      </c>
      <c r="T1978" t="s">
        <v>9478</v>
      </c>
      <c r="U1978" t="s">
        <v>9478</v>
      </c>
      <c r="V1978" t="s">
        <v>9478</v>
      </c>
      <c r="W1978">
        <v>35</v>
      </c>
      <c r="X1978" t="s">
        <v>11456</v>
      </c>
      <c r="Y1978">
        <v>0.71659273729583395</v>
      </c>
      <c r="Z1978" t="str">
        <f>HYPERLINK("Melting_Curves/meltCurve_sp_Q15276_RABE1_HUMAN_.pdf", "Melting_Curves/meltCurve_sp_Q15276_RABE1_HUMAN_.pdf")</f>
        <v>Melting_Curves/meltCurve_sp_Q15276_RABE1_HUMAN_.pdf</v>
      </c>
      <c r="AA1978" t="s">
        <v>16158</v>
      </c>
      <c r="AB1978" t="s">
        <v>20812</v>
      </c>
    </row>
    <row r="1979" spans="1:28" x14ac:dyDescent="0.25">
      <c r="A1979" t="s">
        <v>1983</v>
      </c>
      <c r="B1979">
        <v>0.99904790336628502</v>
      </c>
      <c r="C1979">
        <v>0.96084061295054501</v>
      </c>
      <c r="D1979">
        <v>0.715013525802358</v>
      </c>
      <c r="E1979">
        <v>0.73127351951307895</v>
      </c>
      <c r="F1979">
        <v>0.56043347587943904</v>
      </c>
      <c r="G1979">
        <v>0.56481596803638601</v>
      </c>
      <c r="H1979">
        <v>0.36434788919274003</v>
      </c>
      <c r="I1979">
        <v>0.24105840354956101</v>
      </c>
      <c r="J1979">
        <v>0.27116993941200801</v>
      </c>
      <c r="K1979">
        <v>0.16558358556891001</v>
      </c>
      <c r="L1979">
        <v>402.07334928415901</v>
      </c>
      <c r="M1979">
        <v>7.1607641726363402</v>
      </c>
      <c r="N1979">
        <v>56.149502981798001</v>
      </c>
      <c r="O1979">
        <v>52.265278641003803</v>
      </c>
      <c r="P1979">
        <v>-3.4310441320700998E-2</v>
      </c>
      <c r="Q1979">
        <v>0</v>
      </c>
      <c r="R1979">
        <v>0.95561883078408805</v>
      </c>
      <c r="S1979" t="s">
        <v>6719</v>
      </c>
      <c r="T1979" t="s">
        <v>9478</v>
      </c>
      <c r="U1979" t="s">
        <v>9478</v>
      </c>
      <c r="V1979" t="s">
        <v>9478</v>
      </c>
      <c r="W1979">
        <v>2</v>
      </c>
      <c r="X1979" t="s">
        <v>11457</v>
      </c>
      <c r="Y1979">
        <v>0.5552864355128182</v>
      </c>
      <c r="Z1979" t="str">
        <f>HYPERLINK("Melting_Curves/meltCurve_sp_Q15283_2_RASA2_HUMAN_.pdf", "Melting_Curves/meltCurve_sp_Q15283_2_RASA2_HUMAN_.pdf")</f>
        <v>Melting_Curves/meltCurve_sp_Q15283_2_RASA2_HUMAN_.pdf</v>
      </c>
      <c r="AA1979" t="s">
        <v>16159</v>
      </c>
      <c r="AB1979" t="s">
        <v>20813</v>
      </c>
    </row>
    <row r="1980" spans="1:28" x14ac:dyDescent="0.25">
      <c r="A1980" t="s">
        <v>1984</v>
      </c>
      <c r="B1980">
        <v>0.99904790336628502</v>
      </c>
      <c r="C1980">
        <v>0.93966216156432003</v>
      </c>
      <c r="D1980">
        <v>0.87285853579686801</v>
      </c>
      <c r="E1980">
        <v>0.79216545965382701</v>
      </c>
      <c r="F1980">
        <v>0.75985482902731805</v>
      </c>
      <c r="G1980">
        <v>0.58660556894384397</v>
      </c>
      <c r="H1980">
        <v>0.39227630719369999</v>
      </c>
      <c r="I1980">
        <v>0.316505860512176</v>
      </c>
      <c r="J1980">
        <v>0.15401067536761401</v>
      </c>
      <c r="K1980">
        <v>8.2216618346499806E-2</v>
      </c>
      <c r="L1980">
        <v>598.69288782451201</v>
      </c>
      <c r="M1980">
        <v>10.3108316707048</v>
      </c>
      <c r="N1980">
        <v>58.064459846316701</v>
      </c>
      <c r="O1980">
        <v>56.007612551575903</v>
      </c>
      <c r="P1980">
        <v>-4.6044152986646297E-2</v>
      </c>
      <c r="Q1980">
        <v>0</v>
      </c>
      <c r="R1980">
        <v>0.98155010556498701</v>
      </c>
      <c r="S1980" t="s">
        <v>6720</v>
      </c>
      <c r="T1980" t="s">
        <v>9478</v>
      </c>
      <c r="U1980" t="s">
        <v>9478</v>
      </c>
      <c r="V1980" t="s">
        <v>9478</v>
      </c>
      <c r="W1980">
        <v>8</v>
      </c>
      <c r="X1980" t="s">
        <v>11458</v>
      </c>
      <c r="Y1980">
        <v>0.61229835863683202</v>
      </c>
      <c r="Z1980" t="str">
        <f>HYPERLINK("Melting_Curves/meltCurve_sp_Q15291_RBBP5_HUMAN_.pdf", "Melting_Curves/meltCurve_sp_Q15291_RBBP5_HUMAN_.pdf")</f>
        <v>Melting_Curves/meltCurve_sp_Q15291_RBBP5_HUMAN_.pdf</v>
      </c>
      <c r="AA1980" t="s">
        <v>16160</v>
      </c>
      <c r="AB1980" t="s">
        <v>20814</v>
      </c>
    </row>
    <row r="1981" spans="1:28" x14ac:dyDescent="0.25">
      <c r="A1981" t="s">
        <v>1985</v>
      </c>
      <c r="B1981">
        <v>0.99904790336628502</v>
      </c>
      <c r="C1981">
        <v>1.07150422117069</v>
      </c>
      <c r="D1981">
        <v>1.0489650305873599</v>
      </c>
      <c r="E1981">
        <v>1.02964567373659</v>
      </c>
      <c r="F1981">
        <v>0.980924344271633</v>
      </c>
      <c r="G1981">
        <v>0.85561384353884795</v>
      </c>
      <c r="H1981">
        <v>0.72511938444582702</v>
      </c>
      <c r="I1981">
        <v>0.702087746153784</v>
      </c>
      <c r="J1981">
        <v>0.70799624796737703</v>
      </c>
      <c r="K1981">
        <v>0.667592771334936</v>
      </c>
      <c r="L1981">
        <v>1947.10066072162</v>
      </c>
      <c r="M1981">
        <v>33.986694244316801</v>
      </c>
      <c r="O1981">
        <v>57.0928327388593</v>
      </c>
      <c r="P1981">
        <v>-4.63133238919844E-2</v>
      </c>
      <c r="Q1981">
        <v>0.68880193157882597</v>
      </c>
      <c r="R1981">
        <v>0.96160561545114298</v>
      </c>
      <c r="S1981" t="s">
        <v>6721</v>
      </c>
      <c r="T1981" t="s">
        <v>9478</v>
      </c>
      <c r="U1981" t="s">
        <v>9478</v>
      </c>
      <c r="V1981" t="s">
        <v>9478</v>
      </c>
      <c r="W1981">
        <v>17</v>
      </c>
      <c r="X1981" t="s">
        <v>11459</v>
      </c>
      <c r="Y1981">
        <v>0.86981118494868803</v>
      </c>
      <c r="Z1981" t="str">
        <f>HYPERLINK("Melting_Curves/meltCurve_sp_Q15293_RCN1_HUMAN_.pdf", "Melting_Curves/meltCurve_sp_Q15293_RCN1_HUMAN_.pdf")</f>
        <v>Melting_Curves/meltCurve_sp_Q15293_RCN1_HUMAN_.pdf</v>
      </c>
      <c r="AA1981" t="s">
        <v>16161</v>
      </c>
      <c r="AB1981" t="s">
        <v>20815</v>
      </c>
    </row>
    <row r="1982" spans="1:28" x14ac:dyDescent="0.25">
      <c r="A1982" t="s">
        <v>1986</v>
      </c>
      <c r="B1982">
        <v>0.99904790336628502</v>
      </c>
      <c r="C1982">
        <v>0.98010125885917998</v>
      </c>
      <c r="D1982">
        <v>0.93917588740540403</v>
      </c>
      <c r="E1982">
        <v>0.52260086856030896</v>
      </c>
      <c r="F1982">
        <v>0.29505702739336198</v>
      </c>
      <c r="G1982">
        <v>0.161811140882654</v>
      </c>
      <c r="H1982">
        <v>9.7551218289486402E-2</v>
      </c>
      <c r="I1982">
        <v>6.8705360798232806E-2</v>
      </c>
      <c r="J1982">
        <v>6.3389555918051094E-2</v>
      </c>
      <c r="K1982">
        <v>5.1830445502333997E-2</v>
      </c>
      <c r="L1982">
        <v>1149.7472738177701</v>
      </c>
      <c r="M1982">
        <v>22.9102166952799</v>
      </c>
      <c r="N1982">
        <v>50.523774054933703</v>
      </c>
      <c r="O1982">
        <v>49.807251584150997</v>
      </c>
      <c r="P1982">
        <v>-0.106806871092042</v>
      </c>
      <c r="Q1982">
        <v>7.1216876825560396E-2</v>
      </c>
      <c r="R1982">
        <v>0.99674969784935896</v>
      </c>
      <c r="S1982" t="s">
        <v>6722</v>
      </c>
      <c r="T1982" t="s">
        <v>9478</v>
      </c>
      <c r="U1982" t="s">
        <v>9478</v>
      </c>
      <c r="V1982" t="s">
        <v>9478</v>
      </c>
      <c r="W1982">
        <v>9</v>
      </c>
      <c r="X1982" t="s">
        <v>11460</v>
      </c>
      <c r="Y1982">
        <v>0.396434335761227</v>
      </c>
      <c r="Z1982" t="str">
        <f>HYPERLINK("Melting_Curves/meltCurve_sp_Q15311_RBP1_HUMAN_.pdf", "Melting_Curves/meltCurve_sp_Q15311_RBP1_HUMAN_.pdf")</f>
        <v>Melting_Curves/meltCurve_sp_Q15311_RBP1_HUMAN_.pdf</v>
      </c>
      <c r="AA1982" t="s">
        <v>16162</v>
      </c>
      <c r="AB1982" t="s">
        <v>20816</v>
      </c>
    </row>
    <row r="1983" spans="1:28" x14ac:dyDescent="0.25">
      <c r="A1983" t="s">
        <v>1987</v>
      </c>
      <c r="B1983">
        <v>0.99904790336628502</v>
      </c>
      <c r="C1983">
        <v>0.99494513244875005</v>
      </c>
      <c r="D1983">
        <v>0.92665436938597501</v>
      </c>
      <c r="E1983">
        <v>0.65645869976241</v>
      </c>
      <c r="F1983">
        <v>0.391596448325784</v>
      </c>
      <c r="G1983">
        <v>0.27942894370222099</v>
      </c>
      <c r="H1983">
        <v>0.227711159147543</v>
      </c>
      <c r="I1983">
        <v>0.19792579795128601</v>
      </c>
      <c r="J1983">
        <v>0.24569495482075401</v>
      </c>
      <c r="K1983">
        <v>0.23193065823397199</v>
      </c>
      <c r="L1983">
        <v>1251.90174748555</v>
      </c>
      <c r="M1983">
        <v>24.841018623887201</v>
      </c>
      <c r="N1983">
        <v>51.6308600908879</v>
      </c>
      <c r="O1983">
        <v>50.073362947897202</v>
      </c>
      <c r="P1983">
        <v>-9.62552692511595E-2</v>
      </c>
      <c r="Q1983">
        <v>0.22390326611466599</v>
      </c>
      <c r="R1983">
        <v>0.99830452750418197</v>
      </c>
      <c r="S1983" t="s">
        <v>6723</v>
      </c>
      <c r="T1983" t="s">
        <v>9478</v>
      </c>
      <c r="U1983" t="s">
        <v>9478</v>
      </c>
      <c r="V1983" t="s">
        <v>9478</v>
      </c>
      <c r="W1983">
        <v>8</v>
      </c>
      <c r="X1983" t="s">
        <v>11461</v>
      </c>
      <c r="Y1983">
        <v>0.49991547728102848</v>
      </c>
      <c r="Z1983" t="str">
        <f>HYPERLINK("Melting_Curves/meltCurve_sp_Q15345_LRC41_HUMAN_.pdf", "Melting_Curves/meltCurve_sp_Q15345_LRC41_HUMAN_.pdf")</f>
        <v>Melting_Curves/meltCurve_sp_Q15345_LRC41_HUMAN_.pdf</v>
      </c>
      <c r="AA1983" t="s">
        <v>16163</v>
      </c>
      <c r="AB1983" t="s">
        <v>20817</v>
      </c>
    </row>
    <row r="1984" spans="1:28" x14ac:dyDescent="0.25">
      <c r="A1984" t="s">
        <v>1988</v>
      </c>
      <c r="B1984">
        <v>0.99904790336628502</v>
      </c>
      <c r="C1984">
        <v>0.99266098900787902</v>
      </c>
      <c r="D1984">
        <v>0.937327155893241</v>
      </c>
      <c r="E1984">
        <v>0.90755588768417705</v>
      </c>
      <c r="F1984">
        <v>0.84192192211531602</v>
      </c>
      <c r="G1984">
        <v>0.62120127511468204</v>
      </c>
      <c r="H1984">
        <v>0.46795269212314999</v>
      </c>
      <c r="I1984">
        <v>0.39634368217812499</v>
      </c>
      <c r="J1984">
        <v>0.35342513639168699</v>
      </c>
      <c r="K1984">
        <v>0.25677847186948499</v>
      </c>
      <c r="L1984">
        <v>723.896894852223</v>
      </c>
      <c r="M1984">
        <v>12.4737483288745</v>
      </c>
      <c r="N1984">
        <v>60.438872630334899</v>
      </c>
      <c r="O1984">
        <v>56.602643207011504</v>
      </c>
      <c r="P1984">
        <v>-4.4323944313019399E-2</v>
      </c>
      <c r="Q1984">
        <v>0.195644604062502</v>
      </c>
      <c r="R1984">
        <v>0.99443107546044696</v>
      </c>
      <c r="S1984" t="s">
        <v>6724</v>
      </c>
      <c r="T1984" t="s">
        <v>9478</v>
      </c>
      <c r="U1984" t="s">
        <v>9478</v>
      </c>
      <c r="V1984" t="s">
        <v>9478</v>
      </c>
      <c r="W1984">
        <v>13</v>
      </c>
      <c r="X1984" t="s">
        <v>11462</v>
      </c>
      <c r="Y1984">
        <v>0.68952680269107458</v>
      </c>
      <c r="Z1984" t="str">
        <f>HYPERLINK("Melting_Curves/meltCurve_sp_Q15365_PCBP1_HUMAN_.pdf", "Melting_Curves/meltCurve_sp_Q15365_PCBP1_HUMAN_.pdf")</f>
        <v>Melting_Curves/meltCurve_sp_Q15365_PCBP1_HUMAN_.pdf</v>
      </c>
      <c r="AA1984" t="s">
        <v>16164</v>
      </c>
      <c r="AB1984" t="s">
        <v>20818</v>
      </c>
    </row>
    <row r="1985" spans="1:28" x14ac:dyDescent="0.25">
      <c r="A1985" t="s">
        <v>1989</v>
      </c>
      <c r="B1985">
        <v>0.99904790336628502</v>
      </c>
      <c r="C1985">
        <v>0.86185806142670196</v>
      </c>
      <c r="D1985">
        <v>0.63823937780641204</v>
      </c>
      <c r="E1985">
        <v>0.41703737050869899</v>
      </c>
      <c r="F1985">
        <v>0.26341712923819699</v>
      </c>
      <c r="G1985">
        <v>0.121726996905114</v>
      </c>
      <c r="H1985">
        <v>7.1905748806710398E-2</v>
      </c>
      <c r="I1985">
        <v>5.0388519313799097E-2</v>
      </c>
      <c r="J1985">
        <v>4.8267175754408399E-2</v>
      </c>
      <c r="K1985">
        <v>3.2991571580558599E-2</v>
      </c>
      <c r="L1985">
        <v>666.58572050078806</v>
      </c>
      <c r="M1985">
        <v>13.783593198356201</v>
      </c>
      <c r="N1985">
        <v>48.520256408724599</v>
      </c>
      <c r="O1985">
        <v>47.376948199775597</v>
      </c>
      <c r="P1985">
        <v>-7.1133121250036305E-2</v>
      </c>
      <c r="Q1985">
        <v>2.2142524942347801E-2</v>
      </c>
      <c r="R1985">
        <v>0.99600345996088402</v>
      </c>
      <c r="S1985" t="s">
        <v>6725</v>
      </c>
      <c r="T1985" t="s">
        <v>9478</v>
      </c>
      <c r="U1985" t="s">
        <v>9478</v>
      </c>
      <c r="V1985" t="s">
        <v>9478</v>
      </c>
      <c r="W1985">
        <v>5</v>
      </c>
      <c r="X1985" t="s">
        <v>11463</v>
      </c>
      <c r="Y1985">
        <v>0.32376580942367678</v>
      </c>
      <c r="Z1985" t="str">
        <f>HYPERLINK("Melting_Curves/meltCurve_sp_Q15382_RHEB_HUMAN_.pdf", "Melting_Curves/meltCurve_sp_Q15382_RHEB_HUMAN_.pdf")</f>
        <v>Melting_Curves/meltCurve_sp_Q15382_RHEB_HUMAN_.pdf</v>
      </c>
      <c r="AA1985" t="s">
        <v>16165</v>
      </c>
      <c r="AB1985" t="s">
        <v>20819</v>
      </c>
    </row>
    <row r="1986" spans="1:28" x14ac:dyDescent="0.25">
      <c r="A1986" t="s">
        <v>1990</v>
      </c>
      <c r="B1986">
        <v>0.99904790336628502</v>
      </c>
      <c r="C1986">
        <v>0.97674228723302503</v>
      </c>
      <c r="D1986">
        <v>0.92840492651870499</v>
      </c>
      <c r="E1986">
        <v>0.55702729003678197</v>
      </c>
      <c r="F1986">
        <v>0.25694171193731002</v>
      </c>
      <c r="G1986">
        <v>0.14682584191202899</v>
      </c>
      <c r="H1986">
        <v>9.0322930519054601E-2</v>
      </c>
      <c r="I1986">
        <v>6.8463380422588302E-2</v>
      </c>
      <c r="J1986">
        <v>6.6877031544366902E-2</v>
      </c>
      <c r="K1986">
        <v>7.9357171809691901E-2</v>
      </c>
      <c r="L1986">
        <v>1279.52496747604</v>
      </c>
      <c r="M1986">
        <v>25.5014481066687</v>
      </c>
      <c r="N1986">
        <v>50.506833973564802</v>
      </c>
      <c r="O1986">
        <v>49.869112426849298</v>
      </c>
      <c r="P1986">
        <v>-0.11797187449155901</v>
      </c>
      <c r="Q1986">
        <v>7.7216361865752703E-2</v>
      </c>
      <c r="R1986">
        <v>0.99904286136766796</v>
      </c>
      <c r="S1986" t="s">
        <v>6726</v>
      </c>
      <c r="T1986" t="s">
        <v>9478</v>
      </c>
      <c r="U1986" t="s">
        <v>9478</v>
      </c>
      <c r="V1986" t="s">
        <v>9478</v>
      </c>
      <c r="W1986">
        <v>4</v>
      </c>
      <c r="X1986" t="s">
        <v>11464</v>
      </c>
      <c r="Y1986">
        <v>0.39812149055762242</v>
      </c>
      <c r="Z1986" t="str">
        <f>HYPERLINK("Melting_Curves/meltCurve_sp_Q15386_UBE3C_HUMAN_.pdf", "Melting_Curves/meltCurve_sp_Q15386_UBE3C_HUMAN_.pdf")</f>
        <v>Melting_Curves/meltCurve_sp_Q15386_UBE3C_HUMAN_.pdf</v>
      </c>
      <c r="AA1986" t="s">
        <v>16166</v>
      </c>
      <c r="AB1986" t="s">
        <v>20820</v>
      </c>
    </row>
    <row r="1987" spans="1:28" x14ac:dyDescent="0.25">
      <c r="A1987" t="s">
        <v>1991</v>
      </c>
      <c r="B1987">
        <v>0.99904790336628502</v>
      </c>
      <c r="C1987">
        <v>1.02708688799458</v>
      </c>
      <c r="D1987">
        <v>1.0272419363810099</v>
      </c>
      <c r="E1987">
        <v>0.85668295068279898</v>
      </c>
      <c r="F1987">
        <v>0.71379378362683799</v>
      </c>
      <c r="G1987">
        <v>0.330468561516225</v>
      </c>
      <c r="H1987">
        <v>0.132825987997652</v>
      </c>
      <c r="I1987">
        <v>8.3041578781425499E-2</v>
      </c>
      <c r="J1987">
        <v>6.5993030054521798E-2</v>
      </c>
      <c r="K1987">
        <v>5.2268051715648099E-2</v>
      </c>
      <c r="L1987">
        <v>1190.5609223369599</v>
      </c>
      <c r="M1987">
        <v>21.710812004928499</v>
      </c>
      <c r="N1987">
        <v>55.063755488230903</v>
      </c>
      <c r="O1987">
        <v>54.378376663687</v>
      </c>
      <c r="P1987">
        <v>-9.5551824709011801E-2</v>
      </c>
      <c r="Q1987">
        <v>4.2720440508129003E-2</v>
      </c>
      <c r="R1987">
        <v>0.99727651576193299</v>
      </c>
      <c r="S1987" t="s">
        <v>6727</v>
      </c>
      <c r="T1987" t="s">
        <v>9478</v>
      </c>
      <c r="U1987" t="s">
        <v>9478</v>
      </c>
      <c r="V1987" t="s">
        <v>9478</v>
      </c>
      <c r="W1987">
        <v>19</v>
      </c>
      <c r="X1987" t="s">
        <v>11465</v>
      </c>
      <c r="Y1987">
        <v>0.52741878813144882</v>
      </c>
      <c r="Z1987" t="str">
        <f>HYPERLINK("Melting_Curves/meltCurve_sp_Q15393_SF3B3_HUMAN_.pdf", "Melting_Curves/meltCurve_sp_Q15393_SF3B3_HUMAN_.pdf")</f>
        <v>Melting_Curves/meltCurve_sp_Q15393_SF3B3_HUMAN_.pdf</v>
      </c>
      <c r="AA1987" t="s">
        <v>16167</v>
      </c>
      <c r="AB1987" t="s">
        <v>20821</v>
      </c>
    </row>
    <row r="1988" spans="1:28" x14ac:dyDescent="0.25">
      <c r="A1988" t="s">
        <v>1992</v>
      </c>
      <c r="B1988">
        <v>0.99904790336628502</v>
      </c>
      <c r="C1988">
        <v>0.99336063698941401</v>
      </c>
      <c r="D1988">
        <v>0.994503892196968</v>
      </c>
      <c r="E1988">
        <v>0.93276384180417204</v>
      </c>
      <c r="F1988">
        <v>0.94469300553964697</v>
      </c>
      <c r="G1988">
        <v>0.53776461745997295</v>
      </c>
      <c r="H1988">
        <v>0.228265548547647</v>
      </c>
      <c r="I1988">
        <v>0.106581443671149</v>
      </c>
      <c r="J1988">
        <v>5.0991216255086201E-2</v>
      </c>
      <c r="K1988">
        <v>2.4619593688420802E-2</v>
      </c>
      <c r="L1988">
        <v>1445.1228816570999</v>
      </c>
      <c r="M1988">
        <v>25.141394081842101</v>
      </c>
      <c r="N1988">
        <v>57.6058292674903</v>
      </c>
      <c r="O1988">
        <v>57.119868603587697</v>
      </c>
      <c r="P1988">
        <v>-0.107095410702955</v>
      </c>
      <c r="Q1988">
        <v>2.67531957357179E-2</v>
      </c>
      <c r="R1988">
        <v>0.99666082152318802</v>
      </c>
      <c r="S1988" t="s">
        <v>6728</v>
      </c>
      <c r="T1988" t="s">
        <v>9478</v>
      </c>
      <c r="U1988" t="s">
        <v>9478</v>
      </c>
      <c r="V1988" t="s">
        <v>9478</v>
      </c>
      <c r="W1988">
        <v>14</v>
      </c>
      <c r="X1988" t="s">
        <v>11466</v>
      </c>
      <c r="Y1988">
        <v>0.60239638836424547</v>
      </c>
      <c r="Z1988" t="str">
        <f>HYPERLINK("Melting_Curves/meltCurve_sp_Q15404_RSU1_HUMAN_.pdf", "Melting_Curves/meltCurve_sp_Q15404_RSU1_HUMAN_.pdf")</f>
        <v>Melting_Curves/meltCurve_sp_Q15404_RSU1_HUMAN_.pdf</v>
      </c>
      <c r="AA1988" t="s">
        <v>16168</v>
      </c>
      <c r="AB1988" t="s">
        <v>20822</v>
      </c>
    </row>
    <row r="1989" spans="1:28" x14ac:dyDescent="0.25">
      <c r="A1989" t="s">
        <v>1993</v>
      </c>
      <c r="B1989">
        <v>0.99904790336628502</v>
      </c>
      <c r="C1989">
        <v>1.00869128191333</v>
      </c>
      <c r="D1989">
        <v>0.93186179606796005</v>
      </c>
      <c r="E1989">
        <v>0.92320715421612398</v>
      </c>
      <c r="F1989">
        <v>0.86625129191454897</v>
      </c>
      <c r="G1989">
        <v>0.57029014534584399</v>
      </c>
      <c r="H1989">
        <v>0.41910328931650798</v>
      </c>
      <c r="I1989">
        <v>0.38835919405427499</v>
      </c>
      <c r="J1989">
        <v>0.42853555960769402</v>
      </c>
      <c r="K1989">
        <v>0.39036894277755702</v>
      </c>
      <c r="L1989">
        <v>1451.21056815411</v>
      </c>
      <c r="M1989">
        <v>26.3140857311224</v>
      </c>
      <c r="N1989">
        <v>58.518972983000602</v>
      </c>
      <c r="O1989">
        <v>54.834036592338798</v>
      </c>
      <c r="P1989">
        <v>-7.31704759593471E-2</v>
      </c>
      <c r="Q1989">
        <v>0.39010803441686198</v>
      </c>
      <c r="R1989">
        <v>0.98829043643560099</v>
      </c>
      <c r="S1989" t="s">
        <v>6729</v>
      </c>
      <c r="T1989" t="s">
        <v>9478</v>
      </c>
      <c r="U1989" t="s">
        <v>9478</v>
      </c>
      <c r="V1989" t="s">
        <v>9478</v>
      </c>
      <c r="W1989">
        <v>8</v>
      </c>
      <c r="X1989" t="s">
        <v>11467</v>
      </c>
      <c r="Y1989">
        <v>0.70324697015147741</v>
      </c>
      <c r="Z1989" t="str">
        <f>HYPERLINK("Melting_Curves/meltCurve_sp_Q15417_CNN3_HUMAN_.pdf", "Melting_Curves/meltCurve_sp_Q15417_CNN3_HUMAN_.pdf")</f>
        <v>Melting_Curves/meltCurve_sp_Q15417_CNN3_HUMAN_.pdf</v>
      </c>
      <c r="AA1989" t="s">
        <v>16169</v>
      </c>
      <c r="AB1989" t="s">
        <v>20823</v>
      </c>
    </row>
    <row r="1990" spans="1:28" x14ac:dyDescent="0.25">
      <c r="A1990" t="s">
        <v>1994</v>
      </c>
      <c r="B1990">
        <v>0.99904790336628502</v>
      </c>
      <c r="C1990">
        <v>0.98021262315208102</v>
      </c>
      <c r="D1990">
        <v>0.95928925763875095</v>
      </c>
      <c r="E1990">
        <v>0.95432138302946801</v>
      </c>
      <c r="F1990">
        <v>0.94169918083572601</v>
      </c>
      <c r="G1990">
        <v>0.82820636023291505</v>
      </c>
      <c r="H1990">
        <v>0.76663716843794805</v>
      </c>
      <c r="I1990">
        <v>0.79147479853687897</v>
      </c>
      <c r="J1990">
        <v>0.71182066621571005</v>
      </c>
      <c r="K1990">
        <v>0.76265217181210798</v>
      </c>
      <c r="L1990">
        <v>920.35518741495002</v>
      </c>
      <c r="M1990">
        <v>16.5818446049337</v>
      </c>
      <c r="O1990">
        <v>54.715382239624397</v>
      </c>
      <c r="P1990">
        <v>-2.0176447892194801E-2</v>
      </c>
      <c r="Q1990">
        <v>0.73371193790005595</v>
      </c>
      <c r="R1990">
        <v>0.95045234963292602</v>
      </c>
      <c r="S1990" t="s">
        <v>6730</v>
      </c>
      <c r="T1990" t="s">
        <v>9478</v>
      </c>
      <c r="U1990" t="s">
        <v>9478</v>
      </c>
      <c r="V1990" t="s">
        <v>9478</v>
      </c>
      <c r="W1990">
        <v>9</v>
      </c>
      <c r="X1990" t="s">
        <v>11468</v>
      </c>
      <c r="Y1990">
        <v>0.87577422071176281</v>
      </c>
      <c r="Z1990" t="str">
        <f>HYPERLINK("Melting_Curves/meltCurve_sp_Q15424_SAFB1_HUMAN_.pdf", "Melting_Curves/meltCurve_sp_Q15424_SAFB1_HUMAN_.pdf")</f>
        <v>Melting_Curves/meltCurve_sp_Q15424_SAFB1_HUMAN_.pdf</v>
      </c>
      <c r="AA1990" t="s">
        <v>16170</v>
      </c>
      <c r="AB1990" t="s">
        <v>20824</v>
      </c>
    </row>
    <row r="1991" spans="1:28" x14ac:dyDescent="0.25">
      <c r="A1991" t="s">
        <v>1995</v>
      </c>
      <c r="B1991">
        <v>0.99904790336628502</v>
      </c>
      <c r="C1991">
        <v>1.37898491175691</v>
      </c>
      <c r="D1991">
        <v>1.22462942026824</v>
      </c>
      <c r="E1991">
        <v>1.2075566912403499</v>
      </c>
      <c r="F1991">
        <v>1.00460608287952</v>
      </c>
      <c r="G1991">
        <v>0.81734600586454997</v>
      </c>
      <c r="H1991">
        <v>0.622113256074735</v>
      </c>
      <c r="I1991">
        <v>0.43541389423190202</v>
      </c>
      <c r="J1991">
        <v>0.37530359342034902</v>
      </c>
      <c r="K1991">
        <v>0.28286453209710599</v>
      </c>
      <c r="L1991">
        <v>1407.7117883813401</v>
      </c>
      <c r="M1991">
        <v>23.246893134466301</v>
      </c>
      <c r="N1991">
        <v>62.745730425205601</v>
      </c>
      <c r="O1991">
        <v>60.112086351194698</v>
      </c>
      <c r="P1991">
        <v>-6.9810044029687199E-2</v>
      </c>
      <c r="Q1991">
        <v>0.277950542083157</v>
      </c>
      <c r="R1991">
        <v>0.820927952298242</v>
      </c>
      <c r="S1991" t="s">
        <v>6731</v>
      </c>
      <c r="T1991" t="s">
        <v>9478</v>
      </c>
      <c r="U1991" t="s">
        <v>9478</v>
      </c>
      <c r="V1991" t="s">
        <v>9478</v>
      </c>
      <c r="W1991">
        <v>1</v>
      </c>
      <c r="X1991" t="s">
        <v>11469</v>
      </c>
      <c r="Y1991">
        <v>0.7777975037469903</v>
      </c>
      <c r="Z1991" t="str">
        <f>HYPERLINK("Melting_Curves/meltCurve_sp_Q15427_SF3B4_HUMAN_.pdf", "Melting_Curves/meltCurve_sp_Q15427_SF3B4_HUMAN_.pdf")</f>
        <v>Melting_Curves/meltCurve_sp_Q15427_SF3B4_HUMAN_.pdf</v>
      </c>
      <c r="AA1991" t="s">
        <v>16171</v>
      </c>
      <c r="AB1991" t="s">
        <v>20825</v>
      </c>
    </row>
    <row r="1992" spans="1:28" x14ac:dyDescent="0.25">
      <c r="A1992" t="s">
        <v>1996</v>
      </c>
      <c r="B1992">
        <v>0.99904790336628502</v>
      </c>
      <c r="C1992">
        <v>0.96513284367025098</v>
      </c>
      <c r="D1992">
        <v>0.87282886182853203</v>
      </c>
      <c r="E1992">
        <v>0.64386356038004</v>
      </c>
      <c r="F1992">
        <v>0.37547459111817999</v>
      </c>
      <c r="G1992">
        <v>0.24812393653220999</v>
      </c>
      <c r="H1992">
        <v>0.18699966121932299</v>
      </c>
      <c r="I1992">
        <v>0.13639942712719799</v>
      </c>
      <c r="J1992">
        <v>0.134887356620077</v>
      </c>
      <c r="K1992">
        <v>9.0518788994492505E-2</v>
      </c>
      <c r="L1992">
        <v>875.60882530758101</v>
      </c>
      <c r="M1992">
        <v>17.209127231193801</v>
      </c>
      <c r="N1992">
        <v>51.646421569896702</v>
      </c>
      <c r="O1992">
        <v>50.208370603042702</v>
      </c>
      <c r="P1992">
        <v>-7.6042341474977904E-2</v>
      </c>
      <c r="Q1992">
        <v>0.11262533751664799</v>
      </c>
      <c r="R1992">
        <v>0.99711712810353303</v>
      </c>
      <c r="S1992" t="s">
        <v>6732</v>
      </c>
      <c r="T1992" t="s">
        <v>9478</v>
      </c>
      <c r="U1992" t="s">
        <v>9478</v>
      </c>
      <c r="V1992" t="s">
        <v>9478</v>
      </c>
      <c r="W1992">
        <v>4</v>
      </c>
      <c r="X1992" t="s">
        <v>11470</v>
      </c>
      <c r="Y1992">
        <v>0.45069406998472178</v>
      </c>
      <c r="Z1992" t="str">
        <f>HYPERLINK("Melting_Curves/meltCurve_sp_Q15428_SF3A2_HUMAN_.pdf", "Melting_Curves/meltCurve_sp_Q15428_SF3A2_HUMAN_.pdf")</f>
        <v>Melting_Curves/meltCurve_sp_Q15428_SF3A2_HUMAN_.pdf</v>
      </c>
      <c r="AA1992" t="s">
        <v>16172</v>
      </c>
      <c r="AB1992" t="s">
        <v>20826</v>
      </c>
    </row>
    <row r="1993" spans="1:28" x14ac:dyDescent="0.25">
      <c r="A1993" t="s">
        <v>1997</v>
      </c>
      <c r="B1993">
        <v>0.99904790336628502</v>
      </c>
      <c r="C1993">
        <v>0.99032872857593102</v>
      </c>
      <c r="D1993">
        <v>0.99732527165171503</v>
      </c>
      <c r="E1993">
        <v>0.77440606187852401</v>
      </c>
      <c r="F1993">
        <v>0.43592322066025901</v>
      </c>
      <c r="G1993">
        <v>0.27334619474324801</v>
      </c>
      <c r="H1993">
        <v>0.13929093783067101</v>
      </c>
      <c r="I1993">
        <v>7.45547442378829E-2</v>
      </c>
      <c r="J1993">
        <v>5.5074485891170102E-2</v>
      </c>
      <c r="K1993">
        <v>4.3501659800132403E-2</v>
      </c>
      <c r="L1993">
        <v>1054.3800534545401</v>
      </c>
      <c r="M1993">
        <v>20.041914256576799</v>
      </c>
      <c r="N1993">
        <v>52.928895306973097</v>
      </c>
      <c r="O1993">
        <v>52.093392908049204</v>
      </c>
      <c r="P1993">
        <v>-9.0694887372490901E-2</v>
      </c>
      <c r="Q1993">
        <v>5.7085706772678199E-2</v>
      </c>
      <c r="R1993">
        <v>0.99375309190536099</v>
      </c>
      <c r="S1993" t="s">
        <v>6733</v>
      </c>
      <c r="T1993" t="s">
        <v>9478</v>
      </c>
      <c r="U1993" t="s">
        <v>9478</v>
      </c>
      <c r="V1993" t="s">
        <v>9478</v>
      </c>
      <c r="W1993">
        <v>19</v>
      </c>
      <c r="X1993" t="s">
        <v>11471</v>
      </c>
      <c r="Y1993">
        <v>0.46634426229936149</v>
      </c>
      <c r="Z1993" t="str">
        <f>HYPERLINK("Melting_Curves/meltCurve_sp_Q15435_PP1R7_HUMAN_.pdf", "Melting_Curves/meltCurve_sp_Q15435_PP1R7_HUMAN_.pdf")</f>
        <v>Melting_Curves/meltCurve_sp_Q15435_PP1R7_HUMAN_.pdf</v>
      </c>
      <c r="AA1993" t="s">
        <v>16173</v>
      </c>
      <c r="AB1993" t="s">
        <v>20827</v>
      </c>
    </row>
    <row r="1994" spans="1:28" x14ac:dyDescent="0.25">
      <c r="A1994" t="s">
        <v>1998</v>
      </c>
      <c r="B1994">
        <v>0.99904790336628502</v>
      </c>
      <c r="C1994">
        <v>0.95985481426575903</v>
      </c>
      <c r="D1994">
        <v>1.02816347727575</v>
      </c>
      <c r="E1994">
        <v>0.80306000945503098</v>
      </c>
      <c r="F1994">
        <v>0.47748774712563302</v>
      </c>
      <c r="G1994">
        <v>0.29174025568623801</v>
      </c>
      <c r="H1994">
        <v>7.93173773298506E-2</v>
      </c>
      <c r="I1994">
        <v>4.1680241845345897E-2</v>
      </c>
      <c r="J1994">
        <v>3.00746042142645E-2</v>
      </c>
      <c r="K1994">
        <v>2.5679577623625899E-2</v>
      </c>
      <c r="L1994">
        <v>1046.93588682727</v>
      </c>
      <c r="M1994">
        <v>19.6483481152043</v>
      </c>
      <c r="N1994">
        <v>53.377614186521399</v>
      </c>
      <c r="O1994">
        <v>52.740951145113399</v>
      </c>
      <c r="P1994">
        <v>-9.1556331473288802E-2</v>
      </c>
      <c r="Q1994">
        <v>1.6996807089375902E-2</v>
      </c>
      <c r="R1994">
        <v>0.99211249324885797</v>
      </c>
      <c r="S1994" t="s">
        <v>6734</v>
      </c>
      <c r="T1994" t="s">
        <v>9478</v>
      </c>
      <c r="U1994" t="s">
        <v>9478</v>
      </c>
      <c r="V1994" t="s">
        <v>9478</v>
      </c>
      <c r="W1994">
        <v>20</v>
      </c>
      <c r="X1994" t="s">
        <v>11472</v>
      </c>
      <c r="Y1994">
        <v>0.46614935790865958</v>
      </c>
      <c r="Z1994" t="str">
        <f>HYPERLINK("Melting_Curves/meltCurve_sp_Q15437_SC23B_HUMAN_.pdf", "Melting_Curves/meltCurve_sp_Q15437_SC23B_HUMAN_.pdf")</f>
        <v>Melting_Curves/meltCurve_sp_Q15437_SC23B_HUMAN_.pdf</v>
      </c>
      <c r="AA1994" t="s">
        <v>16174</v>
      </c>
      <c r="AB1994" t="s">
        <v>20828</v>
      </c>
    </row>
    <row r="1995" spans="1:28" x14ac:dyDescent="0.25">
      <c r="A1995" t="s">
        <v>1999</v>
      </c>
      <c r="B1995">
        <v>0.99904790336628502</v>
      </c>
      <c r="C1995">
        <v>1.0855736808649199</v>
      </c>
      <c r="D1995">
        <v>1.0515237700056701</v>
      </c>
      <c r="E1995">
        <v>0.77768660078831497</v>
      </c>
      <c r="F1995">
        <v>0.52013820750288997</v>
      </c>
      <c r="G1995">
        <v>0.26997873624530899</v>
      </c>
      <c r="H1995">
        <v>0.171304630503616</v>
      </c>
      <c r="I1995">
        <v>0.136790317175604</v>
      </c>
      <c r="J1995">
        <v>0.135227146356524</v>
      </c>
      <c r="K1995">
        <v>0.12730709192346601</v>
      </c>
      <c r="L1995">
        <v>1267.1553004853199</v>
      </c>
      <c r="M1995">
        <v>24.113185014261202</v>
      </c>
      <c r="N1995">
        <v>53.2399376054206</v>
      </c>
      <c r="O1995">
        <v>52.192885567457999</v>
      </c>
      <c r="P1995">
        <v>-0.100009254705535</v>
      </c>
      <c r="Q1995">
        <v>0.13413504717772101</v>
      </c>
      <c r="R1995">
        <v>0.98983642535708105</v>
      </c>
      <c r="S1995" t="s">
        <v>6735</v>
      </c>
      <c r="T1995" t="s">
        <v>9478</v>
      </c>
      <c r="U1995" t="s">
        <v>9478</v>
      </c>
      <c r="V1995" t="s">
        <v>9478</v>
      </c>
      <c r="W1995">
        <v>20</v>
      </c>
      <c r="X1995" t="s">
        <v>11473</v>
      </c>
      <c r="Y1995">
        <v>0.50486965744376944</v>
      </c>
      <c r="Z1995" t="str">
        <f>HYPERLINK("Melting_Curves/meltCurve_sp_Q15459_SF3A1_HUMAN_.pdf", "Melting_Curves/meltCurve_sp_Q15459_SF3A1_HUMAN_.pdf")</f>
        <v>Melting_Curves/meltCurve_sp_Q15459_SF3A1_HUMAN_.pdf</v>
      </c>
      <c r="AA1995" t="s">
        <v>16175</v>
      </c>
      <c r="AB1995" t="s">
        <v>20829</v>
      </c>
    </row>
    <row r="1996" spans="1:28" x14ac:dyDescent="0.25">
      <c r="A1996" t="s">
        <v>2000</v>
      </c>
      <c r="B1996">
        <v>0.99904790336628502</v>
      </c>
      <c r="C1996">
        <v>0.81655414100414803</v>
      </c>
      <c r="D1996">
        <v>0.50724452979073298</v>
      </c>
      <c r="E1996">
        <v>0.30580978479051901</v>
      </c>
      <c r="F1996">
        <v>0.21987481282502799</v>
      </c>
      <c r="G1996">
        <v>0.12316356381724</v>
      </c>
      <c r="H1996">
        <v>8.1394036907230405E-2</v>
      </c>
      <c r="I1996">
        <v>6.8924451045502405E-2</v>
      </c>
      <c r="J1996">
        <v>6.28369526546282E-2</v>
      </c>
      <c r="K1996">
        <v>5.3602560429427903E-2</v>
      </c>
      <c r="L1996">
        <v>747.15113985628</v>
      </c>
      <c r="M1996">
        <v>16.106672016365199</v>
      </c>
      <c r="N1996">
        <v>46.806523106210399</v>
      </c>
      <c r="O1996">
        <v>45.6902935399686</v>
      </c>
      <c r="P1996">
        <v>-8.2221346557057304E-2</v>
      </c>
      <c r="Q1996">
        <v>6.7111960844206606E-2</v>
      </c>
      <c r="R1996">
        <v>0.98990367411910296</v>
      </c>
      <c r="S1996" t="s">
        <v>6736</v>
      </c>
      <c r="T1996" t="s">
        <v>9478</v>
      </c>
      <c r="U1996" t="s">
        <v>9478</v>
      </c>
      <c r="V1996" t="s">
        <v>9478</v>
      </c>
      <c r="W1996">
        <v>14</v>
      </c>
      <c r="X1996" t="s">
        <v>11474</v>
      </c>
      <c r="Y1996">
        <v>0.28846897830075913</v>
      </c>
      <c r="Z1996" t="str">
        <f>HYPERLINK("Melting_Curves/meltCurve_sp_Q15477_SKIV2_HUMAN_.pdf", "Melting_Curves/meltCurve_sp_Q15477_SKIV2_HUMAN_.pdf")</f>
        <v>Melting_Curves/meltCurve_sp_Q15477_SKIV2_HUMAN_.pdf</v>
      </c>
      <c r="AA1996" t="s">
        <v>16176</v>
      </c>
      <c r="AB1996" t="s">
        <v>20830</v>
      </c>
    </row>
    <row r="1997" spans="1:28" x14ac:dyDescent="0.25">
      <c r="A1997" t="s">
        <v>2001</v>
      </c>
      <c r="B1997">
        <v>0.99904790336628502</v>
      </c>
      <c r="C1997">
        <v>1.0919834508561701</v>
      </c>
      <c r="D1997">
        <v>1.0373444361911299</v>
      </c>
      <c r="E1997">
        <v>1.0412975126422901</v>
      </c>
      <c r="F1997">
        <v>1.05874010635603</v>
      </c>
      <c r="G1997">
        <v>0.91768628752359005</v>
      </c>
      <c r="H1997">
        <v>0.70936857358425998</v>
      </c>
      <c r="I1997">
        <v>0.53319046834863004</v>
      </c>
      <c r="J1997">
        <v>0.317559473706163</v>
      </c>
      <c r="K1997">
        <v>0.14046708321708801</v>
      </c>
      <c r="L1997">
        <v>1281.2888163202399</v>
      </c>
      <c r="M1997">
        <v>19.960507912279301</v>
      </c>
      <c r="N1997">
        <v>64.191193261936803</v>
      </c>
      <c r="O1997">
        <v>63.557309238023102</v>
      </c>
      <c r="P1997">
        <v>-7.8516382043065894E-2</v>
      </c>
      <c r="Q1997">
        <v>0</v>
      </c>
      <c r="R1997">
        <v>0.98196446650480895</v>
      </c>
      <c r="S1997" t="s">
        <v>6737</v>
      </c>
      <c r="T1997" t="s">
        <v>9478</v>
      </c>
      <c r="U1997" t="s">
        <v>9478</v>
      </c>
      <c r="V1997" t="s">
        <v>9478</v>
      </c>
      <c r="W1997">
        <v>31</v>
      </c>
      <c r="X1997" t="s">
        <v>11475</v>
      </c>
      <c r="Y1997">
        <v>0.79934635494134698</v>
      </c>
      <c r="Z1997" t="str">
        <f>HYPERLINK("Melting_Curves/meltCurve_sp_Q15493_RGN_HUMAN_.pdf", "Melting_Curves/meltCurve_sp_Q15493_RGN_HUMAN_.pdf")</f>
        <v>Melting_Curves/meltCurve_sp_Q15493_RGN_HUMAN_.pdf</v>
      </c>
      <c r="AA1997" t="s">
        <v>16177</v>
      </c>
      <c r="AB1997" t="s">
        <v>20831</v>
      </c>
    </row>
    <row r="1998" spans="1:28" x14ac:dyDescent="0.25">
      <c r="A1998" t="s">
        <v>2002</v>
      </c>
      <c r="B1998">
        <v>0.99904790336628502</v>
      </c>
      <c r="C1998">
        <v>1.03139747151399</v>
      </c>
      <c r="D1998">
        <v>0.87773777750719595</v>
      </c>
      <c r="E1998">
        <v>0.91541745477849201</v>
      </c>
      <c r="F1998">
        <v>0.98364302152808203</v>
      </c>
      <c r="G1998">
        <v>0.68680355256154701</v>
      </c>
      <c r="H1998">
        <v>0.64236285601902698</v>
      </c>
      <c r="I1998">
        <v>0.69919458853778005</v>
      </c>
      <c r="J1998">
        <v>0.775222359700387</v>
      </c>
      <c r="K1998">
        <v>0.87823074253917399</v>
      </c>
      <c r="L1998">
        <v>13393.9400663659</v>
      </c>
      <c r="M1998">
        <v>250</v>
      </c>
      <c r="O1998">
        <v>53.572331884949399</v>
      </c>
      <c r="P1998">
        <v>-0.30757153646746599</v>
      </c>
      <c r="Q1998">
        <v>0.73636280998404102</v>
      </c>
      <c r="R1998">
        <v>0.67551831191445899</v>
      </c>
      <c r="S1998" t="s">
        <v>6738</v>
      </c>
      <c r="T1998" t="s">
        <v>9478</v>
      </c>
      <c r="U1998" t="s">
        <v>9478</v>
      </c>
      <c r="V1998" t="s">
        <v>9478</v>
      </c>
      <c r="W1998">
        <v>1</v>
      </c>
      <c r="X1998" t="s">
        <v>11476</v>
      </c>
      <c r="Y1998">
        <v>0.85569010799598788</v>
      </c>
      <c r="Z1998" t="str">
        <f>HYPERLINK("Melting_Curves/meltCurve_sp_Q15526_2_SURF1_HUMAN_.pdf", "Melting_Curves/meltCurve_sp_Q15526_2_SURF1_HUMAN_.pdf")</f>
        <v>Melting_Curves/meltCurve_sp_Q15526_2_SURF1_HUMAN_.pdf</v>
      </c>
      <c r="AA1998" t="s">
        <v>16178</v>
      </c>
      <c r="AB1998" t="s">
        <v>20832</v>
      </c>
    </row>
    <row r="1999" spans="1:28" x14ac:dyDescent="0.25">
      <c r="A1999" t="s">
        <v>2003</v>
      </c>
      <c r="B1999">
        <v>0.99904790336628502</v>
      </c>
      <c r="C1999">
        <v>1.24682670418757</v>
      </c>
      <c r="D1999">
        <v>1.27907500370728</v>
      </c>
      <c r="E1999">
        <v>0.93023291341981196</v>
      </c>
      <c r="F1999">
        <v>0.73064248300688395</v>
      </c>
      <c r="G1999">
        <v>0.394408331009443</v>
      </c>
      <c r="H1999">
        <v>0.32264705821706102</v>
      </c>
      <c r="I1999">
        <v>0.31382161555013499</v>
      </c>
      <c r="J1999">
        <v>0.36734848183429902</v>
      </c>
      <c r="K1999">
        <v>0.299142432376172</v>
      </c>
      <c r="L1999">
        <v>1978.00444000896</v>
      </c>
      <c r="M1999">
        <v>36.925307136708497</v>
      </c>
      <c r="N1999">
        <v>55.129188236963699</v>
      </c>
      <c r="O1999">
        <v>53.411334291518102</v>
      </c>
      <c r="P1999">
        <v>-0.116783576038445</v>
      </c>
      <c r="Q1999">
        <v>0.324306384512068</v>
      </c>
      <c r="R1999">
        <v>0.90016805090936403</v>
      </c>
      <c r="S1999" t="s">
        <v>6739</v>
      </c>
      <c r="T1999" t="s">
        <v>9478</v>
      </c>
      <c r="U1999" t="s">
        <v>9478</v>
      </c>
      <c r="V1999" t="s">
        <v>9478</v>
      </c>
      <c r="W1999">
        <v>3</v>
      </c>
      <c r="X1999" t="s">
        <v>11477</v>
      </c>
      <c r="Y1999">
        <v>0.63282477644926516</v>
      </c>
      <c r="Z1999" t="str">
        <f>HYPERLINK("Melting_Curves/meltCurve_sp_Q15527_SURF2_HUMAN_.pdf", "Melting_Curves/meltCurve_sp_Q15527_SURF2_HUMAN_.pdf")</f>
        <v>Melting_Curves/meltCurve_sp_Q15527_SURF2_HUMAN_.pdf</v>
      </c>
      <c r="AA1999" t="s">
        <v>16179</v>
      </c>
      <c r="AB1999" t="s">
        <v>20833</v>
      </c>
    </row>
    <row r="2000" spans="1:28" x14ac:dyDescent="0.25">
      <c r="A2000" t="s">
        <v>2004</v>
      </c>
      <c r="B2000">
        <v>0.99904790336628502</v>
      </c>
      <c r="C2000">
        <v>0.87948694629012103</v>
      </c>
      <c r="D2000">
        <v>0.90909732863582404</v>
      </c>
      <c r="E2000">
        <v>0.85622259586085503</v>
      </c>
      <c r="F2000">
        <v>0.86954841133661398</v>
      </c>
      <c r="G2000">
        <v>0.70154754753119497</v>
      </c>
      <c r="H2000">
        <v>0.59438336277788595</v>
      </c>
      <c r="I2000">
        <v>0.57333403477214895</v>
      </c>
      <c r="J2000">
        <v>0.57047881794367805</v>
      </c>
      <c r="K2000">
        <v>0.59885932488384297</v>
      </c>
      <c r="L2000">
        <v>457.91634694939501</v>
      </c>
      <c r="M2000">
        <v>8.2149340345304793</v>
      </c>
      <c r="O2000">
        <v>52.731259283257302</v>
      </c>
      <c r="P2000">
        <v>-2.07305732281018E-2</v>
      </c>
      <c r="Q2000">
        <v>0.46827061894956901</v>
      </c>
      <c r="R2000">
        <v>0.92247205016304301</v>
      </c>
      <c r="S2000" t="s">
        <v>6740</v>
      </c>
      <c r="T2000" t="s">
        <v>9478</v>
      </c>
      <c r="U2000" t="s">
        <v>9478</v>
      </c>
      <c r="V2000" t="s">
        <v>9478</v>
      </c>
      <c r="W2000">
        <v>3</v>
      </c>
      <c r="X2000" t="s">
        <v>11478</v>
      </c>
      <c r="Y2000">
        <v>0.75895559912593602</v>
      </c>
      <c r="Z2000" t="str">
        <f>HYPERLINK("Melting_Curves/meltCurve_sp_Q15554_TERF2_HUMAN_.pdf", "Melting_Curves/meltCurve_sp_Q15554_TERF2_HUMAN_.pdf")</f>
        <v>Melting_Curves/meltCurve_sp_Q15554_TERF2_HUMAN_.pdf</v>
      </c>
      <c r="AA2000" t="s">
        <v>16180</v>
      </c>
      <c r="AB2000" t="s">
        <v>20834</v>
      </c>
    </row>
    <row r="2001" spans="1:28" x14ac:dyDescent="0.25">
      <c r="A2001" t="s">
        <v>2005</v>
      </c>
      <c r="B2001">
        <v>0.99904790336628502</v>
      </c>
      <c r="C2001">
        <v>0.73531669442155301</v>
      </c>
      <c r="D2001">
        <v>0.72203374125060205</v>
      </c>
      <c r="E2001">
        <v>0.57071032436188496</v>
      </c>
      <c r="F2001">
        <v>0.55007817357033095</v>
      </c>
      <c r="G2001">
        <v>0.39940931307302202</v>
      </c>
      <c r="H2001">
        <v>0.40017387590731501</v>
      </c>
      <c r="I2001">
        <v>0.33721223924532401</v>
      </c>
      <c r="J2001">
        <v>0.34581255189298898</v>
      </c>
      <c r="K2001">
        <v>0.34278341008236302</v>
      </c>
      <c r="L2001">
        <v>456.255448578982</v>
      </c>
      <c r="M2001">
        <v>9.5509827324638898</v>
      </c>
      <c r="N2001">
        <v>52.9832072017252</v>
      </c>
      <c r="O2001">
        <v>45.817078492367799</v>
      </c>
      <c r="P2001">
        <v>-3.6260597866409103E-2</v>
      </c>
      <c r="Q2001">
        <v>0.30461934550912201</v>
      </c>
      <c r="R2001">
        <v>0.95245144350424404</v>
      </c>
      <c r="S2001" t="s">
        <v>6741</v>
      </c>
      <c r="T2001" t="s">
        <v>9478</v>
      </c>
      <c r="U2001" t="s">
        <v>9478</v>
      </c>
      <c r="V2001" t="s">
        <v>9478</v>
      </c>
      <c r="W2001">
        <v>7</v>
      </c>
      <c r="X2001" t="s">
        <v>11479</v>
      </c>
      <c r="Y2001">
        <v>0.52499763303471503</v>
      </c>
      <c r="Z2001" t="str">
        <f>HYPERLINK("Melting_Curves/meltCurve_sp_Q15555_4_MARE2_HUMAN_.pdf", "Melting_Curves/meltCurve_sp_Q15555_4_MARE2_HUMAN_.pdf")</f>
        <v>Melting_Curves/meltCurve_sp_Q15555_4_MARE2_HUMAN_.pdf</v>
      </c>
      <c r="AA2001" t="s">
        <v>16181</v>
      </c>
      <c r="AB2001" t="s">
        <v>20835</v>
      </c>
    </row>
    <row r="2002" spans="1:28" x14ac:dyDescent="0.25">
      <c r="A2002" t="s">
        <v>2006</v>
      </c>
      <c r="B2002">
        <v>0.99904790336628502</v>
      </c>
      <c r="C2002">
        <v>0.95959439999240803</v>
      </c>
      <c r="D2002">
        <v>0.90449459732901905</v>
      </c>
      <c r="E2002">
        <v>0.67722679208725201</v>
      </c>
      <c r="F2002">
        <v>0.47645724642753201</v>
      </c>
      <c r="G2002">
        <v>0.28244012329231499</v>
      </c>
      <c r="H2002">
        <v>0.18782763577182299</v>
      </c>
      <c r="I2002">
        <v>0.16454175346414299</v>
      </c>
      <c r="J2002">
        <v>0.12540799002672401</v>
      </c>
      <c r="K2002">
        <v>0.14534499251918401</v>
      </c>
      <c r="L2002">
        <v>841.99473036982295</v>
      </c>
      <c r="M2002">
        <v>16.279921427430999</v>
      </c>
      <c r="N2002">
        <v>52.619932150317503</v>
      </c>
      <c r="O2002">
        <v>50.958321975754401</v>
      </c>
      <c r="P2002">
        <v>-7.0167331428854202E-2</v>
      </c>
      <c r="Q2002">
        <v>0.121531703068463</v>
      </c>
      <c r="R2002">
        <v>0.999424332157128</v>
      </c>
      <c r="S2002" t="s">
        <v>6742</v>
      </c>
      <c r="T2002" t="s">
        <v>9478</v>
      </c>
      <c r="U2002" t="s">
        <v>9478</v>
      </c>
      <c r="V2002" t="s">
        <v>9478</v>
      </c>
      <c r="W2002">
        <v>6</v>
      </c>
      <c r="X2002" t="s">
        <v>11480</v>
      </c>
      <c r="Y2002">
        <v>0.4821021980116818</v>
      </c>
      <c r="Z2002" t="str">
        <f>HYPERLINK("Melting_Curves/meltCurve_sp_Q15596_NCOA2_HUMAN_.pdf", "Melting_Curves/meltCurve_sp_Q15596_NCOA2_HUMAN_.pdf")</f>
        <v>Melting_Curves/meltCurve_sp_Q15596_NCOA2_HUMAN_.pdf</v>
      </c>
      <c r="AA2002" t="s">
        <v>16182</v>
      </c>
      <c r="AB2002" t="s">
        <v>20836</v>
      </c>
    </row>
    <row r="2003" spans="1:28" x14ac:dyDescent="0.25">
      <c r="A2003" t="s">
        <v>2007</v>
      </c>
      <c r="B2003">
        <v>0.99904790336628502</v>
      </c>
      <c r="C2003">
        <v>0.97629248495052301</v>
      </c>
      <c r="D2003">
        <v>0.97352856284955003</v>
      </c>
      <c r="E2003">
        <v>0.94069907806171404</v>
      </c>
      <c r="F2003">
        <v>0.90780763296771305</v>
      </c>
      <c r="G2003">
        <v>0.73398512786022996</v>
      </c>
      <c r="H2003">
        <v>0.63400705468210805</v>
      </c>
      <c r="I2003">
        <v>0.62719996203883099</v>
      </c>
      <c r="J2003">
        <v>0.58339213109506605</v>
      </c>
      <c r="K2003">
        <v>0.52194127473576601</v>
      </c>
      <c r="L2003">
        <v>846.34693167668797</v>
      </c>
      <c r="M2003">
        <v>14.879471997636401</v>
      </c>
      <c r="O2003">
        <v>55.8824368873534</v>
      </c>
      <c r="P2003">
        <v>-3.1934329003612698E-2</v>
      </c>
      <c r="Q2003">
        <v>0.52031044007413896</v>
      </c>
      <c r="R2003">
        <v>0.98739841319364796</v>
      </c>
      <c r="S2003" t="s">
        <v>6743</v>
      </c>
      <c r="T2003" t="s">
        <v>9478</v>
      </c>
      <c r="U2003" t="s">
        <v>9478</v>
      </c>
      <c r="V2003" t="s">
        <v>9478</v>
      </c>
      <c r="W2003">
        <v>17</v>
      </c>
      <c r="X2003" t="s">
        <v>11481</v>
      </c>
      <c r="Y2003">
        <v>0.79796585881944571</v>
      </c>
      <c r="Z2003" t="str">
        <f>HYPERLINK("Melting_Curves/meltCurve_sp_Q15599_NHRF2_HUMAN_.pdf", "Melting_Curves/meltCurve_sp_Q15599_NHRF2_HUMAN_.pdf")</f>
        <v>Melting_Curves/meltCurve_sp_Q15599_NHRF2_HUMAN_.pdf</v>
      </c>
      <c r="AA2003" t="s">
        <v>16183</v>
      </c>
      <c r="AB2003" t="s">
        <v>20837</v>
      </c>
    </row>
    <row r="2004" spans="1:28" x14ac:dyDescent="0.25">
      <c r="A2004" t="s">
        <v>2008</v>
      </c>
      <c r="B2004">
        <v>0.99904790336628502</v>
      </c>
      <c r="C2004">
        <v>0.95413565928953803</v>
      </c>
      <c r="D2004">
        <v>0.86706329300468898</v>
      </c>
      <c r="E2004">
        <v>0.81877300826921695</v>
      </c>
      <c r="F2004">
        <v>0.60901882406599395</v>
      </c>
      <c r="G2004">
        <v>0.395907447313533</v>
      </c>
      <c r="H2004">
        <v>0.31425687679634401</v>
      </c>
      <c r="I2004">
        <v>0.179321587938405</v>
      </c>
      <c r="J2004">
        <v>0.12800646468948201</v>
      </c>
      <c r="K2004">
        <v>5.3923691312141399E-2</v>
      </c>
      <c r="L2004">
        <v>618.68577959169795</v>
      </c>
      <c r="M2004">
        <v>11.1591875603927</v>
      </c>
      <c r="N2004">
        <v>55.441829992149401</v>
      </c>
      <c r="O2004">
        <v>53.750782726635101</v>
      </c>
      <c r="P2004">
        <v>-5.1919010297533201E-2</v>
      </c>
      <c r="Q2004">
        <v>0</v>
      </c>
      <c r="R2004">
        <v>0.99243558511680996</v>
      </c>
      <c r="S2004" t="s">
        <v>6744</v>
      </c>
      <c r="T2004" t="s">
        <v>9478</v>
      </c>
      <c r="U2004" t="s">
        <v>9478</v>
      </c>
      <c r="V2004" t="s">
        <v>9478</v>
      </c>
      <c r="W2004">
        <v>5</v>
      </c>
      <c r="X2004" t="s">
        <v>11482</v>
      </c>
      <c r="Y2004">
        <v>0.53769840007032033</v>
      </c>
      <c r="Z2004" t="str">
        <f>HYPERLINK("Melting_Curves/meltCurve_sp_Q15628_TRADD_HUMAN_.pdf", "Melting_Curves/meltCurve_sp_Q15628_TRADD_HUMAN_.pdf")</f>
        <v>Melting_Curves/meltCurve_sp_Q15628_TRADD_HUMAN_.pdf</v>
      </c>
      <c r="AA2004" t="s">
        <v>16184</v>
      </c>
      <c r="AB2004" t="s">
        <v>20838</v>
      </c>
    </row>
    <row r="2005" spans="1:28" x14ac:dyDescent="0.25">
      <c r="A2005" t="s">
        <v>2009</v>
      </c>
      <c r="B2005">
        <v>0.99904790336628502</v>
      </c>
      <c r="C2005">
        <v>0.95144675153796698</v>
      </c>
      <c r="D2005">
        <v>0.96852148644246605</v>
      </c>
      <c r="E2005">
        <v>0.72420587406081505</v>
      </c>
      <c r="F2005">
        <v>0.30697858827424201</v>
      </c>
      <c r="G2005">
        <v>0.158916325577974</v>
      </c>
      <c r="H2005">
        <v>0.14016216210840701</v>
      </c>
      <c r="I2005">
        <v>0.104310915814269</v>
      </c>
      <c r="J2005">
        <v>0.113961156626163</v>
      </c>
      <c r="K2005">
        <v>9.1938744196005895E-2</v>
      </c>
      <c r="L2005">
        <v>1731.27897952476</v>
      </c>
      <c r="M2005">
        <v>33.872664003077098</v>
      </c>
      <c r="N2005">
        <v>51.505851106434299</v>
      </c>
      <c r="O2005">
        <v>50.934233506718897</v>
      </c>
      <c r="P2005">
        <v>-0.14726255758377799</v>
      </c>
      <c r="Q2005">
        <v>0.11425035237448999</v>
      </c>
      <c r="R2005">
        <v>0.99724929096220505</v>
      </c>
      <c r="S2005" t="s">
        <v>6745</v>
      </c>
      <c r="T2005" t="s">
        <v>9478</v>
      </c>
      <c r="U2005" t="s">
        <v>9478</v>
      </c>
      <c r="V2005" t="s">
        <v>9478</v>
      </c>
      <c r="W2005">
        <v>3</v>
      </c>
      <c r="X2005" t="s">
        <v>11483</v>
      </c>
      <c r="Y2005">
        <v>0.44668699730328731</v>
      </c>
      <c r="Z2005" t="str">
        <f>HYPERLINK("Melting_Curves/meltCurve_sp_Q15633_2_TRBP2_HUMAN_.pdf", "Melting_Curves/meltCurve_sp_Q15633_2_TRBP2_HUMAN_.pdf")</f>
        <v>Melting_Curves/meltCurve_sp_Q15633_2_TRBP2_HUMAN_.pdf</v>
      </c>
      <c r="AA2005" t="s">
        <v>16185</v>
      </c>
      <c r="AB2005" t="s">
        <v>20839</v>
      </c>
    </row>
    <row r="2006" spans="1:28" x14ac:dyDescent="0.25">
      <c r="A2006" t="s">
        <v>2010</v>
      </c>
      <c r="B2006">
        <v>0.99904790336628502</v>
      </c>
      <c r="C2006">
        <v>1.0183256284990201</v>
      </c>
      <c r="D2006">
        <v>0.90589855930095897</v>
      </c>
      <c r="E2006">
        <v>0.83664405885248305</v>
      </c>
      <c r="F2006">
        <v>0.80923966916371803</v>
      </c>
      <c r="G2006">
        <v>0.60881164820600198</v>
      </c>
      <c r="H2006">
        <v>0.53851736133673</v>
      </c>
      <c r="I2006">
        <v>0.49389940162436302</v>
      </c>
      <c r="J2006">
        <v>0.506693009967774</v>
      </c>
      <c r="K2006">
        <v>0.45866209174504702</v>
      </c>
      <c r="L2006">
        <v>684.72375753262804</v>
      </c>
      <c r="M2006">
        <v>12.618374184279901</v>
      </c>
      <c r="N2006">
        <v>64.574034628221</v>
      </c>
      <c r="O2006">
        <v>52.955266868271202</v>
      </c>
      <c r="P2006">
        <v>-3.3764464388467801E-2</v>
      </c>
      <c r="Q2006">
        <v>0.433317940402003</v>
      </c>
      <c r="R2006">
        <v>0.982590658371429</v>
      </c>
      <c r="S2006" t="s">
        <v>6746</v>
      </c>
      <c r="T2006" t="s">
        <v>9478</v>
      </c>
      <c r="U2006" t="s">
        <v>9478</v>
      </c>
      <c r="V2006" t="s">
        <v>9478</v>
      </c>
      <c r="W2006">
        <v>15</v>
      </c>
      <c r="X2006" t="s">
        <v>11484</v>
      </c>
      <c r="Y2006">
        <v>0.71653762019278322</v>
      </c>
      <c r="Z2006" t="str">
        <f>HYPERLINK("Melting_Curves/meltCurve_sp_Q15637_5_SF01_HUMAN_.pdf", "Melting_Curves/meltCurve_sp_Q15637_5_SF01_HUMAN_.pdf")</f>
        <v>Melting_Curves/meltCurve_sp_Q15637_5_SF01_HUMAN_.pdf</v>
      </c>
      <c r="AA2006" t="s">
        <v>16186</v>
      </c>
      <c r="AB2006" t="s">
        <v>20840</v>
      </c>
    </row>
    <row r="2007" spans="1:28" x14ac:dyDescent="0.25">
      <c r="A2007" t="s">
        <v>2011</v>
      </c>
      <c r="B2007">
        <v>0.99904790336628502</v>
      </c>
      <c r="C2007">
        <v>1.0971601216631499</v>
      </c>
      <c r="D2007">
        <v>1.01032429203239</v>
      </c>
      <c r="E2007">
        <v>0.88698944455739104</v>
      </c>
      <c r="F2007">
        <v>1.10908326588808</v>
      </c>
      <c r="G2007">
        <v>0.59994566764466095</v>
      </c>
      <c r="H2007">
        <v>0.57811876468080803</v>
      </c>
      <c r="I2007">
        <v>0.80991177325111596</v>
      </c>
      <c r="J2007">
        <v>0.62280930016116598</v>
      </c>
      <c r="K2007">
        <v>0.80068128004694705</v>
      </c>
      <c r="L2007">
        <v>4912.9410272428304</v>
      </c>
      <c r="M2007">
        <v>89.296391467740705</v>
      </c>
      <c r="O2007">
        <v>54.990767858037103</v>
      </c>
      <c r="P2007">
        <v>-0.12944535653359099</v>
      </c>
      <c r="Q2007">
        <v>0.68113824517254995</v>
      </c>
      <c r="R2007">
        <v>0.75523461868846598</v>
      </c>
      <c r="S2007" t="s">
        <v>6747</v>
      </c>
      <c r="T2007" t="s">
        <v>9478</v>
      </c>
      <c r="U2007" t="s">
        <v>9478</v>
      </c>
      <c r="V2007" t="s">
        <v>9478</v>
      </c>
      <c r="W2007">
        <v>1</v>
      </c>
      <c r="X2007" t="s">
        <v>11485</v>
      </c>
      <c r="Y2007">
        <v>0.84100595528311106</v>
      </c>
      <c r="Z2007" t="str">
        <f>HYPERLINK("Melting_Curves/meltCurve_sp_Q15642_CIP4_HUMAN_.pdf", "Melting_Curves/meltCurve_sp_Q15642_CIP4_HUMAN_.pdf")</f>
        <v>Melting_Curves/meltCurve_sp_Q15642_CIP4_HUMAN_.pdf</v>
      </c>
      <c r="AA2007" t="s">
        <v>16187</v>
      </c>
      <c r="AB2007" t="s">
        <v>20841</v>
      </c>
    </row>
    <row r="2008" spans="1:28" x14ac:dyDescent="0.25">
      <c r="A2008" t="s">
        <v>2012</v>
      </c>
      <c r="B2008">
        <v>0.99904790336628502</v>
      </c>
      <c r="C2008">
        <v>1.0393778034388901</v>
      </c>
      <c r="D2008">
        <v>1.0143506591170399</v>
      </c>
      <c r="E2008">
        <v>0.86529951485410705</v>
      </c>
      <c r="F2008">
        <v>0.72238244937979501</v>
      </c>
      <c r="G2008">
        <v>0.44426117843822699</v>
      </c>
      <c r="H2008">
        <v>0.348919599905818</v>
      </c>
      <c r="I2008">
        <v>0.29979170983756198</v>
      </c>
      <c r="J2008">
        <v>0.30843723461556999</v>
      </c>
      <c r="K2008">
        <v>0.26835760625872002</v>
      </c>
      <c r="L2008">
        <v>1154.4699790846701</v>
      </c>
      <c r="M2008">
        <v>21.395492825951699</v>
      </c>
      <c r="N2008">
        <v>56.1201745140905</v>
      </c>
      <c r="O2008">
        <v>53.493820726218203</v>
      </c>
      <c r="P2008">
        <v>-7.1926366569203898E-2</v>
      </c>
      <c r="Q2008">
        <v>0.280685852429437</v>
      </c>
      <c r="R2008">
        <v>0.99550308679779098</v>
      </c>
      <c r="S2008" t="s">
        <v>6748</v>
      </c>
      <c r="T2008" t="s">
        <v>9478</v>
      </c>
      <c r="U2008" t="s">
        <v>9478</v>
      </c>
      <c r="V2008" t="s">
        <v>9478</v>
      </c>
      <c r="W2008">
        <v>14</v>
      </c>
      <c r="X2008" t="s">
        <v>11486</v>
      </c>
      <c r="Y2008">
        <v>0.62412394903326429</v>
      </c>
      <c r="Z2008" t="str">
        <f>HYPERLINK("Melting_Curves/meltCurve_sp_Q15643_TRIPB_HUMAN_.pdf", "Melting_Curves/meltCurve_sp_Q15643_TRIPB_HUMAN_.pdf")</f>
        <v>Melting_Curves/meltCurve_sp_Q15643_TRIPB_HUMAN_.pdf</v>
      </c>
      <c r="AA2008" t="s">
        <v>16188</v>
      </c>
      <c r="AB2008" t="s">
        <v>20842</v>
      </c>
    </row>
    <row r="2009" spans="1:28" x14ac:dyDescent="0.25">
      <c r="A2009" t="s">
        <v>2013</v>
      </c>
      <c r="B2009">
        <v>0.99904790336628502</v>
      </c>
      <c r="C2009">
        <v>0.94647490878193896</v>
      </c>
      <c r="D2009">
        <v>0.89281335592649702</v>
      </c>
      <c r="E2009">
        <v>0.72226779863942803</v>
      </c>
      <c r="F2009">
        <v>0.61018419990924899</v>
      </c>
      <c r="G2009">
        <v>0.419309780614671</v>
      </c>
      <c r="H2009">
        <v>0.378166648706451</v>
      </c>
      <c r="I2009">
        <v>0.31598264900727002</v>
      </c>
      <c r="J2009">
        <v>0.35065098146726797</v>
      </c>
      <c r="K2009">
        <v>0.30552235317439702</v>
      </c>
      <c r="L2009">
        <v>722.51631806600699</v>
      </c>
      <c r="M2009">
        <v>13.9814643926148</v>
      </c>
      <c r="N2009">
        <v>55.177587064951901</v>
      </c>
      <c r="O2009">
        <v>50.654002449404501</v>
      </c>
      <c r="P2009">
        <v>-4.8718746173495503E-2</v>
      </c>
      <c r="Q2009">
        <v>0.29407355683811198</v>
      </c>
      <c r="R2009">
        <v>0.99552169408870606</v>
      </c>
      <c r="S2009" t="s">
        <v>6749</v>
      </c>
      <c r="T2009" t="s">
        <v>9478</v>
      </c>
      <c r="U2009" t="s">
        <v>9478</v>
      </c>
      <c r="V2009" t="s">
        <v>9478</v>
      </c>
      <c r="W2009">
        <v>8</v>
      </c>
      <c r="X2009" t="s">
        <v>11487</v>
      </c>
      <c r="Y2009">
        <v>0.58661169160092019</v>
      </c>
      <c r="Z2009" t="str">
        <f>HYPERLINK("Melting_Curves/meltCurve_sp_Q15650_TRIP4_HUMAN_.pdf", "Melting_Curves/meltCurve_sp_Q15650_TRIP4_HUMAN_.pdf")</f>
        <v>Melting_Curves/meltCurve_sp_Q15650_TRIP4_HUMAN_.pdf</v>
      </c>
      <c r="AA2009" t="s">
        <v>16189</v>
      </c>
      <c r="AB2009" t="s">
        <v>20843</v>
      </c>
    </row>
    <row r="2010" spans="1:28" x14ac:dyDescent="0.25">
      <c r="A2010" t="s">
        <v>2014</v>
      </c>
      <c r="B2010">
        <v>0.99904790336628502</v>
      </c>
      <c r="C2010">
        <v>1.5903923156495201</v>
      </c>
      <c r="D2010">
        <v>1.2305439055645</v>
      </c>
      <c r="E2010">
        <v>1.7011991823874699</v>
      </c>
      <c r="F2010">
        <v>1.5439464932061699</v>
      </c>
      <c r="G2010">
        <v>1.5844115520292399</v>
      </c>
      <c r="H2010">
        <v>1.4816807241559899</v>
      </c>
      <c r="I2010">
        <v>1.60407746590685</v>
      </c>
      <c r="J2010">
        <v>1.3197656008327601</v>
      </c>
      <c r="K2010">
        <v>1.38353833932778</v>
      </c>
      <c r="L2010">
        <v>10266.071185430799</v>
      </c>
      <c r="M2010">
        <v>250</v>
      </c>
      <c r="O2010">
        <v>41.061656334925701</v>
      </c>
      <c r="P2010">
        <v>0.75082929861528802</v>
      </c>
      <c r="Q2010">
        <v>1.49328472022512</v>
      </c>
      <c r="R2010">
        <v>0.54018553904300504</v>
      </c>
      <c r="S2010" t="s">
        <v>6750</v>
      </c>
      <c r="T2010" t="s">
        <v>9478</v>
      </c>
      <c r="U2010" t="s">
        <v>9478</v>
      </c>
      <c r="V2010" t="s">
        <v>9478</v>
      </c>
      <c r="W2010">
        <v>2</v>
      </c>
      <c r="X2010" t="s">
        <v>11488</v>
      </c>
      <c r="Y2010">
        <v>1.4757460412596251</v>
      </c>
      <c r="Z2010" t="str">
        <f>HYPERLINK("Melting_Curves/meltCurve_sp_Q15651_HMGN3_HUMAN_.pdf", "Melting_Curves/meltCurve_sp_Q15651_HMGN3_HUMAN_.pdf")</f>
        <v>Melting_Curves/meltCurve_sp_Q15651_HMGN3_HUMAN_.pdf</v>
      </c>
      <c r="AA2010" t="s">
        <v>16190</v>
      </c>
      <c r="AB2010" t="s">
        <v>20844</v>
      </c>
    </row>
    <row r="2011" spans="1:28" x14ac:dyDescent="0.25">
      <c r="A2011" t="s">
        <v>2015</v>
      </c>
      <c r="B2011">
        <v>0.99904790336628502</v>
      </c>
      <c r="C2011">
        <v>1.5252582048454</v>
      </c>
      <c r="D2011">
        <v>1.3787583736998501</v>
      </c>
      <c r="E2011">
        <v>1.21650052734202</v>
      </c>
      <c r="F2011">
        <v>1.06479427204461</v>
      </c>
      <c r="G2011">
        <v>0.72817354169904502</v>
      </c>
      <c r="H2011">
        <v>0.65429455569417305</v>
      </c>
      <c r="I2011">
        <v>0.79888119870396201</v>
      </c>
      <c r="J2011">
        <v>0.78006218013229001</v>
      </c>
      <c r="K2011">
        <v>0.41998565239173602</v>
      </c>
      <c r="L2011">
        <v>14168.3295686567</v>
      </c>
      <c r="M2011">
        <v>250</v>
      </c>
      <c r="O2011">
        <v>56.669688711905899</v>
      </c>
      <c r="P2011">
        <v>-0.37133397275122898</v>
      </c>
      <c r="Q2011">
        <v>0.66330589316720501</v>
      </c>
      <c r="R2011">
        <v>0.47512641827473001</v>
      </c>
      <c r="S2011" t="s">
        <v>6751</v>
      </c>
      <c r="T2011" t="s">
        <v>9478</v>
      </c>
      <c r="U2011" t="s">
        <v>9478</v>
      </c>
      <c r="V2011" t="s">
        <v>9478</v>
      </c>
      <c r="W2011">
        <v>6</v>
      </c>
      <c r="X2011" t="s">
        <v>11489</v>
      </c>
      <c r="Y2011">
        <v>0.85046631451005728</v>
      </c>
      <c r="Z2011" t="str">
        <f>HYPERLINK("Melting_Curves/meltCurve_sp_Q15652_JHD2C_HUMAN_.pdf", "Melting_Curves/meltCurve_sp_Q15652_JHD2C_HUMAN_.pdf")</f>
        <v>Melting_Curves/meltCurve_sp_Q15652_JHD2C_HUMAN_.pdf</v>
      </c>
      <c r="AA2011" t="s">
        <v>16191</v>
      </c>
      <c r="AB2011" t="s">
        <v>20845</v>
      </c>
    </row>
    <row r="2012" spans="1:28" x14ac:dyDescent="0.25">
      <c r="A2012" t="s">
        <v>2016</v>
      </c>
      <c r="B2012">
        <v>0.99904790336628502</v>
      </c>
      <c r="C2012">
        <v>0.99716001752272598</v>
      </c>
      <c r="D2012">
        <v>0.97702823416017603</v>
      </c>
      <c r="E2012">
        <v>0.91337562699933394</v>
      </c>
      <c r="F2012">
        <v>0.78994987261187799</v>
      </c>
      <c r="G2012">
        <v>0.56656071201064195</v>
      </c>
      <c r="H2012">
        <v>0.50010738352538397</v>
      </c>
      <c r="I2012">
        <v>0.46797900173139301</v>
      </c>
      <c r="J2012">
        <v>0.472493846990859</v>
      </c>
      <c r="K2012">
        <v>0.42784497794859</v>
      </c>
      <c r="L2012">
        <v>1164.8156246533199</v>
      </c>
      <c r="M2012">
        <v>21.564245186149002</v>
      </c>
      <c r="N2012">
        <v>60.251405622737401</v>
      </c>
      <c r="O2012">
        <v>53.5579776122919</v>
      </c>
      <c r="P2012">
        <v>-5.5733455044304103E-2</v>
      </c>
      <c r="Q2012">
        <v>0.44632440842363302</v>
      </c>
      <c r="R2012">
        <v>0.99743153324031697</v>
      </c>
      <c r="S2012" t="s">
        <v>6752</v>
      </c>
      <c r="T2012" t="s">
        <v>9478</v>
      </c>
      <c r="U2012" t="s">
        <v>9478</v>
      </c>
      <c r="V2012" t="s">
        <v>9478</v>
      </c>
      <c r="W2012">
        <v>10</v>
      </c>
      <c r="X2012" t="s">
        <v>11490</v>
      </c>
      <c r="Y2012">
        <v>0.71164722942843184</v>
      </c>
      <c r="Z2012" t="str">
        <f>HYPERLINK("Melting_Curves/meltCurve_sp_Q15654_TRIP6_HUMAN_.pdf", "Melting_Curves/meltCurve_sp_Q15654_TRIP6_HUMAN_.pdf")</f>
        <v>Melting_Curves/meltCurve_sp_Q15654_TRIP6_HUMAN_.pdf</v>
      </c>
      <c r="AA2012" t="s">
        <v>16192</v>
      </c>
      <c r="AB2012" t="s">
        <v>20846</v>
      </c>
    </row>
    <row r="2013" spans="1:28" x14ac:dyDescent="0.25">
      <c r="A2013" t="s">
        <v>2017</v>
      </c>
      <c r="B2013">
        <v>0.99904790336628502</v>
      </c>
      <c r="C2013">
        <v>0.910831352687827</v>
      </c>
      <c r="D2013">
        <v>0.89806028024888096</v>
      </c>
      <c r="E2013">
        <v>0.85324554576145495</v>
      </c>
      <c r="F2013">
        <v>0.80525519012020097</v>
      </c>
      <c r="G2013">
        <v>0.50421713713197303</v>
      </c>
      <c r="H2013">
        <v>0.262974976810053</v>
      </c>
      <c r="I2013">
        <v>0.21382866359031499</v>
      </c>
      <c r="J2013">
        <v>0.22003198153589401</v>
      </c>
      <c r="K2013">
        <v>0.18136956850470401</v>
      </c>
      <c r="L2013">
        <v>917.88460889115299</v>
      </c>
      <c r="M2013">
        <v>16.442864961953099</v>
      </c>
      <c r="N2013">
        <v>56.947426801805797</v>
      </c>
      <c r="O2013">
        <v>55.0165945629726</v>
      </c>
      <c r="P2013">
        <v>-6.43627122649814E-2</v>
      </c>
      <c r="Q2013">
        <v>0.138649429820869</v>
      </c>
      <c r="R2013">
        <v>0.97964343090626704</v>
      </c>
      <c r="S2013" t="s">
        <v>6753</v>
      </c>
      <c r="T2013" t="s">
        <v>9478</v>
      </c>
      <c r="U2013" t="s">
        <v>9478</v>
      </c>
      <c r="V2013" t="s">
        <v>9478</v>
      </c>
      <c r="W2013">
        <v>10</v>
      </c>
      <c r="X2013" t="s">
        <v>11491</v>
      </c>
      <c r="Y2013">
        <v>0.60715311258077342</v>
      </c>
      <c r="Z2013" t="str">
        <f>HYPERLINK("Melting_Curves/meltCurve_sp_Q15691_MARE1_HUMAN_.pdf", "Melting_Curves/meltCurve_sp_Q15691_MARE1_HUMAN_.pdf")</f>
        <v>Melting_Curves/meltCurve_sp_Q15691_MARE1_HUMAN_.pdf</v>
      </c>
      <c r="AA2013" t="s">
        <v>16193</v>
      </c>
      <c r="AB2013" t="s">
        <v>20847</v>
      </c>
    </row>
    <row r="2014" spans="1:28" x14ac:dyDescent="0.25">
      <c r="A2014" t="s">
        <v>2018</v>
      </c>
      <c r="B2014">
        <v>0.99904790336628502</v>
      </c>
      <c r="C2014">
        <v>1.36665737280966</v>
      </c>
      <c r="D2014">
        <v>1.17981986653382</v>
      </c>
      <c r="E2014">
        <v>1.1923651936500299</v>
      </c>
      <c r="F2014">
        <v>1.1991135799389101</v>
      </c>
      <c r="G2014">
        <v>0.94279507490540104</v>
      </c>
      <c r="H2014">
        <v>0.74666634296054202</v>
      </c>
      <c r="I2014">
        <v>0.64542761599438603</v>
      </c>
      <c r="J2014">
        <v>0.73319530143831901</v>
      </c>
      <c r="K2014">
        <v>0.650091452832956</v>
      </c>
      <c r="L2014">
        <v>2967.0715569942899</v>
      </c>
      <c r="M2014">
        <v>50.159006867042102</v>
      </c>
      <c r="O2014">
        <v>59.059514887854</v>
      </c>
      <c r="P2014">
        <v>-6.86689279560036E-2</v>
      </c>
      <c r="Q2014">
        <v>0.67658447669857003</v>
      </c>
      <c r="R2014">
        <v>0.59655814809046803</v>
      </c>
      <c r="S2014" t="s">
        <v>6754</v>
      </c>
      <c r="T2014" t="s">
        <v>9478</v>
      </c>
      <c r="U2014" t="s">
        <v>9478</v>
      </c>
      <c r="V2014" t="s">
        <v>9478</v>
      </c>
      <c r="W2014">
        <v>3</v>
      </c>
      <c r="X2014" t="s">
        <v>11492</v>
      </c>
      <c r="Y2014">
        <v>0.88389775804290638</v>
      </c>
      <c r="Z2014" t="str">
        <f>HYPERLINK("Melting_Curves/meltCurve_sp_Q15714_2_T22D1_HUMAN_.pdf", "Melting_Curves/meltCurve_sp_Q15714_2_T22D1_HUMAN_.pdf")</f>
        <v>Melting_Curves/meltCurve_sp_Q15714_2_T22D1_HUMAN_.pdf</v>
      </c>
      <c r="AA2014" t="s">
        <v>16194</v>
      </c>
      <c r="AB2014" t="s">
        <v>20848</v>
      </c>
    </row>
    <row r="2015" spans="1:28" x14ac:dyDescent="0.25">
      <c r="A2015" t="s">
        <v>2019</v>
      </c>
      <c r="B2015">
        <v>0.99904790336628502</v>
      </c>
      <c r="C2015">
        <v>0.94138637219588095</v>
      </c>
      <c r="D2015">
        <v>0.83710066624060397</v>
      </c>
      <c r="E2015">
        <v>0.839794529475408</v>
      </c>
      <c r="F2015">
        <v>0.83355402656833399</v>
      </c>
      <c r="G2015">
        <v>0.62465777552754898</v>
      </c>
      <c r="H2015">
        <v>0.34724806140064302</v>
      </c>
      <c r="I2015">
        <v>0.243258145372693</v>
      </c>
      <c r="J2015">
        <v>0.186587341735335</v>
      </c>
      <c r="K2015">
        <v>0.16536312927962099</v>
      </c>
      <c r="L2015">
        <v>658.42030780068899</v>
      </c>
      <c r="M2015">
        <v>11.2441710051485</v>
      </c>
      <c r="N2015">
        <v>58.556613826773997</v>
      </c>
      <c r="O2015">
        <v>56.7961067372892</v>
      </c>
      <c r="P2015">
        <v>-4.9508925153933098E-2</v>
      </c>
      <c r="Q2015">
        <v>0</v>
      </c>
      <c r="R2015">
        <v>0.97204652804901404</v>
      </c>
      <c r="S2015" t="s">
        <v>6755</v>
      </c>
      <c r="T2015" t="s">
        <v>9478</v>
      </c>
      <c r="U2015" t="s">
        <v>9478</v>
      </c>
      <c r="V2015" t="s">
        <v>9478</v>
      </c>
      <c r="W2015">
        <v>10</v>
      </c>
      <c r="X2015" t="s">
        <v>11493</v>
      </c>
      <c r="Y2015">
        <v>0.62758765146369888</v>
      </c>
      <c r="Z2015" t="str">
        <f>HYPERLINK("Melting_Curves/meltCurve_sp_Q15717_ELAV1_HUMAN_.pdf", "Melting_Curves/meltCurve_sp_Q15717_ELAV1_HUMAN_.pdf")</f>
        <v>Melting_Curves/meltCurve_sp_Q15717_ELAV1_HUMAN_.pdf</v>
      </c>
      <c r="AA2015" t="s">
        <v>16195</v>
      </c>
      <c r="AB2015" t="s">
        <v>20849</v>
      </c>
    </row>
    <row r="2016" spans="1:28" x14ac:dyDescent="0.25">
      <c r="A2016" t="s">
        <v>2020</v>
      </c>
      <c r="B2016">
        <v>0.99904790336628502</v>
      </c>
      <c r="C2016">
        <v>0.94666913961125398</v>
      </c>
      <c r="D2016">
        <v>0.75447220183397601</v>
      </c>
      <c r="E2016">
        <v>0.42501127124263799</v>
      </c>
      <c r="F2016">
        <v>0.224487222701172</v>
      </c>
      <c r="G2016">
        <v>0.10984442568953499</v>
      </c>
      <c r="H2016">
        <v>8.2232735250246602E-2</v>
      </c>
      <c r="I2016">
        <v>6.0116510755072697E-2</v>
      </c>
      <c r="J2016">
        <v>4.6913534766983303E-2</v>
      </c>
      <c r="K2016">
        <v>3.5968059943570198E-2</v>
      </c>
      <c r="L2016">
        <v>898.99633618713801</v>
      </c>
      <c r="M2016">
        <v>18.4110167373141</v>
      </c>
      <c r="N2016">
        <v>49.079933872910402</v>
      </c>
      <c r="O2016">
        <v>48.264127120509102</v>
      </c>
      <c r="P2016">
        <v>-9.1090628615320302E-2</v>
      </c>
      <c r="Q2016">
        <v>4.4873758682265903E-2</v>
      </c>
      <c r="R2016">
        <v>0.99922845665045701</v>
      </c>
      <c r="S2016" t="s">
        <v>6756</v>
      </c>
      <c r="T2016" t="s">
        <v>9478</v>
      </c>
      <c r="U2016" t="s">
        <v>9478</v>
      </c>
      <c r="V2016" t="s">
        <v>9478</v>
      </c>
      <c r="W2016">
        <v>4</v>
      </c>
      <c r="X2016" t="s">
        <v>11494</v>
      </c>
      <c r="Y2016">
        <v>0.34183645410707769</v>
      </c>
      <c r="Z2016" t="str">
        <f>HYPERLINK("Melting_Curves/meltCurve_sp_Q15738_NSDHL_HUMAN_.pdf", "Melting_Curves/meltCurve_sp_Q15738_NSDHL_HUMAN_.pdf")</f>
        <v>Melting_Curves/meltCurve_sp_Q15738_NSDHL_HUMAN_.pdf</v>
      </c>
      <c r="AA2016" t="s">
        <v>16196</v>
      </c>
      <c r="AB2016" t="s">
        <v>20850</v>
      </c>
    </row>
    <row r="2017" spans="1:28" x14ac:dyDescent="0.25">
      <c r="A2017" t="s">
        <v>2021</v>
      </c>
      <c r="B2017">
        <v>0.99904790336628502</v>
      </c>
      <c r="C2017">
        <v>0.982360495497418</v>
      </c>
      <c r="D2017">
        <v>0.93098021684172505</v>
      </c>
      <c r="E2017">
        <v>0.80430508820056101</v>
      </c>
      <c r="F2017">
        <v>0.67952057113535103</v>
      </c>
      <c r="G2017">
        <v>0.41292104433008398</v>
      </c>
      <c r="H2017">
        <v>0.27794970577292599</v>
      </c>
      <c r="I2017">
        <v>0.23365335276971599</v>
      </c>
      <c r="J2017">
        <v>0.21471529003005899</v>
      </c>
      <c r="K2017">
        <v>0.184051842575532</v>
      </c>
      <c r="L2017">
        <v>828.69498412307098</v>
      </c>
      <c r="M2017">
        <v>15.298033314543099</v>
      </c>
      <c r="N2017">
        <v>55.570795275029297</v>
      </c>
      <c r="O2017">
        <v>53.269706809349998</v>
      </c>
      <c r="P2017">
        <v>-6.0314776180242897E-2</v>
      </c>
      <c r="Q2017">
        <v>0.159983536397761</v>
      </c>
      <c r="R2017">
        <v>0.99829472201679004</v>
      </c>
      <c r="S2017" t="s">
        <v>6757</v>
      </c>
      <c r="T2017" t="s">
        <v>9478</v>
      </c>
      <c r="U2017" t="s">
        <v>9478</v>
      </c>
      <c r="V2017" t="s">
        <v>9478</v>
      </c>
      <c r="W2017">
        <v>51</v>
      </c>
      <c r="X2017" t="s">
        <v>11495</v>
      </c>
      <c r="Y2017">
        <v>0.57341962685788983</v>
      </c>
      <c r="Z2017" t="str">
        <f>HYPERLINK("Melting_Curves/meltCurve_sp_Q15746_2_MYLK_HUMAN_.pdf", "Melting_Curves/meltCurve_sp_Q15746_2_MYLK_HUMAN_.pdf")</f>
        <v>Melting_Curves/meltCurve_sp_Q15746_2_MYLK_HUMAN_.pdf</v>
      </c>
      <c r="AA2017" t="s">
        <v>16197</v>
      </c>
      <c r="AB2017" t="s">
        <v>20851</v>
      </c>
    </row>
    <row r="2018" spans="1:28" x14ac:dyDescent="0.25">
      <c r="A2018" t="s">
        <v>2022</v>
      </c>
      <c r="B2018">
        <v>0.99904790336628502</v>
      </c>
      <c r="C2018">
        <v>0.88560618007964698</v>
      </c>
      <c r="D2018">
        <v>0.87336223795818502</v>
      </c>
      <c r="E2018">
        <v>0.75807665609886099</v>
      </c>
      <c r="F2018">
        <v>0.52044002038613202</v>
      </c>
      <c r="G2018">
        <v>0.24391843061582799</v>
      </c>
      <c r="H2018">
        <v>0.12133628295701999</v>
      </c>
      <c r="I2018">
        <v>7.0022627689734898E-2</v>
      </c>
      <c r="J2018">
        <v>4.17575536921121E-2</v>
      </c>
      <c r="K2018">
        <v>3.71696992635464E-2</v>
      </c>
      <c r="L2018">
        <v>785.86136887550197</v>
      </c>
      <c r="M2018">
        <v>14.789756310172001</v>
      </c>
      <c r="N2018">
        <v>53.135523684475999</v>
      </c>
      <c r="O2018">
        <v>52.192467007940003</v>
      </c>
      <c r="P2018">
        <v>-7.0849973945983205E-2</v>
      </c>
      <c r="Q2018">
        <v>0</v>
      </c>
      <c r="R2018">
        <v>0.99195106216036499</v>
      </c>
      <c r="S2018" t="s">
        <v>6758</v>
      </c>
      <c r="T2018" t="s">
        <v>9478</v>
      </c>
      <c r="U2018" t="s">
        <v>9478</v>
      </c>
      <c r="V2018" t="s">
        <v>9478</v>
      </c>
      <c r="W2018">
        <v>8</v>
      </c>
      <c r="X2018" t="s">
        <v>11496</v>
      </c>
      <c r="Y2018">
        <v>0.45966057038266678</v>
      </c>
      <c r="Z2018" t="str">
        <f>HYPERLINK("Melting_Curves/meltCurve_sp_Q15750_2_TAB1_HUMAN_.pdf", "Melting_Curves/meltCurve_sp_Q15750_2_TAB1_HUMAN_.pdf")</f>
        <v>Melting_Curves/meltCurve_sp_Q15750_2_TAB1_HUMAN_.pdf</v>
      </c>
      <c r="AA2018" t="s">
        <v>16198</v>
      </c>
      <c r="AB2018" t="s">
        <v>20852</v>
      </c>
    </row>
    <row r="2019" spans="1:28" x14ac:dyDescent="0.25">
      <c r="A2019" t="s">
        <v>2023</v>
      </c>
      <c r="B2019">
        <v>0.99904790336628502</v>
      </c>
      <c r="C2019">
        <v>1.01119624358713</v>
      </c>
      <c r="D2019">
        <v>0.59072232712182604</v>
      </c>
      <c r="E2019">
        <v>0.29375301779974999</v>
      </c>
      <c r="F2019">
        <v>0.226864400571271</v>
      </c>
      <c r="G2019">
        <v>0.12495087387835301</v>
      </c>
      <c r="H2019">
        <v>9.1265816634251803E-2</v>
      </c>
      <c r="I2019">
        <v>7.0159451234256404E-2</v>
      </c>
      <c r="J2019">
        <v>7.56898781599388E-2</v>
      </c>
      <c r="K2019">
        <v>7.1523207507883796E-2</v>
      </c>
      <c r="L2019">
        <v>1048.1387149882901</v>
      </c>
      <c r="M2019">
        <v>22.2702471983654</v>
      </c>
      <c r="N2019">
        <v>47.496223513713197</v>
      </c>
      <c r="O2019">
        <v>46.689953894867102</v>
      </c>
      <c r="P2019">
        <v>-0.108322168991178</v>
      </c>
      <c r="Q2019">
        <v>9.1621812024813107E-2</v>
      </c>
      <c r="R2019">
        <v>0.98276313857854503</v>
      </c>
      <c r="S2019" t="s">
        <v>6759</v>
      </c>
      <c r="T2019" t="s">
        <v>9478</v>
      </c>
      <c r="U2019" t="s">
        <v>9478</v>
      </c>
      <c r="V2019" t="s">
        <v>9478</v>
      </c>
      <c r="W2019">
        <v>3</v>
      </c>
      <c r="X2019" t="s">
        <v>11497</v>
      </c>
      <c r="Y2019">
        <v>0.31598796765324683</v>
      </c>
      <c r="Z2019" t="str">
        <f>HYPERLINK("Melting_Curves/meltCurve_sp_Q15785_TOM34_HUMAN_.pdf", "Melting_Curves/meltCurve_sp_Q15785_TOM34_HUMAN_.pdf")</f>
        <v>Melting_Curves/meltCurve_sp_Q15785_TOM34_HUMAN_.pdf</v>
      </c>
      <c r="AA2019" t="s">
        <v>16199</v>
      </c>
      <c r="AB2019" t="s">
        <v>20853</v>
      </c>
    </row>
    <row r="2020" spans="1:28" x14ac:dyDescent="0.25">
      <c r="A2020" t="s">
        <v>2024</v>
      </c>
      <c r="B2020">
        <v>0.99904790336628502</v>
      </c>
      <c r="C2020">
        <v>0.95500691424608697</v>
      </c>
      <c r="D2020">
        <v>0.76991444965771305</v>
      </c>
      <c r="E2020">
        <v>0.43726264338382498</v>
      </c>
      <c r="F2020">
        <v>0.29134200319409498</v>
      </c>
      <c r="G2020">
        <v>0.16675472275533099</v>
      </c>
      <c r="H2020">
        <v>0.102628281936143</v>
      </c>
      <c r="I2020">
        <v>8.9326931748639302E-2</v>
      </c>
      <c r="J2020">
        <v>7.3623912200004499E-2</v>
      </c>
      <c r="K2020">
        <v>6.6589096894455996E-2</v>
      </c>
      <c r="L2020">
        <v>848.03983979624195</v>
      </c>
      <c r="M2020">
        <v>17.292546196167699</v>
      </c>
      <c r="N2020">
        <v>49.490504232862698</v>
      </c>
      <c r="O2020">
        <v>48.399039510720101</v>
      </c>
      <c r="P2020">
        <v>-8.2833062181632805E-2</v>
      </c>
      <c r="Q2020">
        <v>7.2708219982645206E-2</v>
      </c>
      <c r="R2020">
        <v>0.99807509301360797</v>
      </c>
      <c r="S2020" t="s">
        <v>6760</v>
      </c>
      <c r="T2020" t="s">
        <v>9478</v>
      </c>
      <c r="U2020" t="s">
        <v>9478</v>
      </c>
      <c r="V2020" t="s">
        <v>9478</v>
      </c>
      <c r="W2020">
        <v>9</v>
      </c>
      <c r="X2020" t="s">
        <v>11498</v>
      </c>
      <c r="Y2020">
        <v>0.36953154082662337</v>
      </c>
      <c r="Z2020" t="str">
        <f>HYPERLINK("Melting_Curves/meltCurve_sp_Q15813_TBCE_HUMAN_.pdf", "Melting_Curves/meltCurve_sp_Q15813_TBCE_HUMAN_.pdf")</f>
        <v>Melting_Curves/meltCurve_sp_Q15813_TBCE_HUMAN_.pdf</v>
      </c>
      <c r="AA2020" t="s">
        <v>16200</v>
      </c>
      <c r="AB2020" t="s">
        <v>20854</v>
      </c>
    </row>
    <row r="2021" spans="1:28" x14ac:dyDescent="0.25">
      <c r="A2021" t="s">
        <v>2025</v>
      </c>
      <c r="B2021">
        <v>0.99904790336628502</v>
      </c>
      <c r="C2021">
        <v>0.96587528179195603</v>
      </c>
      <c r="D2021">
        <v>0.96178168520690599</v>
      </c>
      <c r="E2021">
        <v>0.87061759167053399</v>
      </c>
      <c r="F2021">
        <v>0.78653683222704696</v>
      </c>
      <c r="G2021">
        <v>0.55295466755584699</v>
      </c>
      <c r="H2021">
        <v>0.42865736662045301</v>
      </c>
      <c r="I2021">
        <v>0.39355651795343399</v>
      </c>
      <c r="J2021">
        <v>0.42979364717762197</v>
      </c>
      <c r="K2021">
        <v>0.407653831149765</v>
      </c>
      <c r="L2021">
        <v>1037.41915458835</v>
      </c>
      <c r="M2021">
        <v>19.165536446499299</v>
      </c>
      <c r="N2021">
        <v>58.701826149545902</v>
      </c>
      <c r="O2021">
        <v>53.550431346341803</v>
      </c>
      <c r="P2021">
        <v>-5.4793143532850898E-2</v>
      </c>
      <c r="Q2021">
        <v>0.38763341968183401</v>
      </c>
      <c r="R2021">
        <v>0.99208429063543901</v>
      </c>
      <c r="S2021" t="s">
        <v>6761</v>
      </c>
      <c r="T2021" t="s">
        <v>9478</v>
      </c>
      <c r="U2021" t="s">
        <v>9478</v>
      </c>
      <c r="V2021" t="s">
        <v>9478</v>
      </c>
      <c r="W2021">
        <v>2</v>
      </c>
      <c r="X2021" t="s">
        <v>11499</v>
      </c>
      <c r="Y2021">
        <v>0.68492683394709297</v>
      </c>
      <c r="Z2021" t="str">
        <f>HYPERLINK("Melting_Curves/meltCurve_sp_Q15814_TBCC_HUMAN_.pdf", "Melting_Curves/meltCurve_sp_Q15814_TBCC_HUMAN_.pdf")</f>
        <v>Melting_Curves/meltCurve_sp_Q15814_TBCC_HUMAN_.pdf</v>
      </c>
      <c r="AA2021" t="s">
        <v>16201</v>
      </c>
      <c r="AB2021" t="s">
        <v>20855</v>
      </c>
    </row>
    <row r="2022" spans="1:28" x14ac:dyDescent="0.25">
      <c r="A2022" t="s">
        <v>2026</v>
      </c>
      <c r="B2022">
        <v>0.99904790336628502</v>
      </c>
      <c r="C2022">
        <v>0.88437327356704598</v>
      </c>
      <c r="D2022">
        <v>0.86263621494699705</v>
      </c>
      <c r="E2022">
        <v>0.88835670748219797</v>
      </c>
      <c r="F2022">
        <v>0.81333644819126705</v>
      </c>
      <c r="G2022">
        <v>0.58712326696808903</v>
      </c>
      <c r="H2022">
        <v>0.20631362233335099</v>
      </c>
      <c r="I2022">
        <v>8.1908802376116696E-2</v>
      </c>
      <c r="J2022">
        <v>2.9788860994173001E-2</v>
      </c>
      <c r="K2022">
        <v>3.3104630285873599E-2</v>
      </c>
      <c r="L2022">
        <v>1113.0580121594501</v>
      </c>
      <c r="M2022">
        <v>19.432598969229701</v>
      </c>
      <c r="N2022">
        <v>57.277878482177101</v>
      </c>
      <c r="O2022">
        <v>56.681659357073698</v>
      </c>
      <c r="P2022">
        <v>-8.5712503730624195E-2</v>
      </c>
      <c r="Q2022">
        <v>0</v>
      </c>
      <c r="R2022">
        <v>0.97307911149681803</v>
      </c>
      <c r="S2022" t="s">
        <v>6762</v>
      </c>
      <c r="T2022" t="s">
        <v>9478</v>
      </c>
      <c r="U2022" t="s">
        <v>9478</v>
      </c>
      <c r="V2022" t="s">
        <v>9478</v>
      </c>
      <c r="W2022">
        <v>12</v>
      </c>
      <c r="X2022" t="s">
        <v>11500</v>
      </c>
      <c r="Y2022">
        <v>0.58833389715750961</v>
      </c>
      <c r="Z2022" t="str">
        <f>HYPERLINK("Melting_Curves/meltCurve_sp_Q15819_UB2V2_HUMAN_.pdf", "Melting_Curves/meltCurve_sp_Q15819_UB2V2_HUMAN_.pdf")</f>
        <v>Melting_Curves/meltCurve_sp_Q15819_UB2V2_HUMAN_.pdf</v>
      </c>
      <c r="AA2022" t="s">
        <v>16202</v>
      </c>
      <c r="AB2022" t="s">
        <v>20856</v>
      </c>
    </row>
    <row r="2023" spans="1:28" x14ac:dyDescent="0.25">
      <c r="A2023" t="s">
        <v>2027</v>
      </c>
      <c r="B2023">
        <v>0.99904790336628502</v>
      </c>
      <c r="C2023">
        <v>0.88509659580113098</v>
      </c>
      <c r="D2023">
        <v>0.82526151482426402</v>
      </c>
      <c r="E2023">
        <v>0.41080398924237199</v>
      </c>
      <c r="F2023">
        <v>0.22393359057659701</v>
      </c>
      <c r="G2023">
        <v>0.13770120350623399</v>
      </c>
      <c r="H2023">
        <v>7.7290582010574094E-2</v>
      </c>
      <c r="I2023">
        <v>5.2991529580209501E-2</v>
      </c>
      <c r="J2023">
        <v>4.2792020077300902E-2</v>
      </c>
      <c r="K2023">
        <v>3.6765169882116699E-2</v>
      </c>
      <c r="L2023">
        <v>921.32776818132902</v>
      </c>
      <c r="M2023">
        <v>18.807481922209899</v>
      </c>
      <c r="N2023">
        <v>49.235841488375399</v>
      </c>
      <c r="O2023">
        <v>48.443557606259603</v>
      </c>
      <c r="P2023">
        <v>-9.2667180750508102E-2</v>
      </c>
      <c r="Q2023">
        <v>4.5286044209519802E-2</v>
      </c>
      <c r="R2023">
        <v>0.99520391950755804</v>
      </c>
      <c r="S2023" t="s">
        <v>6763</v>
      </c>
      <c r="T2023" t="s">
        <v>9478</v>
      </c>
      <c r="U2023" t="s">
        <v>9478</v>
      </c>
      <c r="V2023" t="s">
        <v>9478</v>
      </c>
      <c r="W2023">
        <v>10</v>
      </c>
      <c r="X2023" t="s">
        <v>11501</v>
      </c>
      <c r="Y2023">
        <v>0.34644356275204841</v>
      </c>
      <c r="Z2023" t="str">
        <f>HYPERLINK("Melting_Curves/meltCurve_sp_Q15833_STXB2_HUMAN_.pdf", "Melting_Curves/meltCurve_sp_Q15833_STXB2_HUMAN_.pdf")</f>
        <v>Melting_Curves/meltCurve_sp_Q15833_STXB2_HUMAN_.pdf</v>
      </c>
      <c r="AA2023" t="s">
        <v>16203</v>
      </c>
      <c r="AB2023" t="s">
        <v>20857</v>
      </c>
    </row>
    <row r="2024" spans="1:28" x14ac:dyDescent="0.25">
      <c r="A2024" t="s">
        <v>2028</v>
      </c>
      <c r="B2024">
        <v>0.99904790336628502</v>
      </c>
      <c r="C2024">
        <v>0.94378701001795395</v>
      </c>
      <c r="D2024">
        <v>0.88123082810731901</v>
      </c>
      <c r="E2024">
        <v>0.92287699881326501</v>
      </c>
      <c r="F2024">
        <v>0.92409870949033002</v>
      </c>
      <c r="G2024">
        <v>0.76841273875376404</v>
      </c>
      <c r="H2024">
        <v>0.69284630693944604</v>
      </c>
      <c r="I2024">
        <v>0.609568388801498</v>
      </c>
      <c r="J2024">
        <v>0.64101253873088704</v>
      </c>
      <c r="K2024">
        <v>0.74114201431049598</v>
      </c>
      <c r="L2024">
        <v>680.29515465132897</v>
      </c>
      <c r="M2024">
        <v>12.410489770399</v>
      </c>
      <c r="O2024">
        <v>53.451238049657199</v>
      </c>
      <c r="P2024">
        <v>-2.1459975300334101E-2</v>
      </c>
      <c r="Q2024">
        <v>0.63037090549877794</v>
      </c>
      <c r="R2024">
        <v>0.83409583931333597</v>
      </c>
      <c r="S2024" t="s">
        <v>6764</v>
      </c>
      <c r="T2024" t="s">
        <v>9478</v>
      </c>
      <c r="U2024" t="s">
        <v>9478</v>
      </c>
      <c r="V2024" t="s">
        <v>9478</v>
      </c>
      <c r="W2024">
        <v>5</v>
      </c>
      <c r="X2024" t="s">
        <v>11502</v>
      </c>
      <c r="Y2024">
        <v>0.82155499903287676</v>
      </c>
      <c r="Z2024" t="str">
        <f>HYPERLINK("Melting_Curves/meltCurve_sp_Q15847_ADIRF_HUMAN_.pdf", "Melting_Curves/meltCurve_sp_Q15847_ADIRF_HUMAN_.pdf")</f>
        <v>Melting_Curves/meltCurve_sp_Q15847_ADIRF_HUMAN_.pdf</v>
      </c>
      <c r="AA2024" t="s">
        <v>16204</v>
      </c>
      <c r="AB2024" t="s">
        <v>20858</v>
      </c>
    </row>
    <row r="2025" spans="1:28" x14ac:dyDescent="0.25">
      <c r="A2025" t="s">
        <v>2029</v>
      </c>
      <c r="B2025">
        <v>0.99904790336628502</v>
      </c>
      <c r="C2025">
        <v>0.94866999957761</v>
      </c>
      <c r="D2025">
        <v>0.93813622487941295</v>
      </c>
      <c r="E2025">
        <v>0.81600524300731603</v>
      </c>
      <c r="F2025">
        <v>0.53047888006389998</v>
      </c>
      <c r="G2025">
        <v>0.208993157988179</v>
      </c>
      <c r="H2025">
        <v>0.103404234490062</v>
      </c>
      <c r="I2025">
        <v>6.9558071316306397E-2</v>
      </c>
      <c r="J2025">
        <v>5.6230664268135902E-2</v>
      </c>
      <c r="K2025">
        <v>4.05255404496217E-2</v>
      </c>
      <c r="L2025">
        <v>1144.36245907381</v>
      </c>
      <c r="M2025">
        <v>21.550513535398299</v>
      </c>
      <c r="N2025">
        <v>53.316580846884698</v>
      </c>
      <c r="O2025">
        <v>52.650503708851097</v>
      </c>
      <c r="P2025">
        <v>-9.8068522497290603E-2</v>
      </c>
      <c r="Q2025">
        <v>4.1650239619415198E-2</v>
      </c>
      <c r="R2025">
        <v>0.99784709329111598</v>
      </c>
      <c r="S2025" t="s">
        <v>6765</v>
      </c>
      <c r="T2025" t="s">
        <v>9478</v>
      </c>
      <c r="U2025" t="s">
        <v>9478</v>
      </c>
      <c r="V2025" t="s">
        <v>9478</v>
      </c>
      <c r="W2025">
        <v>12</v>
      </c>
      <c r="X2025" t="s">
        <v>11503</v>
      </c>
      <c r="Y2025">
        <v>0.47174620498325037</v>
      </c>
      <c r="Z2025" t="str">
        <f>HYPERLINK("Melting_Curves/meltCurve_sp_Q15907_RB11B_HUMAN_.pdf", "Melting_Curves/meltCurve_sp_Q15907_RB11B_HUMAN_.pdf")</f>
        <v>Melting_Curves/meltCurve_sp_Q15907_RB11B_HUMAN_.pdf</v>
      </c>
      <c r="AA2025" t="s">
        <v>16205</v>
      </c>
      <c r="AB2025" t="s">
        <v>20859</v>
      </c>
    </row>
    <row r="2026" spans="1:28" x14ac:dyDescent="0.25">
      <c r="A2026" t="s">
        <v>2030</v>
      </c>
      <c r="B2026">
        <v>0.99904790336628502</v>
      </c>
      <c r="C2026">
        <v>0.98094785747658497</v>
      </c>
      <c r="D2026">
        <v>0.989736946195235</v>
      </c>
      <c r="E2026">
        <v>0.96662829668205497</v>
      </c>
      <c r="F2026">
        <v>0.98414237290014706</v>
      </c>
      <c r="G2026">
        <v>0.73855688491757399</v>
      </c>
      <c r="H2026">
        <v>0.67392920783420096</v>
      </c>
      <c r="I2026">
        <v>0.58845798869104504</v>
      </c>
      <c r="J2026">
        <v>0.62150885221901697</v>
      </c>
      <c r="K2026">
        <v>0.60639136905906299</v>
      </c>
      <c r="L2026">
        <v>2198.0325116745598</v>
      </c>
      <c r="M2026">
        <v>39.173546071161397</v>
      </c>
      <c r="O2026">
        <v>55.964501591301001</v>
      </c>
      <c r="P2026">
        <v>-6.7262601483966705E-2</v>
      </c>
      <c r="Q2026">
        <v>0.61562741042907299</v>
      </c>
      <c r="R2026">
        <v>0.98434389349493601</v>
      </c>
      <c r="S2026" t="s">
        <v>6766</v>
      </c>
      <c r="T2026" t="s">
        <v>9478</v>
      </c>
      <c r="U2026" t="s">
        <v>9478</v>
      </c>
      <c r="V2026" t="s">
        <v>9478</v>
      </c>
      <c r="W2026">
        <v>12</v>
      </c>
      <c r="X2026" t="s">
        <v>11504</v>
      </c>
      <c r="Y2026">
        <v>0.82357959852681129</v>
      </c>
      <c r="Z2026" t="str">
        <f>HYPERLINK("Melting_Curves/meltCurve_sp_Q15942_ZYX_HUMAN_.pdf", "Melting_Curves/meltCurve_sp_Q15942_ZYX_HUMAN_.pdf")</f>
        <v>Melting_Curves/meltCurve_sp_Q15942_ZYX_HUMAN_.pdf</v>
      </c>
      <c r="AA2026" t="s">
        <v>16206</v>
      </c>
      <c r="AB2026" t="s">
        <v>20860</v>
      </c>
    </row>
    <row r="2027" spans="1:28" x14ac:dyDescent="0.25">
      <c r="A2027" t="s">
        <v>2031</v>
      </c>
      <c r="B2027">
        <v>0.99904790336628502</v>
      </c>
      <c r="C2027">
        <v>1.0489565172464499</v>
      </c>
      <c r="D2027">
        <v>0.90853700250795799</v>
      </c>
      <c r="E2027">
        <v>0.56369610350218702</v>
      </c>
      <c r="F2027">
        <v>0.307731353522262</v>
      </c>
      <c r="G2027">
        <v>0.123824964300896</v>
      </c>
      <c r="H2027">
        <v>7.5125335630961201E-2</v>
      </c>
      <c r="I2027">
        <v>5.6500348494911298E-2</v>
      </c>
      <c r="J2027">
        <v>4.9314262522365801E-2</v>
      </c>
      <c r="K2027">
        <v>3.99139261699063E-2</v>
      </c>
      <c r="L2027">
        <v>1140.58751406846</v>
      </c>
      <c r="M2027">
        <v>22.5739725673278</v>
      </c>
      <c r="N2027">
        <v>50.759921239703502</v>
      </c>
      <c r="O2027">
        <v>50.135164574814397</v>
      </c>
      <c r="P2027">
        <v>-0.10702187896189801</v>
      </c>
      <c r="Q2027">
        <v>4.9267680629502701E-2</v>
      </c>
      <c r="R2027">
        <v>0.99690867549070505</v>
      </c>
      <c r="S2027" t="s">
        <v>6767</v>
      </c>
      <c r="T2027" t="s">
        <v>9478</v>
      </c>
      <c r="U2027" t="s">
        <v>9478</v>
      </c>
      <c r="V2027" t="s">
        <v>9478</v>
      </c>
      <c r="W2027">
        <v>10</v>
      </c>
      <c r="X2027" t="s">
        <v>11505</v>
      </c>
      <c r="Y2027">
        <v>0.3933217277874228</v>
      </c>
      <c r="Z2027" t="str">
        <f>HYPERLINK("Melting_Curves/meltCurve_sp_Q16134_ETFD_HUMAN_.pdf", "Melting_Curves/meltCurve_sp_Q16134_ETFD_HUMAN_.pdf")</f>
        <v>Melting_Curves/meltCurve_sp_Q16134_ETFD_HUMAN_.pdf</v>
      </c>
      <c r="AA2027" t="s">
        <v>16207</v>
      </c>
      <c r="AB2027" t="s">
        <v>20861</v>
      </c>
    </row>
    <row r="2028" spans="1:28" x14ac:dyDescent="0.25">
      <c r="A2028" t="s">
        <v>2032</v>
      </c>
      <c r="B2028">
        <v>0.99904790336628502</v>
      </c>
      <c r="C2028">
        <v>0.98018583066593301</v>
      </c>
      <c r="D2028">
        <v>1.1341049108424901</v>
      </c>
      <c r="E2028">
        <v>1.04499989726371</v>
      </c>
      <c r="F2028">
        <v>0.75160528697830498</v>
      </c>
      <c r="G2028">
        <v>0.19591473370637699</v>
      </c>
      <c r="H2028">
        <v>9.1373405854360407E-2</v>
      </c>
      <c r="I2028">
        <v>7.2136779183419306E-2</v>
      </c>
      <c r="J2028">
        <v>5.3828091812153998E-2</v>
      </c>
      <c r="K2028">
        <v>4.85466171720993E-2</v>
      </c>
      <c r="L2028">
        <v>2281.9681892466101</v>
      </c>
      <c r="M2028">
        <v>41.948391044881703</v>
      </c>
      <c r="N2028">
        <v>54.581055180541497</v>
      </c>
      <c r="O2028">
        <v>54.276204301283499</v>
      </c>
      <c r="P2028">
        <v>-0.18063036703215599</v>
      </c>
      <c r="Q2028">
        <v>6.5144749973402194E-2</v>
      </c>
      <c r="R2028">
        <v>0.98834307679135802</v>
      </c>
      <c r="S2028" t="s">
        <v>6768</v>
      </c>
      <c r="T2028" t="s">
        <v>9478</v>
      </c>
      <c r="U2028" t="s">
        <v>9478</v>
      </c>
      <c r="V2028" t="s">
        <v>9478</v>
      </c>
      <c r="W2028">
        <v>27</v>
      </c>
      <c r="X2028" t="s">
        <v>11506</v>
      </c>
      <c r="Y2028">
        <v>0.51704567276078284</v>
      </c>
      <c r="Z2028" t="str">
        <f>HYPERLINK("Melting_Curves/meltCurve_sp_Q16181_SEPT7_HUMAN_.pdf", "Melting_Curves/meltCurve_sp_Q16181_SEPT7_HUMAN_.pdf")</f>
        <v>Melting_Curves/meltCurve_sp_Q16181_SEPT7_HUMAN_.pdf</v>
      </c>
      <c r="AA2028" t="s">
        <v>16208</v>
      </c>
      <c r="AB2028" t="s">
        <v>20862</v>
      </c>
    </row>
    <row r="2029" spans="1:28" x14ac:dyDescent="0.25">
      <c r="A2029" t="s">
        <v>2033</v>
      </c>
      <c r="B2029">
        <v>0.99904790336628502</v>
      </c>
      <c r="C2029">
        <v>3.3180499437239002</v>
      </c>
      <c r="D2029">
        <v>3.0478628411147799</v>
      </c>
      <c r="E2029">
        <v>2.8064650004612099</v>
      </c>
      <c r="F2029">
        <v>2.7684914464419998</v>
      </c>
      <c r="G2029">
        <v>2.1183395196108399</v>
      </c>
      <c r="H2029">
        <v>1.8464488657045099</v>
      </c>
      <c r="I2029">
        <v>1.88259814735383</v>
      </c>
      <c r="J2029">
        <v>2.0957839138315602</v>
      </c>
      <c r="K2029">
        <v>1.91315030390828</v>
      </c>
      <c r="L2029">
        <v>1.0000000000000001E-5</v>
      </c>
      <c r="M2029">
        <v>31.282590697049699</v>
      </c>
      <c r="Q2029">
        <v>1.5</v>
      </c>
      <c r="R2029">
        <v>-1.3926838708982801</v>
      </c>
      <c r="S2029" t="s">
        <v>6769</v>
      </c>
      <c r="T2029" t="s">
        <v>9478</v>
      </c>
      <c r="U2029" t="s">
        <v>9478</v>
      </c>
      <c r="V2029" t="s">
        <v>9478</v>
      </c>
      <c r="W2029">
        <v>4</v>
      </c>
      <c r="X2029" t="s">
        <v>11507</v>
      </c>
      <c r="Y2029">
        <v>1.4999999999999869</v>
      </c>
      <c r="Z2029" t="str">
        <f>HYPERLINK("Melting_Curves/meltCurve_sp_Q16186_ADRM1_HUMAN_.pdf", "Melting_Curves/meltCurve_sp_Q16186_ADRM1_HUMAN_.pdf")</f>
        <v>Melting_Curves/meltCurve_sp_Q16186_ADRM1_HUMAN_.pdf</v>
      </c>
      <c r="AA2029" t="s">
        <v>16209</v>
      </c>
      <c r="AB2029" t="s">
        <v>20863</v>
      </c>
    </row>
    <row r="2030" spans="1:28" x14ac:dyDescent="0.25">
      <c r="A2030" t="s">
        <v>2034</v>
      </c>
      <c r="B2030">
        <v>0.99904790336628502</v>
      </c>
      <c r="C2030">
        <v>1.0137808720717101</v>
      </c>
      <c r="D2030">
        <v>1.0351283573718</v>
      </c>
      <c r="E2030">
        <v>0.89904391299363895</v>
      </c>
      <c r="F2030">
        <v>0.84440464650842795</v>
      </c>
      <c r="G2030">
        <v>0.57193716404855999</v>
      </c>
      <c r="H2030">
        <v>0.50715809859005401</v>
      </c>
      <c r="I2030">
        <v>0.44754886968348501</v>
      </c>
      <c r="J2030">
        <v>0.46937318228670899</v>
      </c>
      <c r="K2030">
        <v>0.39281081951539498</v>
      </c>
      <c r="L2030">
        <v>1184.87909325497</v>
      </c>
      <c r="M2030">
        <v>21.617288041993199</v>
      </c>
      <c r="N2030">
        <v>60.110000186166197</v>
      </c>
      <c r="O2030">
        <v>54.3490588276305</v>
      </c>
      <c r="P2030">
        <v>-5.71159936303062E-2</v>
      </c>
      <c r="Q2030">
        <v>0.42562152886559601</v>
      </c>
      <c r="R2030">
        <v>0.98658272675504999</v>
      </c>
      <c r="S2030" t="s">
        <v>6770</v>
      </c>
      <c r="T2030" t="s">
        <v>9478</v>
      </c>
      <c r="U2030" t="s">
        <v>9478</v>
      </c>
      <c r="V2030" t="s">
        <v>9478</v>
      </c>
      <c r="W2030">
        <v>12</v>
      </c>
      <c r="X2030" t="s">
        <v>11508</v>
      </c>
      <c r="Y2030">
        <v>0.71600589084360677</v>
      </c>
      <c r="Z2030" t="str">
        <f>HYPERLINK("Melting_Curves/meltCurve_sp_Q16204_CCDC6_HUMAN_.pdf", "Melting_Curves/meltCurve_sp_Q16204_CCDC6_HUMAN_.pdf")</f>
        <v>Melting_Curves/meltCurve_sp_Q16204_CCDC6_HUMAN_.pdf</v>
      </c>
      <c r="AA2030" t="s">
        <v>16210</v>
      </c>
      <c r="AB2030" t="s">
        <v>20864</v>
      </c>
    </row>
    <row r="2031" spans="1:28" x14ac:dyDescent="0.25">
      <c r="A2031" t="s">
        <v>2035</v>
      </c>
      <c r="B2031">
        <v>0.99904790336628502</v>
      </c>
      <c r="C2031">
        <v>0.86309017299617696</v>
      </c>
      <c r="D2031">
        <v>0.87396138745266005</v>
      </c>
      <c r="E2031">
        <v>0.42696446048428199</v>
      </c>
      <c r="F2031">
        <v>0.16964932854936601</v>
      </c>
      <c r="G2031">
        <v>8.4234899513388806E-2</v>
      </c>
      <c r="H2031">
        <v>4.8432848362066599E-2</v>
      </c>
      <c r="I2031">
        <v>2.8401135715276801E-2</v>
      </c>
      <c r="J2031">
        <v>2.25811129087128E-2</v>
      </c>
      <c r="K2031">
        <v>1.73516791912347E-2</v>
      </c>
      <c r="L2031">
        <v>1099.5728008231199</v>
      </c>
      <c r="M2031">
        <v>22.3338497190502</v>
      </c>
      <c r="N2031">
        <v>49.341274187335998</v>
      </c>
      <c r="O2031">
        <v>48.843846210637601</v>
      </c>
      <c r="P2031">
        <v>-0.111592648094183</v>
      </c>
      <c r="Q2031">
        <v>2.3813687916496299E-2</v>
      </c>
      <c r="R2031">
        <v>0.99116083239218</v>
      </c>
      <c r="S2031" t="s">
        <v>6771</v>
      </c>
      <c r="T2031" t="s">
        <v>9478</v>
      </c>
      <c r="U2031" t="s">
        <v>9478</v>
      </c>
      <c r="V2031" t="s">
        <v>9478</v>
      </c>
      <c r="W2031">
        <v>17</v>
      </c>
      <c r="X2031" t="s">
        <v>11509</v>
      </c>
      <c r="Y2031">
        <v>0.33517759201180197</v>
      </c>
      <c r="Z2031" t="str">
        <f>HYPERLINK("Melting_Curves/meltCurve_sp_Q16222_2_UAP1_HUMAN_.pdf", "Melting_Curves/meltCurve_sp_Q16222_2_UAP1_HUMAN_.pdf")</f>
        <v>Melting_Curves/meltCurve_sp_Q16222_2_UAP1_HUMAN_.pdf</v>
      </c>
      <c r="AA2031" t="s">
        <v>16211</v>
      </c>
      <c r="AB2031" t="s">
        <v>20865</v>
      </c>
    </row>
    <row r="2032" spans="1:28" x14ac:dyDescent="0.25">
      <c r="A2032" t="s">
        <v>2036</v>
      </c>
      <c r="B2032">
        <v>0.99904790336628502</v>
      </c>
      <c r="C2032">
        <v>0.979773241975741</v>
      </c>
      <c r="D2032">
        <v>0.92120334461598297</v>
      </c>
      <c r="E2032">
        <v>0.82522259874062698</v>
      </c>
      <c r="F2032">
        <v>0.91386954280245103</v>
      </c>
      <c r="G2032">
        <v>0.68001556855127498</v>
      </c>
      <c r="H2032">
        <v>0.53496161114609797</v>
      </c>
      <c r="I2032">
        <v>0.51244256368506202</v>
      </c>
      <c r="J2032">
        <v>0.62132095242042096</v>
      </c>
      <c r="K2032">
        <v>0.65300851003109095</v>
      </c>
      <c r="L2032">
        <v>889.59058310904402</v>
      </c>
      <c r="M2032">
        <v>16.5834940134527</v>
      </c>
      <c r="O2032">
        <v>52.881305400510499</v>
      </c>
      <c r="P2032">
        <v>-3.4187208306687498E-2</v>
      </c>
      <c r="Q2032">
        <v>0.56396618584394997</v>
      </c>
      <c r="R2032">
        <v>0.86477221775864899</v>
      </c>
      <c r="S2032" t="s">
        <v>6772</v>
      </c>
      <c r="T2032" t="s">
        <v>9478</v>
      </c>
      <c r="U2032" t="s">
        <v>9478</v>
      </c>
      <c r="V2032" t="s">
        <v>9478</v>
      </c>
      <c r="W2032">
        <v>5</v>
      </c>
      <c r="X2032" t="s">
        <v>11510</v>
      </c>
      <c r="Y2032">
        <v>0.7702098343224999</v>
      </c>
      <c r="Z2032" t="str">
        <f>HYPERLINK("Melting_Curves/meltCurve_sp_Q16270_2_IBP7_HUMAN_.pdf", "Melting_Curves/meltCurve_sp_Q16270_2_IBP7_HUMAN_.pdf")</f>
        <v>Melting_Curves/meltCurve_sp_Q16270_2_IBP7_HUMAN_.pdf</v>
      </c>
      <c r="AA2032" t="s">
        <v>16212</v>
      </c>
      <c r="AB2032" t="s">
        <v>20866</v>
      </c>
    </row>
    <row r="2033" spans="1:28" x14ac:dyDescent="0.25">
      <c r="A2033" t="s">
        <v>2037</v>
      </c>
      <c r="B2033">
        <v>0.99904790336628502</v>
      </c>
      <c r="C2033">
        <v>0.94984338767144205</v>
      </c>
      <c r="D2033">
        <v>0.890406295590493</v>
      </c>
      <c r="E2033">
        <v>0.70140922849966103</v>
      </c>
      <c r="F2033">
        <v>0.600429326021653</v>
      </c>
      <c r="G2033">
        <v>0.368233267749631</v>
      </c>
      <c r="H2033">
        <v>7.8138157749991694E-2</v>
      </c>
      <c r="I2033">
        <v>5.2860649937759699E-2</v>
      </c>
      <c r="J2033">
        <v>4.3135055762379602E-2</v>
      </c>
      <c r="K2033">
        <v>3.7288244169450702E-2</v>
      </c>
      <c r="L2033">
        <v>776.20344804255603</v>
      </c>
      <c r="M2033">
        <v>14.4340744200427</v>
      </c>
      <c r="N2033">
        <v>53.775769711045299</v>
      </c>
      <c r="O2033">
        <v>52.775173501348299</v>
      </c>
      <c r="P2033">
        <v>-6.8383321170334299E-2</v>
      </c>
      <c r="Q2033">
        <v>0</v>
      </c>
      <c r="R2033">
        <v>0.98836599431545702</v>
      </c>
      <c r="S2033" t="s">
        <v>6773</v>
      </c>
      <c r="T2033" t="s">
        <v>9478</v>
      </c>
      <c r="U2033" t="s">
        <v>9478</v>
      </c>
      <c r="V2033" t="s">
        <v>9478</v>
      </c>
      <c r="W2033">
        <v>16</v>
      </c>
      <c r="X2033" t="s">
        <v>11511</v>
      </c>
      <c r="Y2033">
        <v>0.48097398341413478</v>
      </c>
      <c r="Z2033" t="str">
        <f>HYPERLINK("Melting_Curves/meltCurve_sp_Q16401_2_PSMD5_HUMAN_.pdf", "Melting_Curves/meltCurve_sp_Q16401_2_PSMD5_HUMAN_.pdf")</f>
        <v>Melting_Curves/meltCurve_sp_Q16401_2_PSMD5_HUMAN_.pdf</v>
      </c>
      <c r="AA2033" t="s">
        <v>16213</v>
      </c>
      <c r="AB2033" t="s">
        <v>20867</v>
      </c>
    </row>
    <row r="2034" spans="1:28" x14ac:dyDescent="0.25">
      <c r="A2034" t="s">
        <v>2038</v>
      </c>
      <c r="B2034">
        <v>0.99904790336628502</v>
      </c>
      <c r="C2034">
        <v>0.97639637907865295</v>
      </c>
      <c r="D2034">
        <v>0.89052053938363096</v>
      </c>
      <c r="E2034">
        <v>0.48417031599121402</v>
      </c>
      <c r="F2034">
        <v>0.30998341375933097</v>
      </c>
      <c r="G2034">
        <v>0.27059388207748802</v>
      </c>
      <c r="H2034">
        <v>0.10767031084506699</v>
      </c>
      <c r="I2034">
        <v>8.7071930076112899E-2</v>
      </c>
      <c r="J2034">
        <v>6.5570911085108805E-2</v>
      </c>
      <c r="K2034">
        <v>5.3236033578802397E-2</v>
      </c>
      <c r="L2034">
        <v>899.61703933229205</v>
      </c>
      <c r="M2034">
        <v>17.988058911174299</v>
      </c>
      <c r="N2034">
        <v>50.485331463826199</v>
      </c>
      <c r="O2034">
        <v>49.406090951473701</v>
      </c>
      <c r="P2034">
        <v>-8.3961246477257903E-2</v>
      </c>
      <c r="Q2034">
        <v>7.7612079751001498E-2</v>
      </c>
      <c r="R2034">
        <v>0.986915663552422</v>
      </c>
      <c r="S2034" t="s">
        <v>6774</v>
      </c>
      <c r="T2034" t="s">
        <v>9478</v>
      </c>
      <c r="U2034" t="s">
        <v>9478</v>
      </c>
      <c r="V2034" t="s">
        <v>9478</v>
      </c>
      <c r="W2034">
        <v>4</v>
      </c>
      <c r="X2034" t="s">
        <v>11512</v>
      </c>
      <c r="Y2034">
        <v>0.40118802245988039</v>
      </c>
      <c r="Z2034" t="str">
        <f>HYPERLINK("Melting_Curves/meltCurve_sp_Q16513_3_PKN2_HUMAN_.pdf", "Melting_Curves/meltCurve_sp_Q16513_3_PKN2_HUMAN_.pdf")</f>
        <v>Melting_Curves/meltCurve_sp_Q16513_3_PKN2_HUMAN_.pdf</v>
      </c>
      <c r="AA2034" t="s">
        <v>16214</v>
      </c>
      <c r="AB2034" t="s">
        <v>20868</v>
      </c>
    </row>
    <row r="2035" spans="1:28" x14ac:dyDescent="0.25">
      <c r="A2035" t="s">
        <v>2039</v>
      </c>
      <c r="B2035">
        <v>0.99904790336628502</v>
      </c>
      <c r="C2035">
        <v>0.98038483933359599</v>
      </c>
      <c r="D2035">
        <v>1.0405270709465599</v>
      </c>
      <c r="E2035">
        <v>1.0112589543642301</v>
      </c>
      <c r="F2035">
        <v>0.96247650322393796</v>
      </c>
      <c r="G2035">
        <v>0.89000762621187601</v>
      </c>
      <c r="H2035">
        <v>0.51286584217724196</v>
      </c>
      <c r="I2035">
        <v>0.120551888439793</v>
      </c>
      <c r="J2035">
        <v>3.8915152033268903E-2</v>
      </c>
      <c r="K2035">
        <v>3.55061902121915E-2</v>
      </c>
      <c r="L2035">
        <v>2186.9710960361899</v>
      </c>
      <c r="M2035">
        <v>35.917091235507598</v>
      </c>
      <c r="N2035">
        <v>60.9094033997848</v>
      </c>
      <c r="O2035">
        <v>60.701597856664101</v>
      </c>
      <c r="P2035">
        <v>-0.147059592354194</v>
      </c>
      <c r="Q2035">
        <v>5.8522545365517504E-3</v>
      </c>
      <c r="R2035">
        <v>0.99627109539070002</v>
      </c>
      <c r="S2035" t="s">
        <v>6775</v>
      </c>
      <c r="T2035" t="s">
        <v>9478</v>
      </c>
      <c r="U2035" t="s">
        <v>9478</v>
      </c>
      <c r="V2035" t="s">
        <v>9478</v>
      </c>
      <c r="W2035">
        <v>52</v>
      </c>
      <c r="X2035" t="s">
        <v>11513</v>
      </c>
      <c r="Y2035">
        <v>0.7025551475421421</v>
      </c>
      <c r="Z2035" t="str">
        <f>HYPERLINK("Melting_Curves/meltCurve_sp_Q16531_DDB1_HUMAN_.pdf", "Melting_Curves/meltCurve_sp_Q16531_DDB1_HUMAN_.pdf")</f>
        <v>Melting_Curves/meltCurve_sp_Q16531_DDB1_HUMAN_.pdf</v>
      </c>
      <c r="AA2035" t="s">
        <v>16215</v>
      </c>
      <c r="AB2035" t="s">
        <v>20869</v>
      </c>
    </row>
    <row r="2036" spans="1:28" x14ac:dyDescent="0.25">
      <c r="A2036" t="s">
        <v>2040</v>
      </c>
      <c r="B2036">
        <v>0.99904790336628502</v>
      </c>
      <c r="C2036">
        <v>1.01744750706388</v>
      </c>
      <c r="D2036">
        <v>0.87329157263802504</v>
      </c>
      <c r="E2036">
        <v>0.27555026824358603</v>
      </c>
      <c r="F2036">
        <v>0.11343126241856701</v>
      </c>
      <c r="G2036">
        <v>7.5550772344164505E-2</v>
      </c>
      <c r="H2036">
        <v>1.41554308620106E-2</v>
      </c>
      <c r="I2036">
        <v>2.5507763697485999E-2</v>
      </c>
      <c r="J2036">
        <v>2.0356967063380201E-2</v>
      </c>
      <c r="K2036">
        <v>2.7475561906028598E-2</v>
      </c>
      <c r="L2036">
        <v>1656.97198023585</v>
      </c>
      <c r="M2036">
        <v>34.1725782183495</v>
      </c>
      <c r="N2036">
        <v>48.591276637172598</v>
      </c>
      <c r="O2036">
        <v>48.323205114120199</v>
      </c>
      <c r="P2036">
        <v>-0.17062061774047199</v>
      </c>
      <c r="Q2036">
        <v>3.491005233444E-2</v>
      </c>
      <c r="R2036">
        <v>0.99774047705756097</v>
      </c>
      <c r="S2036" t="s">
        <v>6776</v>
      </c>
      <c r="T2036" t="s">
        <v>9478</v>
      </c>
      <c r="U2036" t="s">
        <v>9478</v>
      </c>
      <c r="V2036" t="s">
        <v>9478</v>
      </c>
      <c r="W2036">
        <v>9</v>
      </c>
      <c r="X2036" t="s">
        <v>11514</v>
      </c>
      <c r="Y2036">
        <v>0.31244355856548123</v>
      </c>
      <c r="Z2036" t="str">
        <f>HYPERLINK("Melting_Curves/meltCurve_sp_Q16539_MK14_HUMAN_.pdf", "Melting_Curves/meltCurve_sp_Q16539_MK14_HUMAN_.pdf")</f>
        <v>Melting_Curves/meltCurve_sp_Q16539_MK14_HUMAN_.pdf</v>
      </c>
      <c r="AA2036" t="s">
        <v>16216</v>
      </c>
      <c r="AB2036" t="s">
        <v>20870</v>
      </c>
    </row>
    <row r="2037" spans="1:28" x14ac:dyDescent="0.25">
      <c r="A2037" t="s">
        <v>2041</v>
      </c>
      <c r="B2037">
        <v>0.99904790336628502</v>
      </c>
      <c r="C2037">
        <v>0.98036442430371296</v>
      </c>
      <c r="D2037">
        <v>1.03118813061913</v>
      </c>
      <c r="E2037">
        <v>1.0051987129236899</v>
      </c>
      <c r="F2037">
        <v>0.99863013063524397</v>
      </c>
      <c r="G2037">
        <v>0.80376720910495902</v>
      </c>
      <c r="H2037">
        <v>0.57266343130949204</v>
      </c>
      <c r="I2037">
        <v>0.30466467308071499</v>
      </c>
      <c r="J2037">
        <v>0.12943536517174301</v>
      </c>
      <c r="K2037">
        <v>8.2003375812568294E-2</v>
      </c>
      <c r="L2037">
        <v>1299.5504592160401</v>
      </c>
      <c r="M2037">
        <v>21.1205968147808</v>
      </c>
      <c r="N2037">
        <v>61.530017138048599</v>
      </c>
      <c r="O2037">
        <v>60.9863719080994</v>
      </c>
      <c r="P2037">
        <v>-8.6581436208657506E-2</v>
      </c>
      <c r="Q2037">
        <v>0</v>
      </c>
      <c r="R2037">
        <v>0.99603613872442998</v>
      </c>
      <c r="S2037" t="s">
        <v>6777</v>
      </c>
      <c r="T2037" t="s">
        <v>9478</v>
      </c>
      <c r="U2037" t="s">
        <v>9478</v>
      </c>
      <c r="V2037" t="s">
        <v>9478</v>
      </c>
      <c r="W2037">
        <v>24</v>
      </c>
      <c r="X2037" t="s">
        <v>11515</v>
      </c>
      <c r="Y2037">
        <v>0.7226501119490979</v>
      </c>
      <c r="Z2037" t="str">
        <f>HYPERLINK("Melting_Curves/meltCurve_sp_Q16543_CDC37_HUMAN_.pdf", "Melting_Curves/meltCurve_sp_Q16543_CDC37_HUMAN_.pdf")</f>
        <v>Melting_Curves/meltCurve_sp_Q16543_CDC37_HUMAN_.pdf</v>
      </c>
      <c r="AA2037" t="s">
        <v>16217</v>
      </c>
      <c r="AB2037" t="s">
        <v>20871</v>
      </c>
    </row>
    <row r="2038" spans="1:28" x14ac:dyDescent="0.25">
      <c r="A2038" t="s">
        <v>2042</v>
      </c>
      <c r="B2038">
        <v>0.99904790336628502</v>
      </c>
      <c r="C2038">
        <v>1.0043518479039599</v>
      </c>
      <c r="D2038">
        <v>1.0332248163342801</v>
      </c>
      <c r="E2038">
        <v>0.84668786677582697</v>
      </c>
      <c r="F2038">
        <v>0.60780941086584594</v>
      </c>
      <c r="G2038">
        <v>0.39380598468174799</v>
      </c>
      <c r="H2038">
        <v>0.13400850561959199</v>
      </c>
      <c r="I2038">
        <v>5.5378043967697299E-2</v>
      </c>
      <c r="J2038">
        <v>3.5617319769365302E-2</v>
      </c>
      <c r="K2038">
        <v>2.5469978953189799E-2</v>
      </c>
      <c r="L2038">
        <v>964.98472804877599</v>
      </c>
      <c r="M2038">
        <v>17.577693754762301</v>
      </c>
      <c r="N2038">
        <v>54.898246318007899</v>
      </c>
      <c r="O2038">
        <v>54.202505661534403</v>
      </c>
      <c r="P2038">
        <v>-8.1078567960364098E-2</v>
      </c>
      <c r="Q2038">
        <v>0</v>
      </c>
      <c r="R2038">
        <v>0.99437049529806498</v>
      </c>
      <c r="S2038" t="s">
        <v>6778</v>
      </c>
      <c r="T2038" t="s">
        <v>9478</v>
      </c>
      <c r="U2038" t="s">
        <v>9478</v>
      </c>
      <c r="V2038" t="s">
        <v>9478</v>
      </c>
      <c r="W2038">
        <v>15</v>
      </c>
      <c r="X2038" t="s">
        <v>11516</v>
      </c>
      <c r="Y2038">
        <v>0.51264557176764225</v>
      </c>
      <c r="Z2038" t="str">
        <f>HYPERLINK("Melting_Curves/meltCurve_sp_Q16555_2_DPYL2_HUMAN_.pdf", "Melting_Curves/meltCurve_sp_Q16555_2_DPYL2_HUMAN_.pdf")</f>
        <v>Melting_Curves/meltCurve_sp_Q16555_2_DPYL2_HUMAN_.pdf</v>
      </c>
      <c r="AA2038" t="s">
        <v>16218</v>
      </c>
      <c r="AB2038" t="s">
        <v>20872</v>
      </c>
    </row>
    <row r="2039" spans="1:28" x14ac:dyDescent="0.25">
      <c r="A2039" t="s">
        <v>2043</v>
      </c>
      <c r="B2039">
        <v>0.99904790336628502</v>
      </c>
      <c r="C2039">
        <v>0.98505561275744802</v>
      </c>
      <c r="D2039">
        <v>1.00564954007373</v>
      </c>
      <c r="E2039">
        <v>0.959464405452367</v>
      </c>
      <c r="F2039">
        <v>0.85912034318378006</v>
      </c>
      <c r="G2039">
        <v>0.55227379114174802</v>
      </c>
      <c r="H2039">
        <v>0.28217929873508901</v>
      </c>
      <c r="I2039">
        <v>0.135046788699067</v>
      </c>
      <c r="J2039">
        <v>8.2296791798127794E-2</v>
      </c>
      <c r="K2039">
        <v>7.0810917774092694E-2</v>
      </c>
      <c r="L2039">
        <v>1175.25388131401</v>
      </c>
      <c r="M2039">
        <v>20.442448753249401</v>
      </c>
      <c r="N2039">
        <v>57.720996744949197</v>
      </c>
      <c r="O2039">
        <v>56.949188887617296</v>
      </c>
      <c r="P2039">
        <v>-8.6230390075638097E-2</v>
      </c>
      <c r="Q2039">
        <v>3.9135886620830201E-2</v>
      </c>
      <c r="R2039">
        <v>0.99939487716487896</v>
      </c>
      <c r="S2039" t="s">
        <v>6779</v>
      </c>
      <c r="T2039" t="s">
        <v>9478</v>
      </c>
      <c r="U2039" t="s">
        <v>9478</v>
      </c>
      <c r="V2039" t="s">
        <v>9478</v>
      </c>
      <c r="W2039">
        <v>10</v>
      </c>
      <c r="X2039" t="s">
        <v>11517</v>
      </c>
      <c r="Y2039">
        <v>0.61044499112192208</v>
      </c>
      <c r="Z2039" t="str">
        <f>HYPERLINK("Melting_Curves/meltCurve_sp_Q16576_RBBP7_HUMAN_.pdf", "Melting_Curves/meltCurve_sp_Q16576_RBBP7_HUMAN_.pdf")</f>
        <v>Melting_Curves/meltCurve_sp_Q16576_RBBP7_HUMAN_.pdf</v>
      </c>
      <c r="AA2039" t="s">
        <v>16219</v>
      </c>
      <c r="AB2039" t="s">
        <v>20873</v>
      </c>
    </row>
    <row r="2040" spans="1:28" x14ac:dyDescent="0.25">
      <c r="A2040" t="s">
        <v>2044</v>
      </c>
      <c r="B2040">
        <v>0.99904790336628502</v>
      </c>
      <c r="C2040">
        <v>1.0664627077548601</v>
      </c>
      <c r="D2040">
        <v>0.99216261643732295</v>
      </c>
      <c r="E2040">
        <v>0.93700002077849198</v>
      </c>
      <c r="F2040">
        <v>1.03752868928277</v>
      </c>
      <c r="G2040">
        <v>0.844646912256799</v>
      </c>
      <c r="H2040">
        <v>0.72768102539269597</v>
      </c>
      <c r="I2040">
        <v>0.73824942634290702</v>
      </c>
      <c r="J2040">
        <v>0.794106816331413</v>
      </c>
      <c r="K2040">
        <v>0.80582392295773997</v>
      </c>
      <c r="L2040">
        <v>14210.8600343526</v>
      </c>
      <c r="M2040">
        <v>250</v>
      </c>
      <c r="O2040">
        <v>56.839819249808599</v>
      </c>
      <c r="P2040">
        <v>-0.256790458638673</v>
      </c>
      <c r="Q2040">
        <v>0.766465296571199</v>
      </c>
      <c r="R2040">
        <v>0.90018444965716904</v>
      </c>
      <c r="S2040" t="s">
        <v>6780</v>
      </c>
      <c r="T2040" t="s">
        <v>9478</v>
      </c>
      <c r="U2040" t="s">
        <v>9478</v>
      </c>
      <c r="V2040" t="s">
        <v>9478</v>
      </c>
      <c r="W2040">
        <v>7</v>
      </c>
      <c r="X2040" t="s">
        <v>11518</v>
      </c>
      <c r="Y2040">
        <v>0.89760618708242379</v>
      </c>
      <c r="Z2040" t="str">
        <f>HYPERLINK("Melting_Curves/meltCurve_sp_Q16625_5_OCLN_HUMAN_.pdf", "Melting_Curves/meltCurve_sp_Q16625_5_OCLN_HUMAN_.pdf")</f>
        <v>Melting_Curves/meltCurve_sp_Q16625_5_OCLN_HUMAN_.pdf</v>
      </c>
      <c r="AA2040" t="s">
        <v>16220</v>
      </c>
      <c r="AB2040" t="s">
        <v>20874</v>
      </c>
    </row>
    <row r="2041" spans="1:28" x14ac:dyDescent="0.25">
      <c r="A2041" t="s">
        <v>2045</v>
      </c>
      <c r="B2041">
        <v>0.99904790336628502</v>
      </c>
      <c r="C2041">
        <v>1.05291751480039</v>
      </c>
      <c r="D2041">
        <v>1.0945562527011701</v>
      </c>
      <c r="E2041">
        <v>0.97069241042926802</v>
      </c>
      <c r="F2041">
        <v>0.93127415532111102</v>
      </c>
      <c r="G2041">
        <v>0.66160920986685201</v>
      </c>
      <c r="H2041">
        <v>0.61702766294139699</v>
      </c>
      <c r="I2041">
        <v>0.58345545222564899</v>
      </c>
      <c r="J2041">
        <v>0.57428375053772596</v>
      </c>
      <c r="K2041">
        <v>0.52748898488661999</v>
      </c>
      <c r="L2041">
        <v>1973.60452842882</v>
      </c>
      <c r="M2041">
        <v>35.748502636504703</v>
      </c>
      <c r="O2041">
        <v>55.036143254846102</v>
      </c>
      <c r="P2041">
        <v>-7.0039521749653097E-2</v>
      </c>
      <c r="Q2041">
        <v>0.56868776800433396</v>
      </c>
      <c r="R2041">
        <v>0.96639728801542402</v>
      </c>
      <c r="S2041" t="s">
        <v>6781</v>
      </c>
      <c r="T2041" t="s">
        <v>9478</v>
      </c>
      <c r="U2041" t="s">
        <v>9478</v>
      </c>
      <c r="V2041" t="s">
        <v>9478</v>
      </c>
      <c r="W2041">
        <v>2</v>
      </c>
      <c r="X2041" t="s">
        <v>11519</v>
      </c>
      <c r="Y2041">
        <v>0.78938059545063977</v>
      </c>
      <c r="Z2041" t="str">
        <f>HYPERLINK("Melting_Curves/meltCurve_sp_Q16626_MEA1_HUMAN_.pdf", "Melting_Curves/meltCurve_sp_Q16626_MEA1_HUMAN_.pdf")</f>
        <v>Melting_Curves/meltCurve_sp_Q16626_MEA1_HUMAN_.pdf</v>
      </c>
      <c r="AA2041" t="s">
        <v>16221</v>
      </c>
      <c r="AB2041" t="s">
        <v>20875</v>
      </c>
    </row>
    <row r="2042" spans="1:28" x14ac:dyDescent="0.25">
      <c r="A2042" t="s">
        <v>2046</v>
      </c>
      <c r="B2042">
        <v>0.99904790336628502</v>
      </c>
      <c r="C2042">
        <v>0.98161580139594096</v>
      </c>
      <c r="D2042">
        <v>1.00009076254499</v>
      </c>
      <c r="E2042">
        <v>0.93610057369779698</v>
      </c>
      <c r="F2042">
        <v>0.99123755976278005</v>
      </c>
      <c r="G2042">
        <v>0.67651354704876299</v>
      </c>
      <c r="H2042">
        <v>0.50792460463828104</v>
      </c>
      <c r="I2042">
        <v>0.26231714559747799</v>
      </c>
      <c r="J2042">
        <v>0.21024492178024501</v>
      </c>
      <c r="K2042">
        <v>0.181368759090139</v>
      </c>
      <c r="L2042">
        <v>1158.5518788501399</v>
      </c>
      <c r="M2042">
        <v>19.516360785429399</v>
      </c>
      <c r="N2042">
        <v>60.280161426579099</v>
      </c>
      <c r="O2042">
        <v>58.7503847802775</v>
      </c>
      <c r="P2042">
        <v>-7.2383705026692099E-2</v>
      </c>
      <c r="Q2042">
        <v>0.12844030611999499</v>
      </c>
      <c r="R2042">
        <v>0.98745076832280498</v>
      </c>
      <c r="S2042" t="s">
        <v>6782</v>
      </c>
      <c r="T2042" t="s">
        <v>9478</v>
      </c>
      <c r="U2042" t="s">
        <v>9478</v>
      </c>
      <c r="V2042" t="s">
        <v>9478</v>
      </c>
      <c r="W2042">
        <v>2</v>
      </c>
      <c r="X2042" t="s">
        <v>11520</v>
      </c>
      <c r="Y2042">
        <v>0.6993524940628284</v>
      </c>
      <c r="Z2042" t="str">
        <f>HYPERLINK("Melting_Curves/meltCurve_sp_Q16629_3_SRSF7_HUMAN_.pdf", "Melting_Curves/meltCurve_sp_Q16629_3_SRSF7_HUMAN_.pdf")</f>
        <v>Melting_Curves/meltCurve_sp_Q16629_3_SRSF7_HUMAN_.pdf</v>
      </c>
      <c r="AA2042" t="s">
        <v>16222</v>
      </c>
      <c r="AB2042" t="s">
        <v>20876</v>
      </c>
    </row>
    <row r="2043" spans="1:28" x14ac:dyDescent="0.25">
      <c r="A2043" t="s">
        <v>2047</v>
      </c>
      <c r="B2043">
        <v>0.99904790336628502</v>
      </c>
      <c r="C2043">
        <v>0.96069724019339897</v>
      </c>
      <c r="D2043">
        <v>0.88386523770192404</v>
      </c>
      <c r="E2043">
        <v>0.52560992095264303</v>
      </c>
      <c r="F2043">
        <v>0.18458213364074399</v>
      </c>
      <c r="G2043">
        <v>9.4612540098113304E-2</v>
      </c>
      <c r="H2043">
        <v>5.6178723217870201E-2</v>
      </c>
      <c r="I2043">
        <v>4.15418025074865E-2</v>
      </c>
      <c r="J2043">
        <v>3.3801030212012598E-2</v>
      </c>
      <c r="K2043">
        <v>2.7333810535304901E-2</v>
      </c>
      <c r="L2043">
        <v>1247.96222130962</v>
      </c>
      <c r="M2043">
        <v>25.018470891650399</v>
      </c>
      <c r="N2043">
        <v>50.031019635711601</v>
      </c>
      <c r="O2043">
        <v>49.566218287585698</v>
      </c>
      <c r="P2043">
        <v>-0.12164730193192499</v>
      </c>
      <c r="Q2043">
        <v>3.5989721995704702E-2</v>
      </c>
      <c r="R2043">
        <v>0.99830530964091801</v>
      </c>
      <c r="S2043" t="s">
        <v>6783</v>
      </c>
      <c r="T2043" t="s">
        <v>9478</v>
      </c>
      <c r="U2043" t="s">
        <v>9478</v>
      </c>
      <c r="V2043" t="s">
        <v>9478</v>
      </c>
      <c r="W2043">
        <v>3</v>
      </c>
      <c r="X2043" t="s">
        <v>11521</v>
      </c>
      <c r="Y2043">
        <v>0.36211604103529788</v>
      </c>
      <c r="Z2043" t="str">
        <f>HYPERLINK("Melting_Curves/meltCurve_sp_Q16644_MAPK3_HUMAN_.pdf", "Melting_Curves/meltCurve_sp_Q16644_MAPK3_HUMAN_.pdf")</f>
        <v>Melting_Curves/meltCurve_sp_Q16644_MAPK3_HUMAN_.pdf</v>
      </c>
      <c r="AA2043" t="s">
        <v>16223</v>
      </c>
      <c r="AB2043" t="s">
        <v>20877</v>
      </c>
    </row>
    <row r="2044" spans="1:28" x14ac:dyDescent="0.25">
      <c r="A2044" t="s">
        <v>2048</v>
      </c>
      <c r="B2044">
        <v>0.99904790336628502</v>
      </c>
      <c r="C2044">
        <v>0.36455918246195701</v>
      </c>
      <c r="D2044">
        <v>0.22086822872895201</v>
      </c>
      <c r="E2044">
        <v>0.10709125571695299</v>
      </c>
      <c r="F2044">
        <v>1.7056038484676999E-2</v>
      </c>
      <c r="G2044">
        <v>9.9982353013974897E-3</v>
      </c>
      <c r="H2044">
        <v>1.15336611188322E-2</v>
      </c>
      <c r="I2044">
        <v>0</v>
      </c>
      <c r="J2044">
        <v>0</v>
      </c>
      <c r="K2044">
        <v>0</v>
      </c>
      <c r="L2044">
        <v>1698.5383736117899</v>
      </c>
      <c r="M2044">
        <v>40.033787825744298</v>
      </c>
      <c r="N2044">
        <v>42.508324756772303</v>
      </c>
      <c r="O2044">
        <v>42.322169383705301</v>
      </c>
      <c r="P2044">
        <v>-0.22782850648734701</v>
      </c>
      <c r="Q2044">
        <v>3.65961133428018E-2</v>
      </c>
      <c r="R2044">
        <v>0.95602376423461599</v>
      </c>
      <c r="S2044" t="s">
        <v>6784</v>
      </c>
      <c r="T2044" t="s">
        <v>9478</v>
      </c>
      <c r="U2044" t="s">
        <v>9478</v>
      </c>
      <c r="V2044" t="s">
        <v>9478</v>
      </c>
      <c r="W2044">
        <v>2</v>
      </c>
      <c r="X2044" t="s">
        <v>11522</v>
      </c>
      <c r="Y2044">
        <v>0.119815205525001</v>
      </c>
      <c r="Z2044" t="str">
        <f>HYPERLINK("Melting_Curves/meltCurve_sp_Q16654_PDK4_HUMAN_.pdf", "Melting_Curves/meltCurve_sp_Q16654_PDK4_HUMAN_.pdf")</f>
        <v>Melting_Curves/meltCurve_sp_Q16654_PDK4_HUMAN_.pdf</v>
      </c>
      <c r="AA2044" t="s">
        <v>16224</v>
      </c>
      <c r="AB2044" t="s">
        <v>20878</v>
      </c>
    </row>
    <row r="2045" spans="1:28" x14ac:dyDescent="0.25">
      <c r="A2045" t="s">
        <v>2049</v>
      </c>
      <c r="B2045">
        <v>0.99904790336628502</v>
      </c>
      <c r="C2045">
        <v>0.87484668876210903</v>
      </c>
      <c r="D2045">
        <v>0.882428153926473</v>
      </c>
      <c r="E2045">
        <v>0.915605470756507</v>
      </c>
      <c r="F2045">
        <v>0.92017248631289905</v>
      </c>
      <c r="G2045">
        <v>0.63530290247340804</v>
      </c>
      <c r="H2045">
        <v>0.27116977307984502</v>
      </c>
      <c r="I2045">
        <v>0.10750022375301301</v>
      </c>
      <c r="J2045">
        <v>6.3025326579876195E-2</v>
      </c>
      <c r="K2045">
        <v>4.6527990384274097E-2</v>
      </c>
      <c r="L2045">
        <v>1315.9313038436401</v>
      </c>
      <c r="M2045">
        <v>22.593541800341601</v>
      </c>
      <c r="N2045">
        <v>58.305325340466197</v>
      </c>
      <c r="O2045">
        <v>57.793170852134701</v>
      </c>
      <c r="P2045">
        <v>-9.6583328176279196E-2</v>
      </c>
      <c r="Q2045">
        <v>1.17982088752469E-2</v>
      </c>
      <c r="R2045">
        <v>0.977002934335782</v>
      </c>
      <c r="S2045" t="s">
        <v>6785</v>
      </c>
      <c r="T2045" t="s">
        <v>9478</v>
      </c>
      <c r="U2045" t="s">
        <v>9478</v>
      </c>
      <c r="V2045" t="s">
        <v>9478</v>
      </c>
      <c r="W2045">
        <v>12</v>
      </c>
      <c r="X2045" t="s">
        <v>11523</v>
      </c>
      <c r="Y2045">
        <v>0.62238944199220791</v>
      </c>
      <c r="Z2045" t="str">
        <f>HYPERLINK("Melting_Curves/meltCurve_sp_Q16658_FSCN1_HUMAN_.pdf", "Melting_Curves/meltCurve_sp_Q16658_FSCN1_HUMAN_.pdf")</f>
        <v>Melting_Curves/meltCurve_sp_Q16658_FSCN1_HUMAN_.pdf</v>
      </c>
      <c r="AA2045" t="s">
        <v>16225</v>
      </c>
      <c r="AB2045" t="s">
        <v>20879</v>
      </c>
    </row>
    <row r="2046" spans="1:28" x14ac:dyDescent="0.25">
      <c r="A2046" t="s">
        <v>2050</v>
      </c>
      <c r="B2046">
        <v>0.99904790336628502</v>
      </c>
      <c r="C2046">
        <v>0.97017604979681504</v>
      </c>
      <c r="D2046">
        <v>1.0252680562565499</v>
      </c>
      <c r="E2046">
        <v>1.0198875358811801</v>
      </c>
      <c r="F2046">
        <v>0.98357459244763301</v>
      </c>
      <c r="G2046">
        <v>0.84603205055717901</v>
      </c>
      <c r="H2046">
        <v>0.57052172973974002</v>
      </c>
      <c r="I2046">
        <v>0.36270956163055101</v>
      </c>
      <c r="J2046">
        <v>0.18776535888041401</v>
      </c>
      <c r="K2046">
        <v>9.6284997142158393E-2</v>
      </c>
      <c r="L2046">
        <v>1242.6035760806899</v>
      </c>
      <c r="M2046">
        <v>20.064526339839301</v>
      </c>
      <c r="N2046">
        <v>61.997498870631901</v>
      </c>
      <c r="O2046">
        <v>61.325044496729603</v>
      </c>
      <c r="P2046">
        <v>-8.09195721134187E-2</v>
      </c>
      <c r="Q2046">
        <v>1.0744284104015201E-2</v>
      </c>
      <c r="R2046">
        <v>0.99762834422125302</v>
      </c>
      <c r="S2046" t="s">
        <v>6786</v>
      </c>
      <c r="T2046" t="s">
        <v>9478</v>
      </c>
      <c r="U2046" t="s">
        <v>9478</v>
      </c>
      <c r="V2046" t="s">
        <v>9478</v>
      </c>
      <c r="W2046">
        <v>17</v>
      </c>
      <c r="X2046" t="s">
        <v>11524</v>
      </c>
      <c r="Y2046">
        <v>0.73720945006751581</v>
      </c>
      <c r="Z2046" t="str">
        <f>HYPERLINK("Melting_Curves/meltCurve_sp_Q16719_KYNU_HUMAN_.pdf", "Melting_Curves/meltCurve_sp_Q16719_KYNU_HUMAN_.pdf")</f>
        <v>Melting_Curves/meltCurve_sp_Q16719_KYNU_HUMAN_.pdf</v>
      </c>
      <c r="AA2046" t="s">
        <v>16226</v>
      </c>
      <c r="AB2046" t="s">
        <v>20880</v>
      </c>
    </row>
    <row r="2047" spans="1:28" x14ac:dyDescent="0.25">
      <c r="A2047" t="s">
        <v>2051</v>
      </c>
      <c r="B2047">
        <v>0.99904790336628502</v>
      </c>
      <c r="C2047">
        <v>0.89218793130648599</v>
      </c>
      <c r="D2047">
        <v>0.90962966094169695</v>
      </c>
      <c r="E2047">
        <v>0.81883878839340796</v>
      </c>
      <c r="F2047">
        <v>0.61687740786877898</v>
      </c>
      <c r="G2047">
        <v>0.347635823231081</v>
      </c>
      <c r="H2047">
        <v>0.13699480597175001</v>
      </c>
      <c r="I2047">
        <v>8.9690183482682304E-2</v>
      </c>
      <c r="J2047">
        <v>6.04341094088802E-2</v>
      </c>
      <c r="K2047">
        <v>3.6914117070367798E-2</v>
      </c>
      <c r="L2047">
        <v>828.69569403507205</v>
      </c>
      <c r="M2047">
        <v>15.2004862697435</v>
      </c>
      <c r="N2047">
        <v>54.517709497056401</v>
      </c>
      <c r="O2047">
        <v>53.600261339540602</v>
      </c>
      <c r="P2047">
        <v>-7.0904244266353098E-2</v>
      </c>
      <c r="Q2047">
        <v>0</v>
      </c>
      <c r="R2047">
        <v>0.99219065217941105</v>
      </c>
      <c r="S2047" t="s">
        <v>6787</v>
      </c>
      <c r="T2047" t="s">
        <v>9478</v>
      </c>
      <c r="U2047" t="s">
        <v>9478</v>
      </c>
      <c r="V2047" t="s">
        <v>9478</v>
      </c>
      <c r="W2047">
        <v>12</v>
      </c>
      <c r="X2047" t="s">
        <v>11525</v>
      </c>
      <c r="Y2047">
        <v>0.50353065924850771</v>
      </c>
      <c r="Z2047" t="str">
        <f>HYPERLINK("Melting_Curves/meltCurve_sp_Q16740_CLPP_HUMAN_.pdf", "Melting_Curves/meltCurve_sp_Q16740_CLPP_HUMAN_.pdf")</f>
        <v>Melting_Curves/meltCurve_sp_Q16740_CLPP_HUMAN_.pdf</v>
      </c>
      <c r="AA2047" t="s">
        <v>16227</v>
      </c>
      <c r="AB2047" t="s">
        <v>20881</v>
      </c>
    </row>
    <row r="2048" spans="1:28" x14ac:dyDescent="0.25">
      <c r="A2048" t="s">
        <v>2052</v>
      </c>
      <c r="B2048">
        <v>0.99904790336628502</v>
      </c>
      <c r="C2048">
        <v>1.1342988499184401</v>
      </c>
      <c r="D2048">
        <v>1.0854028081304701</v>
      </c>
      <c r="E2048">
        <v>0.94216668079144605</v>
      </c>
      <c r="F2048">
        <v>0.55047988144156701</v>
      </c>
      <c r="G2048">
        <v>0.13355714087835199</v>
      </c>
      <c r="H2048">
        <v>6.64658393011405E-2</v>
      </c>
      <c r="I2048">
        <v>4.0641585603239001E-2</v>
      </c>
      <c r="J2048">
        <v>2.9879082903050101E-2</v>
      </c>
      <c r="K2048">
        <v>2.21261466607225E-2</v>
      </c>
      <c r="L2048">
        <v>2018.0369237024599</v>
      </c>
      <c r="M2048">
        <v>37.899464688947504</v>
      </c>
      <c r="N2048">
        <v>53.367069137379303</v>
      </c>
      <c r="O2048">
        <v>53.099512889836703</v>
      </c>
      <c r="P2048">
        <v>-0.171150352311295</v>
      </c>
      <c r="Q2048">
        <v>4.0833241297376401E-2</v>
      </c>
      <c r="R2048">
        <v>0.98738571320520896</v>
      </c>
      <c r="S2048" t="s">
        <v>6788</v>
      </c>
      <c r="T2048" t="s">
        <v>9478</v>
      </c>
      <c r="U2048" t="s">
        <v>9478</v>
      </c>
      <c r="V2048" t="s">
        <v>9478</v>
      </c>
      <c r="W2048">
        <v>20</v>
      </c>
      <c r="X2048" t="s">
        <v>11526</v>
      </c>
      <c r="Y2048">
        <v>0.46830086477288968</v>
      </c>
      <c r="Z2048" t="str">
        <f>HYPERLINK("Melting_Curves/meltCurve_sp_Q16762_THTR_HUMAN_.pdf", "Melting_Curves/meltCurve_sp_Q16762_THTR_HUMAN_.pdf")</f>
        <v>Melting_Curves/meltCurve_sp_Q16762_THTR_HUMAN_.pdf</v>
      </c>
      <c r="AA2048" t="s">
        <v>16228</v>
      </c>
      <c r="AB2048" t="s">
        <v>20882</v>
      </c>
    </row>
    <row r="2049" spans="1:28" x14ac:dyDescent="0.25">
      <c r="A2049" t="s">
        <v>2053</v>
      </c>
      <c r="B2049">
        <v>0.99904790336628502</v>
      </c>
      <c r="C2049">
        <v>0.85308899700778995</v>
      </c>
      <c r="D2049">
        <v>0.91302633441969805</v>
      </c>
      <c r="E2049">
        <v>0.95700107297544001</v>
      </c>
      <c r="F2049">
        <v>0.98937887484254505</v>
      </c>
      <c r="G2049">
        <v>0.78785182068610704</v>
      </c>
      <c r="H2049">
        <v>0.47045849473267598</v>
      </c>
      <c r="I2049">
        <v>0.22271926712245099</v>
      </c>
      <c r="J2049">
        <v>0.111817766260059</v>
      </c>
      <c r="K2049">
        <v>7.2212609369011194E-2</v>
      </c>
      <c r="L2049">
        <v>1386.63003595234</v>
      </c>
      <c r="M2049">
        <v>22.9636831621463</v>
      </c>
      <c r="N2049">
        <v>60.518161376519103</v>
      </c>
      <c r="O2049">
        <v>59.931283570568297</v>
      </c>
      <c r="P2049">
        <v>-9.3409655917994897E-2</v>
      </c>
      <c r="Q2049">
        <v>2.48855029563783E-2</v>
      </c>
      <c r="R2049">
        <v>0.97567495490862099</v>
      </c>
      <c r="S2049" t="s">
        <v>6789</v>
      </c>
      <c r="T2049" t="s">
        <v>9478</v>
      </c>
      <c r="U2049" t="s">
        <v>9478</v>
      </c>
      <c r="V2049" t="s">
        <v>9478</v>
      </c>
      <c r="W2049">
        <v>8</v>
      </c>
      <c r="X2049" t="s">
        <v>11527</v>
      </c>
      <c r="Y2049">
        <v>0.69463575387388765</v>
      </c>
      <c r="Z2049" t="str">
        <f>HYPERLINK("Melting_Curves/meltCurve_sp_Q16773_KAT1_HUMAN_.pdf", "Melting_Curves/meltCurve_sp_Q16773_KAT1_HUMAN_.pdf")</f>
        <v>Melting_Curves/meltCurve_sp_Q16773_KAT1_HUMAN_.pdf</v>
      </c>
      <c r="AA2049" t="s">
        <v>16229</v>
      </c>
      <c r="AB2049" t="s">
        <v>20883</v>
      </c>
    </row>
    <row r="2050" spans="1:28" x14ac:dyDescent="0.25">
      <c r="A2050" t="s">
        <v>2054</v>
      </c>
      <c r="B2050">
        <v>0.99904790336628502</v>
      </c>
      <c r="C2050">
        <v>0.97863796233196998</v>
      </c>
      <c r="D2050">
        <v>0.98748106192368301</v>
      </c>
      <c r="E2050">
        <v>0.97562647327211505</v>
      </c>
      <c r="F2050">
        <v>1.0023216489522599</v>
      </c>
      <c r="G2050">
        <v>0.79388887669819597</v>
      </c>
      <c r="H2050">
        <v>0.59868626849753304</v>
      </c>
      <c r="I2050">
        <v>0.39756353699494801</v>
      </c>
      <c r="J2050">
        <v>0.24689757799218501</v>
      </c>
      <c r="K2050">
        <v>0.115233785018935</v>
      </c>
      <c r="L2050">
        <v>1055.3216098851501</v>
      </c>
      <c r="M2050">
        <v>16.930233268830399</v>
      </c>
      <c r="N2050">
        <v>62.333554574105797</v>
      </c>
      <c r="O2050">
        <v>61.483377456778904</v>
      </c>
      <c r="P2050">
        <v>-6.8845007567501004E-2</v>
      </c>
      <c r="Q2050">
        <v>0</v>
      </c>
      <c r="R2050">
        <v>0.99524772581519105</v>
      </c>
      <c r="S2050" t="s">
        <v>6790</v>
      </c>
      <c r="T2050" t="s">
        <v>9478</v>
      </c>
      <c r="U2050" t="s">
        <v>9478</v>
      </c>
      <c r="V2050" t="s">
        <v>9478</v>
      </c>
      <c r="W2050">
        <v>23</v>
      </c>
      <c r="X2050" t="s">
        <v>11528</v>
      </c>
      <c r="Y2050">
        <v>0.7431067488024411</v>
      </c>
      <c r="Z2050" t="str">
        <f>HYPERLINK("Melting_Curves/meltCurve_sp_Q16775_GLO2_HUMAN_.pdf", "Melting_Curves/meltCurve_sp_Q16775_GLO2_HUMAN_.pdf")</f>
        <v>Melting_Curves/meltCurve_sp_Q16775_GLO2_HUMAN_.pdf</v>
      </c>
      <c r="AA2050" t="s">
        <v>16230</v>
      </c>
      <c r="AB2050" t="s">
        <v>20884</v>
      </c>
    </row>
    <row r="2051" spans="1:28" x14ac:dyDescent="0.25">
      <c r="A2051" t="s">
        <v>2055</v>
      </c>
      <c r="B2051">
        <v>0.99904790336628502</v>
      </c>
      <c r="C2051">
        <v>1.04489018942525</v>
      </c>
      <c r="D2051">
        <v>0.979803914432541</v>
      </c>
      <c r="E2051">
        <v>0.67334748086676799</v>
      </c>
      <c r="F2051">
        <v>0.44045723111898</v>
      </c>
      <c r="G2051">
        <v>0.25003565323872101</v>
      </c>
      <c r="H2051">
        <v>8.4125758852439697E-2</v>
      </c>
      <c r="I2051">
        <v>4.42984596411568E-2</v>
      </c>
      <c r="J2051">
        <v>3.0675430432384E-2</v>
      </c>
      <c r="K2051">
        <v>2.5006596934274799E-2</v>
      </c>
      <c r="L2051">
        <v>952.35876925871298</v>
      </c>
      <c r="M2051">
        <v>18.187443735518499</v>
      </c>
      <c r="N2051">
        <v>52.478710219343</v>
      </c>
      <c r="O2051">
        <v>51.742796087817297</v>
      </c>
      <c r="P2051">
        <v>-8.6159069325887003E-2</v>
      </c>
      <c r="Q2051">
        <v>1.9565342287720701E-2</v>
      </c>
      <c r="R2051">
        <v>0.993605557209851</v>
      </c>
      <c r="S2051" t="s">
        <v>6791</v>
      </c>
      <c r="T2051" t="s">
        <v>9478</v>
      </c>
      <c r="U2051" t="s">
        <v>9478</v>
      </c>
      <c r="V2051" t="s">
        <v>9478</v>
      </c>
      <c r="W2051">
        <v>55</v>
      </c>
      <c r="X2051" t="s">
        <v>11529</v>
      </c>
      <c r="Y2051">
        <v>0.43957018411786469</v>
      </c>
      <c r="Z2051" t="str">
        <f>HYPERLINK("Melting_Curves/meltCurve_sp_Q16822_PCKGM_HUMAN_.pdf", "Melting_Curves/meltCurve_sp_Q16822_PCKGM_HUMAN_.pdf")</f>
        <v>Melting_Curves/meltCurve_sp_Q16822_PCKGM_HUMAN_.pdf</v>
      </c>
      <c r="AA2051" t="s">
        <v>16231</v>
      </c>
      <c r="AB2051" t="s">
        <v>20885</v>
      </c>
    </row>
    <row r="2052" spans="1:28" x14ac:dyDescent="0.25">
      <c r="A2052" t="s">
        <v>2056</v>
      </c>
      <c r="B2052">
        <v>0.99904790336628502</v>
      </c>
      <c r="C2052">
        <v>1.3049330267000401</v>
      </c>
      <c r="D2052">
        <v>1.4922483309805299</v>
      </c>
      <c r="E2052">
        <v>1.8546943617309499</v>
      </c>
      <c r="F2052">
        <v>1.1088643205086</v>
      </c>
      <c r="G2052">
        <v>0.86751845368439695</v>
      </c>
      <c r="H2052">
        <v>0.61021680536287704</v>
      </c>
      <c r="I2052">
        <v>0.81988736282432095</v>
      </c>
      <c r="J2052">
        <v>0.74031497652942202</v>
      </c>
      <c r="K2052">
        <v>0.84980487609828703</v>
      </c>
      <c r="L2052">
        <v>14240.6620013749</v>
      </c>
      <c r="M2052">
        <v>250</v>
      </c>
      <c r="O2052">
        <v>56.959001404062398</v>
      </c>
      <c r="P2052">
        <v>-0.268772253301298</v>
      </c>
      <c r="Q2052">
        <v>0.75505600794368799</v>
      </c>
      <c r="R2052">
        <v>0.16240302759011899</v>
      </c>
      <c r="S2052" t="s">
        <v>6792</v>
      </c>
      <c r="T2052" t="s">
        <v>9478</v>
      </c>
      <c r="U2052" t="s">
        <v>9478</v>
      </c>
      <c r="V2052" t="s">
        <v>9478</v>
      </c>
      <c r="W2052">
        <v>1</v>
      </c>
      <c r="X2052" t="s">
        <v>11530</v>
      </c>
      <c r="Y2052">
        <v>0.89357711858579991</v>
      </c>
      <c r="Z2052" t="str">
        <f>HYPERLINK("Melting_Curves/meltCurve_sp_Q16825_PTN21_HUMAN_.pdf", "Melting_Curves/meltCurve_sp_Q16825_PTN21_HUMAN_.pdf")</f>
        <v>Melting_Curves/meltCurve_sp_Q16825_PTN21_HUMAN_.pdf</v>
      </c>
      <c r="AA2052" t="s">
        <v>16232</v>
      </c>
      <c r="AB2052" t="s">
        <v>20886</v>
      </c>
    </row>
    <row r="2053" spans="1:28" x14ac:dyDescent="0.25">
      <c r="A2053" t="s">
        <v>2057</v>
      </c>
      <c r="B2053">
        <v>0.99904790336628502</v>
      </c>
      <c r="C2053">
        <v>1.0181125354409</v>
      </c>
      <c r="D2053">
        <v>1.0831525169043601</v>
      </c>
      <c r="E2053">
        <v>0.89110080453103402</v>
      </c>
      <c r="F2053">
        <v>0.79135729024991797</v>
      </c>
      <c r="G2053">
        <v>0.52626109239478802</v>
      </c>
      <c r="H2053">
        <v>0.291192012679798</v>
      </c>
      <c r="I2053">
        <v>0.151047392779176</v>
      </c>
      <c r="J2053">
        <v>0.101994165409818</v>
      </c>
      <c r="K2053">
        <v>7.38957803193213E-2</v>
      </c>
      <c r="L2053">
        <v>970.98009306555696</v>
      </c>
      <c r="M2053">
        <v>16.992361628880399</v>
      </c>
      <c r="N2053">
        <v>57.347584802338098</v>
      </c>
      <c r="O2053">
        <v>56.3683494609947</v>
      </c>
      <c r="P2053">
        <v>-7.31422764120324E-2</v>
      </c>
      <c r="Q2053">
        <v>2.9527676896769502E-2</v>
      </c>
      <c r="R2053">
        <v>0.99236709302783899</v>
      </c>
      <c r="S2053" t="s">
        <v>6793</v>
      </c>
      <c r="T2053" t="s">
        <v>9478</v>
      </c>
      <c r="U2053" t="s">
        <v>9478</v>
      </c>
      <c r="V2053" t="s">
        <v>9478</v>
      </c>
      <c r="W2053">
        <v>5</v>
      </c>
      <c r="X2053" t="s">
        <v>11531</v>
      </c>
      <c r="Y2053">
        <v>0.59789923278655077</v>
      </c>
      <c r="Z2053" t="str">
        <f>HYPERLINK("Melting_Curves/meltCurve_sp_Q16831_UPP1_HUMAN_.pdf", "Melting_Curves/meltCurve_sp_Q16831_UPP1_HUMAN_.pdf")</f>
        <v>Melting_Curves/meltCurve_sp_Q16831_UPP1_HUMAN_.pdf</v>
      </c>
      <c r="AA2053" t="s">
        <v>16233</v>
      </c>
      <c r="AB2053" t="s">
        <v>20887</v>
      </c>
    </row>
    <row r="2054" spans="1:28" x14ac:dyDescent="0.25">
      <c r="A2054" t="s">
        <v>2058</v>
      </c>
      <c r="B2054">
        <v>0.99904790336628502</v>
      </c>
      <c r="C2054">
        <v>1.0211369052651</v>
      </c>
      <c r="D2054">
        <v>1.053690122556</v>
      </c>
      <c r="E2054">
        <v>1.0558186995724801</v>
      </c>
      <c r="F2054">
        <v>1.0600057708036299</v>
      </c>
      <c r="G2054">
        <v>0.87965099406496206</v>
      </c>
      <c r="H2054">
        <v>0.79133445280640402</v>
      </c>
      <c r="I2054">
        <v>0.77031731484736499</v>
      </c>
      <c r="J2054">
        <v>0.69853614169412104</v>
      </c>
      <c r="K2054">
        <v>0.43813367303481698</v>
      </c>
      <c r="L2054">
        <v>855.65173624627096</v>
      </c>
      <c r="M2054">
        <v>12.2693012461606</v>
      </c>
      <c r="N2054">
        <v>69.739238906574101</v>
      </c>
      <c r="O2054">
        <v>67.964257295929599</v>
      </c>
      <c r="P2054">
        <v>-4.5141441278787303E-2</v>
      </c>
      <c r="Q2054">
        <v>0</v>
      </c>
      <c r="R2054">
        <v>0.91986431853598605</v>
      </c>
      <c r="S2054" t="s">
        <v>6794</v>
      </c>
      <c r="T2054" t="s">
        <v>9478</v>
      </c>
      <c r="U2054" t="s">
        <v>9478</v>
      </c>
      <c r="V2054" t="s">
        <v>9478</v>
      </c>
      <c r="W2054">
        <v>27</v>
      </c>
      <c r="X2054" t="s">
        <v>11532</v>
      </c>
      <c r="Y2054">
        <v>0.88454358568542446</v>
      </c>
      <c r="Z2054" t="str">
        <f>HYPERLINK("Melting_Curves/meltCurve_sp_Q16836_HCDH_HUMAN_.pdf", "Melting_Curves/meltCurve_sp_Q16836_HCDH_HUMAN_.pdf")</f>
        <v>Melting_Curves/meltCurve_sp_Q16836_HCDH_HUMAN_.pdf</v>
      </c>
      <c r="AA2054" t="s">
        <v>16234</v>
      </c>
      <c r="AB2054" t="s">
        <v>20888</v>
      </c>
    </row>
    <row r="2055" spans="1:28" x14ac:dyDescent="0.25">
      <c r="A2055" t="s">
        <v>2059</v>
      </c>
      <c r="B2055">
        <v>0.99904790336628502</v>
      </c>
      <c r="C2055">
        <v>1.08516511179266</v>
      </c>
      <c r="D2055">
        <v>1.17855824401225</v>
      </c>
      <c r="E2055">
        <v>1.00521480943776</v>
      </c>
      <c r="F2055">
        <v>0.71479152595647399</v>
      </c>
      <c r="G2055">
        <v>0.288394885225283</v>
      </c>
      <c r="H2055">
        <v>6.5952121585983597E-2</v>
      </c>
      <c r="I2055">
        <v>4.6215297192365203E-2</v>
      </c>
      <c r="J2055">
        <v>4.0379247422931502E-2</v>
      </c>
      <c r="K2055">
        <v>3.79731224582881E-2</v>
      </c>
      <c r="L2055">
        <v>1676.2315421384999</v>
      </c>
      <c r="M2055">
        <v>30.575989278425599</v>
      </c>
      <c r="N2055">
        <v>54.956688026032502</v>
      </c>
      <c r="O2055">
        <v>54.5889200131896</v>
      </c>
      <c r="P2055">
        <v>-0.134968051888743</v>
      </c>
      <c r="Q2055">
        <v>3.6143516607841097E-2</v>
      </c>
      <c r="R2055">
        <v>0.97952735554621095</v>
      </c>
      <c r="S2055" t="s">
        <v>6795</v>
      </c>
      <c r="T2055" t="s">
        <v>9478</v>
      </c>
      <c r="U2055" t="s">
        <v>9478</v>
      </c>
      <c r="V2055" t="s">
        <v>9478</v>
      </c>
      <c r="W2055">
        <v>43</v>
      </c>
      <c r="X2055" t="s">
        <v>11533</v>
      </c>
      <c r="Y2055">
        <v>0.51850477914906901</v>
      </c>
      <c r="Z2055" t="str">
        <f>HYPERLINK("Melting_Curves/meltCurve_sp_Q16851_2_UGPA_HUMAN_.pdf", "Melting_Curves/meltCurve_sp_Q16851_2_UGPA_HUMAN_.pdf")</f>
        <v>Melting_Curves/meltCurve_sp_Q16851_2_UGPA_HUMAN_.pdf</v>
      </c>
      <c r="AA2055" t="s">
        <v>16235</v>
      </c>
      <c r="AB2055" t="s">
        <v>20889</v>
      </c>
    </row>
    <row r="2056" spans="1:28" x14ac:dyDescent="0.25">
      <c r="A2056" t="s">
        <v>2060</v>
      </c>
      <c r="B2056">
        <v>0.99904790336628502</v>
      </c>
      <c r="C2056">
        <v>1.1364654486624699</v>
      </c>
      <c r="D2056">
        <v>1.1987579621150799</v>
      </c>
      <c r="E2056">
        <v>1.08951089768064</v>
      </c>
      <c r="F2056">
        <v>1.01976760359313</v>
      </c>
      <c r="G2056">
        <v>0.37290209676448999</v>
      </c>
      <c r="H2056">
        <v>7.3130527111837706E-2</v>
      </c>
      <c r="I2056">
        <v>4.4878415345174401E-2</v>
      </c>
      <c r="J2056">
        <v>3.3104408704496602E-2</v>
      </c>
      <c r="K2056">
        <v>2.8177991239675799E-2</v>
      </c>
      <c r="L2056">
        <v>6386.8104578660596</v>
      </c>
      <c r="M2056">
        <v>112.696501366752</v>
      </c>
      <c r="N2056">
        <v>56.719832402805899</v>
      </c>
      <c r="O2056">
        <v>56.654820189050703</v>
      </c>
      <c r="P2056">
        <v>-0.475051214027153</v>
      </c>
      <c r="Q2056">
        <v>4.4728459104946501E-2</v>
      </c>
      <c r="R2056">
        <v>0.97297835534575206</v>
      </c>
      <c r="S2056" t="s">
        <v>6796</v>
      </c>
      <c r="T2056" t="s">
        <v>9478</v>
      </c>
      <c r="U2056" t="s">
        <v>9478</v>
      </c>
      <c r="V2056" t="s">
        <v>9478</v>
      </c>
      <c r="W2056">
        <v>44</v>
      </c>
      <c r="X2056" t="s">
        <v>11534</v>
      </c>
      <c r="Y2056">
        <v>0.57609366094822456</v>
      </c>
      <c r="Z2056" t="str">
        <f>HYPERLINK("Melting_Curves/meltCurve_sp_Q16851_UGPA_HUMAN_.pdf", "Melting_Curves/meltCurve_sp_Q16851_UGPA_HUMAN_.pdf")</f>
        <v>Melting_Curves/meltCurve_sp_Q16851_UGPA_HUMAN_.pdf</v>
      </c>
      <c r="AA2056" t="s">
        <v>16235</v>
      </c>
      <c r="AB2056" t="s">
        <v>20890</v>
      </c>
    </row>
    <row r="2057" spans="1:28" x14ac:dyDescent="0.25">
      <c r="A2057" t="s">
        <v>2061</v>
      </c>
      <c r="B2057">
        <v>0.99904790336628502</v>
      </c>
      <c r="C2057">
        <v>0.71678425056422002</v>
      </c>
      <c r="D2057">
        <v>0.72326568555605197</v>
      </c>
      <c r="E2057">
        <v>0.78773387372273496</v>
      </c>
      <c r="F2057">
        <v>0.75376562819726201</v>
      </c>
      <c r="G2057">
        <v>0.79421283245936203</v>
      </c>
      <c r="H2057">
        <v>0.62844512705019895</v>
      </c>
      <c r="I2057">
        <v>0.43257286824096702</v>
      </c>
      <c r="J2057">
        <v>5.8855631755063101E-2</v>
      </c>
      <c r="K2057">
        <v>3.8392212855609197E-2</v>
      </c>
      <c r="L2057">
        <v>638.93231184990304</v>
      </c>
      <c r="M2057">
        <v>10.5966051714027</v>
      </c>
      <c r="N2057">
        <v>60.295947822324301</v>
      </c>
      <c r="O2057">
        <v>58.267435155722403</v>
      </c>
      <c r="P2057">
        <v>-4.5483093274215999E-2</v>
      </c>
      <c r="Q2057">
        <v>0</v>
      </c>
      <c r="R2057">
        <v>0.716682452176023</v>
      </c>
      <c r="S2057" t="s">
        <v>6797</v>
      </c>
      <c r="T2057" t="s">
        <v>9478</v>
      </c>
      <c r="U2057" t="s">
        <v>9478</v>
      </c>
      <c r="V2057" t="s">
        <v>9478</v>
      </c>
      <c r="W2057">
        <v>6</v>
      </c>
      <c r="X2057" t="s">
        <v>11535</v>
      </c>
      <c r="Y2057">
        <v>0.6726799923576553</v>
      </c>
      <c r="Z2057" t="str">
        <f>HYPERLINK("Melting_Curves/meltCurve_sp_Q16854_DGUOK_HUMAN_.pdf", "Melting_Curves/meltCurve_sp_Q16854_DGUOK_HUMAN_.pdf")</f>
        <v>Melting_Curves/meltCurve_sp_Q16854_DGUOK_HUMAN_.pdf</v>
      </c>
      <c r="AA2057" t="s">
        <v>16236</v>
      </c>
      <c r="AB2057" t="s">
        <v>20891</v>
      </c>
    </row>
    <row r="2058" spans="1:28" x14ac:dyDescent="0.25">
      <c r="A2058" t="s">
        <v>2062</v>
      </c>
      <c r="B2058">
        <v>0.99904790336628502</v>
      </c>
      <c r="C2058">
        <v>1.0047008890425899</v>
      </c>
      <c r="D2058">
        <v>1.1257394445162401</v>
      </c>
      <c r="E2058">
        <v>1.0420513820355399</v>
      </c>
      <c r="F2058">
        <v>0.93251714494559002</v>
      </c>
      <c r="G2058">
        <v>0.71386083929349697</v>
      </c>
      <c r="H2058">
        <v>0.52661753580793502</v>
      </c>
      <c r="I2058">
        <v>0.297381722673492</v>
      </c>
      <c r="J2058">
        <v>0.247739662620549</v>
      </c>
      <c r="K2058">
        <v>0.21713573445927201</v>
      </c>
      <c r="L2058">
        <v>1208.06060621646</v>
      </c>
      <c r="M2058">
        <v>20.3461652909271</v>
      </c>
      <c r="N2058">
        <v>60.656879235910502</v>
      </c>
      <c r="O2058">
        <v>58.810689610801703</v>
      </c>
      <c r="P2058">
        <v>-7.1382462502063301E-2</v>
      </c>
      <c r="Q2058">
        <v>0.17469959254060299</v>
      </c>
      <c r="R2058">
        <v>0.97863177195812301</v>
      </c>
      <c r="S2058" t="s">
        <v>6798</v>
      </c>
      <c r="T2058" t="s">
        <v>9478</v>
      </c>
      <c r="U2058" t="s">
        <v>9478</v>
      </c>
      <c r="V2058" t="s">
        <v>9478</v>
      </c>
      <c r="W2058">
        <v>1</v>
      </c>
      <c r="X2058" t="s">
        <v>11536</v>
      </c>
      <c r="Y2058">
        <v>0.71547659760505755</v>
      </c>
      <c r="Z2058" t="str">
        <f>HYPERLINK("Melting_Curves/meltCurve_sp_Q16864_VATF_HUMAN_.pdf", "Melting_Curves/meltCurve_sp_Q16864_VATF_HUMAN_.pdf")</f>
        <v>Melting_Curves/meltCurve_sp_Q16864_VATF_HUMAN_.pdf</v>
      </c>
      <c r="AA2058" t="s">
        <v>16237</v>
      </c>
      <c r="AB2058" t="s">
        <v>20892</v>
      </c>
    </row>
    <row r="2059" spans="1:28" x14ac:dyDescent="0.25">
      <c r="A2059" t="s">
        <v>2063</v>
      </c>
      <c r="B2059">
        <v>0.99904790336628502</v>
      </c>
      <c r="C2059">
        <v>1.0194618457937601</v>
      </c>
      <c r="D2059">
        <v>0.90025823548848605</v>
      </c>
      <c r="E2059">
        <v>0.85156058952251601</v>
      </c>
      <c r="F2059">
        <v>0.65639801492401495</v>
      </c>
      <c r="G2059">
        <v>0.333204376284916</v>
      </c>
      <c r="H2059">
        <v>0.16712311166830701</v>
      </c>
      <c r="I2059">
        <v>0.107574984340846</v>
      </c>
      <c r="J2059">
        <v>9.2018580123061605E-2</v>
      </c>
      <c r="K2059">
        <v>6.4092634871148399E-2</v>
      </c>
      <c r="L2059">
        <v>974.65782793655603</v>
      </c>
      <c r="M2059">
        <v>17.8864594528822</v>
      </c>
      <c r="N2059">
        <v>54.800792119273702</v>
      </c>
      <c r="O2059">
        <v>53.8239640819762</v>
      </c>
      <c r="P2059">
        <v>-7.9092395229711995E-2</v>
      </c>
      <c r="Q2059">
        <v>4.80286679808321E-2</v>
      </c>
      <c r="R2059">
        <v>0.99610992550472099</v>
      </c>
      <c r="S2059" t="s">
        <v>6799</v>
      </c>
      <c r="T2059" t="s">
        <v>9478</v>
      </c>
      <c r="U2059" t="s">
        <v>9478</v>
      </c>
      <c r="V2059" t="s">
        <v>9478</v>
      </c>
      <c r="W2059">
        <v>2</v>
      </c>
      <c r="X2059" t="s">
        <v>11537</v>
      </c>
      <c r="Y2059">
        <v>0.52301476844047623</v>
      </c>
      <c r="Z2059" t="str">
        <f>HYPERLINK("Melting_Curves/meltCurve_sp_Q16878_CDO1_HUMAN_.pdf", "Melting_Curves/meltCurve_sp_Q16878_CDO1_HUMAN_.pdf")</f>
        <v>Melting_Curves/meltCurve_sp_Q16878_CDO1_HUMAN_.pdf</v>
      </c>
      <c r="AA2059" t="s">
        <v>16238</v>
      </c>
      <c r="AB2059" t="s">
        <v>20893</v>
      </c>
    </row>
    <row r="2060" spans="1:28" x14ac:dyDescent="0.25">
      <c r="A2060" t="s">
        <v>2064</v>
      </c>
      <c r="B2060">
        <v>0.99904790336628502</v>
      </c>
      <c r="C2060">
        <v>1.2431077962096</v>
      </c>
      <c r="D2060">
        <v>1.2990900483143599</v>
      </c>
      <c r="E2060">
        <v>1.3202096317692</v>
      </c>
      <c r="F2060">
        <v>1.0020881068393399</v>
      </c>
      <c r="G2060">
        <v>1.20188549782804</v>
      </c>
      <c r="H2060">
        <v>0.56891125209448201</v>
      </c>
      <c r="I2060">
        <v>0.35598336695014599</v>
      </c>
      <c r="J2060">
        <v>0.30781226962750002</v>
      </c>
      <c r="K2060">
        <v>0.212835729220583</v>
      </c>
      <c r="L2060">
        <v>6390.6098669551202</v>
      </c>
      <c r="M2060">
        <v>105.189495245077</v>
      </c>
      <c r="N2060">
        <v>61.260221608235298</v>
      </c>
      <c r="O2060">
        <v>60.731377145733198</v>
      </c>
      <c r="P2060">
        <v>-0.30717229331010698</v>
      </c>
      <c r="Q2060">
        <v>0.29061395273712398</v>
      </c>
      <c r="R2060">
        <v>0.82914551826774097</v>
      </c>
      <c r="S2060" t="s">
        <v>6800</v>
      </c>
      <c r="T2060" t="s">
        <v>9478</v>
      </c>
      <c r="U2060" t="s">
        <v>9478</v>
      </c>
      <c r="V2060" t="s">
        <v>9478</v>
      </c>
      <c r="W2060">
        <v>3</v>
      </c>
      <c r="X2060" t="s">
        <v>11538</v>
      </c>
      <c r="Y2060">
        <v>0.78177852413691984</v>
      </c>
      <c r="Z2060" t="str">
        <f>HYPERLINK("Melting_Curves/meltCurve_sp_Q17R31_5_TATD3_HUMAN_.pdf", "Melting_Curves/meltCurve_sp_Q17R31_5_TATD3_HUMAN_.pdf")</f>
        <v>Melting_Curves/meltCurve_sp_Q17R31_5_TATD3_HUMAN_.pdf</v>
      </c>
      <c r="AA2060" t="s">
        <v>16239</v>
      </c>
      <c r="AB2060" t="s">
        <v>20894</v>
      </c>
    </row>
    <row r="2061" spans="1:28" x14ac:dyDescent="0.25">
      <c r="A2061" t="s">
        <v>2065</v>
      </c>
      <c r="B2061">
        <v>0.99904790336628502</v>
      </c>
      <c r="C2061">
        <v>0.81807651884874899</v>
      </c>
      <c r="D2061">
        <v>0.677681658275053</v>
      </c>
      <c r="E2061">
        <v>0.56417240884782704</v>
      </c>
      <c r="F2061">
        <v>0.53634054768427297</v>
      </c>
      <c r="G2061">
        <v>0.43233134757816999</v>
      </c>
      <c r="H2061">
        <v>0.301855293647177</v>
      </c>
      <c r="I2061">
        <v>0.33477528413802399</v>
      </c>
      <c r="J2061">
        <v>0.361769157071615</v>
      </c>
      <c r="K2061">
        <v>0.45696766710203202</v>
      </c>
      <c r="L2061">
        <v>598.25537911925505</v>
      </c>
      <c r="M2061">
        <v>12.7978970529803</v>
      </c>
      <c r="N2061">
        <v>51.916898675511703</v>
      </c>
      <c r="O2061">
        <v>45.649130004240398</v>
      </c>
      <c r="P2061">
        <v>-4.4849257330310803E-2</v>
      </c>
      <c r="Q2061">
        <v>0.36022449068371198</v>
      </c>
      <c r="R2061">
        <v>0.93854148553850902</v>
      </c>
      <c r="S2061" t="s">
        <v>6801</v>
      </c>
      <c r="T2061" t="s">
        <v>9478</v>
      </c>
      <c r="U2061" t="s">
        <v>9478</v>
      </c>
      <c r="V2061" t="s">
        <v>9478</v>
      </c>
      <c r="W2061">
        <v>8</v>
      </c>
      <c r="X2061" t="s">
        <v>11539</v>
      </c>
      <c r="Y2061">
        <v>0.52836096257536069</v>
      </c>
      <c r="Z2061" t="str">
        <f>HYPERLINK("Melting_Curves/meltCurve_sp_Q17RC7_EX3L4_HUMAN_.pdf", "Melting_Curves/meltCurve_sp_Q17RC7_EX3L4_HUMAN_.pdf")</f>
        <v>Melting_Curves/meltCurve_sp_Q17RC7_EX3L4_HUMAN_.pdf</v>
      </c>
      <c r="AA2061" t="s">
        <v>16240</v>
      </c>
      <c r="AB2061" t="s">
        <v>20895</v>
      </c>
    </row>
    <row r="2062" spans="1:28" x14ac:dyDescent="0.25">
      <c r="A2062" t="s">
        <v>2066</v>
      </c>
      <c r="B2062">
        <v>0.99904790336628502</v>
      </c>
      <c r="C2062">
        <v>0.88911274919718297</v>
      </c>
      <c r="D2062">
        <v>0.87477809511061799</v>
      </c>
      <c r="E2062">
        <v>0.85983500279065295</v>
      </c>
      <c r="F2062">
        <v>0.59447731282676497</v>
      </c>
      <c r="G2062">
        <v>0.28832197383735902</v>
      </c>
      <c r="H2062">
        <v>0.261758963937755</v>
      </c>
      <c r="I2062">
        <v>0.17502152225561499</v>
      </c>
      <c r="J2062">
        <v>0.105176788007271</v>
      </c>
      <c r="K2062">
        <v>3.2665126618301003E-2</v>
      </c>
      <c r="L2062">
        <v>709.43934935443701</v>
      </c>
      <c r="M2062">
        <v>13.0082027577426</v>
      </c>
      <c r="N2062">
        <v>54.675798238414799</v>
      </c>
      <c r="O2062">
        <v>53.297242881153799</v>
      </c>
      <c r="P2062">
        <v>-6.0042761807577998E-2</v>
      </c>
      <c r="Q2062">
        <v>1.6144180616142499E-2</v>
      </c>
      <c r="R2062">
        <v>0.97682814791046502</v>
      </c>
      <c r="S2062" t="s">
        <v>6802</v>
      </c>
      <c r="T2062" t="s">
        <v>9478</v>
      </c>
      <c r="U2062" t="s">
        <v>9478</v>
      </c>
      <c r="V2062" t="s">
        <v>9478</v>
      </c>
      <c r="W2062">
        <v>3</v>
      </c>
      <c r="X2062" t="s">
        <v>11540</v>
      </c>
      <c r="Y2062">
        <v>0.51560238333925967</v>
      </c>
      <c r="Z2062" t="str">
        <f>HYPERLINK("Melting_Curves/meltCurve_sp_Q17RN3_FA98C_HUMAN_.pdf", "Melting_Curves/meltCurve_sp_Q17RN3_FA98C_HUMAN_.pdf")</f>
        <v>Melting_Curves/meltCurve_sp_Q17RN3_FA98C_HUMAN_.pdf</v>
      </c>
      <c r="AA2062" t="s">
        <v>16241</v>
      </c>
      <c r="AB2062" t="s">
        <v>20896</v>
      </c>
    </row>
    <row r="2063" spans="1:28" x14ac:dyDescent="0.25">
      <c r="A2063" t="s">
        <v>2067</v>
      </c>
      <c r="B2063">
        <v>0.99904790336628502</v>
      </c>
      <c r="C2063">
        <v>0.95305867854083803</v>
      </c>
      <c r="D2063">
        <v>0.89767041683790105</v>
      </c>
      <c r="E2063">
        <v>0.81868739107737298</v>
      </c>
      <c r="F2063">
        <v>0.80138343039290505</v>
      </c>
      <c r="G2063">
        <v>0.63396253655498502</v>
      </c>
      <c r="H2063">
        <v>0.55833190316522097</v>
      </c>
      <c r="I2063">
        <v>0.52232789541947899</v>
      </c>
      <c r="J2063">
        <v>0.67256906467108402</v>
      </c>
      <c r="K2063">
        <v>0.72640148673816396</v>
      </c>
      <c r="L2063">
        <v>780.35796395177499</v>
      </c>
      <c r="M2063">
        <v>15.5036189609004</v>
      </c>
      <c r="O2063">
        <v>49.518803266828598</v>
      </c>
      <c r="P2063">
        <v>-3.03778551594115E-2</v>
      </c>
      <c r="Q2063">
        <v>0.61192505390181395</v>
      </c>
      <c r="R2063">
        <v>0.839894078508575</v>
      </c>
      <c r="S2063" t="s">
        <v>6803</v>
      </c>
      <c r="T2063" t="s">
        <v>9478</v>
      </c>
      <c r="U2063" t="s">
        <v>9478</v>
      </c>
      <c r="V2063" t="s">
        <v>9478</v>
      </c>
      <c r="W2063">
        <v>1</v>
      </c>
      <c r="X2063" t="s">
        <v>11541</v>
      </c>
      <c r="Y2063">
        <v>0.7542459077031336</v>
      </c>
      <c r="Z2063" t="str">
        <f>HYPERLINK("Melting_Curves/meltCurve_sp_Q1W6H9_F110C_HUMAN_.pdf", "Melting_Curves/meltCurve_sp_Q1W6H9_F110C_HUMAN_.pdf")</f>
        <v>Melting_Curves/meltCurve_sp_Q1W6H9_F110C_HUMAN_.pdf</v>
      </c>
      <c r="AA2063" t="s">
        <v>16242</v>
      </c>
      <c r="AB2063" t="s">
        <v>20897</v>
      </c>
    </row>
    <row r="2064" spans="1:28" x14ac:dyDescent="0.25">
      <c r="A2064" t="s">
        <v>2068</v>
      </c>
      <c r="B2064">
        <v>0.99904790336628502</v>
      </c>
      <c r="C2064">
        <v>1.00971096027758</v>
      </c>
      <c r="D2064">
        <v>0.97240773336349795</v>
      </c>
      <c r="E2064">
        <v>0.69308609895181705</v>
      </c>
      <c r="F2064">
        <v>0.43496238441232099</v>
      </c>
      <c r="G2064">
        <v>0.161010225289661</v>
      </c>
      <c r="H2064">
        <v>9.9397311819099707E-2</v>
      </c>
      <c r="I2064">
        <v>7.4087022672323297E-2</v>
      </c>
      <c r="J2064">
        <v>6.8274268026987994E-2</v>
      </c>
      <c r="K2064">
        <v>7.3777863592132703E-2</v>
      </c>
      <c r="L2064">
        <v>1174.3635740808099</v>
      </c>
      <c r="M2064">
        <v>22.664369237732998</v>
      </c>
      <c r="N2064">
        <v>52.138883128594799</v>
      </c>
      <c r="O2064">
        <v>51.417060024333303</v>
      </c>
      <c r="P2064">
        <v>-0.10297321126037599</v>
      </c>
      <c r="Q2064">
        <v>6.5585853658196705E-2</v>
      </c>
      <c r="R2064">
        <v>0.99885210675279701</v>
      </c>
      <c r="S2064" t="s">
        <v>6804</v>
      </c>
      <c r="T2064" t="s">
        <v>9478</v>
      </c>
      <c r="U2064" t="s">
        <v>9478</v>
      </c>
      <c r="V2064" t="s">
        <v>9478</v>
      </c>
      <c r="W2064">
        <v>25</v>
      </c>
      <c r="X2064" t="s">
        <v>11542</v>
      </c>
      <c r="Y2064">
        <v>0.44387164357917691</v>
      </c>
      <c r="Z2064" t="str">
        <f>HYPERLINK("Melting_Curves/meltCurve_sp_Q27J81_INF2_HUMAN_.pdf", "Melting_Curves/meltCurve_sp_Q27J81_INF2_HUMAN_.pdf")</f>
        <v>Melting_Curves/meltCurve_sp_Q27J81_INF2_HUMAN_.pdf</v>
      </c>
      <c r="AA2064" t="s">
        <v>16243</v>
      </c>
      <c r="AB2064" t="s">
        <v>20898</v>
      </c>
    </row>
    <row r="2065" spans="1:28" x14ac:dyDescent="0.25">
      <c r="A2065" t="s">
        <v>2069</v>
      </c>
      <c r="B2065">
        <v>0.99904790336628502</v>
      </c>
      <c r="C2065">
        <v>1.0659562393150199</v>
      </c>
      <c r="D2065">
        <v>0.88022568794932798</v>
      </c>
      <c r="E2065">
        <v>0.606628569247875</v>
      </c>
      <c r="F2065">
        <v>0.48869128478357698</v>
      </c>
      <c r="G2065">
        <v>0.28461590855861302</v>
      </c>
      <c r="H2065">
        <v>0.20093516179934001</v>
      </c>
      <c r="I2065">
        <v>0.19290737017297199</v>
      </c>
      <c r="J2065">
        <v>0.167080633543608</v>
      </c>
      <c r="K2065">
        <v>0.167316777515397</v>
      </c>
      <c r="L2065">
        <v>881.368479141168</v>
      </c>
      <c r="M2065">
        <v>17.278337944872298</v>
      </c>
      <c r="N2065">
        <v>52.196097858570702</v>
      </c>
      <c r="O2065">
        <v>50.341453677689898</v>
      </c>
      <c r="P2065">
        <v>-7.1878830444677605E-2</v>
      </c>
      <c r="Q2065">
        <v>0.16235583941762999</v>
      </c>
      <c r="R2065">
        <v>0.98861842371075404</v>
      </c>
      <c r="S2065" t="s">
        <v>6805</v>
      </c>
      <c r="T2065" t="s">
        <v>9478</v>
      </c>
      <c r="U2065" t="s">
        <v>9478</v>
      </c>
      <c r="V2065" t="s">
        <v>9478</v>
      </c>
      <c r="W2065">
        <v>2</v>
      </c>
      <c r="X2065" t="s">
        <v>11543</v>
      </c>
      <c r="Y2065">
        <v>0.48495505343042322</v>
      </c>
      <c r="Z2065" t="str">
        <f>HYPERLINK("Melting_Curves/meltCurve_sp_Q29836_1B67_HUMAN_.pdf", "Melting_Curves/meltCurve_sp_Q29836_1B67_HUMAN_.pdf")</f>
        <v>Melting_Curves/meltCurve_sp_Q29836_1B67_HUMAN_.pdf</v>
      </c>
      <c r="AA2065" t="s">
        <v>16244</v>
      </c>
      <c r="AB2065" t="s">
        <v>20899</v>
      </c>
    </row>
    <row r="2066" spans="1:28" x14ac:dyDescent="0.25">
      <c r="A2066" t="s">
        <v>2070</v>
      </c>
      <c r="B2066">
        <v>0.99904790336628502</v>
      </c>
      <c r="C2066">
        <v>0.93485563083165302</v>
      </c>
      <c r="D2066">
        <v>0.77313687953682797</v>
      </c>
      <c r="E2066">
        <v>0.429361360568078</v>
      </c>
      <c r="F2066">
        <v>0.356986550143429</v>
      </c>
      <c r="G2066">
        <v>0.29847239173902101</v>
      </c>
      <c r="H2066">
        <v>0.24756326752490601</v>
      </c>
      <c r="I2066">
        <v>0.22836747549643599</v>
      </c>
      <c r="J2066">
        <v>0.243802488346098</v>
      </c>
      <c r="K2066">
        <v>0.27517671243656799</v>
      </c>
      <c r="L2066">
        <v>1025.0843540124699</v>
      </c>
      <c r="M2066">
        <v>21.509057838737998</v>
      </c>
      <c r="N2066">
        <v>49.280660318124099</v>
      </c>
      <c r="O2066">
        <v>47.2520507230928</v>
      </c>
      <c r="P2066">
        <v>-8.4929295310779904E-2</v>
      </c>
      <c r="Q2066">
        <v>0.25371248933393098</v>
      </c>
      <c r="R2066">
        <v>0.99569927814214498</v>
      </c>
      <c r="S2066" t="s">
        <v>6806</v>
      </c>
      <c r="T2066" t="s">
        <v>9478</v>
      </c>
      <c r="U2066" t="s">
        <v>9478</v>
      </c>
      <c r="V2066" t="s">
        <v>9478</v>
      </c>
      <c r="W2066">
        <v>22</v>
      </c>
      <c r="X2066" t="s">
        <v>11544</v>
      </c>
      <c r="Y2066">
        <v>0.45336020807017952</v>
      </c>
      <c r="Z2066" t="str">
        <f>HYPERLINK("Melting_Curves/meltCurve_sp_Q29RF7_PDS5A_HUMAN_.pdf", "Melting_Curves/meltCurve_sp_Q29RF7_PDS5A_HUMAN_.pdf")</f>
        <v>Melting_Curves/meltCurve_sp_Q29RF7_PDS5A_HUMAN_.pdf</v>
      </c>
      <c r="AA2066" t="s">
        <v>16245</v>
      </c>
      <c r="AB2066" t="s">
        <v>20900</v>
      </c>
    </row>
    <row r="2067" spans="1:28" x14ac:dyDescent="0.25">
      <c r="A2067" t="s">
        <v>2071</v>
      </c>
      <c r="B2067">
        <v>0.99904790336628502</v>
      </c>
      <c r="C2067">
        <v>0.94980832309489804</v>
      </c>
      <c r="D2067">
        <v>0.914968414483605</v>
      </c>
      <c r="E2067">
        <v>1.0165549033260799</v>
      </c>
      <c r="F2067">
        <v>0.77930870695879295</v>
      </c>
      <c r="G2067">
        <v>0.90696634278772703</v>
      </c>
      <c r="H2067">
        <v>0.61390300050382196</v>
      </c>
      <c r="I2067">
        <v>0.64916670469309101</v>
      </c>
      <c r="J2067">
        <v>0.45719214886313497</v>
      </c>
      <c r="K2067">
        <v>0.34928034511549899</v>
      </c>
      <c r="L2067">
        <v>592.542138785926</v>
      </c>
      <c r="M2067">
        <v>8.9597947388683004</v>
      </c>
      <c r="N2067">
        <v>66.133448578357203</v>
      </c>
      <c r="O2067">
        <v>63.088117805840497</v>
      </c>
      <c r="P2067">
        <v>-3.5531305448601398E-2</v>
      </c>
      <c r="Q2067">
        <v>0</v>
      </c>
      <c r="R2067">
        <v>0.90606095646344598</v>
      </c>
      <c r="S2067" t="s">
        <v>6807</v>
      </c>
      <c r="T2067" t="s">
        <v>9478</v>
      </c>
      <c r="U2067" t="s">
        <v>9478</v>
      </c>
      <c r="V2067" t="s">
        <v>9478</v>
      </c>
      <c r="W2067">
        <v>5</v>
      </c>
      <c r="X2067" t="s">
        <v>11545</v>
      </c>
      <c r="Y2067">
        <v>0.79085287638211854</v>
      </c>
      <c r="Z2067" t="str">
        <f>HYPERLINK("Melting_Curves/meltCurve_sp_Q2KHT3_CL16A_HUMAN_.pdf", "Melting_Curves/meltCurve_sp_Q2KHT3_CL16A_HUMAN_.pdf")</f>
        <v>Melting_Curves/meltCurve_sp_Q2KHT3_CL16A_HUMAN_.pdf</v>
      </c>
      <c r="AA2067" t="s">
        <v>16246</v>
      </c>
      <c r="AB2067" t="s">
        <v>20901</v>
      </c>
    </row>
    <row r="2068" spans="1:28" x14ac:dyDescent="0.25">
      <c r="A2068" t="s">
        <v>2072</v>
      </c>
      <c r="B2068">
        <v>0.99904790336628502</v>
      </c>
      <c r="C2068">
        <v>1.1321618818359001</v>
      </c>
      <c r="D2068">
        <v>1.1026008463530701</v>
      </c>
      <c r="E2068">
        <v>0.75800204492501699</v>
      </c>
      <c r="F2068">
        <v>0.306036461543927</v>
      </c>
      <c r="G2068">
        <v>0.12841830610063501</v>
      </c>
      <c r="H2068">
        <v>8.6283634125335407E-2</v>
      </c>
      <c r="I2068">
        <v>5.5615958161713198E-2</v>
      </c>
      <c r="J2068">
        <v>4.3398287266773E-2</v>
      </c>
      <c r="K2068">
        <v>3.0900212261499499E-2</v>
      </c>
      <c r="L2068">
        <v>1909.9635864870199</v>
      </c>
      <c r="M2068">
        <v>37.075009803923301</v>
      </c>
      <c r="N2068">
        <v>51.701585278072898</v>
      </c>
      <c r="O2068">
        <v>51.367008993728902</v>
      </c>
      <c r="P2068">
        <v>-0.16921132789089799</v>
      </c>
      <c r="Q2068">
        <v>6.2241073552398503E-2</v>
      </c>
      <c r="R2068">
        <v>0.98326437409860101</v>
      </c>
      <c r="S2068" t="s">
        <v>6808</v>
      </c>
      <c r="T2068" t="s">
        <v>9478</v>
      </c>
      <c r="U2068" t="s">
        <v>9478</v>
      </c>
      <c r="V2068" t="s">
        <v>9478</v>
      </c>
      <c r="W2068">
        <v>13</v>
      </c>
      <c r="X2068" t="s">
        <v>11546</v>
      </c>
      <c r="Y2068">
        <v>0.42611122952636882</v>
      </c>
      <c r="Z2068" t="str">
        <f>HYPERLINK("Melting_Curves/meltCurve_sp_Q2M389_WASH7_HUMAN_.pdf", "Melting_Curves/meltCurve_sp_Q2M389_WASH7_HUMAN_.pdf")</f>
        <v>Melting_Curves/meltCurve_sp_Q2M389_WASH7_HUMAN_.pdf</v>
      </c>
      <c r="AA2068" t="s">
        <v>16247</v>
      </c>
      <c r="AB2068" t="s">
        <v>20902</v>
      </c>
    </row>
    <row r="2069" spans="1:28" x14ac:dyDescent="0.25">
      <c r="A2069" t="s">
        <v>2073</v>
      </c>
      <c r="B2069">
        <v>0.99904790336628502</v>
      </c>
      <c r="C2069">
        <v>0.94349538504673403</v>
      </c>
      <c r="D2069">
        <v>0.70367040240545498</v>
      </c>
      <c r="E2069">
        <v>0.42416375134273299</v>
      </c>
      <c r="F2069">
        <v>0.31958967625282098</v>
      </c>
      <c r="G2069">
        <v>0.19088991691256901</v>
      </c>
      <c r="H2069">
        <v>0.17767387473780899</v>
      </c>
      <c r="I2069">
        <v>0.132419278971104</v>
      </c>
      <c r="J2069">
        <v>0.126689889599024</v>
      </c>
      <c r="K2069">
        <v>7.7930737477210202E-2</v>
      </c>
      <c r="L2069">
        <v>780.10051811197798</v>
      </c>
      <c r="M2069">
        <v>16.122591126482298</v>
      </c>
      <c r="N2069">
        <v>49.187071867523201</v>
      </c>
      <c r="O2069">
        <v>47.659533224485898</v>
      </c>
      <c r="P2069">
        <v>-7.4807484797072901E-2</v>
      </c>
      <c r="Q2069">
        <v>0.115522207860786</v>
      </c>
      <c r="R2069">
        <v>0.99292155571276497</v>
      </c>
      <c r="S2069" t="s">
        <v>6809</v>
      </c>
      <c r="T2069" t="s">
        <v>9478</v>
      </c>
      <c r="U2069" t="s">
        <v>9478</v>
      </c>
      <c r="V2069" t="s">
        <v>9478</v>
      </c>
      <c r="W2069">
        <v>1</v>
      </c>
      <c r="X2069" t="s">
        <v>11547</v>
      </c>
      <c r="Y2069">
        <v>0.38215662300774339</v>
      </c>
      <c r="Z2069" t="str">
        <f>HYPERLINK("Melting_Curves/meltCurve_sp_Q2NL82_TSR1_HUMAN_.pdf", "Melting_Curves/meltCurve_sp_Q2NL82_TSR1_HUMAN_.pdf")</f>
        <v>Melting_Curves/meltCurve_sp_Q2NL82_TSR1_HUMAN_.pdf</v>
      </c>
      <c r="AA2069" t="s">
        <v>16248</v>
      </c>
      <c r="AB2069" t="s">
        <v>20903</v>
      </c>
    </row>
    <row r="2070" spans="1:28" x14ac:dyDescent="0.25">
      <c r="A2070" t="s">
        <v>2074</v>
      </c>
      <c r="B2070">
        <v>0.99904790336628502</v>
      </c>
      <c r="C2070">
        <v>1.0373910843627501</v>
      </c>
      <c r="D2070">
        <v>1.11671487782581</v>
      </c>
      <c r="E2070">
        <v>0.77174504825916301</v>
      </c>
      <c r="F2070">
        <v>0.55876023988484902</v>
      </c>
      <c r="G2070">
        <v>0.401511098972337</v>
      </c>
      <c r="H2070">
        <v>0.33374247724817802</v>
      </c>
      <c r="I2070">
        <v>0.31766421643833098</v>
      </c>
      <c r="J2070">
        <v>0.28746140970583001</v>
      </c>
      <c r="K2070">
        <v>0.19737626952898399</v>
      </c>
      <c r="L2070">
        <v>1258.0278090689701</v>
      </c>
      <c r="M2070">
        <v>24.1287107739055</v>
      </c>
      <c r="N2070">
        <v>53.985310459235798</v>
      </c>
      <c r="O2070">
        <v>51.784038322194498</v>
      </c>
      <c r="P2070">
        <v>-8.3754815691538601E-2</v>
      </c>
      <c r="Q2070">
        <v>0.28100664560720501</v>
      </c>
      <c r="R2070">
        <v>0.96827200016443704</v>
      </c>
      <c r="S2070" t="s">
        <v>6810</v>
      </c>
      <c r="T2070" t="s">
        <v>9478</v>
      </c>
      <c r="U2070" t="s">
        <v>9478</v>
      </c>
      <c r="V2070" t="s">
        <v>9478</v>
      </c>
      <c r="W2070">
        <v>7</v>
      </c>
      <c r="X2070" t="s">
        <v>11548</v>
      </c>
      <c r="Y2070">
        <v>0.57894962634048042</v>
      </c>
      <c r="Z2070" t="str">
        <f>HYPERLINK("Melting_Curves/meltCurve_sp_Q2PPJ7_3_RGPA2_HUMAN_.pdf", "Melting_Curves/meltCurve_sp_Q2PPJ7_3_RGPA2_HUMAN_.pdf")</f>
        <v>Melting_Curves/meltCurve_sp_Q2PPJ7_3_RGPA2_HUMAN_.pdf</v>
      </c>
      <c r="AA2070" t="s">
        <v>16249</v>
      </c>
      <c r="AB2070" t="s">
        <v>20904</v>
      </c>
    </row>
    <row r="2071" spans="1:28" x14ac:dyDescent="0.25">
      <c r="A2071" t="s">
        <v>2075</v>
      </c>
      <c r="B2071">
        <v>0.99904790336628502</v>
      </c>
      <c r="C2071">
        <v>0.95401608593887899</v>
      </c>
      <c r="D2071">
        <v>0.99250297302747903</v>
      </c>
      <c r="E2071">
        <v>0.852218664232127</v>
      </c>
      <c r="F2071">
        <v>0.72243896697062104</v>
      </c>
      <c r="G2071">
        <v>0.42632912731426997</v>
      </c>
      <c r="H2071">
        <v>0.18889957639219199</v>
      </c>
      <c r="I2071">
        <v>0.106996178927452</v>
      </c>
      <c r="J2071">
        <v>9.2381102796672304E-2</v>
      </c>
      <c r="K2071">
        <v>2.0884973735913599E-2</v>
      </c>
      <c r="L2071">
        <v>911.51314364982397</v>
      </c>
      <c r="M2071">
        <v>16.3056904202816</v>
      </c>
      <c r="N2071">
        <v>55.901551693330603</v>
      </c>
      <c r="O2071">
        <v>55.0810399802265</v>
      </c>
      <c r="P2071">
        <v>-7.4013149613087997E-2</v>
      </c>
      <c r="Q2071">
        <v>0</v>
      </c>
      <c r="R2071">
        <v>0.99739531007584104</v>
      </c>
      <c r="S2071" t="s">
        <v>6811</v>
      </c>
      <c r="T2071" t="s">
        <v>9478</v>
      </c>
      <c r="U2071" t="s">
        <v>9478</v>
      </c>
      <c r="V2071" t="s">
        <v>9478</v>
      </c>
      <c r="W2071">
        <v>4</v>
      </c>
      <c r="X2071" t="s">
        <v>11549</v>
      </c>
      <c r="Y2071">
        <v>0.54659498258497363</v>
      </c>
      <c r="Z2071" t="str">
        <f>HYPERLINK("Melting_Curves/meltCurve_sp_Q2T9J0_TYSD1_HUMAN_.pdf", "Melting_Curves/meltCurve_sp_Q2T9J0_TYSD1_HUMAN_.pdf")</f>
        <v>Melting_Curves/meltCurve_sp_Q2T9J0_TYSD1_HUMAN_.pdf</v>
      </c>
      <c r="AA2071" t="s">
        <v>16250</v>
      </c>
      <c r="AB2071" t="s">
        <v>20905</v>
      </c>
    </row>
    <row r="2072" spans="1:28" x14ac:dyDescent="0.25">
      <c r="A2072" t="s">
        <v>2076</v>
      </c>
      <c r="B2072">
        <v>0.99904790336628502</v>
      </c>
      <c r="C2072">
        <v>0.91740392947504701</v>
      </c>
      <c r="D2072">
        <v>0.86684888631566803</v>
      </c>
      <c r="E2072">
        <v>0.67177750913051704</v>
      </c>
      <c r="F2072">
        <v>0.41296636921541002</v>
      </c>
      <c r="G2072">
        <v>0.160942717748741</v>
      </c>
      <c r="H2072">
        <v>0.11269995500989501</v>
      </c>
      <c r="I2072">
        <v>0.117980371822637</v>
      </c>
      <c r="J2072">
        <v>0.123812647918136</v>
      </c>
      <c r="K2072">
        <v>0.11197448140742899</v>
      </c>
      <c r="L2072">
        <v>951.23397708509299</v>
      </c>
      <c r="M2072">
        <v>18.601851170163702</v>
      </c>
      <c r="N2072">
        <v>51.689264088222401</v>
      </c>
      <c r="O2072">
        <v>50.556540705473203</v>
      </c>
      <c r="P2072">
        <v>-8.3692650144740102E-2</v>
      </c>
      <c r="Q2072">
        <v>9.0192176957742301E-2</v>
      </c>
      <c r="R2072">
        <v>0.99302853719032003</v>
      </c>
      <c r="S2072" t="s">
        <v>6812</v>
      </c>
      <c r="T2072" t="s">
        <v>9478</v>
      </c>
      <c r="U2072" t="s">
        <v>9478</v>
      </c>
      <c r="V2072" t="s">
        <v>9478</v>
      </c>
      <c r="W2072">
        <v>4</v>
      </c>
      <c r="X2072" t="s">
        <v>11550</v>
      </c>
      <c r="Y2072">
        <v>0.44235296516542111</v>
      </c>
      <c r="Z2072" t="str">
        <f>HYPERLINK("Melting_Curves/meltCurve_sp_Q2TAY7_SMU1_HUMAN_.pdf", "Melting_Curves/meltCurve_sp_Q2TAY7_SMU1_HUMAN_.pdf")</f>
        <v>Melting_Curves/meltCurve_sp_Q2TAY7_SMU1_HUMAN_.pdf</v>
      </c>
      <c r="AA2072" t="s">
        <v>16251</v>
      </c>
      <c r="AB2072" t="s">
        <v>20906</v>
      </c>
    </row>
    <row r="2073" spans="1:28" x14ac:dyDescent="0.25">
      <c r="A2073" t="s">
        <v>2077</v>
      </c>
      <c r="B2073">
        <v>0.99904790336628502</v>
      </c>
      <c r="C2073">
        <v>0.91607834164892299</v>
      </c>
      <c r="D2073">
        <v>0.91477955831186297</v>
      </c>
      <c r="E2073">
        <v>0.88880083416371003</v>
      </c>
      <c r="F2073">
        <v>0.72351194766067195</v>
      </c>
      <c r="G2073">
        <v>0.559062653051287</v>
      </c>
      <c r="H2073">
        <v>0.222807972120318</v>
      </c>
      <c r="I2073">
        <v>8.9158329491812002E-2</v>
      </c>
      <c r="J2073">
        <v>9.8857826204939395E-2</v>
      </c>
      <c r="K2073">
        <v>0.14661055288427</v>
      </c>
      <c r="L2073">
        <v>901.81735197611204</v>
      </c>
      <c r="M2073">
        <v>15.9778993128678</v>
      </c>
      <c r="N2073">
        <v>56.703641995232203</v>
      </c>
      <c r="O2073">
        <v>55.579613388704601</v>
      </c>
      <c r="P2073">
        <v>-6.9316608636652205E-2</v>
      </c>
      <c r="Q2073">
        <v>3.5596016444135299E-2</v>
      </c>
      <c r="R2073">
        <v>0.97836038706752904</v>
      </c>
      <c r="S2073" t="s">
        <v>6813</v>
      </c>
      <c r="T2073" t="s">
        <v>9478</v>
      </c>
      <c r="U2073" t="s">
        <v>9478</v>
      </c>
      <c r="V2073" t="s">
        <v>9478</v>
      </c>
      <c r="W2073">
        <v>4</v>
      </c>
      <c r="X2073" t="s">
        <v>11551</v>
      </c>
      <c r="Y2073">
        <v>0.57967421054238033</v>
      </c>
      <c r="Z2073" t="str">
        <f>HYPERLINK("Melting_Curves/meltCurve_sp_Q32M88_ATHL1_HUMAN_.pdf", "Melting_Curves/meltCurve_sp_Q32M88_ATHL1_HUMAN_.pdf")</f>
        <v>Melting_Curves/meltCurve_sp_Q32M88_ATHL1_HUMAN_.pdf</v>
      </c>
      <c r="AA2073" t="s">
        <v>16252</v>
      </c>
      <c r="AB2073" t="s">
        <v>20907</v>
      </c>
    </row>
    <row r="2074" spans="1:28" x14ac:dyDescent="0.25">
      <c r="A2074" t="s">
        <v>2078</v>
      </c>
      <c r="B2074">
        <v>0.99904790336628502</v>
      </c>
      <c r="C2074">
        <v>1.0164189613419401</v>
      </c>
      <c r="D2074">
        <v>1.0237741366105699</v>
      </c>
      <c r="E2074">
        <v>0.96437605704686402</v>
      </c>
      <c r="F2074">
        <v>1.0163626580640199</v>
      </c>
      <c r="G2074">
        <v>0.83437235487333195</v>
      </c>
      <c r="H2074">
        <v>0.79243862532401899</v>
      </c>
      <c r="I2074">
        <v>0.77045131317137405</v>
      </c>
      <c r="J2074">
        <v>0.77248885861823302</v>
      </c>
      <c r="K2074">
        <v>0.76417637278639206</v>
      </c>
      <c r="L2074">
        <v>12200.928016063201</v>
      </c>
      <c r="M2074">
        <v>215.075409321992</v>
      </c>
      <c r="O2074">
        <v>56.723689953173498</v>
      </c>
      <c r="P2074">
        <v>-0.21338474987018399</v>
      </c>
      <c r="Q2074">
        <v>0.77488876716123301</v>
      </c>
      <c r="R2074">
        <v>0.97716444499856603</v>
      </c>
      <c r="S2074" t="s">
        <v>6814</v>
      </c>
      <c r="T2074" t="s">
        <v>9478</v>
      </c>
      <c r="U2074" t="s">
        <v>9478</v>
      </c>
      <c r="V2074" t="s">
        <v>9478</v>
      </c>
      <c r="W2074">
        <v>31</v>
      </c>
      <c r="X2074" t="s">
        <v>11552</v>
      </c>
      <c r="Y2074">
        <v>0.90044561637754916</v>
      </c>
      <c r="Z2074" t="str">
        <f>HYPERLINK("Melting_Curves/meltCurve_sp_Q32MZ4_2_LRRF1_HUMAN_.pdf", "Melting_Curves/meltCurve_sp_Q32MZ4_2_LRRF1_HUMAN_.pdf")</f>
        <v>Melting_Curves/meltCurve_sp_Q32MZ4_2_LRRF1_HUMAN_.pdf</v>
      </c>
      <c r="AA2074" t="s">
        <v>16253</v>
      </c>
      <c r="AB2074" t="s">
        <v>20908</v>
      </c>
    </row>
    <row r="2075" spans="1:28" x14ac:dyDescent="0.25">
      <c r="A2075" t="s">
        <v>2079</v>
      </c>
      <c r="B2075">
        <v>0.99904790336628502</v>
      </c>
      <c r="C2075">
        <v>1.01411408964621</v>
      </c>
      <c r="D2075">
        <v>0.95624370763565103</v>
      </c>
      <c r="E2075">
        <v>1.00195716650637</v>
      </c>
      <c r="F2075">
        <v>0.98325842140434905</v>
      </c>
      <c r="G2075">
        <v>0.87035155999072999</v>
      </c>
      <c r="H2075">
        <v>0.85184877300181605</v>
      </c>
      <c r="I2075">
        <v>0.81038307249567598</v>
      </c>
      <c r="J2075">
        <v>0.85507972116221997</v>
      </c>
      <c r="K2075">
        <v>0.93174615722946097</v>
      </c>
      <c r="L2075">
        <v>3661.89678868699</v>
      </c>
      <c r="M2075">
        <v>67.102289081254398</v>
      </c>
      <c r="O2075">
        <v>54.523454027774903</v>
      </c>
      <c r="P2075">
        <v>-4.2349598396588702E-2</v>
      </c>
      <c r="Q2075">
        <v>0.86235666255003296</v>
      </c>
      <c r="R2075">
        <v>0.80421112000189099</v>
      </c>
      <c r="S2075" t="s">
        <v>6815</v>
      </c>
      <c r="T2075" t="s">
        <v>9478</v>
      </c>
      <c r="U2075" t="s">
        <v>9478</v>
      </c>
      <c r="V2075" t="s">
        <v>9478</v>
      </c>
      <c r="W2075">
        <v>30</v>
      </c>
      <c r="X2075" t="s">
        <v>11553</v>
      </c>
      <c r="Y2075">
        <v>0.92939748365813812</v>
      </c>
      <c r="Z2075" t="str">
        <f>HYPERLINK("Melting_Curves/meltCurve_sp_Q32MZ4_3_LRRF1_HUMAN_.pdf", "Melting_Curves/meltCurve_sp_Q32MZ4_3_LRRF1_HUMAN_.pdf")</f>
        <v>Melting_Curves/meltCurve_sp_Q32MZ4_3_LRRF1_HUMAN_.pdf</v>
      </c>
      <c r="AA2075" t="s">
        <v>16253</v>
      </c>
      <c r="AB2075" t="s">
        <v>20909</v>
      </c>
    </row>
    <row r="2076" spans="1:28" x14ac:dyDescent="0.25">
      <c r="A2076" t="s">
        <v>2080</v>
      </c>
      <c r="B2076">
        <v>0.99904790336628502</v>
      </c>
      <c r="C2076">
        <v>0.98605887137951198</v>
      </c>
      <c r="D2076">
        <v>0.820219030945052</v>
      </c>
      <c r="E2076">
        <v>0.919757524970365</v>
      </c>
      <c r="F2076">
        <v>0.93790035004398897</v>
      </c>
      <c r="G2076">
        <v>0.88044826906890605</v>
      </c>
      <c r="H2076">
        <v>0.860552543578608</v>
      </c>
      <c r="I2076">
        <v>0.73506890083638998</v>
      </c>
      <c r="J2076">
        <v>0.81464024155498804</v>
      </c>
      <c r="K2076">
        <v>0.85947855819510999</v>
      </c>
      <c r="L2076">
        <v>305.67399907373999</v>
      </c>
      <c r="M2076">
        <v>5.7811574233376</v>
      </c>
      <c r="O2076">
        <v>47.575113819972799</v>
      </c>
      <c r="P2076">
        <v>-7.0665903766717096E-3</v>
      </c>
      <c r="Q2076">
        <v>0.76824294032597995</v>
      </c>
      <c r="R2076">
        <v>0.50565864330443699</v>
      </c>
      <c r="S2076" t="s">
        <v>6816</v>
      </c>
      <c r="T2076" t="s">
        <v>9478</v>
      </c>
      <c r="U2076" t="s">
        <v>9478</v>
      </c>
      <c r="V2076" t="s">
        <v>9478</v>
      </c>
      <c r="W2076">
        <v>12</v>
      </c>
      <c r="X2076" t="s">
        <v>11554</v>
      </c>
      <c r="Y2076">
        <v>0.87924897219871267</v>
      </c>
      <c r="Z2076" t="str">
        <f>HYPERLINK("Melting_Curves/meltCurve_sp_Q32MZ4_4_LRRF1_HUMAN_.pdf", "Melting_Curves/meltCurve_sp_Q32MZ4_4_LRRF1_HUMAN_.pdf")</f>
        <v>Melting_Curves/meltCurve_sp_Q32MZ4_4_LRRF1_HUMAN_.pdf</v>
      </c>
      <c r="AA2076" t="s">
        <v>16253</v>
      </c>
      <c r="AB2076" t="s">
        <v>20910</v>
      </c>
    </row>
    <row r="2077" spans="1:28" x14ac:dyDescent="0.25">
      <c r="A2077" t="s">
        <v>2081</v>
      </c>
      <c r="B2077">
        <v>0.99904790336628502</v>
      </c>
      <c r="C2077">
        <v>0.87140310976411794</v>
      </c>
      <c r="D2077">
        <v>0.60279864441324804</v>
      </c>
      <c r="E2077">
        <v>0.24879896595456999</v>
      </c>
      <c r="F2077">
        <v>0.192885079958937</v>
      </c>
      <c r="G2077">
        <v>0.116621211969462</v>
      </c>
      <c r="H2077">
        <v>5.48371801154897E-2</v>
      </c>
      <c r="I2077">
        <v>4.9929352709119801E-2</v>
      </c>
      <c r="J2077">
        <v>2.6596842210521599E-2</v>
      </c>
      <c r="K2077">
        <v>4.5432805737035203E-2</v>
      </c>
      <c r="L2077">
        <v>883.97311657495402</v>
      </c>
      <c r="M2077">
        <v>18.843562708086001</v>
      </c>
      <c r="N2077">
        <v>47.179137027484302</v>
      </c>
      <c r="O2077">
        <v>46.392400418483902</v>
      </c>
      <c r="P2077">
        <v>-9.6394597008426702E-2</v>
      </c>
      <c r="Q2077">
        <v>5.0754331280031803E-2</v>
      </c>
      <c r="R2077">
        <v>0.99492116509929396</v>
      </c>
      <c r="S2077" t="s">
        <v>6817</v>
      </c>
      <c r="T2077" t="s">
        <v>9478</v>
      </c>
      <c r="U2077" t="s">
        <v>9478</v>
      </c>
      <c r="V2077" t="s">
        <v>9478</v>
      </c>
      <c r="W2077">
        <v>3</v>
      </c>
      <c r="X2077" t="s">
        <v>11555</v>
      </c>
      <c r="Y2077">
        <v>0.28534394597463608</v>
      </c>
      <c r="Z2077" t="str">
        <f>HYPERLINK("Melting_Curves/meltCurve_sp_Q32P41_TRM5_HUMAN_.pdf", "Melting_Curves/meltCurve_sp_Q32P41_TRM5_HUMAN_.pdf")</f>
        <v>Melting_Curves/meltCurve_sp_Q32P41_TRM5_HUMAN_.pdf</v>
      </c>
      <c r="AA2077" t="s">
        <v>16254</v>
      </c>
      <c r="AB2077" t="s">
        <v>20911</v>
      </c>
    </row>
    <row r="2078" spans="1:28" x14ac:dyDescent="0.25">
      <c r="A2078" t="s">
        <v>2082</v>
      </c>
      <c r="B2078">
        <v>0.99904790336628502</v>
      </c>
      <c r="C2078">
        <v>0.98530061546147296</v>
      </c>
      <c r="D2078">
        <v>0.99052531599483096</v>
      </c>
      <c r="E2078">
        <v>0.88957275256951296</v>
      </c>
      <c r="F2078">
        <v>0.69720605860584905</v>
      </c>
      <c r="G2078">
        <v>0.33702247350300302</v>
      </c>
      <c r="H2078">
        <v>0.23525732975760899</v>
      </c>
      <c r="I2078">
        <v>0.20135940600418201</v>
      </c>
      <c r="J2078">
        <v>0.205086128308961</v>
      </c>
      <c r="K2078">
        <v>0.204513397457872</v>
      </c>
      <c r="L2078">
        <v>1423.33207512474</v>
      </c>
      <c r="M2078">
        <v>26.430071907849399</v>
      </c>
      <c r="N2078">
        <v>54.892471457398202</v>
      </c>
      <c r="O2078">
        <v>53.547291797805798</v>
      </c>
      <c r="P2078">
        <v>-9.9097802960979503E-2</v>
      </c>
      <c r="Q2078">
        <v>0.19692056236084299</v>
      </c>
      <c r="R2078">
        <v>0.999209418533899</v>
      </c>
      <c r="S2078" t="s">
        <v>6818</v>
      </c>
      <c r="T2078" t="s">
        <v>9478</v>
      </c>
      <c r="U2078" t="s">
        <v>9478</v>
      </c>
      <c r="V2078" t="s">
        <v>9478</v>
      </c>
      <c r="W2078">
        <v>17</v>
      </c>
      <c r="X2078" t="s">
        <v>11556</v>
      </c>
      <c r="Y2078">
        <v>0.57445108445175264</v>
      </c>
      <c r="Z2078" t="str">
        <f>HYPERLINK("Melting_Curves/meltCurve_sp_Q32P44_EMAL3_HUMAN_.pdf", "Melting_Curves/meltCurve_sp_Q32P44_EMAL3_HUMAN_.pdf")</f>
        <v>Melting_Curves/meltCurve_sp_Q32P44_EMAL3_HUMAN_.pdf</v>
      </c>
      <c r="AA2078" t="s">
        <v>16255</v>
      </c>
      <c r="AB2078" t="s">
        <v>20912</v>
      </c>
    </row>
    <row r="2079" spans="1:28" x14ac:dyDescent="0.25">
      <c r="A2079" t="s">
        <v>2083</v>
      </c>
      <c r="B2079">
        <v>0.99904790336628502</v>
      </c>
      <c r="C2079">
        <v>0.95643343119668001</v>
      </c>
      <c r="D2079">
        <v>1.00981957264957</v>
      </c>
      <c r="E2079">
        <v>0.88282351898031197</v>
      </c>
      <c r="F2079">
        <v>0.395070794116063</v>
      </c>
      <c r="G2079">
        <v>6.9843497011742306E-2</v>
      </c>
      <c r="H2079">
        <v>2.4137056006699902E-2</v>
      </c>
      <c r="I2079">
        <v>4.5995480892951003E-2</v>
      </c>
      <c r="J2079">
        <v>1.52753471006217E-2</v>
      </c>
      <c r="K2079">
        <v>0</v>
      </c>
      <c r="L2079">
        <v>2142.73925347469</v>
      </c>
      <c r="M2079">
        <v>40.898677514576399</v>
      </c>
      <c r="N2079">
        <v>52.451639498470698</v>
      </c>
      <c r="O2079">
        <v>52.266624143158403</v>
      </c>
      <c r="P2079">
        <v>-0.19113762186369701</v>
      </c>
      <c r="Q2079">
        <v>2.2941691114560299E-2</v>
      </c>
      <c r="R2079">
        <v>0.99827923321206202</v>
      </c>
      <c r="S2079" t="s">
        <v>6819</v>
      </c>
      <c r="T2079" t="s">
        <v>9478</v>
      </c>
      <c r="U2079" t="s">
        <v>9478</v>
      </c>
      <c r="V2079" t="s">
        <v>9478</v>
      </c>
      <c r="W2079">
        <v>2</v>
      </c>
      <c r="X2079" t="s">
        <v>11557</v>
      </c>
      <c r="Y2079">
        <v>0.42989418384930889</v>
      </c>
      <c r="Z2079" t="str">
        <f>HYPERLINK("Melting_Curves/meltCurve_sp_Q3B7J2_GFOD2_HUMAN_.pdf", "Melting_Curves/meltCurve_sp_Q3B7J2_GFOD2_HUMAN_.pdf")</f>
        <v>Melting_Curves/meltCurve_sp_Q3B7J2_GFOD2_HUMAN_.pdf</v>
      </c>
      <c r="AA2079" t="s">
        <v>16256</v>
      </c>
      <c r="AB2079" t="s">
        <v>20913</v>
      </c>
    </row>
    <row r="2080" spans="1:28" x14ac:dyDescent="0.25">
      <c r="A2080" t="s">
        <v>2084</v>
      </c>
      <c r="B2080">
        <v>0.99904790336628502</v>
      </c>
      <c r="C2080">
        <v>1.00101296556331</v>
      </c>
      <c r="D2080">
        <v>1.09003735778753</v>
      </c>
      <c r="E2080">
        <v>1.0157497924979599</v>
      </c>
      <c r="F2080">
        <v>0.90541648768271998</v>
      </c>
      <c r="G2080">
        <v>0.51026111861394996</v>
      </c>
      <c r="H2080">
        <v>7.1250498495417897E-2</v>
      </c>
      <c r="I2080">
        <v>4.6370185110778499E-2</v>
      </c>
      <c r="J2080">
        <v>2.98907359020271E-2</v>
      </c>
      <c r="K2080">
        <v>2.4633773891398199E-2</v>
      </c>
      <c r="L2080">
        <v>2051.9470582858899</v>
      </c>
      <c r="M2080">
        <v>36.055061426301201</v>
      </c>
      <c r="N2080">
        <v>56.972945451710302</v>
      </c>
      <c r="O2080">
        <v>56.737261547438202</v>
      </c>
      <c r="P2080">
        <v>-0.15583870512544601</v>
      </c>
      <c r="Q2080">
        <v>1.9074367655680199E-2</v>
      </c>
      <c r="R2080">
        <v>0.99480816752466295</v>
      </c>
      <c r="S2080" t="s">
        <v>6820</v>
      </c>
      <c r="T2080" t="s">
        <v>9478</v>
      </c>
      <c r="U2080" t="s">
        <v>9478</v>
      </c>
      <c r="V2080" t="s">
        <v>9478</v>
      </c>
      <c r="W2080">
        <v>41</v>
      </c>
      <c r="X2080" t="s">
        <v>11558</v>
      </c>
      <c r="Y2080">
        <v>0.57669946064489608</v>
      </c>
      <c r="Z2080" t="str">
        <f>HYPERLINK("Melting_Curves/meltCurve_sp_Q3LXA3_DHAK_HUMAN_.pdf", "Melting_Curves/meltCurve_sp_Q3LXA3_DHAK_HUMAN_.pdf")</f>
        <v>Melting_Curves/meltCurve_sp_Q3LXA3_DHAK_HUMAN_.pdf</v>
      </c>
      <c r="AA2080" t="s">
        <v>16257</v>
      </c>
      <c r="AB2080" t="s">
        <v>20914</v>
      </c>
    </row>
    <row r="2081" spans="1:28" x14ac:dyDescent="0.25">
      <c r="A2081" t="s">
        <v>2085</v>
      </c>
      <c r="B2081">
        <v>0.99904790336628502</v>
      </c>
      <c r="C2081">
        <v>1.0341953794449801</v>
      </c>
      <c r="D2081">
        <v>1.11265355082189</v>
      </c>
      <c r="E2081">
        <v>1.0320466448907</v>
      </c>
      <c r="F2081">
        <v>0.93134100010537002</v>
      </c>
      <c r="G2081">
        <v>0.53378580948265997</v>
      </c>
      <c r="H2081">
        <v>0.32969044396946601</v>
      </c>
      <c r="I2081">
        <v>0.21364190138765801</v>
      </c>
      <c r="J2081">
        <v>0.16858323001026701</v>
      </c>
      <c r="K2081">
        <v>9.6661280179443698E-2</v>
      </c>
      <c r="L2081">
        <v>1459.5784076376101</v>
      </c>
      <c r="M2081">
        <v>25.538091735110001</v>
      </c>
      <c r="N2081">
        <v>57.893572664810002</v>
      </c>
      <c r="O2081">
        <v>56.806008115875798</v>
      </c>
      <c r="P2081">
        <v>-9.6731711898439404E-2</v>
      </c>
      <c r="Q2081">
        <v>0.139344542376129</v>
      </c>
      <c r="R2081">
        <v>0.98312671332833501</v>
      </c>
      <c r="S2081" t="s">
        <v>6821</v>
      </c>
      <c r="T2081" t="s">
        <v>9478</v>
      </c>
      <c r="U2081" t="s">
        <v>9478</v>
      </c>
      <c r="V2081" t="s">
        <v>9478</v>
      </c>
      <c r="W2081">
        <v>3</v>
      </c>
      <c r="X2081" t="s">
        <v>11559</v>
      </c>
      <c r="Y2081">
        <v>0.63891056500295529</v>
      </c>
      <c r="Z2081" t="str">
        <f>HYPERLINK("Melting_Curves/meltCurve_sp_Q3MHD2_LSM12_HUMAN_.pdf", "Melting_Curves/meltCurve_sp_Q3MHD2_LSM12_HUMAN_.pdf")</f>
        <v>Melting_Curves/meltCurve_sp_Q3MHD2_LSM12_HUMAN_.pdf</v>
      </c>
      <c r="AA2081" t="s">
        <v>16258</v>
      </c>
      <c r="AB2081" t="s">
        <v>20915</v>
      </c>
    </row>
    <row r="2082" spans="1:28" x14ac:dyDescent="0.25">
      <c r="A2082" t="s">
        <v>2086</v>
      </c>
      <c r="B2082">
        <v>0.99904790336628502</v>
      </c>
      <c r="C2082">
        <v>0.952888558664028</v>
      </c>
      <c r="D2082">
        <v>0.97189610176478503</v>
      </c>
      <c r="E2082">
        <v>0.86420561310184096</v>
      </c>
      <c r="F2082">
        <v>0.64840493079037198</v>
      </c>
      <c r="G2082">
        <v>0.17008484131413701</v>
      </c>
      <c r="H2082">
        <v>8.8915025504393494E-2</v>
      </c>
      <c r="I2082">
        <v>6.4971421630151793E-2</v>
      </c>
      <c r="J2082">
        <v>4.6859668612409401E-2</v>
      </c>
      <c r="K2082">
        <v>3.8722779481373502E-2</v>
      </c>
      <c r="L2082">
        <v>1530.29473277752</v>
      </c>
      <c r="M2082">
        <v>28.466315550711698</v>
      </c>
      <c r="N2082">
        <v>53.931151615925003</v>
      </c>
      <c r="O2082">
        <v>53.4948885717534</v>
      </c>
      <c r="P2082">
        <v>-0.12722706508331</v>
      </c>
      <c r="Q2082">
        <v>4.3649607002663397E-2</v>
      </c>
      <c r="R2082">
        <v>0.99644647033521605</v>
      </c>
      <c r="S2082" t="s">
        <v>6822</v>
      </c>
      <c r="T2082" t="s">
        <v>9478</v>
      </c>
      <c r="U2082" t="s">
        <v>9478</v>
      </c>
      <c r="V2082" t="s">
        <v>9478</v>
      </c>
      <c r="W2082">
        <v>11</v>
      </c>
      <c r="X2082" t="s">
        <v>11560</v>
      </c>
      <c r="Y2082">
        <v>0.48916475674170828</v>
      </c>
      <c r="Z2082" t="str">
        <f>HYPERLINK("Melting_Curves/meltCurve_sp_Q3MIT2_PUS10_HUMAN_.pdf", "Melting_Curves/meltCurve_sp_Q3MIT2_PUS10_HUMAN_.pdf")</f>
        <v>Melting_Curves/meltCurve_sp_Q3MIT2_PUS10_HUMAN_.pdf</v>
      </c>
      <c r="AA2082" t="s">
        <v>16259</v>
      </c>
      <c r="AB2082" t="s">
        <v>20916</v>
      </c>
    </row>
    <row r="2083" spans="1:28" x14ac:dyDescent="0.25">
      <c r="A2083" t="s">
        <v>2087</v>
      </c>
      <c r="B2083">
        <v>0.99904790336628502</v>
      </c>
      <c r="C2083">
        <v>1.02537524790609</v>
      </c>
      <c r="D2083">
        <v>0.81429505077270103</v>
      </c>
      <c r="E2083">
        <v>0.79983041196743099</v>
      </c>
      <c r="F2083">
        <v>1.11098971038517</v>
      </c>
      <c r="G2083">
        <v>0.83493764624797095</v>
      </c>
      <c r="H2083">
        <v>0.65640825790641799</v>
      </c>
      <c r="I2083">
        <v>0.519424982370849</v>
      </c>
      <c r="J2083">
        <v>0.74412529821554596</v>
      </c>
      <c r="K2083">
        <v>0.68470783212443498</v>
      </c>
      <c r="L2083">
        <v>14256.119947417899</v>
      </c>
      <c r="M2083">
        <v>250</v>
      </c>
      <c r="O2083">
        <v>57.020830421988798</v>
      </c>
      <c r="P2083">
        <v>-0.38235304977731499</v>
      </c>
      <c r="Q2083">
        <v>0.65116658470954802</v>
      </c>
      <c r="R2083">
        <v>0.61870499486307895</v>
      </c>
      <c r="S2083" t="s">
        <v>6823</v>
      </c>
      <c r="T2083" t="s">
        <v>9478</v>
      </c>
      <c r="U2083" t="s">
        <v>9478</v>
      </c>
      <c r="V2083" t="s">
        <v>9478</v>
      </c>
      <c r="W2083">
        <v>2</v>
      </c>
      <c r="X2083" t="s">
        <v>11561</v>
      </c>
      <c r="Y2083">
        <v>0.84915840922306396</v>
      </c>
      <c r="Z2083" t="str">
        <f>HYPERLINK("Melting_Curves/meltCurve_sp_Q3YEC7_RABL6_HUMAN_.pdf", "Melting_Curves/meltCurve_sp_Q3YEC7_RABL6_HUMAN_.pdf")</f>
        <v>Melting_Curves/meltCurve_sp_Q3YEC7_RABL6_HUMAN_.pdf</v>
      </c>
      <c r="AA2083" t="s">
        <v>16260</v>
      </c>
      <c r="AB2083" t="s">
        <v>20917</v>
      </c>
    </row>
    <row r="2084" spans="1:28" x14ac:dyDescent="0.25">
      <c r="A2084" t="s">
        <v>2088</v>
      </c>
      <c r="B2084">
        <v>0.99904790336628502</v>
      </c>
      <c r="C2084">
        <v>0.41318891488882498</v>
      </c>
      <c r="D2084">
        <v>0.37491814528644002</v>
      </c>
      <c r="E2084">
        <v>0.23749885465398901</v>
      </c>
      <c r="F2084">
        <v>0.118325313341912</v>
      </c>
      <c r="G2084">
        <v>9.5941513394429606E-2</v>
      </c>
      <c r="H2084">
        <v>4.34043736675137E-2</v>
      </c>
      <c r="I2084">
        <v>1.0749553182159199E-2</v>
      </c>
      <c r="J2084">
        <v>0</v>
      </c>
      <c r="K2084">
        <v>2.3738367934672999E-2</v>
      </c>
      <c r="L2084">
        <v>689.95459404122698</v>
      </c>
      <c r="M2084">
        <v>15.7721675511418</v>
      </c>
      <c r="N2084">
        <v>43.972583001784798</v>
      </c>
      <c r="O2084">
        <v>43.059952948198699</v>
      </c>
      <c r="P2084">
        <v>-8.7990376772011103E-2</v>
      </c>
      <c r="Q2084">
        <v>3.9181632215290099E-2</v>
      </c>
      <c r="R2084">
        <v>0.91021923329841103</v>
      </c>
      <c r="S2084" t="s">
        <v>6824</v>
      </c>
      <c r="T2084" t="s">
        <v>9478</v>
      </c>
      <c r="U2084" t="s">
        <v>9478</v>
      </c>
      <c r="V2084" t="s">
        <v>9478</v>
      </c>
      <c r="W2084">
        <v>8</v>
      </c>
      <c r="X2084" t="s">
        <v>11562</v>
      </c>
      <c r="Y2084">
        <v>0.19173772031410791</v>
      </c>
      <c r="Z2084" t="str">
        <f>HYPERLINK("Melting_Curves/meltCurve_sp_Q3ZCM7_TBB8_HUMAN_.pdf", "Melting_Curves/meltCurve_sp_Q3ZCM7_TBB8_HUMAN_.pdf")</f>
        <v>Melting_Curves/meltCurve_sp_Q3ZCM7_TBB8_HUMAN_.pdf</v>
      </c>
      <c r="AA2084" t="s">
        <v>16261</v>
      </c>
      <c r="AB2084" t="s">
        <v>20918</v>
      </c>
    </row>
    <row r="2085" spans="1:28" x14ac:dyDescent="0.25">
      <c r="A2085" t="s">
        <v>2089</v>
      </c>
      <c r="B2085">
        <v>0.99904790336628502</v>
      </c>
      <c r="C2085">
        <v>0.94436370202833397</v>
      </c>
      <c r="D2085">
        <v>0.93171027029703402</v>
      </c>
      <c r="E2085">
        <v>0.82226106617817896</v>
      </c>
      <c r="F2085">
        <v>0.70587489942105297</v>
      </c>
      <c r="G2085">
        <v>0.37609611804155202</v>
      </c>
      <c r="H2085">
        <v>0.177584448906251</v>
      </c>
      <c r="I2085">
        <v>0.120363622706833</v>
      </c>
      <c r="J2085">
        <v>6.2826311402664994E-2</v>
      </c>
      <c r="K2085">
        <v>4.1065759324573597E-2</v>
      </c>
      <c r="L2085">
        <v>853.77611910129394</v>
      </c>
      <c r="M2085">
        <v>15.4215513420933</v>
      </c>
      <c r="N2085">
        <v>55.362531078376101</v>
      </c>
      <c r="O2085">
        <v>54.456668081426997</v>
      </c>
      <c r="P2085">
        <v>-7.0803767028314701E-2</v>
      </c>
      <c r="Q2085">
        <v>0</v>
      </c>
      <c r="R2085">
        <v>0.99638295406958399</v>
      </c>
      <c r="S2085" t="s">
        <v>6825</v>
      </c>
      <c r="T2085" t="s">
        <v>9478</v>
      </c>
      <c r="U2085" t="s">
        <v>9478</v>
      </c>
      <c r="V2085" t="s">
        <v>9478</v>
      </c>
      <c r="W2085">
        <v>4</v>
      </c>
      <c r="X2085" t="s">
        <v>11563</v>
      </c>
      <c r="Y2085">
        <v>0.53032748481785996</v>
      </c>
      <c r="Z2085" t="str">
        <f>HYPERLINK("Melting_Curves/meltCurve_sp_Q3ZCW2_LEGL_HUMAN_.pdf", "Melting_Curves/meltCurve_sp_Q3ZCW2_LEGL_HUMAN_.pdf")</f>
        <v>Melting_Curves/meltCurve_sp_Q3ZCW2_LEGL_HUMAN_.pdf</v>
      </c>
      <c r="AA2085" t="s">
        <v>16262</v>
      </c>
      <c r="AB2085" t="s">
        <v>20919</v>
      </c>
    </row>
    <row r="2086" spans="1:28" x14ac:dyDescent="0.25">
      <c r="A2086" t="s">
        <v>2090</v>
      </c>
      <c r="B2086">
        <v>0.99904790336628502</v>
      </c>
      <c r="C2086">
        <v>1.01012406626991</v>
      </c>
      <c r="D2086">
        <v>1.02076889969</v>
      </c>
      <c r="E2086">
        <v>0.93526786910799398</v>
      </c>
      <c r="F2086">
        <v>0.90494769099184802</v>
      </c>
      <c r="G2086">
        <v>0.65406319980356398</v>
      </c>
      <c r="H2086">
        <v>0.48184068042655698</v>
      </c>
      <c r="I2086">
        <v>0.25177663240533499</v>
      </c>
      <c r="J2086">
        <v>3.7502568391840199E-2</v>
      </c>
      <c r="K2086">
        <v>3.5609062625566797E-2</v>
      </c>
      <c r="L2086">
        <v>1074.1543084438799</v>
      </c>
      <c r="M2086">
        <v>17.990850912122099</v>
      </c>
      <c r="N2086">
        <v>59.705586678843297</v>
      </c>
      <c r="O2086">
        <v>58.982573579520597</v>
      </c>
      <c r="P2086">
        <v>-7.6258707947252105E-2</v>
      </c>
      <c r="Q2086">
        <v>0</v>
      </c>
      <c r="R2086">
        <v>0.98718223199622002</v>
      </c>
      <c r="S2086" t="s">
        <v>6826</v>
      </c>
      <c r="T2086" t="s">
        <v>9478</v>
      </c>
      <c r="U2086" t="s">
        <v>9478</v>
      </c>
      <c r="V2086" t="s">
        <v>9478</v>
      </c>
      <c r="W2086">
        <v>8</v>
      </c>
      <c r="X2086" t="s">
        <v>11564</v>
      </c>
      <c r="Y2086">
        <v>0.66586569499187387</v>
      </c>
      <c r="Z2086" t="str">
        <f>HYPERLINK("Melting_Curves/meltCurve_sp_Q49A26_5_GLYR1_HUMAN_.pdf", "Melting_Curves/meltCurve_sp_Q49A26_5_GLYR1_HUMAN_.pdf")</f>
        <v>Melting_Curves/meltCurve_sp_Q49A26_5_GLYR1_HUMAN_.pdf</v>
      </c>
      <c r="AA2086" t="s">
        <v>16263</v>
      </c>
      <c r="AB2086" t="s">
        <v>20920</v>
      </c>
    </row>
    <row r="2087" spans="1:28" x14ac:dyDescent="0.25">
      <c r="A2087" t="s">
        <v>2091</v>
      </c>
      <c r="B2087">
        <v>0.99904790336628502</v>
      </c>
      <c r="C2087">
        <v>0.96615189489469999</v>
      </c>
      <c r="D2087">
        <v>0.98343330670229301</v>
      </c>
      <c r="E2087">
        <v>0.911216150060705</v>
      </c>
      <c r="F2087">
        <v>0.79064064681716595</v>
      </c>
      <c r="G2087">
        <v>0.62939799134315</v>
      </c>
      <c r="H2087">
        <v>0.437515063407036</v>
      </c>
      <c r="I2087">
        <v>0.27074891347518398</v>
      </c>
      <c r="J2087">
        <v>0.373282290444582</v>
      </c>
      <c r="K2087">
        <v>0.30545155377271599</v>
      </c>
      <c r="L2087">
        <v>926.69266659514096</v>
      </c>
      <c r="M2087">
        <v>16.468835910396201</v>
      </c>
      <c r="N2087">
        <v>59.060241993174301</v>
      </c>
      <c r="O2087">
        <v>55.459424336402201</v>
      </c>
      <c r="P2087">
        <v>-5.4169180268501302E-2</v>
      </c>
      <c r="Q2087">
        <v>0.27038383049555997</v>
      </c>
      <c r="R2087">
        <v>0.98391020796195305</v>
      </c>
      <c r="S2087" t="s">
        <v>6827</v>
      </c>
      <c r="T2087" t="s">
        <v>9478</v>
      </c>
      <c r="U2087" t="s">
        <v>9478</v>
      </c>
      <c r="V2087" t="s">
        <v>9478</v>
      </c>
      <c r="W2087">
        <v>3</v>
      </c>
      <c r="X2087" t="s">
        <v>11565</v>
      </c>
      <c r="Y2087">
        <v>0.67767393038123813</v>
      </c>
      <c r="Z2087" t="str">
        <f>HYPERLINK("Melting_Curves/meltCurve_sp_Q49AH0_CDNF_HUMAN_.pdf", "Melting_Curves/meltCurve_sp_Q49AH0_CDNF_HUMAN_.pdf")</f>
        <v>Melting_Curves/meltCurve_sp_Q49AH0_CDNF_HUMAN_.pdf</v>
      </c>
      <c r="AA2087" t="s">
        <v>16264</v>
      </c>
      <c r="AB2087" t="s">
        <v>20921</v>
      </c>
    </row>
    <row r="2088" spans="1:28" x14ac:dyDescent="0.25">
      <c r="A2088" t="s">
        <v>2092</v>
      </c>
      <c r="B2088">
        <v>0.99904790336628502</v>
      </c>
      <c r="C2088">
        <v>0.98498140068199702</v>
      </c>
      <c r="D2088">
        <v>0.88884022062280998</v>
      </c>
      <c r="E2088">
        <v>1.0296986555996801</v>
      </c>
      <c r="F2088">
        <v>0.78267419837104901</v>
      </c>
      <c r="G2088">
        <v>0.34079349094382599</v>
      </c>
      <c r="H2088">
        <v>0.11692249396594701</v>
      </c>
      <c r="I2088">
        <v>5.0956756321886502E-2</v>
      </c>
      <c r="J2088">
        <v>3.7319309768982303E-2</v>
      </c>
      <c r="K2088">
        <v>0</v>
      </c>
      <c r="L2088">
        <v>1562.2572899664499</v>
      </c>
      <c r="M2088">
        <v>28.114087763562502</v>
      </c>
      <c r="N2088">
        <v>55.6605388074004</v>
      </c>
      <c r="O2088">
        <v>55.289635900950998</v>
      </c>
      <c r="P2088">
        <v>-0.124234629408081</v>
      </c>
      <c r="Q2088">
        <v>2.2720934656006199E-2</v>
      </c>
      <c r="R2088">
        <v>0.989919452994516</v>
      </c>
      <c r="S2088" t="s">
        <v>6828</v>
      </c>
      <c r="T2088" t="s">
        <v>9478</v>
      </c>
      <c r="U2088" t="s">
        <v>9478</v>
      </c>
      <c r="V2088" t="s">
        <v>9478</v>
      </c>
      <c r="W2088">
        <v>1</v>
      </c>
      <c r="X2088" t="s">
        <v>11566</v>
      </c>
      <c r="Y2088">
        <v>0.53720939003512391</v>
      </c>
      <c r="Z2088" t="str">
        <f>HYPERLINK("Melting_Curves/meltCurve_sp_Q49AR2_2_CE022_HUMAN_.pdf", "Melting_Curves/meltCurve_sp_Q49AR2_2_CE022_HUMAN_.pdf")</f>
        <v>Melting_Curves/meltCurve_sp_Q49AR2_2_CE022_HUMAN_.pdf</v>
      </c>
      <c r="AA2088" t="s">
        <v>16265</v>
      </c>
      <c r="AB2088" t="s">
        <v>20922</v>
      </c>
    </row>
    <row r="2089" spans="1:28" x14ac:dyDescent="0.25">
      <c r="A2089" t="s">
        <v>2093</v>
      </c>
      <c r="B2089">
        <v>0.99904790336628502</v>
      </c>
      <c r="C2089">
        <v>1.0493751711209101</v>
      </c>
      <c r="D2089">
        <v>0.97075120620741995</v>
      </c>
      <c r="E2089">
        <v>0.90948010298472504</v>
      </c>
      <c r="F2089">
        <v>0.88064623015814902</v>
      </c>
      <c r="G2089">
        <v>0.631916569727348</v>
      </c>
      <c r="H2089">
        <v>0.57086685660534797</v>
      </c>
      <c r="I2089">
        <v>0.55047852236981998</v>
      </c>
      <c r="J2089">
        <v>0.60911775226244103</v>
      </c>
      <c r="K2089">
        <v>0.65950441084146305</v>
      </c>
      <c r="L2089">
        <v>1779.11844825871</v>
      </c>
      <c r="M2089">
        <v>33.027891509437502</v>
      </c>
      <c r="O2089">
        <v>53.670823105330101</v>
      </c>
      <c r="P2089">
        <v>-6.2660392332645101E-2</v>
      </c>
      <c r="Q2089">
        <v>0.592705451298426</v>
      </c>
      <c r="R2089">
        <v>0.95436353227154302</v>
      </c>
      <c r="S2089" t="s">
        <v>6829</v>
      </c>
      <c r="T2089" t="s">
        <v>9478</v>
      </c>
      <c r="U2089" t="s">
        <v>9478</v>
      </c>
      <c r="V2089" t="s">
        <v>9478</v>
      </c>
      <c r="W2089">
        <v>3</v>
      </c>
      <c r="X2089" t="s">
        <v>11567</v>
      </c>
      <c r="Y2089">
        <v>0.78318699731784902</v>
      </c>
      <c r="Z2089" t="str">
        <f>HYPERLINK("Melting_Curves/meltCurve_sp_Q49B96_COX19_HUMAN_.pdf", "Melting_Curves/meltCurve_sp_Q49B96_COX19_HUMAN_.pdf")</f>
        <v>Melting_Curves/meltCurve_sp_Q49B96_COX19_HUMAN_.pdf</v>
      </c>
      <c r="AA2089" t="s">
        <v>16266</v>
      </c>
      <c r="AB2089" t="s">
        <v>20923</v>
      </c>
    </row>
    <row r="2090" spans="1:28" x14ac:dyDescent="0.25">
      <c r="A2090" t="s">
        <v>2094</v>
      </c>
      <c r="B2090">
        <v>0.99904790336628502</v>
      </c>
      <c r="C2090">
        <v>0.94294354420373505</v>
      </c>
      <c r="D2090">
        <v>0.98026296362006904</v>
      </c>
      <c r="E2090">
        <v>0.90238837259637905</v>
      </c>
      <c r="F2090">
        <v>0.56372310445875295</v>
      </c>
      <c r="G2090">
        <v>0.28605009177197699</v>
      </c>
      <c r="H2090">
        <v>0.11906030975161699</v>
      </c>
      <c r="I2090">
        <v>8.0863836178413404E-2</v>
      </c>
      <c r="J2090">
        <v>5.0967823342963001E-2</v>
      </c>
      <c r="K2090">
        <v>3.3547517253280999E-2</v>
      </c>
      <c r="L2090">
        <v>1187.1611909941901</v>
      </c>
      <c r="M2090">
        <v>22.0350878496705</v>
      </c>
      <c r="N2090">
        <v>54.101312730980297</v>
      </c>
      <c r="O2090">
        <v>53.438108221249102</v>
      </c>
      <c r="P2090">
        <v>-9.8568598638659993E-2</v>
      </c>
      <c r="Q2090">
        <v>4.38518062781812E-2</v>
      </c>
      <c r="R2090">
        <v>0.99498076285250803</v>
      </c>
      <c r="S2090" t="s">
        <v>6830</v>
      </c>
      <c r="T2090" t="s">
        <v>9478</v>
      </c>
      <c r="U2090" t="s">
        <v>9478</v>
      </c>
      <c r="V2090" t="s">
        <v>9478</v>
      </c>
      <c r="W2090">
        <v>13</v>
      </c>
      <c r="X2090" t="s">
        <v>11568</v>
      </c>
      <c r="Y2090">
        <v>0.49717065681474393</v>
      </c>
      <c r="Z2090" t="str">
        <f>HYPERLINK("Melting_Curves/meltCurve_sp_Q4G0F5_VP26B_HUMAN_.pdf", "Melting_Curves/meltCurve_sp_Q4G0F5_VP26B_HUMAN_.pdf")</f>
        <v>Melting_Curves/meltCurve_sp_Q4G0F5_VP26B_HUMAN_.pdf</v>
      </c>
      <c r="AA2090" t="s">
        <v>16267</v>
      </c>
      <c r="AB2090" t="s">
        <v>20924</v>
      </c>
    </row>
    <row r="2091" spans="1:28" x14ac:dyDescent="0.25">
      <c r="A2091" t="s">
        <v>2095</v>
      </c>
      <c r="B2091">
        <v>0.99904790336628502</v>
      </c>
      <c r="C2091">
        <v>1.03025775154717</v>
      </c>
      <c r="D2091">
        <v>1.0282130193177801</v>
      </c>
      <c r="E2091">
        <v>0.975254676023667</v>
      </c>
      <c r="F2091">
        <v>0.84483224167019499</v>
      </c>
      <c r="G2091">
        <v>0.62312951192852895</v>
      </c>
      <c r="H2091">
        <v>0.34610350073462098</v>
      </c>
      <c r="I2091">
        <v>0.256501696251974</v>
      </c>
      <c r="J2091">
        <v>0.224297904313948</v>
      </c>
      <c r="K2091">
        <v>0.18438918042041499</v>
      </c>
      <c r="L2091">
        <v>1175.71739978336</v>
      </c>
      <c r="M2091">
        <v>20.519181435942599</v>
      </c>
      <c r="N2091">
        <v>58.496261422066198</v>
      </c>
      <c r="O2091">
        <v>56.762567751690597</v>
      </c>
      <c r="P2091">
        <v>-7.4873375408365098E-2</v>
      </c>
      <c r="Q2091">
        <v>0.17153034337658901</v>
      </c>
      <c r="R2091">
        <v>0.997169584435179</v>
      </c>
      <c r="S2091" t="s">
        <v>6831</v>
      </c>
      <c r="T2091" t="s">
        <v>9478</v>
      </c>
      <c r="U2091" t="s">
        <v>9478</v>
      </c>
      <c r="V2091" t="s">
        <v>9478</v>
      </c>
      <c r="W2091">
        <v>14</v>
      </c>
      <c r="X2091" t="s">
        <v>11569</v>
      </c>
      <c r="Y2091">
        <v>0.65889235947257185</v>
      </c>
      <c r="Z2091" t="str">
        <f>HYPERLINK("Melting_Curves/meltCurve_sp_Q4G0J3_LARP7_HUMAN_.pdf", "Melting_Curves/meltCurve_sp_Q4G0J3_LARP7_HUMAN_.pdf")</f>
        <v>Melting_Curves/meltCurve_sp_Q4G0J3_LARP7_HUMAN_.pdf</v>
      </c>
      <c r="AA2091" t="s">
        <v>16268</v>
      </c>
      <c r="AB2091" t="s">
        <v>20925</v>
      </c>
    </row>
    <row r="2092" spans="1:28" x14ac:dyDescent="0.25">
      <c r="A2092" t="s">
        <v>2096</v>
      </c>
      <c r="B2092">
        <v>0.99904790336628502</v>
      </c>
      <c r="C2092">
        <v>1.0045808735515001</v>
      </c>
      <c r="D2092">
        <v>1.0297013944266999</v>
      </c>
      <c r="E2092">
        <v>0.81763439154219397</v>
      </c>
      <c r="F2092">
        <v>0.40468918305530299</v>
      </c>
      <c r="G2092">
        <v>0.121351633530039</v>
      </c>
      <c r="H2092">
        <v>6.5944328942358105E-2</v>
      </c>
      <c r="I2092">
        <v>4.6082983002412502E-2</v>
      </c>
      <c r="J2092">
        <v>3.7743866195293303E-2</v>
      </c>
      <c r="K2092">
        <v>2.5852782306205101E-2</v>
      </c>
      <c r="L2092">
        <v>1685.61830638319</v>
      </c>
      <c r="M2092">
        <v>32.2716447028956</v>
      </c>
      <c r="N2092">
        <v>52.380896747243398</v>
      </c>
      <c r="O2092">
        <v>52.032841748137898</v>
      </c>
      <c r="P2092">
        <v>-0.14826724433997801</v>
      </c>
      <c r="Q2092">
        <v>4.3776226492623201E-2</v>
      </c>
      <c r="R2092">
        <v>0.99855990280648499</v>
      </c>
      <c r="S2092" t="s">
        <v>6832</v>
      </c>
      <c r="T2092" t="s">
        <v>9478</v>
      </c>
      <c r="U2092" t="s">
        <v>9478</v>
      </c>
      <c r="V2092" t="s">
        <v>9478</v>
      </c>
      <c r="W2092">
        <v>35</v>
      </c>
      <c r="X2092" t="s">
        <v>11570</v>
      </c>
      <c r="Y2092">
        <v>0.43897070700751928</v>
      </c>
      <c r="Z2092" t="str">
        <f>HYPERLINK("Melting_Curves/meltCurve_sp_Q4G0N4_NAKD1_HUMAN_.pdf", "Melting_Curves/meltCurve_sp_Q4G0N4_NAKD1_HUMAN_.pdf")</f>
        <v>Melting_Curves/meltCurve_sp_Q4G0N4_NAKD1_HUMAN_.pdf</v>
      </c>
      <c r="AA2092" t="s">
        <v>16269</v>
      </c>
      <c r="AB2092" t="s">
        <v>20926</v>
      </c>
    </row>
    <row r="2093" spans="1:28" x14ac:dyDescent="0.25">
      <c r="A2093" t="s">
        <v>2097</v>
      </c>
      <c r="B2093">
        <v>0.99904790336628502</v>
      </c>
      <c r="C2093">
        <v>0.92029861723321305</v>
      </c>
      <c r="D2093">
        <v>0.98567307687303496</v>
      </c>
      <c r="E2093">
        <v>0.76060496976333103</v>
      </c>
      <c r="F2093">
        <v>0.48431756839178502</v>
      </c>
      <c r="G2093">
        <v>0.195375052811879</v>
      </c>
      <c r="H2093">
        <v>8.4775912312120297E-2</v>
      </c>
      <c r="I2093">
        <v>6.6923811360500698E-2</v>
      </c>
      <c r="J2093">
        <v>4.1366328651762298E-2</v>
      </c>
      <c r="K2093">
        <v>3.9366441199442201E-2</v>
      </c>
      <c r="L2093">
        <v>1118.7001607408899</v>
      </c>
      <c r="M2093">
        <v>21.247547150768099</v>
      </c>
      <c r="N2093">
        <v>52.838557070417899</v>
      </c>
      <c r="O2093">
        <v>52.191069244707997</v>
      </c>
      <c r="P2093">
        <v>-9.8079649956083995E-2</v>
      </c>
      <c r="Q2093">
        <v>3.6359236627504003E-2</v>
      </c>
      <c r="R2093">
        <v>0.99614588599990195</v>
      </c>
      <c r="S2093" t="s">
        <v>6833</v>
      </c>
      <c r="T2093" t="s">
        <v>9478</v>
      </c>
      <c r="U2093" t="s">
        <v>9478</v>
      </c>
      <c r="V2093" t="s">
        <v>9478</v>
      </c>
      <c r="W2093">
        <v>5</v>
      </c>
      <c r="X2093" t="s">
        <v>11571</v>
      </c>
      <c r="Y2093">
        <v>0.45466432215414559</v>
      </c>
      <c r="Z2093" t="str">
        <f>HYPERLINK("Melting_Curves/meltCurve_sp_Q4G0X4_KCD21_HUMAN_.pdf", "Melting_Curves/meltCurve_sp_Q4G0X4_KCD21_HUMAN_.pdf")</f>
        <v>Melting_Curves/meltCurve_sp_Q4G0X4_KCD21_HUMAN_.pdf</v>
      </c>
      <c r="AA2093" t="s">
        <v>16270</v>
      </c>
      <c r="AB2093" t="s">
        <v>20927</v>
      </c>
    </row>
    <row r="2094" spans="1:28" x14ac:dyDescent="0.25">
      <c r="A2094" t="s">
        <v>2098</v>
      </c>
      <c r="B2094">
        <v>0.99904790336628502</v>
      </c>
      <c r="C2094">
        <v>0.93332106072113596</v>
      </c>
      <c r="D2094">
        <v>0.62917014499677704</v>
      </c>
      <c r="E2094">
        <v>0.242315668688874</v>
      </c>
      <c r="F2094">
        <v>0.13855636798946899</v>
      </c>
      <c r="G2094">
        <v>8.5760456187547504E-2</v>
      </c>
      <c r="H2094">
        <v>5.62805778536484E-2</v>
      </c>
      <c r="I2094">
        <v>4.5489569902069801E-2</v>
      </c>
      <c r="J2094">
        <v>4.0339876700825998E-2</v>
      </c>
      <c r="K2094">
        <v>3.7303423978837999E-2</v>
      </c>
      <c r="L2094">
        <v>1082.1933735310799</v>
      </c>
      <c r="M2094">
        <v>23.006606099742601</v>
      </c>
      <c r="N2094">
        <v>47.258869418253802</v>
      </c>
      <c r="O2094">
        <v>46.687316829939903</v>
      </c>
      <c r="P2094">
        <v>-0.11692790236447199</v>
      </c>
      <c r="Q2094">
        <v>5.08903852337977E-2</v>
      </c>
      <c r="R2094">
        <v>0.99820415807896301</v>
      </c>
      <c r="S2094" t="s">
        <v>6834</v>
      </c>
      <c r="T2094" t="s">
        <v>9478</v>
      </c>
      <c r="U2094" t="s">
        <v>9478</v>
      </c>
      <c r="V2094" t="s">
        <v>9478</v>
      </c>
      <c r="W2094">
        <v>23</v>
      </c>
      <c r="X2094" t="s">
        <v>11572</v>
      </c>
      <c r="Y2094">
        <v>0.28373755179109073</v>
      </c>
      <c r="Z2094" t="str">
        <f>HYPERLINK("Melting_Curves/meltCurve_sp_Q4G176_ACSF3_HUMAN_.pdf", "Melting_Curves/meltCurve_sp_Q4G176_ACSF3_HUMAN_.pdf")</f>
        <v>Melting_Curves/meltCurve_sp_Q4G176_ACSF3_HUMAN_.pdf</v>
      </c>
      <c r="AA2094" t="s">
        <v>16271</v>
      </c>
      <c r="AB2094" t="s">
        <v>20928</v>
      </c>
    </row>
    <row r="2095" spans="1:28" x14ac:dyDescent="0.25">
      <c r="A2095" t="s">
        <v>2099</v>
      </c>
      <c r="B2095">
        <v>0.99904790336628502</v>
      </c>
      <c r="C2095">
        <v>0.89218865407131598</v>
      </c>
      <c r="D2095">
        <v>0.81223375456292601</v>
      </c>
      <c r="E2095">
        <v>0.57216990716808103</v>
      </c>
      <c r="F2095">
        <v>0.31176564447321298</v>
      </c>
      <c r="G2095">
        <v>0.15934980745429</v>
      </c>
      <c r="H2095">
        <v>7.3092684459626994E-2</v>
      </c>
      <c r="I2095">
        <v>4.29586608497858E-2</v>
      </c>
      <c r="J2095">
        <v>3.9147251361433703E-2</v>
      </c>
      <c r="K2095">
        <v>3.6930812991200899E-2</v>
      </c>
      <c r="L2095">
        <v>757.51753418882095</v>
      </c>
      <c r="M2095">
        <v>15.0099303739023</v>
      </c>
      <c r="N2095">
        <v>50.537603113218502</v>
      </c>
      <c r="O2095">
        <v>49.597381744209599</v>
      </c>
      <c r="P2095">
        <v>-7.48896368459296E-2</v>
      </c>
      <c r="Q2095">
        <v>1.0267051846316501E-2</v>
      </c>
      <c r="R2095">
        <v>0.99709061141306199</v>
      </c>
      <c r="S2095" t="s">
        <v>6835</v>
      </c>
      <c r="T2095" t="s">
        <v>9478</v>
      </c>
      <c r="U2095" t="s">
        <v>9478</v>
      </c>
      <c r="V2095" t="s">
        <v>9478</v>
      </c>
      <c r="W2095">
        <v>4</v>
      </c>
      <c r="X2095" t="s">
        <v>11573</v>
      </c>
      <c r="Y2095">
        <v>0.37883672361407522</v>
      </c>
      <c r="Z2095" t="str">
        <f>HYPERLINK("Melting_Curves/meltCurve_sp_Q4J6C6_4_PPCEL_HUMAN_.pdf", "Melting_Curves/meltCurve_sp_Q4J6C6_4_PPCEL_HUMAN_.pdf")</f>
        <v>Melting_Curves/meltCurve_sp_Q4J6C6_4_PPCEL_HUMAN_.pdf</v>
      </c>
      <c r="AA2095" t="s">
        <v>16272</v>
      </c>
      <c r="AB2095" t="s">
        <v>20929</v>
      </c>
    </row>
    <row r="2096" spans="1:28" x14ac:dyDescent="0.25">
      <c r="A2096" t="s">
        <v>2100</v>
      </c>
      <c r="B2096">
        <v>0.99904790336628502</v>
      </c>
      <c r="C2096">
        <v>1.01308430521334</v>
      </c>
      <c r="D2096">
        <v>0.85434082809998102</v>
      </c>
      <c r="E2096">
        <v>0.93970593358199395</v>
      </c>
      <c r="F2096">
        <v>0.84398509176305703</v>
      </c>
      <c r="G2096">
        <v>0.56102854823424797</v>
      </c>
      <c r="H2096">
        <v>0.30919962892462699</v>
      </c>
      <c r="I2096">
        <v>0.24793420775213801</v>
      </c>
      <c r="J2096">
        <v>0.136607210121969</v>
      </c>
      <c r="K2096">
        <v>7.1966647261379094E-2</v>
      </c>
      <c r="L2096">
        <v>859.71378078885903</v>
      </c>
      <c r="M2096">
        <v>14.795573841087201</v>
      </c>
      <c r="N2096">
        <v>58.192628743168399</v>
      </c>
      <c r="O2096">
        <v>57.075646696494402</v>
      </c>
      <c r="P2096">
        <v>-6.4108976727862005E-2</v>
      </c>
      <c r="Q2096">
        <v>1.08741151455428E-2</v>
      </c>
      <c r="R2096">
        <v>0.98391087884636796</v>
      </c>
      <c r="S2096" t="s">
        <v>6836</v>
      </c>
      <c r="T2096" t="s">
        <v>9478</v>
      </c>
      <c r="U2096" t="s">
        <v>9478</v>
      </c>
      <c r="V2096" t="s">
        <v>9478</v>
      </c>
      <c r="W2096">
        <v>2</v>
      </c>
      <c r="X2096" t="s">
        <v>11574</v>
      </c>
      <c r="Y2096">
        <v>0.62087101487317686</v>
      </c>
      <c r="Z2096" t="str">
        <f>HYPERLINK("Melting_Curves/meltCurve_sp_Q4KMP7_TB10B_HUMAN_.pdf", "Melting_Curves/meltCurve_sp_Q4KMP7_TB10B_HUMAN_.pdf")</f>
        <v>Melting_Curves/meltCurve_sp_Q4KMP7_TB10B_HUMAN_.pdf</v>
      </c>
      <c r="AA2096" t="s">
        <v>16273</v>
      </c>
      <c r="AB2096" t="s">
        <v>20930</v>
      </c>
    </row>
    <row r="2097" spans="1:28" x14ac:dyDescent="0.25">
      <c r="A2097" t="s">
        <v>2101</v>
      </c>
      <c r="B2097">
        <v>0.99904790336628502</v>
      </c>
      <c r="C2097">
        <v>0.97128478985812705</v>
      </c>
      <c r="D2097">
        <v>0.91640099825084498</v>
      </c>
      <c r="E2097">
        <v>0.86129930387513998</v>
      </c>
      <c r="F2097">
        <v>0.80914956722712195</v>
      </c>
      <c r="G2097">
        <v>0.57996045768439597</v>
      </c>
      <c r="H2097">
        <v>0.55275650412358501</v>
      </c>
      <c r="I2097">
        <v>0.47596371678386701</v>
      </c>
      <c r="J2097">
        <v>0.54528822780313801</v>
      </c>
      <c r="K2097">
        <v>0.59574348095455998</v>
      </c>
      <c r="L2097">
        <v>978.91917850329605</v>
      </c>
      <c r="M2097">
        <v>18.552787168603</v>
      </c>
      <c r="O2097">
        <v>52.162444916005697</v>
      </c>
      <c r="P2097">
        <v>-4.2345127141404697E-2</v>
      </c>
      <c r="Q2097">
        <v>0.52379583406484997</v>
      </c>
      <c r="R2097">
        <v>0.95149356155835296</v>
      </c>
      <c r="S2097" t="s">
        <v>6837</v>
      </c>
      <c r="T2097" t="s">
        <v>9478</v>
      </c>
      <c r="U2097" t="s">
        <v>9478</v>
      </c>
      <c r="V2097" t="s">
        <v>9478</v>
      </c>
      <c r="W2097">
        <v>2</v>
      </c>
      <c r="X2097" t="s">
        <v>11575</v>
      </c>
      <c r="Y2097">
        <v>0.73385641810751023</v>
      </c>
      <c r="Z2097" t="str">
        <f>HYPERLINK("Melting_Curves/meltCurve_sp_Q4KMQ1_2_TPRN_HUMAN_.pdf", "Melting_Curves/meltCurve_sp_Q4KMQ1_2_TPRN_HUMAN_.pdf")</f>
        <v>Melting_Curves/meltCurve_sp_Q4KMQ1_2_TPRN_HUMAN_.pdf</v>
      </c>
      <c r="AA2097" t="s">
        <v>16274</v>
      </c>
      <c r="AB2097" t="s">
        <v>20931</v>
      </c>
    </row>
    <row r="2098" spans="1:28" x14ac:dyDescent="0.25">
      <c r="A2098" t="s">
        <v>2102</v>
      </c>
      <c r="B2098">
        <v>0.99904790336628502</v>
      </c>
      <c r="C2098">
        <v>0.82417075988167399</v>
      </c>
      <c r="D2098">
        <v>0.76839668394570804</v>
      </c>
      <c r="E2098">
        <v>0.75382827890138104</v>
      </c>
      <c r="F2098">
        <v>0.42524553801675202</v>
      </c>
      <c r="G2098">
        <v>0.227563573320167</v>
      </c>
      <c r="H2098">
        <v>8.8611533184316596E-2</v>
      </c>
      <c r="I2098">
        <v>6.1673191926162101E-2</v>
      </c>
      <c r="J2098">
        <v>4.77566386334086E-2</v>
      </c>
      <c r="K2098">
        <v>4.3676247386439902E-2</v>
      </c>
      <c r="L2098">
        <v>668.07190089288395</v>
      </c>
      <c r="M2098">
        <v>12.842895908944399</v>
      </c>
      <c r="N2098">
        <v>52.0187782325781</v>
      </c>
      <c r="O2098">
        <v>50.805996416433203</v>
      </c>
      <c r="P2098">
        <v>-6.3207473644163001E-2</v>
      </c>
      <c r="Q2098">
        <v>0</v>
      </c>
      <c r="R2098">
        <v>0.97036140773242197</v>
      </c>
      <c r="S2098" t="s">
        <v>6838</v>
      </c>
      <c r="T2098" t="s">
        <v>9478</v>
      </c>
      <c r="U2098" t="s">
        <v>9478</v>
      </c>
      <c r="V2098" t="s">
        <v>9478</v>
      </c>
      <c r="W2098">
        <v>2</v>
      </c>
      <c r="X2098" t="s">
        <v>11576</v>
      </c>
      <c r="Y2098">
        <v>0.42857399590312822</v>
      </c>
      <c r="Z2098" t="str">
        <f>HYPERLINK("Melting_Curves/meltCurve_sp_Q4KWH8_3_PLCH1_HUMAN_.pdf", "Melting_Curves/meltCurve_sp_Q4KWH8_3_PLCH1_HUMAN_.pdf")</f>
        <v>Melting_Curves/meltCurve_sp_Q4KWH8_3_PLCH1_HUMAN_.pdf</v>
      </c>
      <c r="AA2098" t="s">
        <v>16275</v>
      </c>
      <c r="AB2098" t="s">
        <v>20932</v>
      </c>
    </row>
    <row r="2099" spans="1:28" x14ac:dyDescent="0.25">
      <c r="A2099" t="s">
        <v>2103</v>
      </c>
      <c r="B2099">
        <v>0.99904790336628502</v>
      </c>
      <c r="C2099">
        <v>1.1045218404768999</v>
      </c>
      <c r="D2099">
        <v>1.0321317455665</v>
      </c>
      <c r="E2099">
        <v>0.97446423081520295</v>
      </c>
      <c r="F2099">
        <v>0.76755325766365601</v>
      </c>
      <c r="G2099">
        <v>0.47697281335570602</v>
      </c>
      <c r="H2099">
        <v>0.42160235613611302</v>
      </c>
      <c r="I2099">
        <v>0.46066396166467199</v>
      </c>
      <c r="J2099">
        <v>0.50379996645484704</v>
      </c>
      <c r="K2099">
        <v>0.46716409684281601</v>
      </c>
      <c r="L2099">
        <v>2764.89711894944</v>
      </c>
      <c r="M2099">
        <v>51.908141772982901</v>
      </c>
      <c r="N2099">
        <v>56.063439174191998</v>
      </c>
      <c r="O2099">
        <v>53.186313452097103</v>
      </c>
      <c r="P2099">
        <v>-0.13114058144420901</v>
      </c>
      <c r="Q2099">
        <v>0.46252139567473399</v>
      </c>
      <c r="R2099">
        <v>0.97834779934888905</v>
      </c>
      <c r="S2099" t="s">
        <v>6839</v>
      </c>
      <c r="T2099" t="s">
        <v>9478</v>
      </c>
      <c r="U2099" t="s">
        <v>9478</v>
      </c>
      <c r="V2099" t="s">
        <v>9478</v>
      </c>
      <c r="W2099">
        <v>3</v>
      </c>
      <c r="X2099" t="s">
        <v>11577</v>
      </c>
      <c r="Y2099">
        <v>0.70135103588701331</v>
      </c>
      <c r="Z2099" t="str">
        <f>HYPERLINK("Melting_Curves/meltCurve_sp_Q4LE39_3_ARI4B_HUMAN_.pdf", "Melting_Curves/meltCurve_sp_Q4LE39_3_ARI4B_HUMAN_.pdf")</f>
        <v>Melting_Curves/meltCurve_sp_Q4LE39_3_ARI4B_HUMAN_.pdf</v>
      </c>
      <c r="AA2099" t="s">
        <v>16276</v>
      </c>
      <c r="AB2099" t="s">
        <v>20933</v>
      </c>
    </row>
    <row r="2100" spans="1:28" x14ac:dyDescent="0.25">
      <c r="A2100" t="s">
        <v>2104</v>
      </c>
      <c r="B2100">
        <v>0.99904790336628502</v>
      </c>
      <c r="C2100">
        <v>1.04194594172295</v>
      </c>
      <c r="D2100">
        <v>1.0446210202272701</v>
      </c>
      <c r="E2100">
        <v>0.96743045802517602</v>
      </c>
      <c r="F2100">
        <v>0.86772199522767302</v>
      </c>
      <c r="G2100">
        <v>0.65994937430011302</v>
      </c>
      <c r="H2100">
        <v>0.58051455825297205</v>
      </c>
      <c r="I2100">
        <v>0.568627639789688</v>
      </c>
      <c r="J2100">
        <v>0.55617172107409196</v>
      </c>
      <c r="K2100">
        <v>0.46081014519524399</v>
      </c>
      <c r="L2100">
        <v>1283.08158000504</v>
      </c>
      <c r="M2100">
        <v>23.238906499161001</v>
      </c>
      <c r="O2100">
        <v>54.808672978967003</v>
      </c>
      <c r="P2100">
        <v>-5.0992189498297903E-2</v>
      </c>
      <c r="Q2100">
        <v>0.51895080146808803</v>
      </c>
      <c r="R2100">
        <v>0.97853173128635795</v>
      </c>
      <c r="S2100" t="s">
        <v>6840</v>
      </c>
      <c r="T2100" t="s">
        <v>9478</v>
      </c>
      <c r="U2100" t="s">
        <v>9478</v>
      </c>
      <c r="V2100" t="s">
        <v>9478</v>
      </c>
      <c r="W2100">
        <v>43</v>
      </c>
      <c r="X2100" t="s">
        <v>11578</v>
      </c>
      <c r="Y2100">
        <v>0.76791827384174693</v>
      </c>
      <c r="Z2100" t="str">
        <f>HYPERLINK("Melting_Curves/meltCurve_sp_Q4V328_GRAP1_HUMAN_.pdf", "Melting_Curves/meltCurve_sp_Q4V328_GRAP1_HUMAN_.pdf")</f>
        <v>Melting_Curves/meltCurve_sp_Q4V328_GRAP1_HUMAN_.pdf</v>
      </c>
      <c r="AA2100" t="s">
        <v>16277</v>
      </c>
      <c r="AB2100" t="s">
        <v>20934</v>
      </c>
    </row>
    <row r="2101" spans="1:28" x14ac:dyDescent="0.25">
      <c r="A2101" t="s">
        <v>2105</v>
      </c>
      <c r="B2101">
        <v>0.99904790336628502</v>
      </c>
      <c r="C2101">
        <v>1.04019006369098</v>
      </c>
      <c r="D2101">
        <v>0.98708998023701</v>
      </c>
      <c r="E2101">
        <v>0.97088689438389797</v>
      </c>
      <c r="F2101">
        <v>0.83932508324063204</v>
      </c>
      <c r="G2101">
        <v>0.47863322186973301</v>
      </c>
      <c r="H2101">
        <v>0.40640255154135102</v>
      </c>
      <c r="I2101">
        <v>0.42285534834115401</v>
      </c>
      <c r="J2101">
        <v>0.62718210459722001</v>
      </c>
      <c r="K2101">
        <v>0.47795570377733398</v>
      </c>
      <c r="L2101">
        <v>3985.0819747525902</v>
      </c>
      <c r="M2101">
        <v>74.399427739964295</v>
      </c>
      <c r="N2101">
        <v>56.046964414632903</v>
      </c>
      <c r="O2101">
        <v>53.524686679200897</v>
      </c>
      <c r="P2101">
        <v>-0.180178800560689</v>
      </c>
      <c r="Q2101">
        <v>0.481500784963593</v>
      </c>
      <c r="R2101">
        <v>0.948674822768382</v>
      </c>
      <c r="S2101" t="s">
        <v>6841</v>
      </c>
      <c r="T2101" t="s">
        <v>9478</v>
      </c>
      <c r="U2101" t="s">
        <v>9478</v>
      </c>
      <c r="V2101" t="s">
        <v>9478</v>
      </c>
      <c r="W2101">
        <v>1</v>
      </c>
      <c r="X2101" t="s">
        <v>11579</v>
      </c>
      <c r="Y2101">
        <v>0.71647178431206471</v>
      </c>
      <c r="Z2101" t="str">
        <f>HYPERLINK("Melting_Curves/meltCurve_sp_Q4V348_Z658B_HUMAN_.pdf", "Melting_Curves/meltCurve_sp_Q4V348_Z658B_HUMAN_.pdf")</f>
        <v>Melting_Curves/meltCurve_sp_Q4V348_Z658B_HUMAN_.pdf</v>
      </c>
      <c r="AA2101" t="s">
        <v>16278</v>
      </c>
      <c r="AB2101" t="s">
        <v>20935</v>
      </c>
    </row>
    <row r="2102" spans="1:28" x14ac:dyDescent="0.25">
      <c r="A2102" t="s">
        <v>2106</v>
      </c>
      <c r="B2102">
        <v>0.99904790336628502</v>
      </c>
      <c r="C2102">
        <v>0.96332063785055899</v>
      </c>
      <c r="D2102">
        <v>0.99729545018511301</v>
      </c>
      <c r="E2102">
        <v>0.54295847093211402</v>
      </c>
      <c r="F2102">
        <v>0.33165414870735799</v>
      </c>
      <c r="G2102">
        <v>0.17712678338438501</v>
      </c>
      <c r="H2102">
        <v>6.5437095599619105E-2</v>
      </c>
      <c r="I2102">
        <v>3.2444041164869403E-2</v>
      </c>
      <c r="J2102">
        <v>0</v>
      </c>
      <c r="K2102">
        <v>0</v>
      </c>
      <c r="L2102">
        <v>1037.2798395541699</v>
      </c>
      <c r="M2102">
        <v>20.3550093342499</v>
      </c>
      <c r="N2102">
        <v>51.057216314080399</v>
      </c>
      <c r="O2102">
        <v>50.475243398641503</v>
      </c>
      <c r="P2102">
        <v>-9.8892637435976594E-2</v>
      </c>
      <c r="Q2102">
        <v>1.9115615160637402E-2</v>
      </c>
      <c r="R2102">
        <v>0.98939621049399995</v>
      </c>
      <c r="S2102" t="s">
        <v>6842</v>
      </c>
      <c r="T2102" t="s">
        <v>9478</v>
      </c>
      <c r="U2102" t="s">
        <v>9478</v>
      </c>
      <c r="V2102" t="s">
        <v>9478</v>
      </c>
      <c r="W2102">
        <v>5</v>
      </c>
      <c r="X2102" t="s">
        <v>11580</v>
      </c>
      <c r="Y2102">
        <v>0.39062149808943708</v>
      </c>
      <c r="Z2102" t="str">
        <f>HYPERLINK("Melting_Curves/meltCurve_sp_Q504Q3_2_PAN2_HUMAN_.pdf", "Melting_Curves/meltCurve_sp_Q504Q3_2_PAN2_HUMAN_.pdf")</f>
        <v>Melting_Curves/meltCurve_sp_Q504Q3_2_PAN2_HUMAN_.pdf</v>
      </c>
      <c r="AA2102" t="s">
        <v>16279</v>
      </c>
      <c r="AB2102" t="s">
        <v>20936</v>
      </c>
    </row>
    <row r="2103" spans="1:28" x14ac:dyDescent="0.25">
      <c r="A2103" t="s">
        <v>2107</v>
      </c>
      <c r="B2103">
        <v>0.99904790336628502</v>
      </c>
      <c r="C2103">
        <v>0.95488039230094801</v>
      </c>
      <c r="D2103">
        <v>0.95204232917694798</v>
      </c>
      <c r="E2103">
        <v>0.57587145679863005</v>
      </c>
      <c r="F2103">
        <v>0.36689138794708498</v>
      </c>
      <c r="G2103">
        <v>0.204186243440211</v>
      </c>
      <c r="H2103">
        <v>0.13361580272461601</v>
      </c>
      <c r="I2103">
        <v>9.7433306914278206E-2</v>
      </c>
      <c r="J2103">
        <v>8.5712473473926395E-2</v>
      </c>
      <c r="K2103">
        <v>8.3143594904991805E-2</v>
      </c>
      <c r="L2103">
        <v>1026.7261081163899</v>
      </c>
      <c r="M2103">
        <v>20.243752454513199</v>
      </c>
      <c r="N2103">
        <v>51.228451913705001</v>
      </c>
      <c r="O2103">
        <v>50.231034886903998</v>
      </c>
      <c r="P2103">
        <v>-9.1556519721714205E-2</v>
      </c>
      <c r="Q2103">
        <v>9.1307585183366805E-2</v>
      </c>
      <c r="R2103">
        <v>0.99579956779697598</v>
      </c>
      <c r="S2103" t="s">
        <v>6843</v>
      </c>
      <c r="T2103" t="s">
        <v>9478</v>
      </c>
      <c r="U2103" t="s">
        <v>9478</v>
      </c>
      <c r="V2103" t="s">
        <v>9478</v>
      </c>
      <c r="W2103">
        <v>5</v>
      </c>
      <c r="X2103" t="s">
        <v>11581</v>
      </c>
      <c r="Y2103">
        <v>0.42829432191118277</v>
      </c>
      <c r="Z2103" t="str">
        <f>HYPERLINK("Melting_Curves/meltCurve_sp_Q52LJ0_2_FA98B_HUMAN_.pdf", "Melting_Curves/meltCurve_sp_Q52LJ0_2_FA98B_HUMAN_.pdf")</f>
        <v>Melting_Curves/meltCurve_sp_Q52LJ0_2_FA98B_HUMAN_.pdf</v>
      </c>
      <c r="AA2103" t="s">
        <v>16280</v>
      </c>
      <c r="AB2103" t="s">
        <v>20937</v>
      </c>
    </row>
    <row r="2104" spans="1:28" x14ac:dyDescent="0.25">
      <c r="A2104" t="s">
        <v>2108</v>
      </c>
      <c r="B2104">
        <v>0.99904790336628502</v>
      </c>
      <c r="C2104">
        <v>0.95794058339394295</v>
      </c>
      <c r="D2104">
        <v>1.06671532389477</v>
      </c>
      <c r="E2104">
        <v>0.84752037831304905</v>
      </c>
      <c r="F2104">
        <v>0.64403954429474297</v>
      </c>
      <c r="G2104">
        <v>0.31472180895951402</v>
      </c>
      <c r="H2104">
        <v>0.14886691705734301</v>
      </c>
      <c r="I2104">
        <v>0.117502752386557</v>
      </c>
      <c r="J2104">
        <v>7.0519167679052405E-2</v>
      </c>
      <c r="K2104">
        <v>6.1418575911910002E-2</v>
      </c>
      <c r="L2104">
        <v>1144.0358120958799</v>
      </c>
      <c r="M2104">
        <v>21.086554438165201</v>
      </c>
      <c r="N2104">
        <v>54.605531340983099</v>
      </c>
      <c r="O2104">
        <v>53.773405546945298</v>
      </c>
      <c r="P2104">
        <v>-9.1819321614811905E-2</v>
      </c>
      <c r="Q2104">
        <v>6.3420824986715904E-2</v>
      </c>
      <c r="R2104">
        <v>0.99371703154325697</v>
      </c>
      <c r="S2104" t="s">
        <v>6844</v>
      </c>
      <c r="T2104" t="s">
        <v>9478</v>
      </c>
      <c r="U2104" t="s">
        <v>9478</v>
      </c>
      <c r="V2104" t="s">
        <v>9478</v>
      </c>
      <c r="W2104">
        <v>3</v>
      </c>
      <c r="X2104" t="s">
        <v>11582</v>
      </c>
      <c r="Y2104">
        <v>0.52006742367376124</v>
      </c>
      <c r="Z2104" t="str">
        <f>HYPERLINK("Melting_Curves/meltCurve_sp_Q52LW3_RHG29_HUMAN_.pdf", "Melting_Curves/meltCurve_sp_Q52LW3_RHG29_HUMAN_.pdf")</f>
        <v>Melting_Curves/meltCurve_sp_Q52LW3_RHG29_HUMAN_.pdf</v>
      </c>
      <c r="AA2104" t="s">
        <v>16281</v>
      </c>
      <c r="AB2104" t="s">
        <v>20938</v>
      </c>
    </row>
    <row r="2105" spans="1:28" x14ac:dyDescent="0.25">
      <c r="A2105" t="s">
        <v>2109</v>
      </c>
      <c r="B2105">
        <v>0.99904790336628502</v>
      </c>
      <c r="C2105">
        <v>1.07175661392372</v>
      </c>
      <c r="D2105">
        <v>1.08086747658603</v>
      </c>
      <c r="E2105">
        <v>1.0093767362619299</v>
      </c>
      <c r="F2105">
        <v>0.87943822072612998</v>
      </c>
      <c r="G2105">
        <v>0.44945571119361899</v>
      </c>
      <c r="H2105">
        <v>0.19307176820827199</v>
      </c>
      <c r="I2105">
        <v>0.14492498664020301</v>
      </c>
      <c r="J2105">
        <v>0.20368747200540199</v>
      </c>
      <c r="K2105">
        <v>6.3277230937288903E-2</v>
      </c>
      <c r="L2105">
        <v>1821.25161595905</v>
      </c>
      <c r="M2105">
        <v>32.489950433215398</v>
      </c>
      <c r="N2105">
        <v>56.585235000692798</v>
      </c>
      <c r="O2105">
        <v>55.844763064041103</v>
      </c>
      <c r="P2105">
        <v>-0.12638645033120799</v>
      </c>
      <c r="Q2105">
        <v>0.13105587969184099</v>
      </c>
      <c r="R2105">
        <v>0.98705694504691099</v>
      </c>
      <c r="S2105" t="s">
        <v>6845</v>
      </c>
      <c r="T2105" t="s">
        <v>9478</v>
      </c>
      <c r="U2105" t="s">
        <v>9478</v>
      </c>
      <c r="V2105" t="s">
        <v>9478</v>
      </c>
      <c r="W2105">
        <v>2</v>
      </c>
      <c r="X2105" t="s">
        <v>11583</v>
      </c>
      <c r="Y2105">
        <v>0.60110797079496969</v>
      </c>
      <c r="Z2105" t="str">
        <f>HYPERLINK("Melting_Curves/meltCurve_sp_Q53EL6_2_PDCD4_HUMAN_.pdf", "Melting_Curves/meltCurve_sp_Q53EL6_2_PDCD4_HUMAN_.pdf")</f>
        <v>Melting_Curves/meltCurve_sp_Q53EL6_2_PDCD4_HUMAN_.pdf</v>
      </c>
      <c r="AA2105" t="s">
        <v>16282</v>
      </c>
      <c r="AB2105" t="s">
        <v>20939</v>
      </c>
    </row>
    <row r="2106" spans="1:28" x14ac:dyDescent="0.25">
      <c r="A2106" t="s">
        <v>2110</v>
      </c>
      <c r="B2106">
        <v>0.99904790336628502</v>
      </c>
      <c r="C2106">
        <v>0.94268952187812804</v>
      </c>
      <c r="D2106">
        <v>0.74496605752549605</v>
      </c>
      <c r="E2106">
        <v>0.77785509024189103</v>
      </c>
      <c r="F2106">
        <v>0.74792319224217596</v>
      </c>
      <c r="G2106">
        <v>0.474671802871247</v>
      </c>
      <c r="H2106">
        <v>0.42631494079217203</v>
      </c>
      <c r="I2106">
        <v>0.50234159072544005</v>
      </c>
      <c r="J2106">
        <v>0.45805834397798301</v>
      </c>
      <c r="K2106">
        <v>0.45393342592455699</v>
      </c>
      <c r="L2106">
        <v>510.94666383502198</v>
      </c>
      <c r="M2106">
        <v>9.9770247072744205</v>
      </c>
      <c r="N2106">
        <v>60.660992160543302</v>
      </c>
      <c r="O2106">
        <v>49.2823969435454</v>
      </c>
      <c r="P2106">
        <v>-3.0670240291119501E-2</v>
      </c>
      <c r="Q2106">
        <v>0.39430379140672001</v>
      </c>
      <c r="R2106">
        <v>0.90853596504892598</v>
      </c>
      <c r="S2106" t="s">
        <v>6846</v>
      </c>
      <c r="T2106" t="s">
        <v>9478</v>
      </c>
      <c r="U2106" t="s">
        <v>9478</v>
      </c>
      <c r="V2106" t="s">
        <v>9478</v>
      </c>
      <c r="W2106">
        <v>3</v>
      </c>
      <c r="X2106" t="s">
        <v>11584</v>
      </c>
      <c r="Y2106">
        <v>0.64547661580264659</v>
      </c>
      <c r="Z2106" t="str">
        <f>HYPERLINK("Melting_Curves/meltCurve_sp_Q53F19_CQ085_HUMAN_.pdf", "Melting_Curves/meltCurve_sp_Q53F19_CQ085_HUMAN_.pdf")</f>
        <v>Melting_Curves/meltCurve_sp_Q53F19_CQ085_HUMAN_.pdf</v>
      </c>
      <c r="AA2106" t="s">
        <v>16283</v>
      </c>
      <c r="AB2106" t="s">
        <v>20940</v>
      </c>
    </row>
    <row r="2107" spans="1:28" x14ac:dyDescent="0.25">
      <c r="A2107" t="s">
        <v>2111</v>
      </c>
      <c r="B2107">
        <v>0.99904790336628502</v>
      </c>
      <c r="C2107">
        <v>1.0135727455477099</v>
      </c>
      <c r="D2107">
        <v>0.99250383067108905</v>
      </c>
      <c r="E2107">
        <v>0.98123444803821502</v>
      </c>
      <c r="F2107">
        <v>0.94364330989701795</v>
      </c>
      <c r="G2107">
        <v>0.78819103986194605</v>
      </c>
      <c r="H2107">
        <v>0.61775421943570097</v>
      </c>
      <c r="I2107">
        <v>0.59166159639735305</v>
      </c>
      <c r="J2107">
        <v>0.43756971224712399</v>
      </c>
      <c r="K2107">
        <v>0.240150294737946</v>
      </c>
      <c r="L2107">
        <v>733.14980080592397</v>
      </c>
      <c r="M2107">
        <v>11.3416805604834</v>
      </c>
      <c r="N2107">
        <v>64.642102163752597</v>
      </c>
      <c r="O2107">
        <v>62.730294388562399</v>
      </c>
      <c r="P2107">
        <v>-4.5213725288575E-2</v>
      </c>
      <c r="Q2107">
        <v>0</v>
      </c>
      <c r="R2107">
        <v>0.98175473492696197</v>
      </c>
      <c r="S2107" t="s">
        <v>6847</v>
      </c>
      <c r="T2107" t="s">
        <v>9478</v>
      </c>
      <c r="U2107" t="s">
        <v>9478</v>
      </c>
      <c r="V2107" t="s">
        <v>9478</v>
      </c>
      <c r="W2107">
        <v>10</v>
      </c>
      <c r="X2107" t="s">
        <v>11585</v>
      </c>
      <c r="Y2107">
        <v>0.78142524031830474</v>
      </c>
      <c r="Z2107" t="str">
        <f>HYPERLINK("Melting_Curves/meltCurve_sp_Q53FA7_QORX_HUMAN_.pdf", "Melting_Curves/meltCurve_sp_Q53FA7_QORX_HUMAN_.pdf")</f>
        <v>Melting_Curves/meltCurve_sp_Q53FA7_QORX_HUMAN_.pdf</v>
      </c>
      <c r="AA2107" t="s">
        <v>16284</v>
      </c>
      <c r="AB2107" t="s">
        <v>20941</v>
      </c>
    </row>
    <row r="2108" spans="1:28" x14ac:dyDescent="0.25">
      <c r="A2108" t="s">
        <v>2112</v>
      </c>
      <c r="B2108">
        <v>0.99904790336628502</v>
      </c>
      <c r="C2108">
        <v>0.88637641520366195</v>
      </c>
      <c r="D2108">
        <v>0.75678375425257904</v>
      </c>
      <c r="E2108">
        <v>0.38324310022073799</v>
      </c>
      <c r="F2108">
        <v>0.145846752482585</v>
      </c>
      <c r="G2108">
        <v>8.9428143610713703E-2</v>
      </c>
      <c r="H2108">
        <v>5.3956240465805903E-2</v>
      </c>
      <c r="I2108">
        <v>4.0962430901313698E-2</v>
      </c>
      <c r="J2108">
        <v>3.2749146009625099E-2</v>
      </c>
      <c r="K2108">
        <v>2.3259133442244801E-2</v>
      </c>
      <c r="L2108">
        <v>941.63807051259403</v>
      </c>
      <c r="M2108">
        <v>19.451985129509001</v>
      </c>
      <c r="N2108">
        <v>48.552208710067198</v>
      </c>
      <c r="O2108">
        <v>47.905426024569103</v>
      </c>
      <c r="P2108">
        <v>-9.8672936684125995E-2</v>
      </c>
      <c r="Q2108">
        <v>2.8007293739341001E-2</v>
      </c>
      <c r="R2108">
        <v>0.99729804594521498</v>
      </c>
      <c r="S2108" t="s">
        <v>6848</v>
      </c>
      <c r="T2108" t="s">
        <v>9478</v>
      </c>
      <c r="U2108" t="s">
        <v>9478</v>
      </c>
      <c r="V2108" t="s">
        <v>9478</v>
      </c>
      <c r="W2108">
        <v>26</v>
      </c>
      <c r="X2108" t="s">
        <v>11586</v>
      </c>
      <c r="Y2108">
        <v>0.31496426834386793</v>
      </c>
      <c r="Z2108" t="str">
        <f>HYPERLINK("Melting_Curves/meltCurve_sp_Q53FZ2_ACSM3_HUMAN_.pdf", "Melting_Curves/meltCurve_sp_Q53FZ2_ACSM3_HUMAN_.pdf")</f>
        <v>Melting_Curves/meltCurve_sp_Q53FZ2_ACSM3_HUMAN_.pdf</v>
      </c>
      <c r="AA2108" t="s">
        <v>16285</v>
      </c>
      <c r="AB2108" t="s">
        <v>20942</v>
      </c>
    </row>
    <row r="2109" spans="1:28" x14ac:dyDescent="0.25">
      <c r="A2109" t="s">
        <v>2113</v>
      </c>
      <c r="B2109">
        <v>0.99904790336628502</v>
      </c>
      <c r="C2109">
        <v>0.93339781831528401</v>
      </c>
      <c r="D2109">
        <v>0.95743077329989301</v>
      </c>
      <c r="E2109">
        <v>0.75586634258136198</v>
      </c>
      <c r="F2109">
        <v>0.47709186784763202</v>
      </c>
      <c r="G2109">
        <v>0.210798063797841</v>
      </c>
      <c r="H2109">
        <v>0.12774781090793899</v>
      </c>
      <c r="I2109">
        <v>0.105866391157902</v>
      </c>
      <c r="J2109">
        <v>6.7517610612862294E-2</v>
      </c>
      <c r="K2109">
        <v>5.25007856314849E-2</v>
      </c>
      <c r="L2109">
        <v>1057.4438377077099</v>
      </c>
      <c r="M2109">
        <v>20.157056781758801</v>
      </c>
      <c r="N2109">
        <v>52.810365617134899</v>
      </c>
      <c r="O2109">
        <v>51.952089339084303</v>
      </c>
      <c r="P2109">
        <v>-9.0934069476472798E-2</v>
      </c>
      <c r="Q2109">
        <v>6.2548516770796606E-2</v>
      </c>
      <c r="R2109">
        <v>0.99708034512344301</v>
      </c>
      <c r="S2109" t="s">
        <v>6849</v>
      </c>
      <c r="T2109" t="s">
        <v>9478</v>
      </c>
      <c r="U2109" t="s">
        <v>9478</v>
      </c>
      <c r="V2109" t="s">
        <v>9478</v>
      </c>
      <c r="W2109">
        <v>2</v>
      </c>
      <c r="X2109" t="s">
        <v>11587</v>
      </c>
      <c r="Y2109">
        <v>0.46467733059987021</v>
      </c>
      <c r="Z2109" t="str">
        <f>HYPERLINK("Melting_Curves/meltCurve_sp_Q53GS9_3_SNUT2_HUMAN_.pdf", "Melting_Curves/meltCurve_sp_Q53GS9_3_SNUT2_HUMAN_.pdf")</f>
        <v>Melting_Curves/meltCurve_sp_Q53GS9_3_SNUT2_HUMAN_.pdf</v>
      </c>
      <c r="AA2109" t="s">
        <v>16286</v>
      </c>
      <c r="AB2109" t="s">
        <v>20943</v>
      </c>
    </row>
    <row r="2110" spans="1:28" x14ac:dyDescent="0.25">
      <c r="A2110" t="s">
        <v>2114</v>
      </c>
      <c r="B2110">
        <v>0.99904790336628502</v>
      </c>
      <c r="C2110">
        <v>1.04630853869183</v>
      </c>
      <c r="D2110">
        <v>1.0148884767228701</v>
      </c>
      <c r="E2110">
        <v>1.0159224101444499</v>
      </c>
      <c r="F2110">
        <v>0.90588773172191195</v>
      </c>
      <c r="G2110">
        <v>0.830975364435251</v>
      </c>
      <c r="H2110">
        <v>0.61176254755044301</v>
      </c>
      <c r="I2110">
        <v>0.576429322519878</v>
      </c>
      <c r="J2110">
        <v>0.47814095193914402</v>
      </c>
      <c r="K2110">
        <v>0.32346498544351698</v>
      </c>
      <c r="L2110">
        <v>770.72008245863503</v>
      </c>
      <c r="M2110">
        <v>12.2184599457819</v>
      </c>
      <c r="N2110">
        <v>65.184393239289605</v>
      </c>
      <c r="O2110">
        <v>61.460027699118697</v>
      </c>
      <c r="P2110">
        <v>-4.1604849800643197E-2</v>
      </c>
      <c r="Q2110">
        <v>0.16308233781821399</v>
      </c>
      <c r="R2110">
        <v>0.979654434137464</v>
      </c>
      <c r="S2110" t="s">
        <v>6850</v>
      </c>
      <c r="T2110" t="s">
        <v>9478</v>
      </c>
      <c r="U2110" t="s">
        <v>9478</v>
      </c>
      <c r="V2110" t="s">
        <v>9478</v>
      </c>
      <c r="W2110">
        <v>24</v>
      </c>
      <c r="X2110" t="s">
        <v>11588</v>
      </c>
      <c r="Y2110">
        <v>0.79066976469146333</v>
      </c>
      <c r="Z2110" t="str">
        <f>HYPERLINK("Melting_Curves/meltCurve_sp_Q53H82_LACB2_HUMAN_.pdf", "Melting_Curves/meltCurve_sp_Q53H82_LACB2_HUMAN_.pdf")</f>
        <v>Melting_Curves/meltCurve_sp_Q53H82_LACB2_HUMAN_.pdf</v>
      </c>
      <c r="AA2110" t="s">
        <v>16287</v>
      </c>
      <c r="AB2110" t="s">
        <v>20944</v>
      </c>
    </row>
    <row r="2111" spans="1:28" x14ac:dyDescent="0.25">
      <c r="A2111" t="s">
        <v>2115</v>
      </c>
      <c r="B2111">
        <v>0.99904790336628502</v>
      </c>
      <c r="C2111">
        <v>1.0371094200144</v>
      </c>
      <c r="D2111">
        <v>1.0583676627602201</v>
      </c>
      <c r="E2111">
        <v>0.91337979424429405</v>
      </c>
      <c r="F2111">
        <v>0.70264911623330795</v>
      </c>
      <c r="G2111">
        <v>0.26659091268958501</v>
      </c>
      <c r="H2111">
        <v>9.6259678715108904E-2</v>
      </c>
      <c r="I2111">
        <v>7.3100463808817004E-2</v>
      </c>
      <c r="J2111">
        <v>4.9687423603390998E-2</v>
      </c>
      <c r="K2111">
        <v>3.4993955228349298E-2</v>
      </c>
      <c r="L2111">
        <v>1485.9385275841</v>
      </c>
      <c r="M2111">
        <v>27.252842346599699</v>
      </c>
      <c r="N2111">
        <v>54.710867355232203</v>
      </c>
      <c r="O2111">
        <v>54.233128898175302</v>
      </c>
      <c r="P2111">
        <v>-0.12005107937228</v>
      </c>
      <c r="Q2111">
        <v>4.4403010822647401E-2</v>
      </c>
      <c r="R2111">
        <v>0.99679359216622898</v>
      </c>
      <c r="S2111" t="s">
        <v>6851</v>
      </c>
      <c r="T2111" t="s">
        <v>9478</v>
      </c>
      <c r="U2111" t="s">
        <v>9478</v>
      </c>
      <c r="V2111" t="s">
        <v>9478</v>
      </c>
      <c r="W2111">
        <v>6</v>
      </c>
      <c r="X2111" t="s">
        <v>11589</v>
      </c>
      <c r="Y2111">
        <v>0.51460729131702576</v>
      </c>
      <c r="Z2111" t="str">
        <f>HYPERLINK("Melting_Curves/meltCurve_sp_Q53HC9_TSSC1_HUMAN_.pdf", "Melting_Curves/meltCurve_sp_Q53HC9_TSSC1_HUMAN_.pdf")</f>
        <v>Melting_Curves/meltCurve_sp_Q53HC9_TSSC1_HUMAN_.pdf</v>
      </c>
      <c r="AA2111" t="s">
        <v>16288</v>
      </c>
      <c r="AB2111" t="s">
        <v>20945</v>
      </c>
    </row>
    <row r="2112" spans="1:28" x14ac:dyDescent="0.25">
      <c r="A2112" t="s">
        <v>2116</v>
      </c>
      <c r="B2112">
        <v>0.99904790336628502</v>
      </c>
      <c r="C2112">
        <v>1.1605608680907999</v>
      </c>
      <c r="D2112">
        <v>1.1669364025423801</v>
      </c>
      <c r="E2112">
        <v>0.75622696112491194</v>
      </c>
      <c r="F2112">
        <v>0.39712423713096601</v>
      </c>
      <c r="G2112">
        <v>0.31532979077881101</v>
      </c>
      <c r="H2112">
        <v>0.21262660936219799</v>
      </c>
      <c r="I2112">
        <v>0.16462997118359199</v>
      </c>
      <c r="J2112">
        <v>0.14328182472953599</v>
      </c>
      <c r="K2112">
        <v>0.15290142105875501</v>
      </c>
      <c r="L2112">
        <v>1749.4153898448899</v>
      </c>
      <c r="M2112">
        <v>34.000904187505498</v>
      </c>
      <c r="N2112">
        <v>52.176322660665001</v>
      </c>
      <c r="O2112">
        <v>51.275023242655401</v>
      </c>
      <c r="P2112">
        <v>-0.13459126257760101</v>
      </c>
      <c r="Q2112">
        <v>0.18812248652149799</v>
      </c>
      <c r="R2112">
        <v>0.95571795185722597</v>
      </c>
      <c r="S2112" t="s">
        <v>6852</v>
      </c>
      <c r="T2112" t="s">
        <v>9478</v>
      </c>
      <c r="U2112" t="s">
        <v>9478</v>
      </c>
      <c r="V2112" t="s">
        <v>9478</v>
      </c>
      <c r="W2112">
        <v>2</v>
      </c>
      <c r="X2112" t="s">
        <v>11590</v>
      </c>
      <c r="Y2112">
        <v>0.5020463803832399</v>
      </c>
      <c r="Z2112" t="str">
        <f>HYPERLINK("Melting_Curves/meltCurve_sp_Q53HV7_SMUG1_HUMAN_.pdf", "Melting_Curves/meltCurve_sp_Q53HV7_SMUG1_HUMAN_.pdf")</f>
        <v>Melting_Curves/meltCurve_sp_Q53HV7_SMUG1_HUMAN_.pdf</v>
      </c>
      <c r="AA2112" t="s">
        <v>16289</v>
      </c>
      <c r="AB2112" t="s">
        <v>20946</v>
      </c>
    </row>
    <row r="2113" spans="1:28" x14ac:dyDescent="0.25">
      <c r="A2113" t="s">
        <v>2117</v>
      </c>
      <c r="B2113">
        <v>0.99904790336628502</v>
      </c>
      <c r="C2113">
        <v>0.96199112874831905</v>
      </c>
      <c r="D2113">
        <v>0.92997542076675799</v>
      </c>
      <c r="E2113">
        <v>0.75944354962923499</v>
      </c>
      <c r="F2113">
        <v>0.58016989524700002</v>
      </c>
      <c r="G2113">
        <v>0.388394545730533</v>
      </c>
      <c r="H2113">
        <v>0.32213849351555301</v>
      </c>
      <c r="I2113">
        <v>0.284885392642582</v>
      </c>
      <c r="J2113">
        <v>0.30119245700721398</v>
      </c>
      <c r="K2113">
        <v>0.26944378133320102</v>
      </c>
      <c r="L2113">
        <v>903.88155075967097</v>
      </c>
      <c r="M2113">
        <v>17.380250590100299</v>
      </c>
      <c r="N2113">
        <v>54.4034910199885</v>
      </c>
      <c r="O2113">
        <v>51.332408467808797</v>
      </c>
      <c r="P2113">
        <v>-6.2004015988486601E-2</v>
      </c>
      <c r="Q2113">
        <v>0.26752835312520401</v>
      </c>
      <c r="R2113">
        <v>0.99873409050005102</v>
      </c>
      <c r="S2113" t="s">
        <v>6853</v>
      </c>
      <c r="T2113" t="s">
        <v>9478</v>
      </c>
      <c r="U2113" t="s">
        <v>9478</v>
      </c>
      <c r="V2113" t="s">
        <v>9478</v>
      </c>
      <c r="W2113">
        <v>11</v>
      </c>
      <c r="X2113" t="s">
        <v>11591</v>
      </c>
      <c r="Y2113">
        <v>0.57360057452340085</v>
      </c>
      <c r="Z2113" t="str">
        <f>HYPERLINK("Melting_Curves/meltCurve_sp_Q53LP3_SWAHC_HUMAN_.pdf", "Melting_Curves/meltCurve_sp_Q53LP3_SWAHC_HUMAN_.pdf")</f>
        <v>Melting_Curves/meltCurve_sp_Q53LP3_SWAHC_HUMAN_.pdf</v>
      </c>
      <c r="AA2113" t="s">
        <v>16290</v>
      </c>
      <c r="AB2113" t="s">
        <v>20947</v>
      </c>
    </row>
    <row r="2114" spans="1:28" x14ac:dyDescent="0.25">
      <c r="A2114" t="s">
        <v>2118</v>
      </c>
      <c r="B2114">
        <v>0.99904790336628502</v>
      </c>
      <c r="C2114">
        <v>0.98848536491097305</v>
      </c>
      <c r="D2114">
        <v>0.92100204802566599</v>
      </c>
      <c r="E2114">
        <v>0.88946896953793098</v>
      </c>
      <c r="F2114">
        <v>0.96368304867145604</v>
      </c>
      <c r="G2114">
        <v>0.67955209057351995</v>
      </c>
      <c r="H2114">
        <v>0.62541824047717698</v>
      </c>
      <c r="I2114">
        <v>0.65071549620429003</v>
      </c>
      <c r="J2114">
        <v>0.681993656345808</v>
      </c>
      <c r="K2114">
        <v>0.73419569833430798</v>
      </c>
      <c r="L2114">
        <v>4105.8560133942701</v>
      </c>
      <c r="M2114">
        <v>75.458900806054899</v>
      </c>
      <c r="O2114">
        <v>54.373643234577301</v>
      </c>
      <c r="P2114">
        <v>-0.11367940487325499</v>
      </c>
      <c r="Q2114">
        <v>0.67234285686960304</v>
      </c>
      <c r="R2114">
        <v>0.87946210647173195</v>
      </c>
      <c r="S2114" t="s">
        <v>6854</v>
      </c>
      <c r="T2114" t="s">
        <v>9478</v>
      </c>
      <c r="U2114" t="s">
        <v>9478</v>
      </c>
      <c r="V2114" t="s">
        <v>9478</v>
      </c>
      <c r="W2114">
        <v>5</v>
      </c>
      <c r="X2114" t="s">
        <v>11592</v>
      </c>
      <c r="Y2114">
        <v>0.83009156261649741</v>
      </c>
      <c r="Z2114" t="str">
        <f>HYPERLINK("Melting_Curves/meltCurve_sp_Q53S33_BOLA3_HUMAN_.pdf", "Melting_Curves/meltCurve_sp_Q53S33_BOLA3_HUMAN_.pdf")</f>
        <v>Melting_Curves/meltCurve_sp_Q53S33_BOLA3_HUMAN_.pdf</v>
      </c>
      <c r="AA2114" t="s">
        <v>16291</v>
      </c>
      <c r="AB2114" t="s">
        <v>20948</v>
      </c>
    </row>
    <row r="2115" spans="1:28" x14ac:dyDescent="0.25">
      <c r="A2115" t="s">
        <v>2119</v>
      </c>
      <c r="B2115">
        <v>0.99904790336628502</v>
      </c>
      <c r="C2115">
        <v>0.88037320405852704</v>
      </c>
      <c r="D2115">
        <v>0.89220475255062304</v>
      </c>
      <c r="E2115">
        <v>0.82262654656726897</v>
      </c>
      <c r="F2115">
        <v>0.69045054502202396</v>
      </c>
      <c r="G2115">
        <v>0.50586784224275505</v>
      </c>
      <c r="H2115">
        <v>0.42656190976897002</v>
      </c>
      <c r="I2115">
        <v>0.428720324526147</v>
      </c>
      <c r="J2115">
        <v>0.43527575596576801</v>
      </c>
      <c r="K2115">
        <v>0.46120429674847901</v>
      </c>
      <c r="L2115">
        <v>703.71951686774196</v>
      </c>
      <c r="M2115">
        <v>13.520325074456</v>
      </c>
      <c r="N2115">
        <v>58.962407690770597</v>
      </c>
      <c r="O2115">
        <v>50.949942153153302</v>
      </c>
      <c r="P2115">
        <v>-3.9973071529103101E-2</v>
      </c>
      <c r="Q2115">
        <v>0.39755385273677901</v>
      </c>
      <c r="R2115">
        <v>0.96524805705510996</v>
      </c>
      <c r="S2115" t="s">
        <v>6855</v>
      </c>
      <c r="T2115" t="s">
        <v>9478</v>
      </c>
      <c r="U2115" t="s">
        <v>9478</v>
      </c>
      <c r="V2115" t="s">
        <v>9478</v>
      </c>
      <c r="W2115">
        <v>42</v>
      </c>
      <c r="X2115" t="s">
        <v>11593</v>
      </c>
      <c r="Y2115">
        <v>0.65517297558640619</v>
      </c>
      <c r="Z2115" t="str">
        <f>HYPERLINK("Melting_Curves/meltCurve_sp_Q53SF7_4_COBL1_HUMAN_.pdf", "Melting_Curves/meltCurve_sp_Q53SF7_4_COBL1_HUMAN_.pdf")</f>
        <v>Melting_Curves/meltCurve_sp_Q53SF7_4_COBL1_HUMAN_.pdf</v>
      </c>
      <c r="AA2115" t="s">
        <v>16292</v>
      </c>
      <c r="AB2115" t="s">
        <v>20949</v>
      </c>
    </row>
    <row r="2116" spans="1:28" x14ac:dyDescent="0.25">
      <c r="A2116" t="s">
        <v>2120</v>
      </c>
      <c r="B2116">
        <v>0.99904790336628502</v>
      </c>
      <c r="C2116">
        <v>0.86682867572273403</v>
      </c>
      <c r="D2116">
        <v>0.84595393556318599</v>
      </c>
      <c r="E2116">
        <v>0.75027700057628799</v>
      </c>
      <c r="F2116">
        <v>0.59305746182083496</v>
      </c>
      <c r="G2116">
        <v>0.292272341567343</v>
      </c>
      <c r="H2116">
        <v>0.13469009776204</v>
      </c>
      <c r="I2116">
        <v>9.0057792803052802E-2</v>
      </c>
      <c r="J2116">
        <v>7.8223325140220401E-2</v>
      </c>
      <c r="K2116">
        <v>7.2399789673627798E-2</v>
      </c>
      <c r="L2116">
        <v>692.55682294602104</v>
      </c>
      <c r="M2116">
        <v>12.910426452127901</v>
      </c>
      <c r="N2116">
        <v>53.643219591864103</v>
      </c>
      <c r="O2116">
        <v>52.405129796255501</v>
      </c>
      <c r="P2116">
        <v>-6.1600722614257197E-2</v>
      </c>
      <c r="Q2116">
        <v>0</v>
      </c>
      <c r="R2116">
        <v>0.98517792985892805</v>
      </c>
      <c r="S2116" t="s">
        <v>6856</v>
      </c>
      <c r="T2116" t="s">
        <v>9478</v>
      </c>
      <c r="U2116" t="s">
        <v>9478</v>
      </c>
      <c r="V2116" t="s">
        <v>9478</v>
      </c>
      <c r="W2116">
        <v>10</v>
      </c>
      <c r="X2116" t="s">
        <v>11594</v>
      </c>
      <c r="Y2116">
        <v>0.47977670478993789</v>
      </c>
      <c r="Z2116" t="str">
        <f>HYPERLINK("Melting_Curves/meltCurve_sp_Q53T59_H1BP3_HUMAN_.pdf", "Melting_Curves/meltCurve_sp_Q53T59_H1BP3_HUMAN_.pdf")</f>
        <v>Melting_Curves/meltCurve_sp_Q53T59_H1BP3_HUMAN_.pdf</v>
      </c>
      <c r="AA2116" t="s">
        <v>16293</v>
      </c>
      <c r="AB2116" t="s">
        <v>20950</v>
      </c>
    </row>
    <row r="2117" spans="1:28" x14ac:dyDescent="0.25">
      <c r="A2117" t="s">
        <v>2121</v>
      </c>
      <c r="B2117">
        <v>0.99904790336628502</v>
      </c>
      <c r="C2117">
        <v>0.69629221807239405</v>
      </c>
      <c r="D2117">
        <v>0.67273335632623099</v>
      </c>
      <c r="E2117">
        <v>0.69472303821362402</v>
      </c>
      <c r="F2117">
        <v>0.46198286475186201</v>
      </c>
      <c r="G2117">
        <v>0.22716091521894999</v>
      </c>
      <c r="H2117">
        <v>0.14712299852559599</v>
      </c>
      <c r="I2117">
        <v>0.12846624760096401</v>
      </c>
      <c r="J2117">
        <v>0.10106568194355101</v>
      </c>
      <c r="K2117">
        <v>9.4142776441119999E-2</v>
      </c>
      <c r="L2117">
        <v>450.28216504215101</v>
      </c>
      <c r="M2117">
        <v>8.8107426357109997</v>
      </c>
      <c r="N2117">
        <v>51.106029012881002</v>
      </c>
      <c r="O2117">
        <v>48.678605022910503</v>
      </c>
      <c r="P2117">
        <v>-4.5285175488299197E-2</v>
      </c>
      <c r="Q2117">
        <v>0</v>
      </c>
      <c r="R2117">
        <v>0.93742059338915795</v>
      </c>
      <c r="S2117" t="s">
        <v>6857</v>
      </c>
      <c r="T2117" t="s">
        <v>9478</v>
      </c>
      <c r="U2117" t="s">
        <v>9478</v>
      </c>
      <c r="V2117" t="s">
        <v>9478</v>
      </c>
      <c r="W2117">
        <v>14</v>
      </c>
      <c r="X2117" t="s">
        <v>11595</v>
      </c>
      <c r="Y2117">
        <v>0.41789271834072411</v>
      </c>
      <c r="Z2117" t="str">
        <f>HYPERLINK("Melting_Curves/meltCurve_sp_Q58FF8_H90B2_HUMAN_.pdf", "Melting_Curves/meltCurve_sp_Q58FF8_H90B2_HUMAN_.pdf")</f>
        <v>Melting_Curves/meltCurve_sp_Q58FF8_H90B2_HUMAN_.pdf</v>
      </c>
      <c r="AA2117" t="s">
        <v>16294</v>
      </c>
      <c r="AB2117" t="s">
        <v>20951</v>
      </c>
    </row>
    <row r="2118" spans="1:28" x14ac:dyDescent="0.25">
      <c r="A2118" t="s">
        <v>2122</v>
      </c>
      <c r="B2118">
        <v>0.99904790336628502</v>
      </c>
      <c r="C2118">
        <v>0.91637189681487496</v>
      </c>
      <c r="D2118">
        <v>0.94901825217679203</v>
      </c>
      <c r="E2118">
        <v>0.85012294155802104</v>
      </c>
      <c r="F2118">
        <v>0.81696449172585095</v>
      </c>
      <c r="G2118">
        <v>0.55288981992111097</v>
      </c>
      <c r="H2118">
        <v>0.22770724356706601</v>
      </c>
      <c r="I2118">
        <v>9.5438965421194802E-2</v>
      </c>
      <c r="J2118">
        <v>8.4003924525049803E-2</v>
      </c>
      <c r="K2118">
        <v>7.1393834082852603E-2</v>
      </c>
      <c r="L2118">
        <v>971.07268809462096</v>
      </c>
      <c r="M2118">
        <v>16.991438171012302</v>
      </c>
      <c r="N2118">
        <v>57.150706305680103</v>
      </c>
      <c r="O2118">
        <v>56.376706462485998</v>
      </c>
      <c r="P2118">
        <v>-7.5352443365671901E-2</v>
      </c>
      <c r="Q2118">
        <v>0</v>
      </c>
      <c r="R2118">
        <v>0.98696667282156803</v>
      </c>
      <c r="S2118" t="s">
        <v>6858</v>
      </c>
      <c r="T2118" t="s">
        <v>9478</v>
      </c>
      <c r="U2118" t="s">
        <v>9478</v>
      </c>
      <c r="V2118" t="s">
        <v>9478</v>
      </c>
      <c r="W2118">
        <v>9</v>
      </c>
      <c r="X2118" t="s">
        <v>11596</v>
      </c>
      <c r="Y2118">
        <v>0.5859379090402359</v>
      </c>
      <c r="Z2118" t="str">
        <f>HYPERLINK("Melting_Curves/meltCurve_sp_Q58WW2_DCAF6_HUMAN_.pdf", "Melting_Curves/meltCurve_sp_Q58WW2_DCAF6_HUMAN_.pdf")</f>
        <v>Melting_Curves/meltCurve_sp_Q58WW2_DCAF6_HUMAN_.pdf</v>
      </c>
      <c r="AA2118" t="s">
        <v>16295</v>
      </c>
      <c r="AB2118" t="s">
        <v>20952</v>
      </c>
    </row>
    <row r="2119" spans="1:28" x14ac:dyDescent="0.25">
      <c r="A2119" t="s">
        <v>2123</v>
      </c>
      <c r="B2119">
        <v>0.99904790336628502</v>
      </c>
      <c r="C2119">
        <v>0.88654127327600096</v>
      </c>
      <c r="D2119">
        <v>0.99680240352773797</v>
      </c>
      <c r="E2119">
        <v>0.83887846686011003</v>
      </c>
      <c r="F2119">
        <v>0.45779007293072599</v>
      </c>
      <c r="G2119">
        <v>0.51615541864490699</v>
      </c>
      <c r="H2119">
        <v>0.44791035622043401</v>
      </c>
      <c r="I2119">
        <v>0.89814533455202805</v>
      </c>
      <c r="J2119">
        <v>1.43400735076384</v>
      </c>
      <c r="K2119">
        <v>1.1648111420023499</v>
      </c>
      <c r="L2119">
        <v>5978.86180438255</v>
      </c>
      <c r="M2119">
        <v>91.392042816031207</v>
      </c>
      <c r="O2119">
        <v>65.388640698840604</v>
      </c>
      <c r="P2119">
        <v>0.103575220948821</v>
      </c>
      <c r="Q2119">
        <v>1.2964215031997399</v>
      </c>
      <c r="R2119">
        <v>-2.5781759117908601E-2</v>
      </c>
      <c r="S2119" t="s">
        <v>6859</v>
      </c>
      <c r="T2119" t="s">
        <v>9478</v>
      </c>
      <c r="U2119" t="s">
        <v>9478</v>
      </c>
      <c r="V2119" t="s">
        <v>9478</v>
      </c>
      <c r="W2119">
        <v>1</v>
      </c>
      <c r="X2119" t="s">
        <v>11597</v>
      </c>
      <c r="Y2119">
        <v>1.045020222868233</v>
      </c>
      <c r="Z2119" t="str">
        <f>HYPERLINK("Melting_Curves/meltCurve_sp_Q59GN2_R39L5_HUMAN_.pdf", "Melting_Curves/meltCurve_sp_Q59GN2_R39L5_HUMAN_.pdf")</f>
        <v>Melting_Curves/meltCurve_sp_Q59GN2_R39L5_HUMAN_.pdf</v>
      </c>
      <c r="AA2119" t="s">
        <v>16296</v>
      </c>
      <c r="AB2119" t="s">
        <v>20953</v>
      </c>
    </row>
    <row r="2120" spans="1:28" x14ac:dyDescent="0.25">
      <c r="A2120" t="s">
        <v>2124</v>
      </c>
      <c r="B2120">
        <v>0.99904790336628502</v>
      </c>
      <c r="C2120">
        <v>1.02885422300185</v>
      </c>
      <c r="D2120">
        <v>0.97051865060768405</v>
      </c>
      <c r="E2120">
        <v>0.97854890868154398</v>
      </c>
      <c r="F2120">
        <v>0.94251201278418795</v>
      </c>
      <c r="G2120">
        <v>0.71123609156324297</v>
      </c>
      <c r="H2120">
        <v>0.57808180278388599</v>
      </c>
      <c r="I2120">
        <v>0.48831205254020699</v>
      </c>
      <c r="J2120">
        <v>0.49650597810972502</v>
      </c>
      <c r="K2120">
        <v>0.46839093221498601</v>
      </c>
      <c r="L2120">
        <v>1407.6440580057999</v>
      </c>
      <c r="M2120">
        <v>24.759014731739999</v>
      </c>
      <c r="N2120">
        <v>64.426855940169702</v>
      </c>
      <c r="O2120">
        <v>56.486802191173503</v>
      </c>
      <c r="P2120">
        <v>-5.7773986626652001E-2</v>
      </c>
      <c r="Q2120">
        <v>0.47277027188937198</v>
      </c>
      <c r="R2120">
        <v>0.993809736556172</v>
      </c>
      <c r="S2120" t="s">
        <v>6860</v>
      </c>
      <c r="T2120" t="s">
        <v>9478</v>
      </c>
      <c r="U2120" t="s">
        <v>9478</v>
      </c>
      <c r="V2120" t="s">
        <v>9478</v>
      </c>
      <c r="W2120">
        <v>3</v>
      </c>
      <c r="X2120" t="s">
        <v>11598</v>
      </c>
      <c r="Y2120">
        <v>0.77380360169379447</v>
      </c>
      <c r="Z2120" t="str">
        <f>HYPERLINK("Melting_Curves/meltCurve_sp_Q5BKU9_OXLD1_HUMAN_.pdf", "Melting_Curves/meltCurve_sp_Q5BKU9_OXLD1_HUMAN_.pdf")</f>
        <v>Melting_Curves/meltCurve_sp_Q5BKU9_OXLD1_HUMAN_.pdf</v>
      </c>
      <c r="AA2120" t="s">
        <v>16297</v>
      </c>
      <c r="AB2120" t="s">
        <v>20954</v>
      </c>
    </row>
    <row r="2121" spans="1:28" x14ac:dyDescent="0.25">
      <c r="A2121" t="s">
        <v>2125</v>
      </c>
      <c r="B2121">
        <v>0.99904790336628502</v>
      </c>
      <c r="C2121">
        <v>0.93163643423044895</v>
      </c>
      <c r="D2121">
        <v>0.88279877712378496</v>
      </c>
      <c r="E2121">
        <v>0.685399966126784</v>
      </c>
      <c r="F2121">
        <v>0.80374259006562998</v>
      </c>
      <c r="G2121">
        <v>0.53567242096901801</v>
      </c>
      <c r="H2121">
        <v>0.45061789344310998</v>
      </c>
      <c r="I2121">
        <v>0.48566980006042798</v>
      </c>
      <c r="J2121">
        <v>0.43817306071064899</v>
      </c>
      <c r="K2121">
        <v>0.49506750499094898</v>
      </c>
      <c r="L2121">
        <v>563.45015341741805</v>
      </c>
      <c r="M2121">
        <v>10.869407148138601</v>
      </c>
      <c r="N2121">
        <v>61.758145529938901</v>
      </c>
      <c r="O2121">
        <v>50.176109795148001</v>
      </c>
      <c r="P2121">
        <v>-3.18141371393066E-2</v>
      </c>
      <c r="Q2121">
        <v>0.41275707709458698</v>
      </c>
      <c r="R2121">
        <v>0.92468123274585901</v>
      </c>
      <c r="S2121" t="s">
        <v>6861</v>
      </c>
      <c r="T2121" t="s">
        <v>9478</v>
      </c>
      <c r="U2121" t="s">
        <v>9478</v>
      </c>
      <c r="V2121" t="s">
        <v>9478</v>
      </c>
      <c r="W2121">
        <v>2</v>
      </c>
      <c r="X2121" t="s">
        <v>11599</v>
      </c>
      <c r="Y2121">
        <v>0.66505257562066467</v>
      </c>
      <c r="Z2121" t="str">
        <f>HYPERLINK("Melting_Curves/meltCurve_sp_Q5BKZ1_ZN326_HUMAN_.pdf", "Melting_Curves/meltCurve_sp_Q5BKZ1_ZN326_HUMAN_.pdf")</f>
        <v>Melting_Curves/meltCurve_sp_Q5BKZ1_ZN326_HUMAN_.pdf</v>
      </c>
      <c r="AA2121" t="s">
        <v>16298</v>
      </c>
      <c r="AB2121" t="s">
        <v>20955</v>
      </c>
    </row>
    <row r="2122" spans="1:28" x14ac:dyDescent="0.25">
      <c r="A2122" t="s">
        <v>2126</v>
      </c>
      <c r="B2122">
        <v>0.99904790336628502</v>
      </c>
      <c r="C2122">
        <v>0.68424832763372301</v>
      </c>
      <c r="D2122">
        <v>0.86606115070088396</v>
      </c>
      <c r="E2122">
        <v>0.55338023048567297</v>
      </c>
      <c r="F2122">
        <v>0.36238646662387902</v>
      </c>
      <c r="G2122">
        <v>0.21741722673308</v>
      </c>
      <c r="H2122">
        <v>0.16150455844737199</v>
      </c>
      <c r="I2122">
        <v>0.199155747406178</v>
      </c>
      <c r="J2122">
        <v>0.16017370916719201</v>
      </c>
      <c r="K2122">
        <v>0.22664368198757301</v>
      </c>
      <c r="L2122">
        <v>623.06246252368896</v>
      </c>
      <c r="M2122">
        <v>12.687274799947</v>
      </c>
      <c r="N2122">
        <v>50.424541254556203</v>
      </c>
      <c r="O2122">
        <v>47.937134312768698</v>
      </c>
      <c r="P2122">
        <v>-5.6856010057891898E-2</v>
      </c>
      <c r="Q2122">
        <v>0.140876177489559</v>
      </c>
      <c r="R2122">
        <v>0.92429584417704203</v>
      </c>
      <c r="S2122" t="s">
        <v>6862</v>
      </c>
      <c r="T2122" t="s">
        <v>9478</v>
      </c>
      <c r="U2122" t="s">
        <v>9478</v>
      </c>
      <c r="V2122" t="s">
        <v>9478</v>
      </c>
      <c r="W2122">
        <v>1</v>
      </c>
      <c r="X2122" t="s">
        <v>11600</v>
      </c>
      <c r="Y2122">
        <v>0.43027755976258408</v>
      </c>
      <c r="Z2122" t="str">
        <f>HYPERLINK("Melting_Curves/meltCurve_sp_Q5C9Z4_NOM1_HUMAN_.pdf", "Melting_Curves/meltCurve_sp_Q5C9Z4_NOM1_HUMAN_.pdf")</f>
        <v>Melting_Curves/meltCurve_sp_Q5C9Z4_NOM1_HUMAN_.pdf</v>
      </c>
      <c r="AA2122" t="s">
        <v>16299</v>
      </c>
      <c r="AB2122" t="s">
        <v>20956</v>
      </c>
    </row>
    <row r="2123" spans="1:28" x14ac:dyDescent="0.25">
      <c r="A2123" t="s">
        <v>2127</v>
      </c>
      <c r="B2123">
        <v>0.99904790336628502</v>
      </c>
      <c r="C2123">
        <v>0.79983996817908898</v>
      </c>
      <c r="D2123">
        <v>0.97268924695345305</v>
      </c>
      <c r="E2123">
        <v>3.4906041004979098</v>
      </c>
      <c r="F2123">
        <v>0.45922750463886702</v>
      </c>
      <c r="G2123">
        <v>0.85693012693483805</v>
      </c>
      <c r="H2123">
        <v>0.26928614522077399</v>
      </c>
      <c r="I2123">
        <v>0.33326546439503701</v>
      </c>
      <c r="J2123">
        <v>0.29314097351125701</v>
      </c>
      <c r="K2123">
        <v>0.30401230808659002</v>
      </c>
      <c r="L2123">
        <v>14327.476606165799</v>
      </c>
      <c r="M2123">
        <v>250</v>
      </c>
      <c r="N2123">
        <v>57.520647010356001</v>
      </c>
      <c r="O2123">
        <v>57.3062389843858</v>
      </c>
      <c r="P2123">
        <v>-0.763522677792558</v>
      </c>
      <c r="Q2123">
        <v>0.29992619228953898</v>
      </c>
      <c r="R2123">
        <v>0.21882406672848001</v>
      </c>
      <c r="S2123" t="s">
        <v>6863</v>
      </c>
      <c r="T2123" t="s">
        <v>9478</v>
      </c>
      <c r="U2123" t="s">
        <v>9478</v>
      </c>
      <c r="V2123" t="s">
        <v>9478</v>
      </c>
      <c r="W2123">
        <v>1</v>
      </c>
      <c r="X2123" t="s">
        <v>11601</v>
      </c>
      <c r="Y2123">
        <v>0.7039370077028454</v>
      </c>
      <c r="Z2123" t="str">
        <f>HYPERLINK("Melting_Curves/meltCurve_sp_Q5D862_FILA2_HUMAN_.pdf", "Melting_Curves/meltCurve_sp_Q5D862_FILA2_HUMAN_.pdf")</f>
        <v>Melting_Curves/meltCurve_sp_Q5D862_FILA2_HUMAN_.pdf</v>
      </c>
      <c r="AA2123" t="s">
        <v>16300</v>
      </c>
      <c r="AB2123" t="s">
        <v>20957</v>
      </c>
    </row>
    <row r="2124" spans="1:28" x14ac:dyDescent="0.25">
      <c r="A2124" t="s">
        <v>2128</v>
      </c>
      <c r="B2124">
        <v>0.99904790336628502</v>
      </c>
      <c r="C2124">
        <v>0.97025806828032002</v>
      </c>
      <c r="D2124">
        <v>0.933715151373679</v>
      </c>
      <c r="E2124">
        <v>0.59221039010561904</v>
      </c>
      <c r="F2124">
        <v>0.32042444331761699</v>
      </c>
      <c r="G2124">
        <v>0.15864598645792</v>
      </c>
      <c r="H2124">
        <v>9.4663476077162301E-2</v>
      </c>
      <c r="I2124">
        <v>8.5311178121386194E-2</v>
      </c>
      <c r="J2124">
        <v>8.9047567352998194E-2</v>
      </c>
      <c r="K2124">
        <v>8.3272014057538202E-2</v>
      </c>
      <c r="L2124">
        <v>1169.66884409051</v>
      </c>
      <c r="M2124">
        <v>23.1325332688365</v>
      </c>
      <c r="N2124">
        <v>50.966300558602697</v>
      </c>
      <c r="O2124">
        <v>50.190478516674503</v>
      </c>
      <c r="P2124">
        <v>-0.105606216862502</v>
      </c>
      <c r="Q2124">
        <v>8.3484805468698797E-2</v>
      </c>
      <c r="R2124">
        <v>0.99940912667612403</v>
      </c>
      <c r="S2124" t="s">
        <v>6864</v>
      </c>
      <c r="T2124" t="s">
        <v>9478</v>
      </c>
      <c r="U2124" t="s">
        <v>9478</v>
      </c>
      <c r="V2124" t="s">
        <v>9478</v>
      </c>
      <c r="W2124">
        <v>3</v>
      </c>
      <c r="X2124" t="s">
        <v>11602</v>
      </c>
      <c r="Y2124">
        <v>0.41582122148199052</v>
      </c>
      <c r="Z2124" t="str">
        <f>HYPERLINK("Melting_Curves/meltCurve_sp_Q5EBL4_2_RIPL1_HUMAN_.pdf", "Melting_Curves/meltCurve_sp_Q5EBL4_2_RIPL1_HUMAN_.pdf")</f>
        <v>Melting_Curves/meltCurve_sp_Q5EBL4_2_RIPL1_HUMAN_.pdf</v>
      </c>
      <c r="AA2124" t="s">
        <v>16301</v>
      </c>
      <c r="AB2124" t="s">
        <v>20958</v>
      </c>
    </row>
    <row r="2125" spans="1:28" x14ac:dyDescent="0.25">
      <c r="A2125" t="s">
        <v>2129</v>
      </c>
      <c r="B2125">
        <v>0.99904790336628502</v>
      </c>
      <c r="C2125">
        <v>0.92635075356786101</v>
      </c>
      <c r="D2125">
        <v>0.93547239561305195</v>
      </c>
      <c r="E2125">
        <v>0.82789866324108197</v>
      </c>
      <c r="F2125">
        <v>0.691004378518281</v>
      </c>
      <c r="G2125">
        <v>0.43927236394779201</v>
      </c>
      <c r="H2125">
        <v>0.241931465463877</v>
      </c>
      <c r="I2125">
        <v>0.17380914387663501</v>
      </c>
      <c r="J2125">
        <v>0.154935561697334</v>
      </c>
      <c r="K2125">
        <v>0.14440776718446399</v>
      </c>
      <c r="L2125">
        <v>808.05912422901599</v>
      </c>
      <c r="M2125">
        <v>14.673424295318499</v>
      </c>
      <c r="N2125">
        <v>55.795125662019402</v>
      </c>
      <c r="O2125">
        <v>54.077079162995098</v>
      </c>
      <c r="P2125">
        <v>-6.1950557300292697E-2</v>
      </c>
      <c r="Q2125">
        <v>8.6856292585914194E-2</v>
      </c>
      <c r="R2125">
        <v>0.99525523920859804</v>
      </c>
      <c r="S2125" t="s">
        <v>6865</v>
      </c>
      <c r="T2125" t="s">
        <v>9478</v>
      </c>
      <c r="U2125" t="s">
        <v>9478</v>
      </c>
      <c r="V2125" t="s">
        <v>9478</v>
      </c>
      <c r="W2125">
        <v>4</v>
      </c>
      <c r="X2125" t="s">
        <v>11603</v>
      </c>
      <c r="Y2125">
        <v>0.56346757351624599</v>
      </c>
      <c r="Z2125" t="str">
        <f>HYPERLINK("Melting_Curves/meltCurve_sp_Q5EBL8_PDZ11_HUMAN_.pdf", "Melting_Curves/meltCurve_sp_Q5EBL8_PDZ11_HUMAN_.pdf")</f>
        <v>Melting_Curves/meltCurve_sp_Q5EBL8_PDZ11_HUMAN_.pdf</v>
      </c>
      <c r="AA2125" t="s">
        <v>16302</v>
      </c>
      <c r="AB2125" t="s">
        <v>20959</v>
      </c>
    </row>
    <row r="2126" spans="1:28" x14ac:dyDescent="0.25">
      <c r="A2126" t="s">
        <v>2130</v>
      </c>
      <c r="B2126">
        <v>0.99904790336628502</v>
      </c>
      <c r="C2126">
        <v>0.89315931795436299</v>
      </c>
      <c r="D2126">
        <v>0.89540768516926905</v>
      </c>
      <c r="E2126">
        <v>0.74781640024807405</v>
      </c>
      <c r="F2126">
        <v>0.39756566858961101</v>
      </c>
      <c r="G2126">
        <v>0.111981616687685</v>
      </c>
      <c r="H2126">
        <v>7.3901913342604306E-2</v>
      </c>
      <c r="I2126">
        <v>5.0409343075618701E-2</v>
      </c>
      <c r="J2126">
        <v>3.9135935684128598E-2</v>
      </c>
      <c r="K2126">
        <v>1.2668250124946601E-2</v>
      </c>
      <c r="L2126">
        <v>1145.9348810569099</v>
      </c>
      <c r="M2126">
        <v>22.060486924579401</v>
      </c>
      <c r="N2126">
        <v>52.053485832452601</v>
      </c>
      <c r="O2126">
        <v>51.523948674034202</v>
      </c>
      <c r="P2126">
        <v>-0.10463962778885</v>
      </c>
      <c r="Q2126">
        <v>2.2446425159937701E-2</v>
      </c>
      <c r="R2126">
        <v>0.990099432524569</v>
      </c>
      <c r="S2126" t="s">
        <v>6866</v>
      </c>
      <c r="T2126" t="s">
        <v>9478</v>
      </c>
      <c r="U2126" t="s">
        <v>9478</v>
      </c>
      <c r="V2126" t="s">
        <v>9478</v>
      </c>
      <c r="W2126">
        <v>5</v>
      </c>
      <c r="X2126" t="s">
        <v>11604</v>
      </c>
      <c r="Y2126">
        <v>0.42298759873243169</v>
      </c>
      <c r="Z2126" t="str">
        <f>HYPERLINK("Melting_Curves/meltCurve_sp_Q5EBM0_CMPK2_HUMAN_.pdf", "Melting_Curves/meltCurve_sp_Q5EBM0_CMPK2_HUMAN_.pdf")</f>
        <v>Melting_Curves/meltCurve_sp_Q5EBM0_CMPK2_HUMAN_.pdf</v>
      </c>
      <c r="AA2126" t="s">
        <v>16303</v>
      </c>
      <c r="AB2126" t="s">
        <v>20960</v>
      </c>
    </row>
    <row r="2127" spans="1:28" x14ac:dyDescent="0.25">
      <c r="A2127" t="s">
        <v>2131</v>
      </c>
      <c r="B2127">
        <v>0.99904790336628502</v>
      </c>
      <c r="C2127">
        <v>0.95145532812186695</v>
      </c>
      <c r="D2127">
        <v>1.02041662202497</v>
      </c>
      <c r="E2127">
        <v>0.88815876068988198</v>
      </c>
      <c r="F2127">
        <v>0.66054694093278699</v>
      </c>
      <c r="G2127">
        <v>0.36073162590952501</v>
      </c>
      <c r="H2127">
        <v>0.25552741977309001</v>
      </c>
      <c r="I2127">
        <v>0.20006496205951901</v>
      </c>
      <c r="J2127">
        <v>0.161226344323181</v>
      </c>
      <c r="K2127">
        <v>0.23064848084360101</v>
      </c>
      <c r="L2127">
        <v>1293.9434324057599</v>
      </c>
      <c r="M2127">
        <v>24.065031619911998</v>
      </c>
      <c r="N2127">
        <v>54.889335386213197</v>
      </c>
      <c r="O2127">
        <v>53.401453424494001</v>
      </c>
      <c r="P2127">
        <v>-9.0794681373792097E-2</v>
      </c>
      <c r="Q2127">
        <v>0.19410163239266601</v>
      </c>
      <c r="R2127">
        <v>0.99458560179267197</v>
      </c>
      <c r="S2127" t="s">
        <v>6867</v>
      </c>
      <c r="T2127" t="s">
        <v>9478</v>
      </c>
      <c r="U2127" t="s">
        <v>9478</v>
      </c>
      <c r="V2127" t="s">
        <v>9478</v>
      </c>
      <c r="W2127">
        <v>3</v>
      </c>
      <c r="X2127" t="s">
        <v>11605</v>
      </c>
      <c r="Y2127">
        <v>0.57195926915967488</v>
      </c>
      <c r="Z2127" t="str">
        <f>HYPERLINK("Melting_Curves/meltCurve_sp_Q5F1R6_DJC21_HUMAN_.pdf", "Melting_Curves/meltCurve_sp_Q5F1R6_DJC21_HUMAN_.pdf")</f>
        <v>Melting_Curves/meltCurve_sp_Q5F1R6_DJC21_HUMAN_.pdf</v>
      </c>
      <c r="AA2127" t="s">
        <v>16304</v>
      </c>
      <c r="AB2127" t="s">
        <v>20961</v>
      </c>
    </row>
    <row r="2128" spans="1:28" x14ac:dyDescent="0.25">
      <c r="A2128" t="s">
        <v>2132</v>
      </c>
      <c r="B2128">
        <v>0.99904790336628502</v>
      </c>
      <c r="C2128">
        <v>0.95441009413103906</v>
      </c>
      <c r="D2128">
        <v>0.98009405431346996</v>
      </c>
      <c r="E2128">
        <v>0.78589205727477995</v>
      </c>
      <c r="F2128">
        <v>0.40375858692996702</v>
      </c>
      <c r="G2128">
        <v>0.129696027440029</v>
      </c>
      <c r="H2128">
        <v>5.9880966599846097E-2</v>
      </c>
      <c r="I2128">
        <v>3.8464620711498698E-2</v>
      </c>
      <c r="J2128">
        <v>3.8248155411897397E-2</v>
      </c>
      <c r="K2128">
        <v>3.32112952368274E-2</v>
      </c>
      <c r="L2128">
        <v>1461.26643390909</v>
      </c>
      <c r="M2128">
        <v>28.0191684819582</v>
      </c>
      <c r="N2128">
        <v>52.299183508216998</v>
      </c>
      <c r="O2128">
        <v>51.888901142149201</v>
      </c>
      <c r="P2128">
        <v>-0.129891988293029</v>
      </c>
      <c r="Q2128">
        <v>3.7816609005472603E-2</v>
      </c>
      <c r="R2128">
        <v>0.99870769304191598</v>
      </c>
      <c r="S2128" t="s">
        <v>6868</v>
      </c>
      <c r="T2128" t="s">
        <v>9478</v>
      </c>
      <c r="U2128" t="s">
        <v>9478</v>
      </c>
      <c r="V2128" t="s">
        <v>9478</v>
      </c>
      <c r="W2128">
        <v>13</v>
      </c>
      <c r="X2128" t="s">
        <v>11606</v>
      </c>
      <c r="Y2128">
        <v>0.43462758745143049</v>
      </c>
      <c r="Z2128" t="str">
        <f>HYPERLINK("Melting_Curves/meltCurve_sp_Q5GLZ8_3_HERC4_HUMAN_.pdf", "Melting_Curves/meltCurve_sp_Q5GLZ8_3_HERC4_HUMAN_.pdf")</f>
        <v>Melting_Curves/meltCurve_sp_Q5GLZ8_3_HERC4_HUMAN_.pdf</v>
      </c>
      <c r="AA2128" t="s">
        <v>16305</v>
      </c>
      <c r="AB2128" t="s">
        <v>20962</v>
      </c>
    </row>
    <row r="2129" spans="1:28" x14ac:dyDescent="0.25">
      <c r="A2129" t="s">
        <v>2133</v>
      </c>
      <c r="B2129">
        <v>0.99904790336628502</v>
      </c>
      <c r="C2129">
        <v>0.85289607910081999</v>
      </c>
      <c r="D2129">
        <v>0.87622052310828102</v>
      </c>
      <c r="E2129">
        <v>0.83933849571940999</v>
      </c>
      <c r="F2129">
        <v>0.65629478485418502</v>
      </c>
      <c r="G2129">
        <v>0.41367808665626798</v>
      </c>
      <c r="H2129">
        <v>0.32070307936041598</v>
      </c>
      <c r="I2129">
        <v>0.24790634607123599</v>
      </c>
      <c r="J2129">
        <v>0.24908462686330601</v>
      </c>
      <c r="K2129">
        <v>0.25946128963113402</v>
      </c>
      <c r="L2129">
        <v>695.95771460716105</v>
      </c>
      <c r="M2129">
        <v>12.936417270544201</v>
      </c>
      <c r="N2129">
        <v>55.787938821205103</v>
      </c>
      <c r="O2129">
        <v>52.561423419510803</v>
      </c>
      <c r="P2129">
        <v>-5.01690772515569E-2</v>
      </c>
      <c r="Q2129">
        <v>0.184786932049358</v>
      </c>
      <c r="R2129">
        <v>0.97144497786866502</v>
      </c>
      <c r="S2129" t="s">
        <v>6869</v>
      </c>
      <c r="T2129" t="s">
        <v>9478</v>
      </c>
      <c r="U2129" t="s">
        <v>9478</v>
      </c>
      <c r="V2129" t="s">
        <v>9478</v>
      </c>
      <c r="W2129">
        <v>7</v>
      </c>
      <c r="X2129" t="s">
        <v>11607</v>
      </c>
      <c r="Y2129">
        <v>0.57984073703242656</v>
      </c>
      <c r="Z2129" t="str">
        <f>HYPERLINK("Melting_Curves/meltCurve_sp_Q5HYK7_3_SH319_HUMAN_.pdf", "Melting_Curves/meltCurve_sp_Q5HYK7_3_SH319_HUMAN_.pdf")</f>
        <v>Melting_Curves/meltCurve_sp_Q5HYK7_3_SH319_HUMAN_.pdf</v>
      </c>
      <c r="AA2129" t="s">
        <v>16306</v>
      </c>
      <c r="AB2129" t="s">
        <v>20963</v>
      </c>
    </row>
    <row r="2130" spans="1:28" x14ac:dyDescent="0.25">
      <c r="A2130" t="s">
        <v>2134</v>
      </c>
      <c r="B2130">
        <v>0.99904790336628502</v>
      </c>
      <c r="C2130">
        <v>0.88212181601206696</v>
      </c>
      <c r="D2130">
        <v>0.957124364441025</v>
      </c>
      <c r="E2130">
        <v>0.93995306499604803</v>
      </c>
      <c r="F2130">
        <v>1.0416714460146399</v>
      </c>
      <c r="G2130">
        <v>0.72856057883408698</v>
      </c>
      <c r="H2130">
        <v>0.437741162043637</v>
      </c>
      <c r="I2130">
        <v>0.31929649254349601</v>
      </c>
      <c r="J2130">
        <v>0.27466979436251099</v>
      </c>
      <c r="K2130">
        <v>7.4038046844361799E-2</v>
      </c>
      <c r="L2130">
        <v>1172.62184969183</v>
      </c>
      <c r="M2130">
        <v>19.555736105896901</v>
      </c>
      <c r="N2130">
        <v>60.596177207839801</v>
      </c>
      <c r="O2130">
        <v>59.346602045414599</v>
      </c>
      <c r="P2130">
        <v>-7.47704215390875E-2</v>
      </c>
      <c r="Q2130">
        <v>9.2396780481488194E-2</v>
      </c>
      <c r="R2130">
        <v>0.962903330889332</v>
      </c>
      <c r="S2130" t="s">
        <v>6870</v>
      </c>
      <c r="T2130" t="s">
        <v>9478</v>
      </c>
      <c r="U2130" t="s">
        <v>9478</v>
      </c>
      <c r="V2130" t="s">
        <v>9478</v>
      </c>
      <c r="W2130">
        <v>1</v>
      </c>
      <c r="X2130" t="s">
        <v>11608</v>
      </c>
      <c r="Y2130">
        <v>0.70401988432008589</v>
      </c>
      <c r="Z2130" t="str">
        <f>HYPERLINK("Melting_Curves/meltCurve_sp_Q5I0X7_TTC32_HUMAN_.pdf", "Melting_Curves/meltCurve_sp_Q5I0X7_TTC32_HUMAN_.pdf")</f>
        <v>Melting_Curves/meltCurve_sp_Q5I0X7_TTC32_HUMAN_.pdf</v>
      </c>
      <c r="AA2130" t="s">
        <v>16307</v>
      </c>
      <c r="AB2130" t="s">
        <v>20964</v>
      </c>
    </row>
    <row r="2131" spans="1:28" x14ac:dyDescent="0.25">
      <c r="A2131" t="s">
        <v>2135</v>
      </c>
      <c r="B2131">
        <v>0.99904790336628502</v>
      </c>
      <c r="C2131">
        <v>0.96375238411237496</v>
      </c>
      <c r="D2131">
        <v>1.03627630997123</v>
      </c>
      <c r="E2131">
        <v>0.86889414020189903</v>
      </c>
      <c r="F2131">
        <v>0.670014262160184</v>
      </c>
      <c r="G2131">
        <v>0.32046289580443699</v>
      </c>
      <c r="H2131">
        <v>9.9242600024022395E-2</v>
      </c>
      <c r="I2131">
        <v>6.4213115995583797E-2</v>
      </c>
      <c r="J2131">
        <v>5.0581856434582899E-2</v>
      </c>
      <c r="K2131">
        <v>4.6237505649883902E-2</v>
      </c>
      <c r="L2131">
        <v>1197.2120272187501</v>
      </c>
      <c r="M2131">
        <v>21.923113252164899</v>
      </c>
      <c r="N2131">
        <v>54.764274112308399</v>
      </c>
      <c r="O2131">
        <v>54.161296142534297</v>
      </c>
      <c r="P2131">
        <v>-9.8157621306107695E-2</v>
      </c>
      <c r="Q2131">
        <v>3.00239594245796E-2</v>
      </c>
      <c r="R2131">
        <v>0.997167685548773</v>
      </c>
      <c r="S2131" t="s">
        <v>6871</v>
      </c>
      <c r="T2131" t="s">
        <v>9478</v>
      </c>
      <c r="U2131" t="s">
        <v>9478</v>
      </c>
      <c r="V2131" t="s">
        <v>9478</v>
      </c>
      <c r="W2131">
        <v>44</v>
      </c>
      <c r="X2131" t="s">
        <v>11609</v>
      </c>
      <c r="Y2131">
        <v>0.51364452011094019</v>
      </c>
      <c r="Z2131" t="str">
        <f>HYPERLINK("Melting_Curves/meltCurve_sp_Q5JRX3_PREP_HUMAN_.pdf", "Melting_Curves/meltCurve_sp_Q5JRX3_PREP_HUMAN_.pdf")</f>
        <v>Melting_Curves/meltCurve_sp_Q5JRX3_PREP_HUMAN_.pdf</v>
      </c>
      <c r="AA2131" t="s">
        <v>16308</v>
      </c>
      <c r="AB2131" t="s">
        <v>20965</v>
      </c>
    </row>
    <row r="2132" spans="1:28" x14ac:dyDescent="0.25">
      <c r="A2132" t="s">
        <v>2136</v>
      </c>
      <c r="B2132">
        <v>0.99904790336628502</v>
      </c>
      <c r="C2132">
        <v>1.0076211788074401</v>
      </c>
      <c r="D2132">
        <v>1.00933102011126</v>
      </c>
      <c r="E2132">
        <v>1.0092025219447001</v>
      </c>
      <c r="F2132">
        <v>1.02701132203096</v>
      </c>
      <c r="G2132">
        <v>0.82081775800221501</v>
      </c>
      <c r="H2132">
        <v>0.68469782691428904</v>
      </c>
      <c r="I2132">
        <v>0.62717087833361396</v>
      </c>
      <c r="J2132">
        <v>0.56216526239353604</v>
      </c>
      <c r="K2132">
        <v>0.505581660967381</v>
      </c>
      <c r="L2132">
        <v>1281.3098201448199</v>
      </c>
      <c r="M2132">
        <v>21.597228383156601</v>
      </c>
      <c r="O2132">
        <v>58.825888304843303</v>
      </c>
      <c r="P2132">
        <v>-4.4552843471468102E-2</v>
      </c>
      <c r="Q2132">
        <v>0.51460474410124701</v>
      </c>
      <c r="R2132">
        <v>0.98192241131768199</v>
      </c>
      <c r="S2132" t="s">
        <v>6872</v>
      </c>
      <c r="T2132" t="s">
        <v>9478</v>
      </c>
      <c r="U2132" t="s">
        <v>9478</v>
      </c>
      <c r="V2132" t="s">
        <v>9478</v>
      </c>
      <c r="W2132">
        <v>3</v>
      </c>
      <c r="X2132" t="s">
        <v>11610</v>
      </c>
      <c r="Y2132">
        <v>0.83174820119418058</v>
      </c>
      <c r="Z2132" t="str">
        <f>HYPERLINK("Melting_Curves/meltCurve_sp_Q5JS37_NHLC3_HUMAN_.pdf", "Melting_Curves/meltCurve_sp_Q5JS37_NHLC3_HUMAN_.pdf")</f>
        <v>Melting_Curves/meltCurve_sp_Q5JS37_NHLC3_HUMAN_.pdf</v>
      </c>
      <c r="AA2132" t="s">
        <v>16309</v>
      </c>
      <c r="AB2132" t="s">
        <v>20966</v>
      </c>
    </row>
    <row r="2133" spans="1:28" x14ac:dyDescent="0.25">
      <c r="A2133" t="s">
        <v>2137</v>
      </c>
      <c r="B2133">
        <v>0.99904790336628502</v>
      </c>
      <c r="C2133">
        <v>0.86614514670551401</v>
      </c>
      <c r="D2133">
        <v>0</v>
      </c>
      <c r="E2133">
        <v>0.84548041339634705</v>
      </c>
      <c r="F2133">
        <v>0.94339683594702495</v>
      </c>
      <c r="G2133">
        <v>0.74120641288009403</v>
      </c>
      <c r="H2133">
        <v>0.61033446969876404</v>
      </c>
      <c r="I2133">
        <v>0.47536205159248301</v>
      </c>
      <c r="J2133">
        <v>0.43628399049959399</v>
      </c>
      <c r="K2133">
        <v>0.27906936514219299</v>
      </c>
      <c r="L2133">
        <v>166.17840922464899</v>
      </c>
      <c r="M2133">
        <v>2.5773804131220599</v>
      </c>
      <c r="N2133">
        <v>64.475702743744193</v>
      </c>
      <c r="O2133">
        <v>44.171074399464999</v>
      </c>
      <c r="P2133">
        <v>-1.5275461122536201E-2</v>
      </c>
      <c r="Q2133">
        <v>0</v>
      </c>
      <c r="R2133">
        <v>0.178154979573455</v>
      </c>
      <c r="S2133" t="s">
        <v>6873</v>
      </c>
      <c r="T2133" t="s">
        <v>9478</v>
      </c>
      <c r="U2133" t="s">
        <v>9478</v>
      </c>
      <c r="V2133" t="s">
        <v>9478</v>
      </c>
      <c r="W2133">
        <v>2</v>
      </c>
      <c r="X2133" t="s">
        <v>11611</v>
      </c>
      <c r="Y2133">
        <v>0.61997285989487239</v>
      </c>
      <c r="Z2133" t="str">
        <f>HYPERLINK("Melting_Curves/meltCurve_sp_Q5JS54_PSMG4_HUMAN_.pdf", "Melting_Curves/meltCurve_sp_Q5JS54_PSMG4_HUMAN_.pdf")</f>
        <v>Melting_Curves/meltCurve_sp_Q5JS54_PSMG4_HUMAN_.pdf</v>
      </c>
      <c r="AA2133" t="s">
        <v>16310</v>
      </c>
      <c r="AB2133" t="s">
        <v>20967</v>
      </c>
    </row>
    <row r="2134" spans="1:28" x14ac:dyDescent="0.25">
      <c r="A2134" t="s">
        <v>2138</v>
      </c>
      <c r="B2134">
        <v>0.99904790336628502</v>
      </c>
      <c r="C2134">
        <v>1.0068709115960599</v>
      </c>
      <c r="D2134">
        <v>0.93841996183694298</v>
      </c>
      <c r="E2134">
        <v>0.79538808899590197</v>
      </c>
      <c r="F2134">
        <v>0.63301358657487505</v>
      </c>
      <c r="G2134">
        <v>0.49652051857714002</v>
      </c>
      <c r="H2134">
        <v>0.38459030706532099</v>
      </c>
      <c r="I2134">
        <v>0.34840392520813901</v>
      </c>
      <c r="J2134">
        <v>0.347741653228549</v>
      </c>
      <c r="K2134">
        <v>0.35108627886132199</v>
      </c>
      <c r="L2134">
        <v>860.55086239208003</v>
      </c>
      <c r="M2134">
        <v>16.371738045127</v>
      </c>
      <c r="N2134">
        <v>56.253253704023201</v>
      </c>
      <c r="O2134">
        <v>51.797737509621001</v>
      </c>
      <c r="P2134">
        <v>-5.3011174118168199E-2</v>
      </c>
      <c r="Q2134">
        <v>0.329170285669523</v>
      </c>
      <c r="R2134">
        <v>0.99794613458245696</v>
      </c>
      <c r="S2134" t="s">
        <v>6874</v>
      </c>
      <c r="T2134" t="s">
        <v>9478</v>
      </c>
      <c r="U2134" t="s">
        <v>9478</v>
      </c>
      <c r="V2134" t="s">
        <v>9478</v>
      </c>
      <c r="W2134">
        <v>18</v>
      </c>
      <c r="X2134" t="s">
        <v>11612</v>
      </c>
      <c r="Y2134">
        <v>0.62297799080200622</v>
      </c>
      <c r="Z2134" t="str">
        <f>HYPERLINK("Melting_Curves/meltCurve_sp_Q5JSH3_2_WDR44_HUMAN_.pdf", "Melting_Curves/meltCurve_sp_Q5JSH3_2_WDR44_HUMAN_.pdf")</f>
        <v>Melting_Curves/meltCurve_sp_Q5JSH3_2_WDR44_HUMAN_.pdf</v>
      </c>
      <c r="AA2134" t="s">
        <v>16311</v>
      </c>
      <c r="AB2134" t="s">
        <v>20968</v>
      </c>
    </row>
    <row r="2135" spans="1:28" x14ac:dyDescent="0.25">
      <c r="A2135" t="s">
        <v>2139</v>
      </c>
      <c r="B2135">
        <v>0.99904790336628502</v>
      </c>
      <c r="C2135">
        <v>1.05570825771508</v>
      </c>
      <c r="D2135">
        <v>1.0800474671487199</v>
      </c>
      <c r="E2135">
        <v>0.97372941831673498</v>
      </c>
      <c r="F2135">
        <v>0.94605341602131698</v>
      </c>
      <c r="G2135">
        <v>0.71414700379551299</v>
      </c>
      <c r="H2135">
        <v>0.56767010655705497</v>
      </c>
      <c r="I2135">
        <v>0.57264696395486903</v>
      </c>
      <c r="J2135">
        <v>0.57634598753146804</v>
      </c>
      <c r="K2135">
        <v>0.69601885020620702</v>
      </c>
      <c r="L2135">
        <v>2321.53967833468</v>
      </c>
      <c r="M2135">
        <v>41.803449975938001</v>
      </c>
      <c r="O2135">
        <v>55.408011125729601</v>
      </c>
      <c r="P2135">
        <v>-7.4994874234489903E-2</v>
      </c>
      <c r="Q2135">
        <v>0.60239554032759102</v>
      </c>
      <c r="R2135">
        <v>0.94443023879453802</v>
      </c>
      <c r="S2135" t="s">
        <v>6875</v>
      </c>
      <c r="T2135" t="s">
        <v>9478</v>
      </c>
      <c r="U2135" t="s">
        <v>9478</v>
      </c>
      <c r="V2135" t="s">
        <v>9478</v>
      </c>
      <c r="W2135">
        <v>8</v>
      </c>
      <c r="X2135" t="s">
        <v>11613</v>
      </c>
      <c r="Y2135">
        <v>0.80967516181515975</v>
      </c>
      <c r="Z2135" t="str">
        <f>HYPERLINK("Melting_Curves/meltCurve_sp_Q5JSZ5_5_PRC2B_HUMAN_.pdf", "Melting_Curves/meltCurve_sp_Q5JSZ5_5_PRC2B_HUMAN_.pdf")</f>
        <v>Melting_Curves/meltCurve_sp_Q5JSZ5_5_PRC2B_HUMAN_.pdf</v>
      </c>
      <c r="AA2135" t="s">
        <v>16312</v>
      </c>
      <c r="AB2135" t="s">
        <v>20969</v>
      </c>
    </row>
    <row r="2136" spans="1:28" x14ac:dyDescent="0.25">
      <c r="A2136" t="s">
        <v>2140</v>
      </c>
      <c r="B2136">
        <v>0.99904790336628502</v>
      </c>
      <c r="C2136">
        <v>1.1072605011232199</v>
      </c>
      <c r="D2136">
        <v>0.87715941836089795</v>
      </c>
      <c r="E2136">
        <v>1.3928296127241899</v>
      </c>
      <c r="F2136">
        <v>0.380345923320206</v>
      </c>
      <c r="G2136">
        <v>0.38112575171331597</v>
      </c>
      <c r="H2136">
        <v>0.43908275138478597</v>
      </c>
      <c r="I2136">
        <v>0.71657762327523999</v>
      </c>
      <c r="J2136">
        <v>0.840593406706588</v>
      </c>
      <c r="K2136">
        <v>1.12406503490787</v>
      </c>
      <c r="L2136">
        <v>4393.3875784148804</v>
      </c>
      <c r="M2136">
        <v>85.178725980138296</v>
      </c>
      <c r="O2136">
        <v>51.550051074726198</v>
      </c>
      <c r="P2136">
        <v>-0.144316112385524</v>
      </c>
      <c r="Q2136">
        <v>0.650640362468902</v>
      </c>
      <c r="R2136">
        <v>0.377505765399204</v>
      </c>
      <c r="S2136" t="s">
        <v>6876</v>
      </c>
      <c r="T2136" t="s">
        <v>9478</v>
      </c>
      <c r="U2136" t="s">
        <v>9478</v>
      </c>
      <c r="V2136" t="s">
        <v>9478</v>
      </c>
      <c r="W2136">
        <v>1</v>
      </c>
      <c r="X2136" t="s">
        <v>11614</v>
      </c>
      <c r="Y2136">
        <v>0.78574813437728463</v>
      </c>
      <c r="Z2136" t="str">
        <f>HYPERLINK("Melting_Curves/meltCurve_sp_Q5JTC6_2_AMER1_HUMAN_.pdf", "Melting_Curves/meltCurve_sp_Q5JTC6_2_AMER1_HUMAN_.pdf")</f>
        <v>Melting_Curves/meltCurve_sp_Q5JTC6_2_AMER1_HUMAN_.pdf</v>
      </c>
      <c r="AA2136" t="s">
        <v>16313</v>
      </c>
      <c r="AB2136" t="s">
        <v>20970</v>
      </c>
    </row>
    <row r="2137" spans="1:28" x14ac:dyDescent="0.25">
      <c r="A2137" t="s">
        <v>2141</v>
      </c>
      <c r="B2137">
        <v>0.99904790336628502</v>
      </c>
      <c r="C2137">
        <v>1.0379603069154599</v>
      </c>
      <c r="D2137">
        <v>0.99083064201295201</v>
      </c>
      <c r="E2137">
        <v>0.84040379560638501</v>
      </c>
      <c r="F2137">
        <v>0.77227970365354404</v>
      </c>
      <c r="G2137">
        <v>0.49170330693367498</v>
      </c>
      <c r="H2137">
        <v>0.42882813364049499</v>
      </c>
      <c r="I2137">
        <v>0.33588387160586602</v>
      </c>
      <c r="J2137">
        <v>0.34232205759790701</v>
      </c>
      <c r="K2137">
        <v>0.31514084805033499</v>
      </c>
      <c r="L2137">
        <v>963.35629492624901</v>
      </c>
      <c r="M2137">
        <v>17.701091847661701</v>
      </c>
      <c r="N2137">
        <v>57.542500011441497</v>
      </c>
      <c r="O2137">
        <v>53.743224442633597</v>
      </c>
      <c r="P2137">
        <v>-5.6946218867745403E-2</v>
      </c>
      <c r="Q2137">
        <v>0.30844698000159398</v>
      </c>
      <c r="R2137">
        <v>0.99069571607350204</v>
      </c>
      <c r="S2137" t="s">
        <v>6877</v>
      </c>
      <c r="T2137" t="s">
        <v>9478</v>
      </c>
      <c r="U2137" t="s">
        <v>9478</v>
      </c>
      <c r="V2137" t="s">
        <v>9478</v>
      </c>
      <c r="W2137">
        <v>6</v>
      </c>
      <c r="X2137" t="s">
        <v>11615</v>
      </c>
      <c r="Y2137">
        <v>0.65212267911568944</v>
      </c>
      <c r="Z2137" t="str">
        <f>HYPERLINK("Melting_Curves/meltCurve_sp_Q5JTD0_2_TJAP1_HUMAN_.pdf", "Melting_Curves/meltCurve_sp_Q5JTD0_2_TJAP1_HUMAN_.pdf")</f>
        <v>Melting_Curves/meltCurve_sp_Q5JTD0_2_TJAP1_HUMAN_.pdf</v>
      </c>
      <c r="AA2137" t="s">
        <v>16314</v>
      </c>
      <c r="AB2137" t="s">
        <v>20971</v>
      </c>
    </row>
    <row r="2138" spans="1:28" x14ac:dyDescent="0.25">
      <c r="A2138" t="s">
        <v>2142</v>
      </c>
      <c r="B2138">
        <v>0.99904790336628502</v>
      </c>
      <c r="C2138">
        <v>1.00766347398544</v>
      </c>
      <c r="D2138">
        <v>0.98082100293850905</v>
      </c>
      <c r="E2138">
        <v>1.01568873253411</v>
      </c>
      <c r="F2138">
        <v>0.98936706751060499</v>
      </c>
      <c r="G2138">
        <v>0.84951075109713903</v>
      </c>
      <c r="H2138">
        <v>0.78497257366334905</v>
      </c>
      <c r="I2138">
        <v>0.73860421360866102</v>
      </c>
      <c r="J2138">
        <v>0.82828411315656403</v>
      </c>
      <c r="K2138">
        <v>0.85458637656930803</v>
      </c>
      <c r="L2138">
        <v>3490.2760161666001</v>
      </c>
      <c r="M2138">
        <v>62.414766478442701</v>
      </c>
      <c r="O2138">
        <v>55.863356162178903</v>
      </c>
      <c r="P2138">
        <v>-5.5423487539804098E-2</v>
      </c>
      <c r="Q2138">
        <v>0.80157638259679997</v>
      </c>
      <c r="R2138">
        <v>0.91325197583849305</v>
      </c>
      <c r="S2138" t="s">
        <v>6878</v>
      </c>
      <c r="T2138" t="s">
        <v>9478</v>
      </c>
      <c r="U2138" t="s">
        <v>9478</v>
      </c>
      <c r="V2138" t="s">
        <v>9478</v>
      </c>
      <c r="W2138">
        <v>10</v>
      </c>
      <c r="X2138" t="s">
        <v>11616</v>
      </c>
      <c r="Y2138">
        <v>0.90719109971519551</v>
      </c>
      <c r="Z2138" t="str">
        <f>HYPERLINK("Melting_Curves/meltCurve_sp_Q5JTJ3_3_COA6_HUMAN_.pdf", "Melting_Curves/meltCurve_sp_Q5JTJ3_3_COA6_HUMAN_.pdf")</f>
        <v>Melting_Curves/meltCurve_sp_Q5JTJ3_3_COA6_HUMAN_.pdf</v>
      </c>
      <c r="AA2138" t="s">
        <v>16315</v>
      </c>
      <c r="AB2138" t="s">
        <v>20972</v>
      </c>
    </row>
    <row r="2139" spans="1:28" x14ac:dyDescent="0.25">
      <c r="A2139" t="s">
        <v>2143</v>
      </c>
      <c r="B2139">
        <v>0.99904790336628502</v>
      </c>
      <c r="C2139">
        <v>1.0726560702123</v>
      </c>
      <c r="D2139">
        <v>1.0620577671043701</v>
      </c>
      <c r="E2139">
        <v>1.1199011589080301</v>
      </c>
      <c r="F2139">
        <v>0.98990844926965604</v>
      </c>
      <c r="G2139">
        <v>0.70449070365565303</v>
      </c>
      <c r="H2139">
        <v>0.66273869168355604</v>
      </c>
      <c r="I2139">
        <v>0.57001989046512103</v>
      </c>
      <c r="J2139">
        <v>0.61445820788129202</v>
      </c>
      <c r="K2139">
        <v>0.68962292299161498</v>
      </c>
      <c r="L2139">
        <v>3827.44205620397</v>
      </c>
      <c r="M2139">
        <v>68.567994130236698</v>
      </c>
      <c r="O2139">
        <v>55.772236400419899</v>
      </c>
      <c r="P2139">
        <v>-0.11255668634814101</v>
      </c>
      <c r="Q2139">
        <v>0.63379202489736497</v>
      </c>
      <c r="R2139">
        <v>0.92498589114413798</v>
      </c>
      <c r="S2139" t="s">
        <v>6879</v>
      </c>
      <c r="T2139" t="s">
        <v>9478</v>
      </c>
      <c r="U2139" t="s">
        <v>9478</v>
      </c>
      <c r="V2139" t="s">
        <v>9478</v>
      </c>
      <c r="W2139">
        <v>9</v>
      </c>
      <c r="X2139" t="s">
        <v>11617</v>
      </c>
      <c r="Y2139">
        <v>0.82737972352365396</v>
      </c>
      <c r="Z2139" t="str">
        <f>HYPERLINK("Melting_Curves/meltCurve_sp_Q5JTV8_TOIP1_HUMAN_.pdf", "Melting_Curves/meltCurve_sp_Q5JTV8_TOIP1_HUMAN_.pdf")</f>
        <v>Melting_Curves/meltCurve_sp_Q5JTV8_TOIP1_HUMAN_.pdf</v>
      </c>
      <c r="AA2139" t="s">
        <v>16316</v>
      </c>
      <c r="AB2139" t="s">
        <v>20973</v>
      </c>
    </row>
    <row r="2140" spans="1:28" x14ac:dyDescent="0.25">
      <c r="A2140" t="s">
        <v>2144</v>
      </c>
      <c r="B2140">
        <v>0.99904790336628502</v>
      </c>
      <c r="C2140">
        <v>0.798693301021282</v>
      </c>
      <c r="D2140">
        <v>0.49608869976852699</v>
      </c>
      <c r="E2140">
        <v>0.25014957904055002</v>
      </c>
      <c r="F2140">
        <v>0.16642941001405101</v>
      </c>
      <c r="G2140">
        <v>8.9598076355463893E-2</v>
      </c>
      <c r="H2140">
        <v>6.3316006063988697E-2</v>
      </c>
      <c r="I2140">
        <v>5.3667209694933903E-2</v>
      </c>
      <c r="J2140">
        <v>4.7347428285328001E-2</v>
      </c>
      <c r="K2140">
        <v>3.9972005758996003E-2</v>
      </c>
      <c r="L2140">
        <v>829.85653258189302</v>
      </c>
      <c r="M2140">
        <v>18.034437702371001</v>
      </c>
      <c r="N2140">
        <v>46.309989344053797</v>
      </c>
      <c r="O2140">
        <v>45.460517617541797</v>
      </c>
      <c r="P2140">
        <v>-9.3801212323414998E-2</v>
      </c>
      <c r="Q2140">
        <v>5.4244359614836098E-2</v>
      </c>
      <c r="R2140">
        <v>0.994404371814262</v>
      </c>
      <c r="S2140" t="s">
        <v>6880</v>
      </c>
      <c r="T2140" t="s">
        <v>9478</v>
      </c>
      <c r="U2140" t="s">
        <v>9478</v>
      </c>
      <c r="V2140" t="s">
        <v>9478</v>
      </c>
      <c r="W2140">
        <v>15</v>
      </c>
      <c r="X2140" t="s">
        <v>11618</v>
      </c>
      <c r="Y2140">
        <v>0.26233826515491021</v>
      </c>
      <c r="Z2140" t="str">
        <f>HYPERLINK("Melting_Curves/meltCurve_sp_Q5JTZ9_SYAM_HUMAN_.pdf", "Melting_Curves/meltCurve_sp_Q5JTZ9_SYAM_HUMAN_.pdf")</f>
        <v>Melting_Curves/meltCurve_sp_Q5JTZ9_SYAM_HUMAN_.pdf</v>
      </c>
      <c r="AA2140" t="s">
        <v>16317</v>
      </c>
      <c r="AB2140" t="s">
        <v>20974</v>
      </c>
    </row>
    <row r="2141" spans="1:28" x14ac:dyDescent="0.25">
      <c r="A2141" t="s">
        <v>2145</v>
      </c>
      <c r="B2141">
        <v>0.99904790336628502</v>
      </c>
      <c r="C2141">
        <v>0.99296414708082104</v>
      </c>
      <c r="D2141">
        <v>0.97547824178404396</v>
      </c>
      <c r="E2141">
        <v>0.72790339506937995</v>
      </c>
      <c r="F2141">
        <v>0.283462191093725</v>
      </c>
      <c r="G2141">
        <v>0.16692792670738699</v>
      </c>
      <c r="H2141">
        <v>0.118754436325288</v>
      </c>
      <c r="I2141">
        <v>7.0220844885216294E-2</v>
      </c>
      <c r="J2141">
        <v>5.77631599685582E-2</v>
      </c>
      <c r="K2141">
        <v>5.1257786946308198E-2</v>
      </c>
      <c r="L2141">
        <v>1710.0995074282901</v>
      </c>
      <c r="M2141">
        <v>33.398501013413203</v>
      </c>
      <c r="N2141">
        <v>51.4817010609856</v>
      </c>
      <c r="O2141">
        <v>51.020361415546297</v>
      </c>
      <c r="P2141">
        <v>-0.15011389715992901</v>
      </c>
      <c r="Q2141">
        <v>8.2733378051809803E-2</v>
      </c>
      <c r="R2141">
        <v>0.99599455614356303</v>
      </c>
      <c r="S2141" t="s">
        <v>6881</v>
      </c>
      <c r="T2141" t="s">
        <v>9478</v>
      </c>
      <c r="U2141" t="s">
        <v>9478</v>
      </c>
      <c r="V2141" t="s">
        <v>9478</v>
      </c>
      <c r="W2141">
        <v>7</v>
      </c>
      <c r="X2141" t="s">
        <v>11619</v>
      </c>
      <c r="Y2141">
        <v>0.42993410756235012</v>
      </c>
      <c r="Z2141" t="str">
        <f>HYPERLINK("Melting_Curves/meltCurve_sp_Q5JVF3_3_PCID2_HUMAN_.pdf", "Melting_Curves/meltCurve_sp_Q5JVF3_3_PCID2_HUMAN_.pdf")</f>
        <v>Melting_Curves/meltCurve_sp_Q5JVF3_3_PCID2_HUMAN_.pdf</v>
      </c>
      <c r="AA2141" t="s">
        <v>16318</v>
      </c>
      <c r="AB2141" t="s">
        <v>20975</v>
      </c>
    </row>
    <row r="2142" spans="1:28" x14ac:dyDescent="0.25">
      <c r="A2142" t="s">
        <v>2146</v>
      </c>
      <c r="B2142">
        <v>0.99904790336628502</v>
      </c>
      <c r="C2142">
        <v>1.3029725435534401</v>
      </c>
      <c r="D2142">
        <v>0.94084600690110798</v>
      </c>
      <c r="E2142">
        <v>0.61348182263693896</v>
      </c>
      <c r="F2142">
        <v>0.28472582630637</v>
      </c>
      <c r="G2142">
        <v>0.26094844675782702</v>
      </c>
      <c r="H2142">
        <v>0.131954949614324</v>
      </c>
      <c r="I2142">
        <v>0.102240812141131</v>
      </c>
      <c r="J2142">
        <v>2.4897637239912E-2</v>
      </c>
      <c r="K2142">
        <v>7.1308803324000997E-3</v>
      </c>
      <c r="L2142">
        <v>1272.4486100965701</v>
      </c>
      <c r="M2142">
        <v>25.0582828824909</v>
      </c>
      <c r="N2142">
        <v>51.147179575581497</v>
      </c>
      <c r="O2142">
        <v>50.459476634751198</v>
      </c>
      <c r="P2142">
        <v>-0.113920939584716</v>
      </c>
      <c r="Q2142">
        <v>8.2408918852951499E-2</v>
      </c>
      <c r="R2142">
        <v>0.93616695689208296</v>
      </c>
      <c r="S2142" t="s">
        <v>6882</v>
      </c>
      <c r="T2142" t="s">
        <v>9478</v>
      </c>
      <c r="U2142" t="s">
        <v>9478</v>
      </c>
      <c r="V2142" t="s">
        <v>9478</v>
      </c>
      <c r="W2142">
        <v>1</v>
      </c>
      <c r="X2142" t="s">
        <v>11620</v>
      </c>
      <c r="Y2142">
        <v>0.42034811962575941</v>
      </c>
      <c r="Z2142" t="str">
        <f>HYPERLINK("Melting_Curves/meltCurve_sp_Q5KU26_COL12_HUMAN_.pdf", "Melting_Curves/meltCurve_sp_Q5KU26_COL12_HUMAN_.pdf")</f>
        <v>Melting_Curves/meltCurve_sp_Q5KU26_COL12_HUMAN_.pdf</v>
      </c>
      <c r="AA2142" t="s">
        <v>16319</v>
      </c>
      <c r="AB2142" t="s">
        <v>20976</v>
      </c>
    </row>
    <row r="2143" spans="1:28" x14ac:dyDescent="0.25">
      <c r="A2143" t="s">
        <v>2147</v>
      </c>
      <c r="B2143">
        <v>0.99904790336628502</v>
      </c>
      <c r="C2143">
        <v>0.99739657063049103</v>
      </c>
      <c r="D2143">
        <v>0.89405139806084999</v>
      </c>
      <c r="E2143">
        <v>0.69274781001864805</v>
      </c>
      <c r="F2143">
        <v>0.54461239531970096</v>
      </c>
      <c r="G2143">
        <v>0.34966007185133402</v>
      </c>
      <c r="H2143">
        <v>0.321871733774929</v>
      </c>
      <c r="I2143">
        <v>0.34754357106544798</v>
      </c>
      <c r="J2143">
        <v>0.363975823022956</v>
      </c>
      <c r="K2143">
        <v>0.38596767121106301</v>
      </c>
      <c r="L2143">
        <v>1050.1993138228399</v>
      </c>
      <c r="M2143">
        <v>20.874787818497499</v>
      </c>
      <c r="N2143">
        <v>53.260040824873599</v>
      </c>
      <c r="O2143">
        <v>49.854590917132903</v>
      </c>
      <c r="P2143">
        <v>-6.8806981825235106E-2</v>
      </c>
      <c r="Q2143">
        <v>0.34269996533535901</v>
      </c>
      <c r="R2143">
        <v>0.98975554945632005</v>
      </c>
      <c r="S2143" t="s">
        <v>6883</v>
      </c>
      <c r="T2143" t="s">
        <v>9478</v>
      </c>
      <c r="U2143" t="s">
        <v>9478</v>
      </c>
      <c r="V2143" t="s">
        <v>9478</v>
      </c>
      <c r="W2143">
        <v>11</v>
      </c>
      <c r="X2143" t="s">
        <v>11621</v>
      </c>
      <c r="Y2143">
        <v>0.57699419255812712</v>
      </c>
      <c r="Z2143" t="str">
        <f>HYPERLINK("Melting_Curves/meltCurve_sp_Q5MIZ7_3_P4R3B_HUMAN_.pdf", "Melting_Curves/meltCurve_sp_Q5MIZ7_3_P4R3B_HUMAN_.pdf")</f>
        <v>Melting_Curves/meltCurve_sp_Q5MIZ7_3_P4R3B_HUMAN_.pdf</v>
      </c>
      <c r="AA2143" t="s">
        <v>16320</v>
      </c>
      <c r="AB2143" t="s">
        <v>20977</v>
      </c>
    </row>
    <row r="2144" spans="1:28" x14ac:dyDescent="0.25">
      <c r="A2144" t="s">
        <v>2148</v>
      </c>
      <c r="B2144">
        <v>0.99904790336628502</v>
      </c>
      <c r="C2144">
        <v>1.07133431362048</v>
      </c>
      <c r="D2144">
        <v>1.0619608258740401</v>
      </c>
      <c r="E2144">
        <v>0.94384689325909699</v>
      </c>
      <c r="F2144">
        <v>0.78779495763885499</v>
      </c>
      <c r="G2144">
        <v>0.54136414971739399</v>
      </c>
      <c r="H2144">
        <v>0.321701331493573</v>
      </c>
      <c r="I2144">
        <v>0.201630156191831</v>
      </c>
      <c r="J2144">
        <v>0.12601554960190101</v>
      </c>
      <c r="K2144">
        <v>8.1395388438129504E-2</v>
      </c>
      <c r="L2144">
        <v>969.68287849621299</v>
      </c>
      <c r="M2144">
        <v>16.901307103867399</v>
      </c>
      <c r="N2144">
        <v>57.740671491482097</v>
      </c>
      <c r="O2144">
        <v>56.588115508836601</v>
      </c>
      <c r="P2144">
        <v>-7.08657274774738E-2</v>
      </c>
      <c r="Q2144">
        <v>5.098363915918E-2</v>
      </c>
      <c r="R2144">
        <v>0.991325751806299</v>
      </c>
      <c r="S2144" t="s">
        <v>6884</v>
      </c>
      <c r="T2144" t="s">
        <v>9478</v>
      </c>
      <c r="U2144" t="s">
        <v>9478</v>
      </c>
      <c r="V2144" t="s">
        <v>9478</v>
      </c>
      <c r="W2144">
        <v>3</v>
      </c>
      <c r="X2144" t="s">
        <v>11622</v>
      </c>
      <c r="Y2144">
        <v>0.61381563644101023</v>
      </c>
      <c r="Z2144" t="str">
        <f>HYPERLINK("Melting_Curves/meltCurve_sp_Q5MNZ9_2_WIPI1_HUMAN_.pdf", "Melting_Curves/meltCurve_sp_Q5MNZ9_2_WIPI1_HUMAN_.pdf")</f>
        <v>Melting_Curves/meltCurve_sp_Q5MNZ9_2_WIPI1_HUMAN_.pdf</v>
      </c>
      <c r="AA2144" t="s">
        <v>16321</v>
      </c>
      <c r="AB2144" t="s">
        <v>20978</v>
      </c>
    </row>
    <row r="2145" spans="1:28" x14ac:dyDescent="0.25">
      <c r="A2145" t="s">
        <v>2149</v>
      </c>
      <c r="B2145">
        <v>0.99904790336628502</v>
      </c>
      <c r="C2145">
        <v>0.96565303751378595</v>
      </c>
      <c r="D2145">
        <v>1.0823211786879401</v>
      </c>
      <c r="E2145">
        <v>0.956900176816466</v>
      </c>
      <c r="F2145">
        <v>0.64979358681295696</v>
      </c>
      <c r="G2145">
        <v>0.291492013840706</v>
      </c>
      <c r="H2145">
        <v>0.14984297623300999</v>
      </c>
      <c r="I2145">
        <v>0.11602203062012199</v>
      </c>
      <c r="J2145">
        <v>8.0097264360879397E-2</v>
      </c>
      <c r="K2145">
        <v>7.8266347875060094E-2</v>
      </c>
      <c r="L2145">
        <v>1504.6092723060301</v>
      </c>
      <c r="M2145">
        <v>27.777182104148501</v>
      </c>
      <c r="N2145">
        <v>54.571592005269501</v>
      </c>
      <c r="O2145">
        <v>53.8886837065183</v>
      </c>
      <c r="P2145">
        <v>-0.116875384124019</v>
      </c>
      <c r="Q2145">
        <v>9.3039051041537896E-2</v>
      </c>
      <c r="R2145">
        <v>0.99245453622430002</v>
      </c>
      <c r="S2145" t="s">
        <v>6885</v>
      </c>
      <c r="T2145" t="s">
        <v>9478</v>
      </c>
      <c r="U2145" t="s">
        <v>9478</v>
      </c>
      <c r="V2145" t="s">
        <v>9478</v>
      </c>
      <c r="W2145">
        <v>4</v>
      </c>
      <c r="X2145" t="s">
        <v>11623</v>
      </c>
      <c r="Y2145">
        <v>0.52824983540787684</v>
      </c>
      <c r="Z2145" t="str">
        <f>HYPERLINK("Melting_Curves/meltCurve_sp_Q5NDL2_EOGT_HUMAN_.pdf", "Melting_Curves/meltCurve_sp_Q5NDL2_EOGT_HUMAN_.pdf")</f>
        <v>Melting_Curves/meltCurve_sp_Q5NDL2_EOGT_HUMAN_.pdf</v>
      </c>
      <c r="AA2145" t="s">
        <v>16322</v>
      </c>
      <c r="AB2145" t="s">
        <v>20979</v>
      </c>
    </row>
    <row r="2146" spans="1:28" x14ac:dyDescent="0.25">
      <c r="A2146" t="s">
        <v>2150</v>
      </c>
      <c r="B2146">
        <v>0.99904790336628502</v>
      </c>
      <c r="C2146">
        <v>0.97291781337905603</v>
      </c>
      <c r="D2146">
        <v>0.84126212849731796</v>
      </c>
      <c r="E2146">
        <v>0.47620090825756001</v>
      </c>
      <c r="F2146">
        <v>0.21933390421940299</v>
      </c>
      <c r="G2146">
        <v>0.11892046923919</v>
      </c>
      <c r="H2146">
        <v>9.1456049908752599E-2</v>
      </c>
      <c r="I2146">
        <v>6.1083290727461603E-2</v>
      </c>
      <c r="J2146">
        <v>5.5375855949657299E-2</v>
      </c>
      <c r="K2146">
        <v>3.5976135918404498E-2</v>
      </c>
      <c r="L2146">
        <v>1073.10272806789</v>
      </c>
      <c r="M2146">
        <v>21.705181287281</v>
      </c>
      <c r="N2146">
        <v>49.708054850681997</v>
      </c>
      <c r="O2146">
        <v>49.025986505188598</v>
      </c>
      <c r="P2146">
        <v>-0.10457024469310899</v>
      </c>
      <c r="Q2146">
        <v>5.5241054050230998E-2</v>
      </c>
      <c r="R2146">
        <v>0.99905888962006195</v>
      </c>
      <c r="S2146" t="s">
        <v>6886</v>
      </c>
      <c r="T2146" t="s">
        <v>9478</v>
      </c>
      <c r="U2146" t="s">
        <v>9478</v>
      </c>
      <c r="V2146" t="s">
        <v>9478</v>
      </c>
      <c r="W2146">
        <v>8</v>
      </c>
      <c r="X2146" t="s">
        <v>11624</v>
      </c>
      <c r="Y2146">
        <v>0.36371366902145669</v>
      </c>
      <c r="Z2146" t="str">
        <f>HYPERLINK("Melting_Curves/meltCurve_sp_Q5QJ74_TBCEL_HUMAN_.pdf", "Melting_Curves/meltCurve_sp_Q5QJ74_TBCEL_HUMAN_.pdf")</f>
        <v>Melting_Curves/meltCurve_sp_Q5QJ74_TBCEL_HUMAN_.pdf</v>
      </c>
      <c r="AA2146" t="s">
        <v>16323</v>
      </c>
      <c r="AB2146" t="s">
        <v>20980</v>
      </c>
    </row>
    <row r="2147" spans="1:28" x14ac:dyDescent="0.25">
      <c r="A2147" t="s">
        <v>2151</v>
      </c>
      <c r="B2147">
        <v>0.99904790336628502</v>
      </c>
      <c r="C2147">
        <v>0.97986153761129102</v>
      </c>
      <c r="D2147">
        <v>0.93479277719110798</v>
      </c>
      <c r="E2147">
        <v>0.87040697158479596</v>
      </c>
      <c r="F2147">
        <v>0.85354541830931696</v>
      </c>
      <c r="G2147">
        <v>0.47174221183904003</v>
      </c>
      <c r="H2147">
        <v>0.28376774205023197</v>
      </c>
      <c r="I2147">
        <v>0.227464865371444</v>
      </c>
      <c r="J2147">
        <v>0.147937463498095</v>
      </c>
      <c r="K2147">
        <v>0.111073470451491</v>
      </c>
      <c r="L2147">
        <v>994.92575978161699</v>
      </c>
      <c r="M2147">
        <v>17.616264160813301</v>
      </c>
      <c r="N2147">
        <v>57.164947282616502</v>
      </c>
      <c r="O2147">
        <v>55.764970385778398</v>
      </c>
      <c r="P2147">
        <v>-7.1442425079265001E-2</v>
      </c>
      <c r="Q2147">
        <v>9.5433312817295904E-2</v>
      </c>
      <c r="R2147">
        <v>0.99006533821723097</v>
      </c>
      <c r="S2147" t="s">
        <v>6887</v>
      </c>
      <c r="T2147" t="s">
        <v>9478</v>
      </c>
      <c r="U2147" t="s">
        <v>9478</v>
      </c>
      <c r="V2147" t="s">
        <v>9478</v>
      </c>
      <c r="W2147">
        <v>3</v>
      </c>
      <c r="X2147" t="s">
        <v>11625</v>
      </c>
      <c r="Y2147">
        <v>0.60549797463067523</v>
      </c>
      <c r="Z2147" t="str">
        <f>HYPERLINK("Melting_Curves/meltCurve_sp_Q5R372_4_RBG1L_HUMAN_.pdf", "Melting_Curves/meltCurve_sp_Q5R372_4_RBG1L_HUMAN_.pdf")</f>
        <v>Melting_Curves/meltCurve_sp_Q5R372_4_RBG1L_HUMAN_.pdf</v>
      </c>
      <c r="AA2147" t="s">
        <v>16324</v>
      </c>
      <c r="AB2147" t="s">
        <v>20981</v>
      </c>
    </row>
    <row r="2148" spans="1:28" x14ac:dyDescent="0.25">
      <c r="A2148" t="s">
        <v>2152</v>
      </c>
      <c r="B2148">
        <v>0.99904790336628502</v>
      </c>
      <c r="C2148">
        <v>0.93548347967954204</v>
      </c>
      <c r="D2148">
        <v>0.973997977982484</v>
      </c>
      <c r="E2148">
        <v>0.64325924454541294</v>
      </c>
      <c r="F2148">
        <v>0.31850466137371802</v>
      </c>
      <c r="G2148">
        <v>9.6477502487836306E-2</v>
      </c>
      <c r="H2148">
        <v>5.2227761886891003E-2</v>
      </c>
      <c r="I2148">
        <v>3.1080709054961801E-2</v>
      </c>
      <c r="J2148">
        <v>3.1081827384226698E-2</v>
      </c>
      <c r="K2148">
        <v>2.3386136549752599E-2</v>
      </c>
      <c r="L2148">
        <v>1284.7425458220901</v>
      </c>
      <c r="M2148">
        <v>25.111574839502001</v>
      </c>
      <c r="N2148">
        <v>51.278550463656501</v>
      </c>
      <c r="O2148">
        <v>50.840229162113502</v>
      </c>
      <c r="P2148">
        <v>-0.120041202167516</v>
      </c>
      <c r="Q2148">
        <v>2.7883892213977898E-2</v>
      </c>
      <c r="R2148">
        <v>0.997449555538653</v>
      </c>
      <c r="S2148" t="s">
        <v>6888</v>
      </c>
      <c r="T2148" t="s">
        <v>9478</v>
      </c>
      <c r="U2148" t="s">
        <v>9478</v>
      </c>
      <c r="V2148" t="s">
        <v>9478</v>
      </c>
      <c r="W2148">
        <v>21</v>
      </c>
      <c r="X2148" t="s">
        <v>11626</v>
      </c>
      <c r="Y2148">
        <v>0.39827641701911048</v>
      </c>
      <c r="Z2148" t="str">
        <f>HYPERLINK("Melting_Curves/meltCurve_sp_Q5R3I4_TTC38_HUMAN_.pdf", "Melting_Curves/meltCurve_sp_Q5R3I4_TTC38_HUMAN_.pdf")</f>
        <v>Melting_Curves/meltCurve_sp_Q5R3I4_TTC38_HUMAN_.pdf</v>
      </c>
      <c r="AA2148" t="s">
        <v>16325</v>
      </c>
      <c r="AB2148" t="s">
        <v>20982</v>
      </c>
    </row>
    <row r="2149" spans="1:28" x14ac:dyDescent="0.25">
      <c r="A2149" t="s">
        <v>2153</v>
      </c>
      <c r="B2149">
        <v>0.99904790336628502</v>
      </c>
      <c r="C2149">
        <v>0.76252419060494603</v>
      </c>
      <c r="D2149">
        <v>0.58111825308907294</v>
      </c>
      <c r="E2149">
        <v>0.64611237072880101</v>
      </c>
      <c r="F2149">
        <v>0.79620007214133504</v>
      </c>
      <c r="G2149">
        <v>0.65461505642588402</v>
      </c>
      <c r="H2149">
        <v>0.50805707699133895</v>
      </c>
      <c r="I2149">
        <v>0.48945649891491699</v>
      </c>
      <c r="J2149">
        <v>0.43548294648274799</v>
      </c>
      <c r="K2149">
        <v>0.35234244792353198</v>
      </c>
      <c r="L2149">
        <v>207.13682681599599</v>
      </c>
      <c r="M2149">
        <v>3.3165981737818102</v>
      </c>
      <c r="N2149">
        <v>62.454610922792803</v>
      </c>
      <c r="O2149">
        <v>47.959238616861697</v>
      </c>
      <c r="P2149">
        <v>-1.76862775472563E-2</v>
      </c>
      <c r="Q2149">
        <v>0</v>
      </c>
      <c r="R2149">
        <v>0.72864330899630803</v>
      </c>
      <c r="S2149" t="s">
        <v>6889</v>
      </c>
      <c r="T2149" t="s">
        <v>9478</v>
      </c>
      <c r="U2149" t="s">
        <v>9478</v>
      </c>
      <c r="V2149" t="s">
        <v>9478</v>
      </c>
      <c r="W2149">
        <v>2</v>
      </c>
      <c r="X2149" t="s">
        <v>11627</v>
      </c>
      <c r="Y2149">
        <v>0.6212601505057429</v>
      </c>
      <c r="Z2149" t="str">
        <f>HYPERLINK("Melting_Curves/meltCurve_sp_Q5RHP9_CA173_HUMAN_.pdf", "Melting_Curves/meltCurve_sp_Q5RHP9_CA173_HUMAN_.pdf")</f>
        <v>Melting_Curves/meltCurve_sp_Q5RHP9_CA173_HUMAN_.pdf</v>
      </c>
      <c r="AA2149" t="s">
        <v>16326</v>
      </c>
      <c r="AB2149" t="s">
        <v>20983</v>
      </c>
    </row>
    <row r="2150" spans="1:28" x14ac:dyDescent="0.25">
      <c r="A2150" t="s">
        <v>2154</v>
      </c>
      <c r="B2150">
        <v>0.99904790336628502</v>
      </c>
      <c r="C2150">
        <v>0.984473013390739</v>
      </c>
      <c r="D2150">
        <v>0.97610801112832601</v>
      </c>
      <c r="E2150">
        <v>1.0062947756365901</v>
      </c>
      <c r="F2150">
        <v>0.91145979498645402</v>
      </c>
      <c r="G2150">
        <v>0.547904354072001</v>
      </c>
      <c r="H2150">
        <v>0.29221519725346201</v>
      </c>
      <c r="I2150">
        <v>0.15878159802855099</v>
      </c>
      <c r="J2150">
        <v>7.78264157028139E-2</v>
      </c>
      <c r="K2150">
        <v>5.6206118788404202E-2</v>
      </c>
      <c r="L2150">
        <v>1294.82757511044</v>
      </c>
      <c r="M2150">
        <v>22.4576543292733</v>
      </c>
      <c r="N2150">
        <v>57.929697226727498</v>
      </c>
      <c r="O2150">
        <v>57.205080773727097</v>
      </c>
      <c r="P2150">
        <v>-9.3214026019289506E-2</v>
      </c>
      <c r="Q2150">
        <v>5.0264804191719498E-2</v>
      </c>
      <c r="R2150">
        <v>0.99653395257581401</v>
      </c>
      <c r="S2150" t="s">
        <v>6890</v>
      </c>
      <c r="T2150" t="s">
        <v>9478</v>
      </c>
      <c r="U2150" t="s">
        <v>9478</v>
      </c>
      <c r="V2150" t="s">
        <v>9478</v>
      </c>
      <c r="W2150">
        <v>5</v>
      </c>
      <c r="X2150" t="s">
        <v>11628</v>
      </c>
      <c r="Y2150">
        <v>0.61892576475523919</v>
      </c>
      <c r="Z2150" t="str">
        <f>HYPERLINK("Melting_Curves/meltCurve_sp_Q5RKV6_EXOS6_HUMAN_.pdf", "Melting_Curves/meltCurve_sp_Q5RKV6_EXOS6_HUMAN_.pdf")</f>
        <v>Melting_Curves/meltCurve_sp_Q5RKV6_EXOS6_HUMAN_.pdf</v>
      </c>
      <c r="AA2150" t="s">
        <v>16327</v>
      </c>
      <c r="AB2150" t="s">
        <v>20984</v>
      </c>
    </row>
    <row r="2151" spans="1:28" x14ac:dyDescent="0.25">
      <c r="A2151" t="s">
        <v>2155</v>
      </c>
      <c r="B2151">
        <v>0.99904790336628502</v>
      </c>
      <c r="C2151">
        <v>0.92829238281765503</v>
      </c>
      <c r="D2151">
        <v>0.86559644377026101</v>
      </c>
      <c r="E2151">
        <v>0.440316100950638</v>
      </c>
      <c r="F2151">
        <v>0.18453740282442599</v>
      </c>
      <c r="G2151">
        <v>0.109748815285372</v>
      </c>
      <c r="H2151">
        <v>7.2218996445309006E-2</v>
      </c>
      <c r="I2151">
        <v>4.3089690755940303E-2</v>
      </c>
      <c r="J2151">
        <v>3.5024237462570502E-2</v>
      </c>
      <c r="K2151">
        <v>2.6074836755234299E-2</v>
      </c>
      <c r="L2151">
        <v>1138.89861193569</v>
      </c>
      <c r="M2151">
        <v>23.1107377209517</v>
      </c>
      <c r="N2151">
        <v>49.470857224252597</v>
      </c>
      <c r="O2151">
        <v>48.915558580391803</v>
      </c>
      <c r="P2151">
        <v>-0.113081492613545</v>
      </c>
      <c r="Q2151">
        <v>4.2637128818485699E-2</v>
      </c>
      <c r="R2151">
        <v>0.99736148736600105</v>
      </c>
      <c r="S2151" t="s">
        <v>6891</v>
      </c>
      <c r="T2151" t="s">
        <v>9478</v>
      </c>
      <c r="U2151" t="s">
        <v>9478</v>
      </c>
      <c r="V2151" t="s">
        <v>9478</v>
      </c>
      <c r="W2151">
        <v>8</v>
      </c>
      <c r="X2151" t="s">
        <v>11629</v>
      </c>
      <c r="Y2151">
        <v>0.34876444169054571</v>
      </c>
      <c r="Z2151" t="str">
        <f>HYPERLINK("Melting_Curves/meltCurve_sp_Q5SRE7_PHYD1_HUMAN_.pdf", "Melting_Curves/meltCurve_sp_Q5SRE7_PHYD1_HUMAN_.pdf")</f>
        <v>Melting_Curves/meltCurve_sp_Q5SRE7_PHYD1_HUMAN_.pdf</v>
      </c>
      <c r="AA2151" t="s">
        <v>16328</v>
      </c>
      <c r="AB2151" t="s">
        <v>20985</v>
      </c>
    </row>
    <row r="2152" spans="1:28" x14ac:dyDescent="0.25">
      <c r="A2152" t="s">
        <v>2156</v>
      </c>
      <c r="B2152">
        <v>0.99904790336628502</v>
      </c>
      <c r="C2152">
        <v>0.86107994867859095</v>
      </c>
      <c r="D2152">
        <v>0.80100030185861604</v>
      </c>
      <c r="E2152">
        <v>0.63577722629758604</v>
      </c>
      <c r="F2152">
        <v>0.45139910758523699</v>
      </c>
      <c r="G2152">
        <v>0.246544321542817</v>
      </c>
      <c r="H2152">
        <v>0.161040384834405</v>
      </c>
      <c r="I2152">
        <v>0.138700356119665</v>
      </c>
      <c r="J2152">
        <v>0.14268608288196799</v>
      </c>
      <c r="K2152">
        <v>0.13091159285855999</v>
      </c>
      <c r="L2152">
        <v>628.04335616237495</v>
      </c>
      <c r="M2152">
        <v>12.2989382834536</v>
      </c>
      <c r="N2152">
        <v>51.774025532881701</v>
      </c>
      <c r="O2152">
        <v>49.771141736210403</v>
      </c>
      <c r="P2152">
        <v>-5.7000946771462502E-2</v>
      </c>
      <c r="Q2152">
        <v>7.7520196602497496E-2</v>
      </c>
      <c r="R2152">
        <v>0.99195118615612998</v>
      </c>
      <c r="S2152" t="s">
        <v>6892</v>
      </c>
      <c r="T2152" t="s">
        <v>9478</v>
      </c>
      <c r="U2152" t="s">
        <v>9478</v>
      </c>
      <c r="V2152" t="s">
        <v>9478</v>
      </c>
      <c r="W2152">
        <v>6</v>
      </c>
      <c r="X2152" t="s">
        <v>11630</v>
      </c>
      <c r="Y2152">
        <v>0.44668453972571082</v>
      </c>
      <c r="Z2152" t="str">
        <f>HYPERLINK("Melting_Curves/meltCurve_sp_Q5SSJ5_HP1B3_HUMAN_.pdf", "Melting_Curves/meltCurve_sp_Q5SSJ5_HP1B3_HUMAN_.pdf")</f>
        <v>Melting_Curves/meltCurve_sp_Q5SSJ5_HP1B3_HUMAN_.pdf</v>
      </c>
      <c r="AA2152" t="s">
        <v>16329</v>
      </c>
      <c r="AB2152" t="s">
        <v>20986</v>
      </c>
    </row>
    <row r="2153" spans="1:28" x14ac:dyDescent="0.25">
      <c r="A2153" t="s">
        <v>2157</v>
      </c>
      <c r="B2153">
        <v>0.99904790336628502</v>
      </c>
      <c r="C2153">
        <v>1.04991125735728</v>
      </c>
      <c r="D2153">
        <v>0.97075844688491997</v>
      </c>
      <c r="E2153">
        <v>0.66945181677224797</v>
      </c>
      <c r="F2153">
        <v>0.25413756322702002</v>
      </c>
      <c r="G2153">
        <v>0.13888029738126401</v>
      </c>
      <c r="H2153">
        <v>9.3966136891240795E-2</v>
      </c>
      <c r="I2153">
        <v>6.8341408350828997E-2</v>
      </c>
      <c r="J2153">
        <v>5.50094690968869E-2</v>
      </c>
      <c r="K2153">
        <v>4.8791283036213502E-2</v>
      </c>
      <c r="L2153">
        <v>1670.5489106172099</v>
      </c>
      <c r="M2153">
        <v>32.841246928703903</v>
      </c>
      <c r="N2153">
        <v>51.111474457539401</v>
      </c>
      <c r="O2153">
        <v>50.6799128920565</v>
      </c>
      <c r="P2153">
        <v>-0.15024737734955701</v>
      </c>
      <c r="Q2153">
        <v>7.2570084779127006E-2</v>
      </c>
      <c r="R2153">
        <v>0.99663055132915201</v>
      </c>
      <c r="S2153" t="s">
        <v>6893</v>
      </c>
      <c r="T2153" t="s">
        <v>9478</v>
      </c>
      <c r="U2153" t="s">
        <v>9478</v>
      </c>
      <c r="V2153" t="s">
        <v>9478</v>
      </c>
      <c r="W2153">
        <v>14</v>
      </c>
      <c r="X2153" t="s">
        <v>11631</v>
      </c>
      <c r="Y2153">
        <v>0.41337973723936472</v>
      </c>
      <c r="Z2153" t="str">
        <f>HYPERLINK("Melting_Curves/meltCurve_sp_Q5ST30_SYVM_HUMAN_.pdf", "Melting_Curves/meltCurve_sp_Q5ST30_SYVM_HUMAN_.pdf")</f>
        <v>Melting_Curves/meltCurve_sp_Q5ST30_SYVM_HUMAN_.pdf</v>
      </c>
      <c r="AA2153" t="s">
        <v>16330</v>
      </c>
      <c r="AB2153" t="s">
        <v>20987</v>
      </c>
    </row>
    <row r="2154" spans="1:28" x14ac:dyDescent="0.25">
      <c r="A2154" t="s">
        <v>2158</v>
      </c>
      <c r="B2154">
        <v>0.99904790336628502</v>
      </c>
      <c r="C2154">
        <v>0.89557662054318599</v>
      </c>
      <c r="D2154">
        <v>0.96331915976764304</v>
      </c>
      <c r="E2154">
        <v>0.80199315161137197</v>
      </c>
      <c r="F2154">
        <v>0.905166393710091</v>
      </c>
      <c r="G2154">
        <v>0.76564913842256699</v>
      </c>
      <c r="H2154">
        <v>0.58909748735214795</v>
      </c>
      <c r="I2154">
        <v>0.72485998001824603</v>
      </c>
      <c r="J2154">
        <v>0.67508528043467497</v>
      </c>
      <c r="K2154">
        <v>0.60582521923606303</v>
      </c>
      <c r="L2154">
        <v>401.37699823649803</v>
      </c>
      <c r="M2154">
        <v>7.1021647256274303</v>
      </c>
      <c r="O2154">
        <v>52.547788005103698</v>
      </c>
      <c r="P2154">
        <v>-1.6032090213682099E-2</v>
      </c>
      <c r="Q2154">
        <v>0.52635719454365204</v>
      </c>
      <c r="R2154">
        <v>0.81799264946454098</v>
      </c>
      <c r="S2154" t="s">
        <v>6894</v>
      </c>
      <c r="T2154" t="s">
        <v>9478</v>
      </c>
      <c r="U2154" t="s">
        <v>9478</v>
      </c>
      <c r="V2154" t="s">
        <v>9478</v>
      </c>
      <c r="W2154">
        <v>6</v>
      </c>
      <c r="X2154" t="s">
        <v>11632</v>
      </c>
      <c r="Y2154">
        <v>0.79346149051121073</v>
      </c>
      <c r="Z2154" t="str">
        <f>HYPERLINK("Melting_Curves/meltCurve_sp_Q5SW79_2_CE170_HUMAN_.pdf", "Melting_Curves/meltCurve_sp_Q5SW79_2_CE170_HUMAN_.pdf")</f>
        <v>Melting_Curves/meltCurve_sp_Q5SW79_2_CE170_HUMAN_.pdf</v>
      </c>
      <c r="AA2154" t="s">
        <v>16331</v>
      </c>
      <c r="AB2154" t="s">
        <v>20988</v>
      </c>
    </row>
    <row r="2155" spans="1:28" x14ac:dyDescent="0.25">
      <c r="A2155" t="s">
        <v>2159</v>
      </c>
      <c r="B2155">
        <v>0.99904790336628502</v>
      </c>
      <c r="C2155">
        <v>0.94747584505195603</v>
      </c>
      <c r="D2155">
        <v>0.92954873264896498</v>
      </c>
      <c r="E2155">
        <v>0.90962753866397195</v>
      </c>
      <c r="F2155">
        <v>0.86938617760461601</v>
      </c>
      <c r="G2155">
        <v>0.76101353120096804</v>
      </c>
      <c r="H2155">
        <v>0.58482726955410302</v>
      </c>
      <c r="I2155">
        <v>0.50248965784271205</v>
      </c>
      <c r="J2155">
        <v>0.51759422898873197</v>
      </c>
      <c r="K2155">
        <v>0.48063715654054801</v>
      </c>
      <c r="L2155">
        <v>683.38457471701599</v>
      </c>
      <c r="M2155">
        <v>11.803626124533301</v>
      </c>
      <c r="N2155">
        <v>66.788159396742998</v>
      </c>
      <c r="O2155">
        <v>56.309370497390603</v>
      </c>
      <c r="P2155">
        <v>-3.1653892913168301E-2</v>
      </c>
      <c r="Q2155">
        <v>0.39613378838230601</v>
      </c>
      <c r="R2155">
        <v>0.97814740557363899</v>
      </c>
      <c r="S2155" t="s">
        <v>6895</v>
      </c>
      <c r="T2155" t="s">
        <v>9478</v>
      </c>
      <c r="U2155" t="s">
        <v>9478</v>
      </c>
      <c r="V2155" t="s">
        <v>9478</v>
      </c>
      <c r="W2155">
        <v>3</v>
      </c>
      <c r="X2155" t="s">
        <v>11633</v>
      </c>
      <c r="Y2155">
        <v>0.76422026927559883</v>
      </c>
      <c r="Z2155" t="str">
        <f>HYPERLINK("Melting_Curves/meltCurve_sp_Q5SXM8_DNLZ_HUMAN_.pdf", "Melting_Curves/meltCurve_sp_Q5SXM8_DNLZ_HUMAN_.pdf")</f>
        <v>Melting_Curves/meltCurve_sp_Q5SXM8_DNLZ_HUMAN_.pdf</v>
      </c>
      <c r="AA2155" t="s">
        <v>16332</v>
      </c>
      <c r="AB2155" t="s">
        <v>20989</v>
      </c>
    </row>
    <row r="2156" spans="1:28" x14ac:dyDescent="0.25">
      <c r="A2156" t="s">
        <v>2160</v>
      </c>
      <c r="B2156">
        <v>0.99904790336628502</v>
      </c>
      <c r="C2156">
        <v>1.08252484680047</v>
      </c>
      <c r="D2156">
        <v>1.0461413506730599</v>
      </c>
      <c r="E2156">
        <v>0.82188795228786404</v>
      </c>
      <c r="F2156">
        <v>0.61878613264912896</v>
      </c>
      <c r="G2156">
        <v>0.37550987268664898</v>
      </c>
      <c r="H2156">
        <v>0.33421199842918597</v>
      </c>
      <c r="I2156">
        <v>0.288390796092996</v>
      </c>
      <c r="J2156">
        <v>0.32707195467023797</v>
      </c>
      <c r="K2156">
        <v>0.31292179155996003</v>
      </c>
      <c r="L2156">
        <v>1407.4599925379</v>
      </c>
      <c r="M2156">
        <v>26.856607170334499</v>
      </c>
      <c r="N2156">
        <v>54.361345880784498</v>
      </c>
      <c r="O2156">
        <v>52.118498776973297</v>
      </c>
      <c r="P2156">
        <v>-8.8934062591150498E-2</v>
      </c>
      <c r="Q2156">
        <v>0.30965773013381298</v>
      </c>
      <c r="R2156">
        <v>0.98701070590421802</v>
      </c>
      <c r="S2156" t="s">
        <v>6896</v>
      </c>
      <c r="T2156" t="s">
        <v>9478</v>
      </c>
      <c r="U2156" t="s">
        <v>9478</v>
      </c>
      <c r="V2156" t="s">
        <v>9478</v>
      </c>
      <c r="W2156">
        <v>6</v>
      </c>
      <c r="X2156" t="s">
        <v>11634</v>
      </c>
      <c r="Y2156">
        <v>0.60066010828101524</v>
      </c>
      <c r="Z2156" t="str">
        <f>HYPERLINK("Melting_Curves/meltCurve_sp_Q5SYE7_2_NHSL1_HUMAN_.pdf", "Melting_Curves/meltCurve_sp_Q5SYE7_2_NHSL1_HUMAN_.pdf")</f>
        <v>Melting_Curves/meltCurve_sp_Q5SYE7_2_NHSL1_HUMAN_.pdf</v>
      </c>
      <c r="AA2156" t="s">
        <v>16333</v>
      </c>
      <c r="AB2156" t="s">
        <v>20990</v>
      </c>
    </row>
    <row r="2157" spans="1:28" x14ac:dyDescent="0.25">
      <c r="A2157" t="s">
        <v>2161</v>
      </c>
      <c r="B2157">
        <v>0.99904790336628502</v>
      </c>
      <c r="C2157">
        <v>0.95239218704291395</v>
      </c>
      <c r="D2157">
        <v>0.93872014527748004</v>
      </c>
      <c r="E2157">
        <v>0.8630233029287</v>
      </c>
      <c r="F2157">
        <v>0.66934620717527205</v>
      </c>
      <c r="G2157">
        <v>0.50636282277364597</v>
      </c>
      <c r="H2157">
        <v>0.410335821796601</v>
      </c>
      <c r="I2157">
        <v>0.36350644252296099</v>
      </c>
      <c r="J2157">
        <v>0.37207703421413402</v>
      </c>
      <c r="K2157">
        <v>0.35927521202484802</v>
      </c>
      <c r="L2157">
        <v>912.62553215966</v>
      </c>
      <c r="M2157">
        <v>17.151459069188299</v>
      </c>
      <c r="N2157">
        <v>57.090073176713602</v>
      </c>
      <c r="O2157">
        <v>52.502250958308998</v>
      </c>
      <c r="P2157">
        <v>-5.3566138133489698E-2</v>
      </c>
      <c r="Q2157">
        <v>0.34415491040513801</v>
      </c>
      <c r="R2157">
        <v>0.99546136022849996</v>
      </c>
      <c r="S2157" t="s">
        <v>6897</v>
      </c>
      <c r="T2157" t="s">
        <v>9478</v>
      </c>
      <c r="U2157" t="s">
        <v>9478</v>
      </c>
      <c r="V2157" t="s">
        <v>9478</v>
      </c>
      <c r="W2157">
        <v>13</v>
      </c>
      <c r="X2157" t="s">
        <v>11635</v>
      </c>
      <c r="Y2157">
        <v>0.64446643220985866</v>
      </c>
      <c r="Z2157" t="str">
        <f>HYPERLINK("Melting_Curves/meltCurve_sp_Q5T0N5_3_FBP1L_HUMAN_.pdf", "Melting_Curves/meltCurve_sp_Q5T0N5_3_FBP1L_HUMAN_.pdf")</f>
        <v>Melting_Curves/meltCurve_sp_Q5T0N5_3_FBP1L_HUMAN_.pdf</v>
      </c>
      <c r="AA2157" t="s">
        <v>16334</v>
      </c>
      <c r="AB2157" t="s">
        <v>20991</v>
      </c>
    </row>
    <row r="2158" spans="1:28" x14ac:dyDescent="0.25">
      <c r="A2158" t="s">
        <v>2162</v>
      </c>
      <c r="B2158">
        <v>0.99904790336628502</v>
      </c>
      <c r="C2158">
        <v>1.0091458721016699</v>
      </c>
      <c r="D2158">
        <v>0.98473694016313995</v>
      </c>
      <c r="E2158">
        <v>0.63206919858968202</v>
      </c>
      <c r="F2158">
        <v>0.213117648153093</v>
      </c>
      <c r="G2158">
        <v>0.131309639800084</v>
      </c>
      <c r="H2158">
        <v>7.4090851806230498E-2</v>
      </c>
      <c r="I2158">
        <v>7.1616576904862395E-2</v>
      </c>
      <c r="J2158">
        <v>5.1113406779977402E-2</v>
      </c>
      <c r="K2158">
        <v>6.9171337576538497E-2</v>
      </c>
      <c r="L2158">
        <v>1844.5818886306399</v>
      </c>
      <c r="M2158">
        <v>36.478454513158901</v>
      </c>
      <c r="N2158">
        <v>50.791646092828699</v>
      </c>
      <c r="O2158">
        <v>50.415097586384199</v>
      </c>
      <c r="P2158">
        <v>-0.16737882788539901</v>
      </c>
      <c r="Q2158">
        <v>7.4698284662844602E-2</v>
      </c>
      <c r="R2158">
        <v>0.99844329193235803</v>
      </c>
      <c r="S2158" t="s">
        <v>6898</v>
      </c>
      <c r="T2158" t="s">
        <v>9478</v>
      </c>
      <c r="U2158" t="s">
        <v>9478</v>
      </c>
      <c r="V2158" t="s">
        <v>9478</v>
      </c>
      <c r="W2158">
        <v>14</v>
      </c>
      <c r="X2158" t="s">
        <v>11636</v>
      </c>
      <c r="Y2158">
        <v>0.40449506908007249</v>
      </c>
      <c r="Z2158" t="str">
        <f>HYPERLINK("Melting_Curves/meltCurve_sp_Q5T160_SYRM_HUMAN_.pdf", "Melting_Curves/meltCurve_sp_Q5T160_SYRM_HUMAN_.pdf")</f>
        <v>Melting_Curves/meltCurve_sp_Q5T160_SYRM_HUMAN_.pdf</v>
      </c>
      <c r="AA2158" t="s">
        <v>16335</v>
      </c>
      <c r="AB2158" t="s">
        <v>20992</v>
      </c>
    </row>
    <row r="2159" spans="1:28" x14ac:dyDescent="0.25">
      <c r="A2159" t="s">
        <v>2163</v>
      </c>
      <c r="B2159">
        <v>0.99904790336628502</v>
      </c>
      <c r="C2159">
        <v>0.98137711624742496</v>
      </c>
      <c r="D2159">
        <v>1.02991032695479</v>
      </c>
      <c r="E2159">
        <v>1.0186317979922199</v>
      </c>
      <c r="F2159">
        <v>0.93883927697289804</v>
      </c>
      <c r="G2159">
        <v>0.50650151246276598</v>
      </c>
      <c r="H2159">
        <v>0.20744163056911</v>
      </c>
      <c r="I2159">
        <v>0.12032961303041199</v>
      </c>
      <c r="J2159">
        <v>8.5462143479747399E-2</v>
      </c>
      <c r="K2159">
        <v>9.8456896591901599E-2</v>
      </c>
      <c r="L2159">
        <v>1892.9507120272599</v>
      </c>
      <c r="M2159">
        <v>33.3342953242148</v>
      </c>
      <c r="N2159">
        <v>57.1624134411989</v>
      </c>
      <c r="O2159">
        <v>56.583681406612897</v>
      </c>
      <c r="P2159">
        <v>-0.13279656269213899</v>
      </c>
      <c r="Q2159">
        <v>9.8335705101417203E-2</v>
      </c>
      <c r="R2159">
        <v>0.99787693210933803</v>
      </c>
      <c r="S2159" t="s">
        <v>6899</v>
      </c>
      <c r="T2159" t="s">
        <v>9478</v>
      </c>
      <c r="U2159" t="s">
        <v>9478</v>
      </c>
      <c r="V2159" t="s">
        <v>9478</v>
      </c>
      <c r="W2159">
        <v>5</v>
      </c>
      <c r="X2159" t="s">
        <v>11637</v>
      </c>
      <c r="Y2159">
        <v>0.60783549005981496</v>
      </c>
      <c r="Z2159" t="str">
        <f>HYPERLINK("Melting_Curves/meltCurve_sp_Q5T1C6_THEM4_HUMAN_.pdf", "Melting_Curves/meltCurve_sp_Q5T1C6_THEM4_HUMAN_.pdf")</f>
        <v>Melting_Curves/meltCurve_sp_Q5T1C6_THEM4_HUMAN_.pdf</v>
      </c>
      <c r="AA2159" t="s">
        <v>16336</v>
      </c>
      <c r="AB2159" t="s">
        <v>20993</v>
      </c>
    </row>
    <row r="2160" spans="1:28" x14ac:dyDescent="0.25">
      <c r="A2160" t="s">
        <v>2164</v>
      </c>
      <c r="B2160">
        <v>0.99904790336628502</v>
      </c>
      <c r="C2160">
        <v>1.02283163179931</v>
      </c>
      <c r="D2160">
        <v>1.02378238165025</v>
      </c>
      <c r="E2160">
        <v>0.88353709233826905</v>
      </c>
      <c r="F2160">
        <v>0.75149434232950996</v>
      </c>
      <c r="G2160">
        <v>0.49421895201058602</v>
      </c>
      <c r="H2160">
        <v>0.40288897447684702</v>
      </c>
      <c r="I2160">
        <v>0.36779264774773901</v>
      </c>
      <c r="J2160">
        <v>0.367650506910847</v>
      </c>
      <c r="K2160">
        <v>0.34273774097589599</v>
      </c>
      <c r="L2160">
        <v>1204.70664748339</v>
      </c>
      <c r="M2160">
        <v>22.3245041237554</v>
      </c>
      <c r="N2160">
        <v>57.038926302731703</v>
      </c>
      <c r="O2160">
        <v>53.536017819184998</v>
      </c>
      <c r="P2160">
        <v>-6.7767814182001104E-2</v>
      </c>
      <c r="Q2160">
        <v>0.34996223978201002</v>
      </c>
      <c r="R2160">
        <v>0.99635716388346895</v>
      </c>
      <c r="S2160" t="s">
        <v>6900</v>
      </c>
      <c r="T2160" t="s">
        <v>9478</v>
      </c>
      <c r="U2160" t="s">
        <v>9478</v>
      </c>
      <c r="V2160" t="s">
        <v>9478</v>
      </c>
      <c r="W2160">
        <v>16</v>
      </c>
      <c r="X2160" t="s">
        <v>11638</v>
      </c>
      <c r="Y2160">
        <v>0.6598756739419438</v>
      </c>
      <c r="Z2160" t="str">
        <f>HYPERLINK("Melting_Curves/meltCurve_sp_Q5T1M5_FKB15_HUMAN_.pdf", "Melting_Curves/meltCurve_sp_Q5T1M5_FKB15_HUMAN_.pdf")</f>
        <v>Melting_Curves/meltCurve_sp_Q5T1M5_FKB15_HUMAN_.pdf</v>
      </c>
      <c r="AA2160" t="s">
        <v>16337</v>
      </c>
      <c r="AB2160" t="s">
        <v>20994</v>
      </c>
    </row>
    <row r="2161" spans="1:28" x14ac:dyDescent="0.25">
      <c r="A2161" t="s">
        <v>2165</v>
      </c>
      <c r="B2161">
        <v>0.99904790336628502</v>
      </c>
      <c r="C2161">
        <v>1.0590236473179799</v>
      </c>
      <c r="D2161">
        <v>1.12187211803192</v>
      </c>
      <c r="E2161">
        <v>0.90286011211778705</v>
      </c>
      <c r="F2161">
        <v>0.91538894045221197</v>
      </c>
      <c r="G2161">
        <v>0.70036428739338596</v>
      </c>
      <c r="H2161">
        <v>0.56574798106559998</v>
      </c>
      <c r="I2161">
        <v>0.646904788722377</v>
      </c>
      <c r="J2161">
        <v>0.60799758324405495</v>
      </c>
      <c r="K2161">
        <v>0.58835136810604705</v>
      </c>
      <c r="L2161">
        <v>1583.9126344485501</v>
      </c>
      <c r="M2161">
        <v>28.8871535415655</v>
      </c>
      <c r="O2161">
        <v>54.5702883554344</v>
      </c>
      <c r="P2161">
        <v>-5.3397634357144903E-2</v>
      </c>
      <c r="Q2161">
        <v>0.59651237700441895</v>
      </c>
      <c r="R2161">
        <v>0.92673066566220996</v>
      </c>
      <c r="S2161" t="s">
        <v>6901</v>
      </c>
      <c r="T2161" t="s">
        <v>9478</v>
      </c>
      <c r="U2161" t="s">
        <v>9478</v>
      </c>
      <c r="V2161" t="s">
        <v>9478</v>
      </c>
      <c r="W2161">
        <v>3</v>
      </c>
      <c r="X2161" t="s">
        <v>11639</v>
      </c>
      <c r="Y2161">
        <v>0.79885386218663512</v>
      </c>
      <c r="Z2161" t="str">
        <f>HYPERLINK("Melting_Curves/meltCurve_sp_Q5T200_ZC3HD_HUMAN_.pdf", "Melting_Curves/meltCurve_sp_Q5T200_ZC3HD_HUMAN_.pdf")</f>
        <v>Melting_Curves/meltCurve_sp_Q5T200_ZC3HD_HUMAN_.pdf</v>
      </c>
      <c r="AA2161" t="s">
        <v>16338</v>
      </c>
      <c r="AB2161" t="s">
        <v>20995</v>
      </c>
    </row>
    <row r="2162" spans="1:28" x14ac:dyDescent="0.25">
      <c r="A2162" t="s">
        <v>2166</v>
      </c>
      <c r="B2162">
        <v>0.99904790336628502</v>
      </c>
      <c r="C2162">
        <v>0.944691979703284</v>
      </c>
      <c r="D2162">
        <v>0.91058014945406895</v>
      </c>
      <c r="E2162">
        <v>0.85374230022115505</v>
      </c>
      <c r="F2162">
        <v>0.84854598959543104</v>
      </c>
      <c r="G2162">
        <v>0.56228195587335605</v>
      </c>
      <c r="H2162">
        <v>0.40281679479473398</v>
      </c>
      <c r="I2162">
        <v>0.14528021053300899</v>
      </c>
      <c r="J2162">
        <v>8.2649008166403803E-2</v>
      </c>
      <c r="K2162">
        <v>8.8901683103112694E-2</v>
      </c>
      <c r="L2162">
        <v>854.790698020945</v>
      </c>
      <c r="M2162">
        <v>14.707620805632001</v>
      </c>
      <c r="N2162">
        <v>58.118897133802101</v>
      </c>
      <c r="O2162">
        <v>57.0761625775813</v>
      </c>
      <c r="P2162">
        <v>-6.4428048608750302E-2</v>
      </c>
      <c r="Q2162">
        <v>0</v>
      </c>
      <c r="R2162">
        <v>0.98153981075271302</v>
      </c>
      <c r="S2162" t="s">
        <v>6902</v>
      </c>
      <c r="T2162" t="s">
        <v>9478</v>
      </c>
      <c r="U2162" t="s">
        <v>9478</v>
      </c>
      <c r="V2162" t="s">
        <v>9478</v>
      </c>
      <c r="W2162">
        <v>6</v>
      </c>
      <c r="X2162" t="s">
        <v>11640</v>
      </c>
      <c r="Y2162">
        <v>0.61709672921715231</v>
      </c>
      <c r="Z2162" t="str">
        <f>HYPERLINK("Melting_Curves/meltCurve_sp_Q5T2E6_CJ076_HUMAN_.pdf", "Melting_Curves/meltCurve_sp_Q5T2E6_CJ076_HUMAN_.pdf")</f>
        <v>Melting_Curves/meltCurve_sp_Q5T2E6_CJ076_HUMAN_.pdf</v>
      </c>
      <c r="AA2162" t="s">
        <v>16339</v>
      </c>
      <c r="AB2162" t="s">
        <v>20996</v>
      </c>
    </row>
    <row r="2163" spans="1:28" x14ac:dyDescent="0.25">
      <c r="A2163" t="s">
        <v>2167</v>
      </c>
      <c r="B2163">
        <v>0.99904790336628502</v>
      </c>
      <c r="C2163">
        <v>0.88373784411065304</v>
      </c>
      <c r="D2163">
        <v>0.87194421857461701</v>
      </c>
      <c r="E2163">
        <v>0.84234657775461097</v>
      </c>
      <c r="F2163">
        <v>0.75222683019786696</v>
      </c>
      <c r="G2163">
        <v>0.55774298437553504</v>
      </c>
      <c r="H2163">
        <v>0.43159112190147297</v>
      </c>
      <c r="I2163">
        <v>0.36932150015397303</v>
      </c>
      <c r="J2163">
        <v>0.31591109268079898</v>
      </c>
      <c r="K2163">
        <v>0.270393180944133</v>
      </c>
      <c r="L2163">
        <v>459.70614732455101</v>
      </c>
      <c r="M2163">
        <v>7.8444229098866201</v>
      </c>
      <c r="N2163">
        <v>59.451227490701903</v>
      </c>
      <c r="O2163">
        <v>55.160762428427098</v>
      </c>
      <c r="P2163">
        <v>-3.37111363489839E-2</v>
      </c>
      <c r="Q2163">
        <v>5.2946674716875898E-2</v>
      </c>
      <c r="R2163">
        <v>0.98516705494833701</v>
      </c>
      <c r="S2163" t="s">
        <v>6903</v>
      </c>
      <c r="T2163" t="s">
        <v>9478</v>
      </c>
      <c r="U2163" t="s">
        <v>9478</v>
      </c>
      <c r="V2163" t="s">
        <v>9478</v>
      </c>
      <c r="W2163">
        <v>17</v>
      </c>
      <c r="X2163" t="s">
        <v>11641</v>
      </c>
      <c r="Y2163">
        <v>0.63774663470437631</v>
      </c>
      <c r="Z2163" t="str">
        <f>HYPERLINK("Melting_Curves/meltCurve_sp_Q5T2W1_NHRF3_HUMAN_.pdf", "Melting_Curves/meltCurve_sp_Q5T2W1_NHRF3_HUMAN_.pdf")</f>
        <v>Melting_Curves/meltCurve_sp_Q5T2W1_NHRF3_HUMAN_.pdf</v>
      </c>
      <c r="AA2163" t="s">
        <v>16340</v>
      </c>
      <c r="AB2163" t="s">
        <v>20997</v>
      </c>
    </row>
    <row r="2164" spans="1:28" x14ac:dyDescent="0.25">
      <c r="A2164" t="s">
        <v>2168</v>
      </c>
      <c r="B2164">
        <v>0.99904790336628502</v>
      </c>
      <c r="C2164">
        <v>0.932967923260829</v>
      </c>
      <c r="D2164">
        <v>0.90102634908886503</v>
      </c>
      <c r="E2164">
        <v>0.79132553191759403</v>
      </c>
      <c r="F2164">
        <v>0.49300044023098899</v>
      </c>
      <c r="G2164">
        <v>0.132395142285538</v>
      </c>
      <c r="H2164">
        <v>5.4984383871035998E-2</v>
      </c>
      <c r="I2164">
        <v>3.9822030079464603E-2</v>
      </c>
      <c r="J2164">
        <v>3.1972616228888397E-2</v>
      </c>
      <c r="K2164">
        <v>3.1555244223867102E-2</v>
      </c>
      <c r="L2164">
        <v>1212.7324962442599</v>
      </c>
      <c r="M2164">
        <v>23.019150777135302</v>
      </c>
      <c r="N2164">
        <v>52.768855494676401</v>
      </c>
      <c r="O2164">
        <v>52.290875163362998</v>
      </c>
      <c r="P2164">
        <v>-0.10804729714641099</v>
      </c>
      <c r="Q2164">
        <v>1.8246819929484199E-2</v>
      </c>
      <c r="R2164">
        <v>0.99398905067361498</v>
      </c>
      <c r="S2164" t="s">
        <v>6904</v>
      </c>
      <c r="T2164" t="s">
        <v>9478</v>
      </c>
      <c r="U2164" t="s">
        <v>9478</v>
      </c>
      <c r="V2164" t="s">
        <v>9478</v>
      </c>
      <c r="W2164">
        <v>11</v>
      </c>
      <c r="X2164" t="s">
        <v>11642</v>
      </c>
      <c r="Y2164">
        <v>0.44384211323112971</v>
      </c>
      <c r="Z2164" t="str">
        <f>HYPERLINK("Melting_Curves/meltCurve_sp_Q5T440_CAF17_HUMAN_.pdf", "Melting_Curves/meltCurve_sp_Q5T440_CAF17_HUMAN_.pdf")</f>
        <v>Melting_Curves/meltCurve_sp_Q5T440_CAF17_HUMAN_.pdf</v>
      </c>
      <c r="AA2164" t="s">
        <v>16341</v>
      </c>
      <c r="AB2164" t="s">
        <v>20998</v>
      </c>
    </row>
    <row r="2165" spans="1:28" x14ac:dyDescent="0.25">
      <c r="A2165" t="s">
        <v>2169</v>
      </c>
      <c r="B2165">
        <v>0.99904790336628502</v>
      </c>
      <c r="C2165">
        <v>0.93968837199118005</v>
      </c>
      <c r="D2165">
        <v>0.92040709925539699</v>
      </c>
      <c r="E2165">
        <v>0.69195410567029803</v>
      </c>
      <c r="F2165">
        <v>0.245388773967125</v>
      </c>
      <c r="G2165">
        <v>8.9553512306641395E-2</v>
      </c>
      <c r="H2165">
        <v>2.3491958713958601E-2</v>
      </c>
      <c r="I2165">
        <v>0</v>
      </c>
      <c r="J2165">
        <v>0</v>
      </c>
      <c r="K2165">
        <v>3.3369300766604097E-2</v>
      </c>
      <c r="L2165">
        <v>1494.7637900291099</v>
      </c>
      <c r="M2165">
        <v>29.231757824197501</v>
      </c>
      <c r="N2165">
        <v>51.186301642627903</v>
      </c>
      <c r="O2165">
        <v>50.897409228177303</v>
      </c>
      <c r="P2165">
        <v>-0.14150715793758301</v>
      </c>
      <c r="Q2165">
        <v>1.4456037662152499E-2</v>
      </c>
      <c r="R2165">
        <v>0.99515858532432999</v>
      </c>
      <c r="S2165" t="s">
        <v>6905</v>
      </c>
      <c r="T2165" t="s">
        <v>9478</v>
      </c>
      <c r="U2165" t="s">
        <v>9478</v>
      </c>
      <c r="V2165" t="s">
        <v>9478</v>
      </c>
      <c r="W2165">
        <v>1</v>
      </c>
      <c r="X2165" t="s">
        <v>11643</v>
      </c>
      <c r="Y2165">
        <v>0.38679542041677778</v>
      </c>
      <c r="Z2165" t="str">
        <f>HYPERLINK("Melting_Curves/meltCurve_sp_Q5T447_HECD3_HUMAN_.pdf", "Melting_Curves/meltCurve_sp_Q5T447_HECD3_HUMAN_.pdf")</f>
        <v>Melting_Curves/meltCurve_sp_Q5T447_HECD3_HUMAN_.pdf</v>
      </c>
      <c r="AA2165" t="s">
        <v>16342</v>
      </c>
      <c r="AB2165" t="s">
        <v>20999</v>
      </c>
    </row>
    <row r="2166" spans="1:28" x14ac:dyDescent="0.25">
      <c r="A2166" t="s">
        <v>2170</v>
      </c>
      <c r="B2166">
        <v>0.99904790336628502</v>
      </c>
      <c r="C2166">
        <v>0.88945616798024396</v>
      </c>
      <c r="D2166">
        <v>0.85662357080956397</v>
      </c>
      <c r="E2166">
        <v>0.90041897359328005</v>
      </c>
      <c r="F2166">
        <v>0.96590767638294694</v>
      </c>
      <c r="G2166">
        <v>0.87203056116729005</v>
      </c>
      <c r="H2166">
        <v>0.621636625209118</v>
      </c>
      <c r="I2166">
        <v>0.52641787461278899</v>
      </c>
      <c r="J2166">
        <v>0.62732606669759305</v>
      </c>
      <c r="K2166">
        <v>0.53141279045672996</v>
      </c>
      <c r="L2166">
        <v>424.584452837627</v>
      </c>
      <c r="M2166">
        <v>6.41474409688277</v>
      </c>
      <c r="O2166">
        <v>60.634769326869197</v>
      </c>
      <c r="P2166">
        <v>-2.1999662746730798E-2</v>
      </c>
      <c r="Q2166">
        <v>0.17031428480138999</v>
      </c>
      <c r="R2166">
        <v>0.811696533683261</v>
      </c>
      <c r="S2166" t="s">
        <v>6906</v>
      </c>
      <c r="T2166" t="s">
        <v>9478</v>
      </c>
      <c r="U2166" t="s">
        <v>9478</v>
      </c>
      <c r="V2166" t="s">
        <v>9478</v>
      </c>
      <c r="W2166">
        <v>1</v>
      </c>
      <c r="X2166" t="s">
        <v>11644</v>
      </c>
      <c r="Y2166">
        <v>0.79593855181175532</v>
      </c>
      <c r="Z2166" t="str">
        <f>HYPERLINK("Melting_Curves/meltCurve_sp_Q5T4F4_6_ZFY27_HUMAN_.pdf", "Melting_Curves/meltCurve_sp_Q5T4F4_6_ZFY27_HUMAN_.pdf")</f>
        <v>Melting_Curves/meltCurve_sp_Q5T4F4_6_ZFY27_HUMAN_.pdf</v>
      </c>
      <c r="AA2166" t="s">
        <v>16343</v>
      </c>
      <c r="AB2166" t="s">
        <v>21000</v>
      </c>
    </row>
    <row r="2167" spans="1:28" x14ac:dyDescent="0.25">
      <c r="A2167" t="s">
        <v>2171</v>
      </c>
      <c r="B2167">
        <v>0.99904790336628502</v>
      </c>
      <c r="C2167">
        <v>1.0534471132104799</v>
      </c>
      <c r="D2167">
        <v>1.04279071324483</v>
      </c>
      <c r="E2167">
        <v>0.82992113294356995</v>
      </c>
      <c r="F2167">
        <v>0.32817012767227699</v>
      </c>
      <c r="G2167">
        <v>0.15368667537810901</v>
      </c>
      <c r="H2167">
        <v>9.8786268286770201E-2</v>
      </c>
      <c r="I2167">
        <v>8.5366643156465902E-2</v>
      </c>
      <c r="J2167">
        <v>7.0980441912838296E-2</v>
      </c>
      <c r="K2167">
        <v>5.6345988282830703E-2</v>
      </c>
      <c r="L2167">
        <v>2146.0165209658398</v>
      </c>
      <c r="M2167">
        <v>41.468214750228</v>
      </c>
      <c r="N2167">
        <v>51.9917215324555</v>
      </c>
      <c r="O2167">
        <v>51.630987905503403</v>
      </c>
      <c r="P2167">
        <v>-0.18324539123046199</v>
      </c>
      <c r="Q2167">
        <v>8.7385903000219603E-2</v>
      </c>
      <c r="R2167">
        <v>0.99516555170632304</v>
      </c>
      <c r="S2167" t="s">
        <v>6907</v>
      </c>
      <c r="T2167" t="s">
        <v>9478</v>
      </c>
      <c r="U2167" t="s">
        <v>9478</v>
      </c>
      <c r="V2167" t="s">
        <v>9478</v>
      </c>
      <c r="W2167">
        <v>26</v>
      </c>
      <c r="X2167" t="s">
        <v>11645</v>
      </c>
      <c r="Y2167">
        <v>0.44788823335035088</v>
      </c>
      <c r="Z2167" t="str">
        <f>HYPERLINK("Melting_Curves/meltCurve_sp_Q5T4S7_3_UBR4_HUMAN_.pdf", "Melting_Curves/meltCurve_sp_Q5T4S7_3_UBR4_HUMAN_.pdf")</f>
        <v>Melting_Curves/meltCurve_sp_Q5T4S7_3_UBR4_HUMAN_.pdf</v>
      </c>
      <c r="AA2167" t="s">
        <v>16344</v>
      </c>
      <c r="AB2167" t="s">
        <v>21001</v>
      </c>
    </row>
    <row r="2168" spans="1:28" x14ac:dyDescent="0.25">
      <c r="A2168" t="s">
        <v>2172</v>
      </c>
      <c r="B2168">
        <v>0.99904790336628502</v>
      </c>
      <c r="C2168">
        <v>0.98730054166831205</v>
      </c>
      <c r="D2168">
        <v>0.95531237916370904</v>
      </c>
      <c r="E2168">
        <v>0.92546911474000404</v>
      </c>
      <c r="F2168">
        <v>0.91150388875105304</v>
      </c>
      <c r="G2168">
        <v>0.66025160607982403</v>
      </c>
      <c r="H2168">
        <v>0.57322003482185702</v>
      </c>
      <c r="I2168">
        <v>0.54289159976046797</v>
      </c>
      <c r="J2168">
        <v>0.56627405596306202</v>
      </c>
      <c r="K2168">
        <v>0.56999896221705404</v>
      </c>
      <c r="L2168">
        <v>1608.9676370982099</v>
      </c>
      <c r="M2168">
        <v>29.285373979808401</v>
      </c>
      <c r="O2168">
        <v>54.686716142120801</v>
      </c>
      <c r="P2168">
        <v>-5.9685672427971799E-2</v>
      </c>
      <c r="Q2168">
        <v>0.55418146617039299</v>
      </c>
      <c r="R2168">
        <v>0.98336932823061196</v>
      </c>
      <c r="S2168" t="s">
        <v>6908</v>
      </c>
      <c r="T2168" t="s">
        <v>9478</v>
      </c>
      <c r="U2168" t="s">
        <v>9478</v>
      </c>
      <c r="V2168" t="s">
        <v>9478</v>
      </c>
      <c r="W2168">
        <v>35</v>
      </c>
      <c r="X2168" t="s">
        <v>11646</v>
      </c>
      <c r="Y2168">
        <v>0.77930710505220224</v>
      </c>
      <c r="Z2168" t="str">
        <f>HYPERLINK("Melting_Curves/meltCurve_sp_Q5T5P2_SKT_HUMAN_.pdf", "Melting_Curves/meltCurve_sp_Q5T5P2_SKT_HUMAN_.pdf")</f>
        <v>Melting_Curves/meltCurve_sp_Q5T5P2_SKT_HUMAN_.pdf</v>
      </c>
      <c r="AA2168" t="s">
        <v>16345</v>
      </c>
      <c r="AB2168" t="s">
        <v>21002</v>
      </c>
    </row>
    <row r="2169" spans="1:28" x14ac:dyDescent="0.25">
      <c r="A2169" t="s">
        <v>2173</v>
      </c>
      <c r="B2169">
        <v>0.99904790336628502</v>
      </c>
      <c r="C2169">
        <v>0.97453966393402403</v>
      </c>
      <c r="D2169">
        <v>0.96081096339709304</v>
      </c>
      <c r="E2169">
        <v>0.91586095235861997</v>
      </c>
      <c r="F2169">
        <v>0.94152196186565995</v>
      </c>
      <c r="G2169">
        <v>0.56116684205251</v>
      </c>
      <c r="H2169">
        <v>0.54154138326471801</v>
      </c>
      <c r="I2169">
        <v>0.55296976804980802</v>
      </c>
      <c r="J2169">
        <v>0.54006932282331999</v>
      </c>
      <c r="K2169">
        <v>0.50486828064466005</v>
      </c>
      <c r="L2169">
        <v>3382.62398182877</v>
      </c>
      <c r="M2169">
        <v>61.966932252695898</v>
      </c>
      <c r="O2169">
        <v>54.530800831749403</v>
      </c>
      <c r="P2169">
        <v>-0.13244852049250599</v>
      </c>
      <c r="Q2169">
        <v>0.53378222876880199</v>
      </c>
      <c r="R2169">
        <v>0.97668880215043596</v>
      </c>
      <c r="S2169" t="s">
        <v>6909</v>
      </c>
      <c r="T2169" t="s">
        <v>9478</v>
      </c>
      <c r="U2169" t="s">
        <v>9478</v>
      </c>
      <c r="V2169" t="s">
        <v>9478</v>
      </c>
      <c r="W2169">
        <v>5</v>
      </c>
      <c r="X2169" t="s">
        <v>11647</v>
      </c>
      <c r="Y2169">
        <v>0.76121105727806315</v>
      </c>
      <c r="Z2169" t="str">
        <f>HYPERLINK("Melting_Curves/meltCurve_sp_Q5T5U3_RHG21_HUMAN_.pdf", "Melting_Curves/meltCurve_sp_Q5T5U3_RHG21_HUMAN_.pdf")</f>
        <v>Melting_Curves/meltCurve_sp_Q5T5U3_RHG21_HUMAN_.pdf</v>
      </c>
      <c r="AA2169" t="s">
        <v>16346</v>
      </c>
      <c r="AB2169" t="s">
        <v>21003</v>
      </c>
    </row>
    <row r="2170" spans="1:28" x14ac:dyDescent="0.25">
      <c r="A2170" t="s">
        <v>2174</v>
      </c>
      <c r="B2170">
        <v>0.99904790336628502</v>
      </c>
      <c r="C2170">
        <v>0.88132690560611904</v>
      </c>
      <c r="D2170">
        <v>0.80614144955028599</v>
      </c>
      <c r="E2170">
        <v>0.432889443910148</v>
      </c>
      <c r="F2170">
        <v>0.22889156980334699</v>
      </c>
      <c r="G2170">
        <v>0.11969817601876</v>
      </c>
      <c r="H2170">
        <v>9.1498850477917504E-2</v>
      </c>
      <c r="I2170">
        <v>7.5752446508664001E-2</v>
      </c>
      <c r="J2170">
        <v>8.1083979060077097E-2</v>
      </c>
      <c r="K2170">
        <v>6.5570293203627006E-2</v>
      </c>
      <c r="L2170">
        <v>922.42012220425397</v>
      </c>
      <c r="M2170">
        <v>18.883682201589998</v>
      </c>
      <c r="N2170">
        <v>49.215493441378698</v>
      </c>
      <c r="O2170">
        <v>48.309568535256098</v>
      </c>
      <c r="P2170">
        <v>-9.1291423515623193E-2</v>
      </c>
      <c r="Q2170">
        <v>6.58455735434606E-2</v>
      </c>
      <c r="R2170">
        <v>0.99667800165382003</v>
      </c>
      <c r="S2170" t="s">
        <v>6910</v>
      </c>
      <c r="T2170" t="s">
        <v>9478</v>
      </c>
      <c r="U2170" t="s">
        <v>9478</v>
      </c>
      <c r="V2170" t="s">
        <v>9478</v>
      </c>
      <c r="W2170">
        <v>5</v>
      </c>
      <c r="X2170" t="s">
        <v>11648</v>
      </c>
      <c r="Y2170">
        <v>0.35607451704809662</v>
      </c>
      <c r="Z2170" t="str">
        <f>HYPERLINK("Melting_Curves/meltCurve_sp_Q5T6J7_GNTK_HUMAN_.pdf", "Melting_Curves/meltCurve_sp_Q5T6J7_GNTK_HUMAN_.pdf")</f>
        <v>Melting_Curves/meltCurve_sp_Q5T6J7_GNTK_HUMAN_.pdf</v>
      </c>
      <c r="AA2170" t="s">
        <v>16347</v>
      </c>
      <c r="AB2170" t="s">
        <v>21004</v>
      </c>
    </row>
    <row r="2171" spans="1:28" x14ac:dyDescent="0.25">
      <c r="A2171" t="s">
        <v>2175</v>
      </c>
      <c r="B2171">
        <v>0.99904790336628502</v>
      </c>
      <c r="C2171">
        <v>1.0172726858180099</v>
      </c>
      <c r="D2171">
        <v>0.923884914680562</v>
      </c>
      <c r="E2171">
        <v>0.77630149743747801</v>
      </c>
      <c r="F2171">
        <v>0.17707824863681801</v>
      </c>
      <c r="G2171">
        <v>8.5372963795898996E-2</v>
      </c>
      <c r="H2171">
        <v>4.4161318788785403E-2</v>
      </c>
      <c r="I2171">
        <v>2.9535560144159201E-2</v>
      </c>
      <c r="J2171">
        <v>2.20672535529336E-2</v>
      </c>
      <c r="K2171">
        <v>2.0097796705996498E-2</v>
      </c>
      <c r="L2171">
        <v>2542.4301220471498</v>
      </c>
      <c r="M2171">
        <v>49.685622882074497</v>
      </c>
      <c r="N2171">
        <v>51.2515722982737</v>
      </c>
      <c r="O2171">
        <v>51.087649321277603</v>
      </c>
      <c r="P2171">
        <v>-0.23393274457570101</v>
      </c>
      <c r="Q2171">
        <v>3.7865448050911202E-2</v>
      </c>
      <c r="R2171">
        <v>0.99566249088912295</v>
      </c>
      <c r="S2171" t="s">
        <v>6911</v>
      </c>
      <c r="T2171" t="s">
        <v>9478</v>
      </c>
      <c r="U2171" t="s">
        <v>9478</v>
      </c>
      <c r="V2171" t="s">
        <v>9478</v>
      </c>
      <c r="W2171">
        <v>17</v>
      </c>
      <c r="X2171" t="s">
        <v>11649</v>
      </c>
      <c r="Y2171">
        <v>0.39831037696305382</v>
      </c>
      <c r="Z2171" t="str">
        <f>HYPERLINK("Melting_Curves/meltCurve_sp_Q5T6V5_CI064_HUMAN_.pdf", "Melting_Curves/meltCurve_sp_Q5T6V5_CI064_HUMAN_.pdf")</f>
        <v>Melting_Curves/meltCurve_sp_Q5T6V5_CI064_HUMAN_.pdf</v>
      </c>
      <c r="AA2171" t="s">
        <v>16348</v>
      </c>
      <c r="AB2171" t="s">
        <v>21005</v>
      </c>
    </row>
    <row r="2172" spans="1:28" x14ac:dyDescent="0.25">
      <c r="A2172" t="s">
        <v>2176</v>
      </c>
      <c r="B2172">
        <v>0.99904790336628502</v>
      </c>
      <c r="C2172">
        <v>0.85578278559008403</v>
      </c>
      <c r="D2172">
        <v>0.93775691939966099</v>
      </c>
      <c r="E2172">
        <v>1.5495334184716001</v>
      </c>
      <c r="F2172">
        <v>0.48955417276827701</v>
      </c>
      <c r="G2172">
        <v>0.94496873799564596</v>
      </c>
      <c r="H2172">
        <v>0.350414321745247</v>
      </c>
      <c r="I2172">
        <v>0.32504426379391199</v>
      </c>
      <c r="J2172">
        <v>0.29363160990549497</v>
      </c>
      <c r="K2172">
        <v>0.29482694596051101</v>
      </c>
      <c r="L2172">
        <v>4232.7567634321704</v>
      </c>
      <c r="M2172">
        <v>71.901408994728897</v>
      </c>
      <c r="N2172">
        <v>59.639178152893699</v>
      </c>
      <c r="O2172">
        <v>58.823409626848203</v>
      </c>
      <c r="P2172">
        <v>-0.213156234534428</v>
      </c>
      <c r="Q2172">
        <v>0.30245740215815298</v>
      </c>
      <c r="R2172">
        <v>0.63003192816271403</v>
      </c>
      <c r="S2172" t="s">
        <v>6912</v>
      </c>
      <c r="T2172" t="s">
        <v>9478</v>
      </c>
      <c r="U2172" t="s">
        <v>9478</v>
      </c>
      <c r="V2172" t="s">
        <v>9478</v>
      </c>
      <c r="W2172">
        <v>3</v>
      </c>
      <c r="X2172" t="s">
        <v>11650</v>
      </c>
      <c r="Y2172">
        <v>0.74205917236366958</v>
      </c>
      <c r="Z2172" t="str">
        <f>HYPERLINK("Melting_Curves/meltCurve_sp_Q5T749_KPRP_HUMAN_.pdf", "Melting_Curves/meltCurve_sp_Q5T749_KPRP_HUMAN_.pdf")</f>
        <v>Melting_Curves/meltCurve_sp_Q5T749_KPRP_HUMAN_.pdf</v>
      </c>
      <c r="AA2172" t="s">
        <v>16349</v>
      </c>
      <c r="AB2172" t="s">
        <v>21006</v>
      </c>
    </row>
    <row r="2173" spans="1:28" x14ac:dyDescent="0.25">
      <c r="A2173" t="s">
        <v>2177</v>
      </c>
      <c r="B2173">
        <v>0.99904790336628502</v>
      </c>
      <c r="C2173">
        <v>1.0585879176186901</v>
      </c>
      <c r="D2173">
        <v>0.956969644179266</v>
      </c>
      <c r="E2173">
        <v>0.83505012555136604</v>
      </c>
      <c r="F2173">
        <v>0.88019433884444098</v>
      </c>
      <c r="G2173">
        <v>0.51587584876057202</v>
      </c>
      <c r="H2173">
        <v>0.45816011048979699</v>
      </c>
      <c r="I2173">
        <v>0.43885228230038598</v>
      </c>
      <c r="J2173">
        <v>0.43281243982644702</v>
      </c>
      <c r="K2173">
        <v>0.41526061319215901</v>
      </c>
      <c r="L2173">
        <v>1222.40069535318</v>
      </c>
      <c r="M2173">
        <v>22.460975970407802</v>
      </c>
      <c r="N2173">
        <v>58.9677602928681</v>
      </c>
      <c r="O2173">
        <v>53.997418206085698</v>
      </c>
      <c r="P2173">
        <v>-6.1205664271945903E-2</v>
      </c>
      <c r="Q2173">
        <v>0.41144497021827803</v>
      </c>
      <c r="R2173">
        <v>0.96249306990264205</v>
      </c>
      <c r="S2173" t="s">
        <v>6913</v>
      </c>
      <c r="T2173" t="s">
        <v>9478</v>
      </c>
      <c r="U2173" t="s">
        <v>9478</v>
      </c>
      <c r="V2173" t="s">
        <v>9478</v>
      </c>
      <c r="W2173">
        <v>3</v>
      </c>
      <c r="X2173" t="s">
        <v>11651</v>
      </c>
      <c r="Y2173">
        <v>0.70097909111595513</v>
      </c>
      <c r="Z2173" t="str">
        <f>HYPERLINK("Melting_Curves/meltCurve_sp_Q5T7V8_GORAB_HUMAN_.pdf", "Melting_Curves/meltCurve_sp_Q5T7V8_GORAB_HUMAN_.pdf")</f>
        <v>Melting_Curves/meltCurve_sp_Q5T7V8_GORAB_HUMAN_.pdf</v>
      </c>
      <c r="AA2173" t="s">
        <v>16350</v>
      </c>
      <c r="AB2173" t="s">
        <v>21007</v>
      </c>
    </row>
    <row r="2174" spans="1:28" x14ac:dyDescent="0.25">
      <c r="A2174" t="s">
        <v>2178</v>
      </c>
      <c r="B2174">
        <v>0.99904790336628502</v>
      </c>
      <c r="C2174">
        <v>1.07315400920677</v>
      </c>
      <c r="D2174">
        <v>1.0968298096533899</v>
      </c>
      <c r="E2174">
        <v>0.94216204204174303</v>
      </c>
      <c r="F2174">
        <v>0.95228928766933896</v>
      </c>
      <c r="G2174">
        <v>0.64601150711958299</v>
      </c>
      <c r="H2174">
        <v>0.57827185551666904</v>
      </c>
      <c r="I2174">
        <v>0.428958805778338</v>
      </c>
      <c r="J2174">
        <v>0.38871560338557498</v>
      </c>
      <c r="K2174">
        <v>0.44979640655665898</v>
      </c>
      <c r="L2174">
        <v>1359.56217886125</v>
      </c>
      <c r="M2174">
        <v>23.9600187001328</v>
      </c>
      <c r="N2174">
        <v>61.350501109057497</v>
      </c>
      <c r="O2174">
        <v>56.352125229539901</v>
      </c>
      <c r="P2174">
        <v>-6.1939150549828903E-2</v>
      </c>
      <c r="Q2174">
        <v>0.41730483670545399</v>
      </c>
      <c r="R2174">
        <v>0.96102230834743996</v>
      </c>
      <c r="S2174" t="s">
        <v>6914</v>
      </c>
      <c r="T2174" t="s">
        <v>9478</v>
      </c>
      <c r="U2174" t="s">
        <v>9478</v>
      </c>
      <c r="V2174" t="s">
        <v>9478</v>
      </c>
      <c r="W2174">
        <v>14</v>
      </c>
      <c r="X2174" t="s">
        <v>11652</v>
      </c>
      <c r="Y2174">
        <v>0.74814707793005586</v>
      </c>
      <c r="Z2174" t="str">
        <f>HYPERLINK("Melting_Curves/meltCurve_sp_Q5T8D3_2_ACBD5_HUMAN_.pdf", "Melting_Curves/meltCurve_sp_Q5T8D3_2_ACBD5_HUMAN_.pdf")</f>
        <v>Melting_Curves/meltCurve_sp_Q5T8D3_2_ACBD5_HUMAN_.pdf</v>
      </c>
      <c r="AA2174" t="s">
        <v>16351</v>
      </c>
      <c r="AB2174" t="s">
        <v>21008</v>
      </c>
    </row>
    <row r="2175" spans="1:28" x14ac:dyDescent="0.25">
      <c r="A2175" t="s">
        <v>2179</v>
      </c>
      <c r="B2175">
        <v>0.99904790336628502</v>
      </c>
      <c r="C2175">
        <v>0.99888514353574998</v>
      </c>
      <c r="D2175">
        <v>0.98090589217940005</v>
      </c>
      <c r="E2175">
        <v>0.80195430702760695</v>
      </c>
      <c r="F2175">
        <v>0.83451844756178095</v>
      </c>
      <c r="G2175">
        <v>0.62105207362067105</v>
      </c>
      <c r="H2175">
        <v>0.50244952138328003</v>
      </c>
      <c r="I2175">
        <v>0.42898951467784402</v>
      </c>
      <c r="J2175">
        <v>0.42110584587651001</v>
      </c>
      <c r="K2175">
        <v>0.40712852511663</v>
      </c>
      <c r="L2175">
        <v>715.58534384358302</v>
      </c>
      <c r="M2175">
        <v>12.8663125934559</v>
      </c>
      <c r="N2175">
        <v>61.365920603254303</v>
      </c>
      <c r="O2175">
        <v>54.3248229267762</v>
      </c>
      <c r="P2175">
        <v>-3.8481364763713201E-2</v>
      </c>
      <c r="Q2175">
        <v>0.350207313975755</v>
      </c>
      <c r="R2175">
        <v>0.98153122277071403</v>
      </c>
      <c r="S2175" t="s">
        <v>6915</v>
      </c>
      <c r="T2175" t="s">
        <v>9478</v>
      </c>
      <c r="U2175" t="s">
        <v>9478</v>
      </c>
      <c r="V2175" t="s">
        <v>9478</v>
      </c>
      <c r="W2175">
        <v>14</v>
      </c>
      <c r="X2175" t="s">
        <v>11653</v>
      </c>
      <c r="Y2175">
        <v>0.70195200944521896</v>
      </c>
      <c r="Z2175" t="str">
        <f>HYPERLINK("Melting_Curves/meltCurve_sp_Q5T8D3_ACBD5_HUMAN_.pdf", "Melting_Curves/meltCurve_sp_Q5T8D3_ACBD5_HUMAN_.pdf")</f>
        <v>Melting_Curves/meltCurve_sp_Q5T8D3_ACBD5_HUMAN_.pdf</v>
      </c>
      <c r="AA2175" t="s">
        <v>16351</v>
      </c>
      <c r="AB2175" t="s">
        <v>21009</v>
      </c>
    </row>
    <row r="2176" spans="1:28" x14ac:dyDescent="0.25">
      <c r="A2176" t="s">
        <v>2180</v>
      </c>
      <c r="B2176">
        <v>0.99904790336628502</v>
      </c>
      <c r="C2176">
        <v>1.0057976644175499</v>
      </c>
      <c r="D2176">
        <v>0.98486519921583204</v>
      </c>
      <c r="E2176">
        <v>0.95696518680390597</v>
      </c>
      <c r="F2176">
        <v>0.87987003805633501</v>
      </c>
      <c r="G2176">
        <v>0.60497716744249797</v>
      </c>
      <c r="H2176">
        <v>0.45383459187667802</v>
      </c>
      <c r="I2176">
        <v>0.383343489728592</v>
      </c>
      <c r="J2176">
        <v>0.349189034186279</v>
      </c>
      <c r="K2176">
        <v>0.28833056276455599</v>
      </c>
      <c r="L2176">
        <v>1121.32195672339</v>
      </c>
      <c r="M2176">
        <v>19.7791028616573</v>
      </c>
      <c r="N2176">
        <v>59.478918976386602</v>
      </c>
      <c r="O2176">
        <v>56.122274645673201</v>
      </c>
      <c r="P2176">
        <v>-6.1495047804683699E-2</v>
      </c>
      <c r="Q2176">
        <v>0.30206634911469799</v>
      </c>
      <c r="R2176">
        <v>0.99658008282611599</v>
      </c>
      <c r="S2176" t="s">
        <v>6916</v>
      </c>
      <c r="T2176" t="s">
        <v>9478</v>
      </c>
      <c r="U2176" t="s">
        <v>9478</v>
      </c>
      <c r="V2176" t="s">
        <v>9478</v>
      </c>
      <c r="W2176">
        <v>11</v>
      </c>
      <c r="X2176" t="s">
        <v>11654</v>
      </c>
      <c r="Y2176">
        <v>0.69922145624706133</v>
      </c>
      <c r="Z2176" t="str">
        <f>HYPERLINK("Melting_Curves/meltCurve_sp_Q5T8P6_2_RBM26_HUMAN_.pdf", "Melting_Curves/meltCurve_sp_Q5T8P6_2_RBM26_HUMAN_.pdf")</f>
        <v>Melting_Curves/meltCurve_sp_Q5T8P6_2_RBM26_HUMAN_.pdf</v>
      </c>
      <c r="AA2176" t="s">
        <v>16352</v>
      </c>
      <c r="AB2176" t="s">
        <v>21010</v>
      </c>
    </row>
    <row r="2177" spans="1:28" x14ac:dyDescent="0.25">
      <c r="A2177" t="s">
        <v>2181</v>
      </c>
      <c r="B2177">
        <v>0.99904790336628502</v>
      </c>
      <c r="C2177">
        <v>1.02559059671787</v>
      </c>
      <c r="D2177">
        <v>0.84529396813775903</v>
      </c>
      <c r="E2177">
        <v>0.464110511444631</v>
      </c>
      <c r="F2177">
        <v>0.13679338309077299</v>
      </c>
      <c r="G2177">
        <v>8.4942386635721401E-2</v>
      </c>
      <c r="H2177">
        <v>4.8648163166072102E-2</v>
      </c>
      <c r="I2177">
        <v>3.53541061750565E-2</v>
      </c>
      <c r="J2177">
        <v>1.4950519507258999E-2</v>
      </c>
      <c r="K2177">
        <v>1.3126820096195301E-2</v>
      </c>
      <c r="L2177">
        <v>1269.4422424879201</v>
      </c>
      <c r="M2177">
        <v>25.692936524165201</v>
      </c>
      <c r="N2177">
        <v>49.514868990689003</v>
      </c>
      <c r="O2177">
        <v>49.111823338407703</v>
      </c>
      <c r="P2177">
        <v>-0.12726890207886199</v>
      </c>
      <c r="Q2177">
        <v>2.69181958214261E-2</v>
      </c>
      <c r="R2177">
        <v>0.99638574855352702</v>
      </c>
      <c r="S2177" t="s">
        <v>6917</v>
      </c>
      <c r="T2177" t="s">
        <v>9478</v>
      </c>
      <c r="U2177" t="s">
        <v>9478</v>
      </c>
      <c r="V2177" t="s">
        <v>9478</v>
      </c>
      <c r="W2177">
        <v>4</v>
      </c>
      <c r="X2177" t="s">
        <v>11655</v>
      </c>
      <c r="Y2177">
        <v>0.34026379325681733</v>
      </c>
      <c r="Z2177" t="str">
        <f>HYPERLINK("Melting_Curves/meltCurve_sp_Q5TA50_GLTD1_HUMAN_.pdf", "Melting_Curves/meltCurve_sp_Q5TA50_GLTD1_HUMAN_.pdf")</f>
        <v>Melting_Curves/meltCurve_sp_Q5TA50_GLTD1_HUMAN_.pdf</v>
      </c>
      <c r="AA2177" t="s">
        <v>16353</v>
      </c>
      <c r="AB2177" t="s">
        <v>21011</v>
      </c>
    </row>
    <row r="2178" spans="1:28" x14ac:dyDescent="0.25">
      <c r="A2178" t="s">
        <v>2182</v>
      </c>
      <c r="B2178">
        <v>0.99904790336628502</v>
      </c>
      <c r="C2178">
        <v>1.2218740013309599</v>
      </c>
      <c r="D2178">
        <v>1.2279375093360001</v>
      </c>
      <c r="E2178">
        <v>0.99069555771592399</v>
      </c>
      <c r="F2178">
        <v>0.68178995069902004</v>
      </c>
      <c r="G2178">
        <v>0.27056669128219102</v>
      </c>
      <c r="H2178">
        <v>0.11390892587724399</v>
      </c>
      <c r="I2178">
        <v>7.1691571522414899E-2</v>
      </c>
      <c r="J2178">
        <v>4.7906348806568799E-2</v>
      </c>
      <c r="K2178">
        <v>4.95170359147383E-2</v>
      </c>
      <c r="L2178">
        <v>1673.8675622297301</v>
      </c>
      <c r="M2178">
        <v>30.741499263865101</v>
      </c>
      <c r="N2178">
        <v>54.681910214302803</v>
      </c>
      <c r="O2178">
        <v>54.220917112226601</v>
      </c>
      <c r="P2178">
        <v>-0.13307166868643</v>
      </c>
      <c r="Q2178">
        <v>6.1174576884305998E-2</v>
      </c>
      <c r="R2178">
        <v>0.95366135682449305</v>
      </c>
      <c r="S2178" t="s">
        <v>6918</v>
      </c>
      <c r="T2178" t="s">
        <v>9478</v>
      </c>
      <c r="U2178" t="s">
        <v>9478</v>
      </c>
      <c r="V2178" t="s">
        <v>9478</v>
      </c>
      <c r="W2178">
        <v>2</v>
      </c>
      <c r="X2178" t="s">
        <v>11656</v>
      </c>
      <c r="Y2178">
        <v>0.51928172354123137</v>
      </c>
      <c r="Z2178" t="str">
        <f>HYPERLINK("Melting_Curves/meltCurve_sp_Q5TBA9_FRY_HUMAN_.pdf", "Melting_Curves/meltCurve_sp_Q5TBA9_FRY_HUMAN_.pdf")</f>
        <v>Melting_Curves/meltCurve_sp_Q5TBA9_FRY_HUMAN_.pdf</v>
      </c>
      <c r="AA2178" t="s">
        <v>16354</v>
      </c>
      <c r="AB2178" t="s">
        <v>21012</v>
      </c>
    </row>
    <row r="2179" spans="1:28" x14ac:dyDescent="0.25">
      <c r="A2179" t="s">
        <v>2183</v>
      </c>
      <c r="B2179">
        <v>0.99904790336628502</v>
      </c>
      <c r="C2179">
        <v>0.99738486650271596</v>
      </c>
      <c r="D2179">
        <v>0.97305879354509695</v>
      </c>
      <c r="E2179">
        <v>0.889342763331465</v>
      </c>
      <c r="F2179">
        <v>0.80505509675313403</v>
      </c>
      <c r="G2179">
        <v>0.59104627477939797</v>
      </c>
      <c r="H2179">
        <v>0.38427787195123297</v>
      </c>
      <c r="I2179">
        <v>0.17113491683626</v>
      </c>
      <c r="J2179">
        <v>6.0313318190178399E-2</v>
      </c>
      <c r="K2179">
        <v>2.5672219599974899E-2</v>
      </c>
      <c r="L2179">
        <v>921.982024516921</v>
      </c>
      <c r="M2179">
        <v>15.8507120624328</v>
      </c>
      <c r="N2179">
        <v>58.166600182025</v>
      </c>
      <c r="O2179">
        <v>57.264390818321097</v>
      </c>
      <c r="P2179">
        <v>-6.9205319234874094E-2</v>
      </c>
      <c r="Q2179">
        <v>0</v>
      </c>
      <c r="R2179">
        <v>0.99281396549062795</v>
      </c>
      <c r="S2179" t="s">
        <v>6919</v>
      </c>
      <c r="T2179" t="s">
        <v>9478</v>
      </c>
      <c r="U2179" t="s">
        <v>9478</v>
      </c>
      <c r="V2179" t="s">
        <v>9478</v>
      </c>
      <c r="W2179">
        <v>6</v>
      </c>
      <c r="X2179" t="s">
        <v>11657</v>
      </c>
      <c r="Y2179">
        <v>0.61840231708325877</v>
      </c>
      <c r="Z2179" t="str">
        <f>HYPERLINK("Melting_Curves/meltCurve_sp_Q5TC12_ATPF1_HUMAN_.pdf", "Melting_Curves/meltCurve_sp_Q5TC12_ATPF1_HUMAN_.pdf")</f>
        <v>Melting_Curves/meltCurve_sp_Q5TC12_ATPF1_HUMAN_.pdf</v>
      </c>
      <c r="AA2179" t="s">
        <v>16355</v>
      </c>
      <c r="AB2179" t="s">
        <v>21013</v>
      </c>
    </row>
    <row r="2180" spans="1:28" x14ac:dyDescent="0.25">
      <c r="A2180" t="s">
        <v>2184</v>
      </c>
      <c r="B2180">
        <v>0.99904790336628502</v>
      </c>
      <c r="C2180">
        <v>1.0209439978834201</v>
      </c>
      <c r="D2180">
        <v>1.0049422252401301</v>
      </c>
      <c r="E2180">
        <v>0.81430393688389602</v>
      </c>
      <c r="F2180">
        <v>0.56831523966948805</v>
      </c>
      <c r="G2180">
        <v>0.342102773258191</v>
      </c>
      <c r="H2180">
        <v>0.23668898536517299</v>
      </c>
      <c r="I2180">
        <v>0.20537360541892899</v>
      </c>
      <c r="J2180">
        <v>0.192793524695487</v>
      </c>
      <c r="K2180">
        <v>0.15128075960103901</v>
      </c>
      <c r="L2180">
        <v>1114.37173373716</v>
      </c>
      <c r="M2180">
        <v>21.040378477857999</v>
      </c>
      <c r="N2180">
        <v>54.0810574180719</v>
      </c>
      <c r="O2180">
        <v>52.492012668809501</v>
      </c>
      <c r="P2180">
        <v>-8.2542995097178107E-2</v>
      </c>
      <c r="Q2180">
        <v>0.17630137255592099</v>
      </c>
      <c r="R2180">
        <v>0.99697713164598301</v>
      </c>
      <c r="S2180" t="s">
        <v>6920</v>
      </c>
      <c r="T2180" t="s">
        <v>9478</v>
      </c>
      <c r="U2180" t="s">
        <v>9478</v>
      </c>
      <c r="V2180" t="s">
        <v>9478</v>
      </c>
      <c r="W2180">
        <v>8</v>
      </c>
      <c r="X2180" t="s">
        <v>11658</v>
      </c>
      <c r="Y2180">
        <v>0.54261399029749635</v>
      </c>
      <c r="Z2180" t="str">
        <f>HYPERLINK("Melting_Curves/meltCurve_sp_Q5TCQ9_4_MAGI3_HUMAN_.pdf", "Melting_Curves/meltCurve_sp_Q5TCQ9_4_MAGI3_HUMAN_.pdf")</f>
        <v>Melting_Curves/meltCurve_sp_Q5TCQ9_4_MAGI3_HUMAN_.pdf</v>
      </c>
      <c r="AA2180" t="s">
        <v>16356</v>
      </c>
      <c r="AB2180" t="s">
        <v>21014</v>
      </c>
    </row>
    <row r="2181" spans="1:28" x14ac:dyDescent="0.25">
      <c r="A2181" t="s">
        <v>2185</v>
      </c>
      <c r="B2181">
        <v>0.99904790336628502</v>
      </c>
      <c r="C2181">
        <v>0.94161300017894101</v>
      </c>
      <c r="D2181">
        <v>0.95032268112190799</v>
      </c>
      <c r="E2181">
        <v>0.91524129098163398</v>
      </c>
      <c r="F2181">
        <v>0.90752645918826702</v>
      </c>
      <c r="G2181">
        <v>0.58525885597336302</v>
      </c>
      <c r="H2181">
        <v>0.23728266234429199</v>
      </c>
      <c r="I2181">
        <v>0.133884648176992</v>
      </c>
      <c r="J2181">
        <v>9.8743416744210194E-2</v>
      </c>
      <c r="K2181">
        <v>7.5440394538870303E-2</v>
      </c>
      <c r="L2181">
        <v>1372.3985876490999</v>
      </c>
      <c r="M2181">
        <v>23.875031829601198</v>
      </c>
      <c r="N2181">
        <v>57.795941089144002</v>
      </c>
      <c r="O2181">
        <v>57.083867297109002</v>
      </c>
      <c r="P2181">
        <v>-9.8214983115685994E-2</v>
      </c>
      <c r="Q2181">
        <v>6.0709011096309003E-2</v>
      </c>
      <c r="R2181">
        <v>0.99338145725113303</v>
      </c>
      <c r="S2181" t="s">
        <v>6921</v>
      </c>
      <c r="T2181" t="s">
        <v>9478</v>
      </c>
      <c r="U2181" t="s">
        <v>9478</v>
      </c>
      <c r="V2181" t="s">
        <v>9478</v>
      </c>
      <c r="W2181">
        <v>16</v>
      </c>
      <c r="X2181" t="s">
        <v>11659</v>
      </c>
      <c r="Y2181">
        <v>0.61699574553801384</v>
      </c>
      <c r="Z2181" t="str">
        <f>HYPERLINK("Melting_Curves/meltCurve_sp_Q5TDH0_DDI2_HUMAN_.pdf", "Melting_Curves/meltCurve_sp_Q5TDH0_DDI2_HUMAN_.pdf")</f>
        <v>Melting_Curves/meltCurve_sp_Q5TDH0_DDI2_HUMAN_.pdf</v>
      </c>
      <c r="AA2181" t="s">
        <v>16357</v>
      </c>
      <c r="AB2181" t="s">
        <v>21015</v>
      </c>
    </row>
    <row r="2182" spans="1:28" x14ac:dyDescent="0.25">
      <c r="A2182" t="s">
        <v>2186</v>
      </c>
      <c r="B2182">
        <v>0.99904790336628502</v>
      </c>
      <c r="C2182">
        <v>0.93305956502361298</v>
      </c>
      <c r="D2182">
        <v>0.78696461641589899</v>
      </c>
      <c r="E2182">
        <v>0.41459498775310699</v>
      </c>
      <c r="F2182">
        <v>0.15197819810920099</v>
      </c>
      <c r="G2182">
        <v>7.6869317149086402E-2</v>
      </c>
      <c r="H2182">
        <v>4.0197725639634502E-2</v>
      </c>
      <c r="I2182">
        <v>2.5309319190909702E-2</v>
      </c>
      <c r="J2182">
        <v>2.1253706544557101E-2</v>
      </c>
      <c r="K2182">
        <v>1.6347583542593198E-2</v>
      </c>
      <c r="L2182">
        <v>1016.20174164614</v>
      </c>
      <c r="M2182">
        <v>20.792716681089502</v>
      </c>
      <c r="N2182">
        <v>48.9590223863066</v>
      </c>
      <c r="O2182">
        <v>48.427645451191403</v>
      </c>
      <c r="P2182">
        <v>-0.10541594764369</v>
      </c>
      <c r="Q2182">
        <v>1.7943940957627001E-2</v>
      </c>
      <c r="R2182">
        <v>0.99889697012414602</v>
      </c>
      <c r="S2182" t="s">
        <v>6922</v>
      </c>
      <c r="T2182" t="s">
        <v>9478</v>
      </c>
      <c r="U2182" t="s">
        <v>9478</v>
      </c>
      <c r="V2182" t="s">
        <v>9478</v>
      </c>
      <c r="W2182">
        <v>6</v>
      </c>
      <c r="X2182" t="s">
        <v>11660</v>
      </c>
      <c r="Y2182">
        <v>0.32112170352539038</v>
      </c>
      <c r="Z2182" t="str">
        <f>HYPERLINK("Melting_Curves/meltCurve_sp_Q5TEU4_NDUF5_HUMAN_.pdf", "Melting_Curves/meltCurve_sp_Q5TEU4_NDUF5_HUMAN_.pdf")</f>
        <v>Melting_Curves/meltCurve_sp_Q5TEU4_NDUF5_HUMAN_.pdf</v>
      </c>
      <c r="AA2182" t="s">
        <v>16358</v>
      </c>
      <c r="AB2182" t="s">
        <v>21016</v>
      </c>
    </row>
    <row r="2183" spans="1:28" x14ac:dyDescent="0.25">
      <c r="A2183" t="s">
        <v>2187</v>
      </c>
      <c r="B2183">
        <v>0.99904790336628502</v>
      </c>
      <c r="C2183">
        <v>0.90192642949718105</v>
      </c>
      <c r="D2183">
        <v>0.922085401696495</v>
      </c>
      <c r="E2183">
        <v>0.85946791687366997</v>
      </c>
      <c r="F2183">
        <v>0.84453578068086899</v>
      </c>
      <c r="G2183">
        <v>0.41428309752421</v>
      </c>
      <c r="H2183">
        <v>8.3412988785755496E-2</v>
      </c>
      <c r="I2183">
        <v>4.8684205335250599E-2</v>
      </c>
      <c r="J2183">
        <v>3.2039635578785301E-2</v>
      </c>
      <c r="K2183">
        <v>2.7510388335532002E-2</v>
      </c>
      <c r="L2183">
        <v>1373.20064511907</v>
      </c>
      <c r="M2183">
        <v>24.491004211400899</v>
      </c>
      <c r="N2183">
        <v>56.0848394510584</v>
      </c>
      <c r="O2183">
        <v>55.699768684571403</v>
      </c>
      <c r="P2183">
        <v>-0.109561042630133</v>
      </c>
      <c r="Q2183">
        <v>3.3177985883954299E-3</v>
      </c>
      <c r="R2183">
        <v>0.98372964194357604</v>
      </c>
      <c r="S2183" t="s">
        <v>6923</v>
      </c>
      <c r="T2183" t="s">
        <v>9478</v>
      </c>
      <c r="U2183" t="s">
        <v>9478</v>
      </c>
      <c r="V2183" t="s">
        <v>9478</v>
      </c>
      <c r="W2183">
        <v>16</v>
      </c>
      <c r="X2183" t="s">
        <v>11661</v>
      </c>
      <c r="Y2183">
        <v>0.54664875387417788</v>
      </c>
      <c r="Z2183" t="str">
        <f>HYPERLINK("Melting_Curves/meltCurve_sp_Q5TFE4_NT5D1_HUMAN_.pdf", "Melting_Curves/meltCurve_sp_Q5TFE4_NT5D1_HUMAN_.pdf")</f>
        <v>Melting_Curves/meltCurve_sp_Q5TFE4_NT5D1_HUMAN_.pdf</v>
      </c>
      <c r="AA2183" t="s">
        <v>16359</v>
      </c>
      <c r="AB2183" t="s">
        <v>21017</v>
      </c>
    </row>
    <row r="2184" spans="1:28" x14ac:dyDescent="0.25">
      <c r="A2184" t="s">
        <v>2188</v>
      </c>
      <c r="B2184">
        <v>0.99904790336628502</v>
      </c>
      <c r="C2184">
        <v>1.10208120516994</v>
      </c>
      <c r="D2184">
        <v>0.92545887106620695</v>
      </c>
      <c r="E2184">
        <v>0.95568961206544301</v>
      </c>
      <c r="F2184">
        <v>0.89264091964857195</v>
      </c>
      <c r="G2184">
        <v>0.68704656227380501</v>
      </c>
      <c r="H2184">
        <v>0.59806654568234496</v>
      </c>
      <c r="I2184">
        <v>0.65918419077191903</v>
      </c>
      <c r="J2184">
        <v>0.78343224211290996</v>
      </c>
      <c r="K2184">
        <v>0.61345956011625102</v>
      </c>
      <c r="L2184">
        <v>2277.3950410212601</v>
      </c>
      <c r="M2184">
        <v>42.3235155252383</v>
      </c>
      <c r="O2184">
        <v>53.689499775664302</v>
      </c>
      <c r="P2184">
        <v>-6.6530392759588705E-2</v>
      </c>
      <c r="Q2184">
        <v>0.66241201373877301</v>
      </c>
      <c r="R2184">
        <v>0.86406106150739503</v>
      </c>
      <c r="S2184" t="s">
        <v>6924</v>
      </c>
      <c r="T2184" t="s">
        <v>9478</v>
      </c>
      <c r="U2184" t="s">
        <v>9478</v>
      </c>
      <c r="V2184" t="s">
        <v>9478</v>
      </c>
      <c r="W2184">
        <v>3</v>
      </c>
      <c r="X2184" t="s">
        <v>11662</v>
      </c>
      <c r="Y2184">
        <v>0.81892552567350463</v>
      </c>
      <c r="Z2184" t="str">
        <f>HYPERLINK("Melting_Curves/meltCurve_sp_Q5TFQ8_SIRBL_HUMAN_.pdf", "Melting_Curves/meltCurve_sp_Q5TFQ8_SIRBL_HUMAN_.pdf")</f>
        <v>Melting_Curves/meltCurve_sp_Q5TFQ8_SIRBL_HUMAN_.pdf</v>
      </c>
      <c r="AA2184" t="s">
        <v>16360</v>
      </c>
      <c r="AB2184" t="s">
        <v>21018</v>
      </c>
    </row>
    <row r="2185" spans="1:28" x14ac:dyDescent="0.25">
      <c r="A2185" t="s">
        <v>2189</v>
      </c>
      <c r="B2185">
        <v>0.99904790336628502</v>
      </c>
      <c r="C2185">
        <v>0.67688867901199701</v>
      </c>
      <c r="D2185">
        <v>0.50507595324224797</v>
      </c>
      <c r="E2185">
        <v>0.36902039317187801</v>
      </c>
      <c r="F2185">
        <v>0.363250898447397</v>
      </c>
      <c r="G2185">
        <v>0.15204485634543999</v>
      </c>
      <c r="H2185">
        <v>0.252871734610148</v>
      </c>
      <c r="I2185">
        <v>6.4515657849092897E-2</v>
      </c>
      <c r="J2185">
        <v>5.32970408023557E-2</v>
      </c>
      <c r="K2185">
        <v>4.8830596134993597E-2</v>
      </c>
      <c r="L2185">
        <v>470.66697146375799</v>
      </c>
      <c r="M2185">
        <v>10.004560893293901</v>
      </c>
      <c r="N2185">
        <v>47.489416562190598</v>
      </c>
      <c r="O2185">
        <v>45.281488326492202</v>
      </c>
      <c r="P2185">
        <v>-5.2793978246116799E-2</v>
      </c>
      <c r="Q2185">
        <v>4.4663795708558697E-2</v>
      </c>
      <c r="R2185">
        <v>0.93591894008375698</v>
      </c>
      <c r="S2185" t="s">
        <v>6925</v>
      </c>
      <c r="T2185" t="s">
        <v>9478</v>
      </c>
      <c r="U2185" t="s">
        <v>9478</v>
      </c>
      <c r="V2185" t="s">
        <v>9478</v>
      </c>
      <c r="W2185">
        <v>2</v>
      </c>
      <c r="X2185" t="s">
        <v>11663</v>
      </c>
      <c r="Y2185">
        <v>0.323650942317737</v>
      </c>
      <c r="Z2185" t="str">
        <f>HYPERLINK("Melting_Curves/meltCurve_sp_Q5TGL8_PXDC1_HUMAN_.pdf", "Melting_Curves/meltCurve_sp_Q5TGL8_PXDC1_HUMAN_.pdf")</f>
        <v>Melting_Curves/meltCurve_sp_Q5TGL8_PXDC1_HUMAN_.pdf</v>
      </c>
      <c r="AA2185" t="s">
        <v>16361</v>
      </c>
      <c r="AB2185" t="s">
        <v>21019</v>
      </c>
    </row>
    <row r="2186" spans="1:28" x14ac:dyDescent="0.25">
      <c r="A2186" t="s">
        <v>2190</v>
      </c>
      <c r="B2186">
        <v>0.99904790336628502</v>
      </c>
      <c r="C2186">
        <v>0.99251733024561495</v>
      </c>
      <c r="D2186">
        <v>0.93495531215696304</v>
      </c>
      <c r="E2186">
        <v>0.92999227047418997</v>
      </c>
      <c r="F2186">
        <v>0.88715840591099204</v>
      </c>
      <c r="G2186">
        <v>0.29957339065233402</v>
      </c>
      <c r="H2186">
        <v>0.16241445153376</v>
      </c>
      <c r="I2186">
        <v>0.16586083848534</v>
      </c>
      <c r="J2186">
        <v>0.17884036223323899</v>
      </c>
      <c r="K2186">
        <v>0.16780921675343</v>
      </c>
      <c r="L2186">
        <v>2580.5709457261</v>
      </c>
      <c r="M2186">
        <v>46.912549359925301</v>
      </c>
      <c r="N2186">
        <v>55.485558005518698</v>
      </c>
      <c r="O2186">
        <v>54.908438827967899</v>
      </c>
      <c r="P2186">
        <v>-0.178123274073577</v>
      </c>
      <c r="Q2186">
        <v>0.16606875850194999</v>
      </c>
      <c r="R2186">
        <v>0.99407642404542595</v>
      </c>
      <c r="S2186" t="s">
        <v>6926</v>
      </c>
      <c r="T2186" t="s">
        <v>9478</v>
      </c>
      <c r="U2186" t="s">
        <v>9478</v>
      </c>
      <c r="V2186" t="s">
        <v>9478</v>
      </c>
      <c r="W2186">
        <v>2</v>
      </c>
      <c r="X2186" t="s">
        <v>11664</v>
      </c>
      <c r="Y2186">
        <v>0.58555790747042002</v>
      </c>
      <c r="Z2186" t="str">
        <f>HYPERLINK("Melting_Curves/meltCurve_sp_Q5TZA2_CROCC_HUMAN_.pdf", "Melting_Curves/meltCurve_sp_Q5TZA2_CROCC_HUMAN_.pdf")</f>
        <v>Melting_Curves/meltCurve_sp_Q5TZA2_CROCC_HUMAN_.pdf</v>
      </c>
      <c r="AA2186" t="s">
        <v>16362</v>
      </c>
      <c r="AB2186" t="s">
        <v>21020</v>
      </c>
    </row>
    <row r="2187" spans="1:28" x14ac:dyDescent="0.25">
      <c r="A2187" t="s">
        <v>2191</v>
      </c>
      <c r="B2187">
        <v>0.99904790336628502</v>
      </c>
      <c r="C2187">
        <v>0.99527713668853401</v>
      </c>
      <c r="D2187">
        <v>1.0108775655236699</v>
      </c>
      <c r="E2187">
        <v>0.92986007092980305</v>
      </c>
      <c r="F2187">
        <v>0.93769158552113796</v>
      </c>
      <c r="G2187">
        <v>0.51898721572497797</v>
      </c>
      <c r="H2187">
        <v>0.30202990401247998</v>
      </c>
      <c r="I2187">
        <v>0.19816543364674</v>
      </c>
      <c r="J2187">
        <v>0.167443814013474</v>
      </c>
      <c r="K2187">
        <v>0.145398605828926</v>
      </c>
      <c r="L2187">
        <v>1530.8661731342199</v>
      </c>
      <c r="M2187">
        <v>26.987522398640099</v>
      </c>
      <c r="N2187">
        <v>57.531800580847197</v>
      </c>
      <c r="O2187">
        <v>56.4162476720483</v>
      </c>
      <c r="P2187">
        <v>-0.10075065394578001</v>
      </c>
      <c r="Q2187">
        <v>0.15754883313703999</v>
      </c>
      <c r="R2187">
        <v>0.99460089500891502</v>
      </c>
      <c r="S2187" t="s">
        <v>6927</v>
      </c>
      <c r="T2187" t="s">
        <v>9478</v>
      </c>
      <c r="U2187" t="s">
        <v>9478</v>
      </c>
      <c r="V2187" t="s">
        <v>9478</v>
      </c>
      <c r="W2187">
        <v>7</v>
      </c>
      <c r="X2187" t="s">
        <v>11665</v>
      </c>
      <c r="Y2187">
        <v>0.63395868995838012</v>
      </c>
      <c r="Z2187" t="str">
        <f>HYPERLINK("Melting_Curves/meltCurve_sp_Q5U5X0_LYRM7_HUMAN_.pdf", "Melting_Curves/meltCurve_sp_Q5U5X0_LYRM7_HUMAN_.pdf")</f>
        <v>Melting_Curves/meltCurve_sp_Q5U5X0_LYRM7_HUMAN_.pdf</v>
      </c>
      <c r="AA2187" t="s">
        <v>16363</v>
      </c>
      <c r="AB2187" t="s">
        <v>21021</v>
      </c>
    </row>
    <row r="2188" spans="1:28" x14ac:dyDescent="0.25">
      <c r="A2188" t="s">
        <v>2192</v>
      </c>
      <c r="B2188">
        <v>0.99904790336628502</v>
      </c>
      <c r="C2188">
        <v>1.0422942175786201</v>
      </c>
      <c r="D2188">
        <v>0.95963268643002897</v>
      </c>
      <c r="E2188">
        <v>0.97833634194896801</v>
      </c>
      <c r="F2188">
        <v>0.962541352318661</v>
      </c>
      <c r="G2188">
        <v>0.76407774828110397</v>
      </c>
      <c r="H2188">
        <v>0.70050642497787996</v>
      </c>
      <c r="I2188">
        <v>0.73490305820326496</v>
      </c>
      <c r="J2188">
        <v>0.72332863286054705</v>
      </c>
      <c r="K2188">
        <v>0.78207720605691899</v>
      </c>
      <c r="L2188">
        <v>2979.4683813756701</v>
      </c>
      <c r="M2188">
        <v>54.439380114107202</v>
      </c>
      <c r="O2188">
        <v>54.656324574236201</v>
      </c>
      <c r="P2188">
        <v>-6.5907356342089093E-2</v>
      </c>
      <c r="Q2188">
        <v>0.73532018830315804</v>
      </c>
      <c r="R2188">
        <v>0.95403350689787403</v>
      </c>
      <c r="S2188" t="s">
        <v>6928</v>
      </c>
      <c r="T2188" t="s">
        <v>9478</v>
      </c>
      <c r="U2188" t="s">
        <v>9478</v>
      </c>
      <c r="V2188" t="s">
        <v>9478</v>
      </c>
      <c r="W2188">
        <v>6</v>
      </c>
      <c r="X2188" t="s">
        <v>11666</v>
      </c>
      <c r="Y2188">
        <v>0.86581659068089212</v>
      </c>
      <c r="Z2188" t="str">
        <f>HYPERLINK("Melting_Curves/meltCurve_sp_Q5UIP0_2_RIF1_HUMAN_.pdf", "Melting_Curves/meltCurve_sp_Q5UIP0_2_RIF1_HUMAN_.pdf")</f>
        <v>Melting_Curves/meltCurve_sp_Q5UIP0_2_RIF1_HUMAN_.pdf</v>
      </c>
      <c r="AA2188" t="s">
        <v>16364</v>
      </c>
      <c r="AB2188" t="s">
        <v>21022</v>
      </c>
    </row>
    <row r="2189" spans="1:28" x14ac:dyDescent="0.25">
      <c r="A2189" t="s">
        <v>2193</v>
      </c>
      <c r="B2189">
        <v>0.99904790336628502</v>
      </c>
      <c r="C2189">
        <v>1.0188807545765299</v>
      </c>
      <c r="D2189">
        <v>1.04365074915</v>
      </c>
      <c r="E2189">
        <v>0.74707736943534997</v>
      </c>
      <c r="F2189">
        <v>0.29736202775669202</v>
      </c>
      <c r="G2189">
        <v>0.165823603860876</v>
      </c>
      <c r="H2189">
        <v>9.9575823449365899E-2</v>
      </c>
      <c r="I2189">
        <v>6.2058176186915899E-2</v>
      </c>
      <c r="J2189">
        <v>4.39774123691948E-2</v>
      </c>
      <c r="K2189">
        <v>5.4639399888454503E-2</v>
      </c>
      <c r="L2189">
        <v>1817.7988232518001</v>
      </c>
      <c r="M2189">
        <v>35.376224538707902</v>
      </c>
      <c r="N2189">
        <v>51.627167336325002</v>
      </c>
      <c r="O2189">
        <v>51.221384524905098</v>
      </c>
      <c r="P2189">
        <v>-0.159451555611267</v>
      </c>
      <c r="Q2189">
        <v>7.6520654205111602E-2</v>
      </c>
      <c r="R2189">
        <v>0.99435948584044898</v>
      </c>
      <c r="S2189" t="s">
        <v>6929</v>
      </c>
      <c r="T2189" t="s">
        <v>9478</v>
      </c>
      <c r="U2189" t="s">
        <v>9478</v>
      </c>
      <c r="V2189" t="s">
        <v>9478</v>
      </c>
      <c r="W2189">
        <v>11</v>
      </c>
      <c r="X2189" t="s">
        <v>11667</v>
      </c>
      <c r="Y2189">
        <v>0.43117260307014571</v>
      </c>
      <c r="Z2189" t="str">
        <f>HYPERLINK("Melting_Curves/meltCurve_sp_Q5VIR6_4_VPS53_HUMAN_.pdf", "Melting_Curves/meltCurve_sp_Q5VIR6_4_VPS53_HUMAN_.pdf")</f>
        <v>Melting_Curves/meltCurve_sp_Q5VIR6_4_VPS53_HUMAN_.pdf</v>
      </c>
      <c r="AA2189" t="s">
        <v>16365</v>
      </c>
      <c r="AB2189" t="s">
        <v>21023</v>
      </c>
    </row>
    <row r="2190" spans="1:28" x14ac:dyDescent="0.25">
      <c r="A2190" t="s">
        <v>2194</v>
      </c>
      <c r="B2190">
        <v>0.99904790336628502</v>
      </c>
      <c r="C2190">
        <v>0.98410079014915997</v>
      </c>
      <c r="D2190">
        <v>0.96901237691282405</v>
      </c>
      <c r="E2190">
        <v>0.74655513295484</v>
      </c>
      <c r="F2190">
        <v>0.50852897703516797</v>
      </c>
      <c r="G2190">
        <v>0.275834135372792</v>
      </c>
      <c r="H2190">
        <v>0.17469898656729099</v>
      </c>
      <c r="I2190">
        <v>0.103088770863694</v>
      </c>
      <c r="J2190">
        <v>7.8426521407473596E-2</v>
      </c>
      <c r="K2190">
        <v>6.8050324145200902E-2</v>
      </c>
      <c r="L2190">
        <v>930.39201967460201</v>
      </c>
      <c r="M2190">
        <v>17.593943686299799</v>
      </c>
      <c r="N2190">
        <v>53.305625966863801</v>
      </c>
      <c r="O2190">
        <v>52.2124019134164</v>
      </c>
      <c r="P2190">
        <v>-7.87426479578483E-2</v>
      </c>
      <c r="Q2190">
        <v>6.5332725206993E-2</v>
      </c>
      <c r="R2190">
        <v>0.99844657318268704</v>
      </c>
      <c r="S2190" t="s">
        <v>6930</v>
      </c>
      <c r="T2190" t="s">
        <v>9478</v>
      </c>
      <c r="U2190" t="s">
        <v>9478</v>
      </c>
      <c r="V2190" t="s">
        <v>9478</v>
      </c>
      <c r="W2190">
        <v>7</v>
      </c>
      <c r="X2190" t="s">
        <v>11668</v>
      </c>
      <c r="Y2190">
        <v>0.48256868239893541</v>
      </c>
      <c r="Z2190" t="str">
        <f>HYPERLINK("Melting_Curves/meltCurve_sp_Q5VSL9_STRP1_HUMAN_.pdf", "Melting_Curves/meltCurve_sp_Q5VSL9_STRP1_HUMAN_.pdf")</f>
        <v>Melting_Curves/meltCurve_sp_Q5VSL9_STRP1_HUMAN_.pdf</v>
      </c>
      <c r="AA2190" t="s">
        <v>16366</v>
      </c>
      <c r="AB2190" t="s">
        <v>21024</v>
      </c>
    </row>
    <row r="2191" spans="1:28" x14ac:dyDescent="0.25">
      <c r="A2191" t="s">
        <v>2195</v>
      </c>
      <c r="B2191">
        <v>0.99904790336628502</v>
      </c>
      <c r="C2191">
        <v>0.87924244193902801</v>
      </c>
      <c r="D2191">
        <v>0.89358536259079901</v>
      </c>
      <c r="E2191">
        <v>0.81754244294614897</v>
      </c>
      <c r="F2191">
        <v>0.77432798684517601</v>
      </c>
      <c r="G2191">
        <v>0.55480291703015305</v>
      </c>
      <c r="H2191">
        <v>0.45511864513067701</v>
      </c>
      <c r="I2191">
        <v>0.40685861803472301</v>
      </c>
      <c r="J2191">
        <v>0.44577789390707501</v>
      </c>
      <c r="K2191">
        <v>0.42174615168193602</v>
      </c>
      <c r="L2191">
        <v>571.822583069296</v>
      </c>
      <c r="M2191">
        <v>10.5695265775206</v>
      </c>
      <c r="N2191">
        <v>60.5993620692525</v>
      </c>
      <c r="O2191">
        <v>52.272141634876597</v>
      </c>
      <c r="P2191">
        <v>-3.3425321265607197E-2</v>
      </c>
      <c r="Q2191">
        <v>0.33903336927062999</v>
      </c>
      <c r="R2191">
        <v>0.96313379475971805</v>
      </c>
      <c r="S2191" t="s">
        <v>6931</v>
      </c>
      <c r="T2191" t="s">
        <v>9478</v>
      </c>
      <c r="U2191" t="s">
        <v>9478</v>
      </c>
      <c r="V2191" t="s">
        <v>9478</v>
      </c>
      <c r="W2191">
        <v>2</v>
      </c>
      <c r="X2191" t="s">
        <v>11669</v>
      </c>
      <c r="Y2191">
        <v>0.66866418870027677</v>
      </c>
      <c r="Z2191" t="str">
        <f>HYPERLINK("Melting_Curves/meltCurve_sp_Q5VSY0_2_GKAP1_HUMAN_.pdf", "Melting_Curves/meltCurve_sp_Q5VSY0_2_GKAP1_HUMAN_.pdf")</f>
        <v>Melting_Curves/meltCurve_sp_Q5VSY0_2_GKAP1_HUMAN_.pdf</v>
      </c>
      <c r="AA2191" t="s">
        <v>16367</v>
      </c>
      <c r="AB2191" t="s">
        <v>21025</v>
      </c>
    </row>
    <row r="2192" spans="1:28" x14ac:dyDescent="0.25">
      <c r="A2192" t="s">
        <v>2196</v>
      </c>
      <c r="B2192">
        <v>0.99904790336628502</v>
      </c>
      <c r="C2192">
        <v>0.99558122521623904</v>
      </c>
      <c r="D2192">
        <v>1.0012056246118499</v>
      </c>
      <c r="E2192">
        <v>0.30676889116037398</v>
      </c>
      <c r="F2192">
        <v>0.124681046540166</v>
      </c>
      <c r="G2192">
        <v>6.0716055307325399E-2</v>
      </c>
      <c r="H2192">
        <v>4.3172714203127002E-2</v>
      </c>
      <c r="I2192">
        <v>3.6837747654264397E-2</v>
      </c>
      <c r="J2192">
        <v>3.1765947140511702E-2</v>
      </c>
      <c r="K2192">
        <v>2.15172590131999E-2</v>
      </c>
      <c r="L2192">
        <v>2578.0284828751501</v>
      </c>
      <c r="M2192">
        <v>52.498332244610303</v>
      </c>
      <c r="N2192">
        <v>49.202525253070199</v>
      </c>
      <c r="O2192">
        <v>49.035765917919299</v>
      </c>
      <c r="P2192">
        <v>-0.25466793754573702</v>
      </c>
      <c r="Q2192">
        <v>4.85161704554549E-2</v>
      </c>
      <c r="R2192">
        <v>0.99700885079845203</v>
      </c>
      <c r="S2192" t="s">
        <v>6932</v>
      </c>
      <c r="T2192" t="s">
        <v>9478</v>
      </c>
      <c r="U2192" t="s">
        <v>9478</v>
      </c>
      <c r="V2192" t="s">
        <v>9478</v>
      </c>
      <c r="W2192">
        <v>1</v>
      </c>
      <c r="X2192" t="s">
        <v>11670</v>
      </c>
      <c r="Y2192">
        <v>0.33921931623619622</v>
      </c>
      <c r="Z2192" t="str">
        <f>HYPERLINK("Melting_Curves/meltCurve_sp_Q5VT06_CE350_HUMAN_.pdf", "Melting_Curves/meltCurve_sp_Q5VT06_CE350_HUMAN_.pdf")</f>
        <v>Melting_Curves/meltCurve_sp_Q5VT06_CE350_HUMAN_.pdf</v>
      </c>
      <c r="AA2192" t="s">
        <v>16368</v>
      </c>
      <c r="AB2192" t="s">
        <v>21026</v>
      </c>
    </row>
    <row r="2193" spans="1:28" x14ac:dyDescent="0.25">
      <c r="A2193" t="s">
        <v>2197</v>
      </c>
      <c r="B2193">
        <v>0.99904790336628502</v>
      </c>
      <c r="C2193">
        <v>0.980475879596299</v>
      </c>
      <c r="D2193">
        <v>0.96800570978292599</v>
      </c>
      <c r="E2193">
        <v>0.80434497903674596</v>
      </c>
      <c r="F2193">
        <v>0.70132300842818596</v>
      </c>
      <c r="G2193">
        <v>0.51165981449545805</v>
      </c>
      <c r="H2193">
        <v>0.45866835845826998</v>
      </c>
      <c r="I2193">
        <v>0.46063675751927502</v>
      </c>
      <c r="J2193">
        <v>0.40636185286370202</v>
      </c>
      <c r="K2193">
        <v>0.53888053309337203</v>
      </c>
      <c r="L2193">
        <v>1067.12849313126</v>
      </c>
      <c r="M2193">
        <v>20.577889863060399</v>
      </c>
      <c r="N2193">
        <v>58.7564379786768</v>
      </c>
      <c r="O2193">
        <v>51.375708207450998</v>
      </c>
      <c r="P2193">
        <v>-5.4538673738004598E-2</v>
      </c>
      <c r="Q2193">
        <v>0.45536058399844798</v>
      </c>
      <c r="R2193">
        <v>0.97650540325853397</v>
      </c>
      <c r="S2193" t="s">
        <v>6933</v>
      </c>
      <c r="T2193" t="s">
        <v>9478</v>
      </c>
      <c r="U2193" t="s">
        <v>9478</v>
      </c>
      <c r="V2193" t="s">
        <v>9478</v>
      </c>
      <c r="W2193">
        <v>9</v>
      </c>
      <c r="X2193" t="s">
        <v>11671</v>
      </c>
      <c r="Y2193">
        <v>0.67780027591254255</v>
      </c>
      <c r="Z2193" t="str">
        <f>HYPERLINK("Melting_Curves/meltCurve_sp_Q5VT52_RPRD2_HUMAN_.pdf", "Melting_Curves/meltCurve_sp_Q5VT52_RPRD2_HUMAN_.pdf")</f>
        <v>Melting_Curves/meltCurve_sp_Q5VT52_RPRD2_HUMAN_.pdf</v>
      </c>
      <c r="AA2193" t="s">
        <v>16369</v>
      </c>
      <c r="AB2193" t="s">
        <v>21027</v>
      </c>
    </row>
    <row r="2194" spans="1:28" x14ac:dyDescent="0.25">
      <c r="A2194" t="s">
        <v>2198</v>
      </c>
      <c r="B2194">
        <v>0.99904790336628502</v>
      </c>
      <c r="C2194">
        <v>0.92340932012490096</v>
      </c>
      <c r="D2194">
        <v>0.77643069081023297</v>
      </c>
      <c r="E2194">
        <v>0.45969313045432297</v>
      </c>
      <c r="F2194">
        <v>0.216490767501166</v>
      </c>
      <c r="G2194">
        <v>0.10880280723007001</v>
      </c>
      <c r="H2194">
        <v>6.7918385683847199E-2</v>
      </c>
      <c r="I2194">
        <v>5.0639634146077001E-2</v>
      </c>
      <c r="J2194">
        <v>4.73788074786703E-2</v>
      </c>
      <c r="K2194">
        <v>4.0760370880861402E-2</v>
      </c>
      <c r="L2194">
        <v>895.48286828677499</v>
      </c>
      <c r="M2194">
        <v>18.2375068740985</v>
      </c>
      <c r="N2194">
        <v>49.309857628657802</v>
      </c>
      <c r="O2194">
        <v>48.5222353301927</v>
      </c>
      <c r="P2194">
        <v>-9.0478999033224095E-2</v>
      </c>
      <c r="Q2194">
        <v>3.7140864198770801E-2</v>
      </c>
      <c r="R2194">
        <v>0.99913610081844195</v>
      </c>
      <c r="S2194" t="s">
        <v>6934</v>
      </c>
      <c r="T2194" t="s">
        <v>9478</v>
      </c>
      <c r="U2194" t="s">
        <v>9478</v>
      </c>
      <c r="V2194" t="s">
        <v>9478</v>
      </c>
      <c r="W2194">
        <v>25</v>
      </c>
      <c r="X2194" t="s">
        <v>11672</v>
      </c>
      <c r="Y2194">
        <v>0.34546394017378651</v>
      </c>
      <c r="Z2194" t="str">
        <f>HYPERLINK("Melting_Curves/meltCurve_sp_Q5VTE0_EF1A3_HUMAN_.pdf", "Melting_Curves/meltCurve_sp_Q5VTE0_EF1A3_HUMAN_.pdf")</f>
        <v>Melting_Curves/meltCurve_sp_Q5VTE0_EF1A3_HUMAN_.pdf</v>
      </c>
      <c r="AA2194" t="s">
        <v>16370</v>
      </c>
      <c r="AB2194" t="s">
        <v>21028</v>
      </c>
    </row>
    <row r="2195" spans="1:28" x14ac:dyDescent="0.25">
      <c r="A2195" t="s">
        <v>2199</v>
      </c>
      <c r="B2195">
        <v>0.99904790336628502</v>
      </c>
      <c r="C2195">
        <v>1.02011729104511</v>
      </c>
      <c r="D2195">
        <v>0.94846882593291004</v>
      </c>
      <c r="E2195">
        <v>0.97917780109097996</v>
      </c>
      <c r="F2195">
        <v>0.91428912614953695</v>
      </c>
      <c r="G2195">
        <v>0.54202757557164105</v>
      </c>
      <c r="H2195">
        <v>0.173769857993119</v>
      </c>
      <c r="I2195">
        <v>7.4098166612609401E-2</v>
      </c>
      <c r="J2195">
        <v>5.8381370088053698E-2</v>
      </c>
      <c r="K2195">
        <v>3.8492519615380298E-2</v>
      </c>
      <c r="L2195">
        <v>1654.6536999457901</v>
      </c>
      <c r="M2195">
        <v>28.9298944641505</v>
      </c>
      <c r="N2195">
        <v>57.347272633992098</v>
      </c>
      <c r="O2195">
        <v>56.924093794336699</v>
      </c>
      <c r="P2195">
        <v>-0.122367274575017</v>
      </c>
      <c r="Q2195">
        <v>3.6900232322882802E-2</v>
      </c>
      <c r="R2195">
        <v>0.99823033959878205</v>
      </c>
      <c r="S2195" t="s">
        <v>6935</v>
      </c>
      <c r="T2195" t="s">
        <v>9478</v>
      </c>
      <c r="U2195" t="s">
        <v>9478</v>
      </c>
      <c r="V2195" t="s">
        <v>9478</v>
      </c>
      <c r="W2195">
        <v>3</v>
      </c>
      <c r="X2195" t="s">
        <v>11673</v>
      </c>
      <c r="Y2195">
        <v>0.59574407779735417</v>
      </c>
      <c r="Z2195" t="str">
        <f>HYPERLINK("Melting_Curves/meltCurve_sp_Q5VTQ0_5_TT39B_HUMAN_.pdf", "Melting_Curves/meltCurve_sp_Q5VTQ0_5_TT39B_HUMAN_.pdf")</f>
        <v>Melting_Curves/meltCurve_sp_Q5VTQ0_5_TT39B_HUMAN_.pdf</v>
      </c>
      <c r="AA2195" t="s">
        <v>16371</v>
      </c>
      <c r="AB2195" t="s">
        <v>21029</v>
      </c>
    </row>
    <row r="2196" spans="1:28" x14ac:dyDescent="0.25">
      <c r="A2196" t="s">
        <v>2200</v>
      </c>
      <c r="B2196">
        <v>0.99904790336628502</v>
      </c>
      <c r="C2196">
        <v>1.0239405858864801</v>
      </c>
      <c r="D2196">
        <v>0.99674042621435799</v>
      </c>
      <c r="E2196">
        <v>0.89502841833421598</v>
      </c>
      <c r="F2196">
        <v>0.75344360121264897</v>
      </c>
      <c r="G2196">
        <v>0.44706217940294701</v>
      </c>
      <c r="H2196">
        <v>0.19289984471605401</v>
      </c>
      <c r="I2196">
        <v>0.119643770050449</v>
      </c>
      <c r="J2196">
        <v>9.5983322497018894E-2</v>
      </c>
      <c r="K2196">
        <v>8.4887718632427597E-2</v>
      </c>
      <c r="L2196">
        <v>1094.8960628336399</v>
      </c>
      <c r="M2196">
        <v>19.622489759730399</v>
      </c>
      <c r="N2196">
        <v>56.151608120202901</v>
      </c>
      <c r="O2196">
        <v>55.228205024719401</v>
      </c>
      <c r="P2196">
        <v>-8.36652825944839E-2</v>
      </c>
      <c r="Q2196">
        <v>5.81172678141555E-2</v>
      </c>
      <c r="R2196">
        <v>0.99889076096145102</v>
      </c>
      <c r="S2196" t="s">
        <v>6936</v>
      </c>
      <c r="T2196" t="s">
        <v>9478</v>
      </c>
      <c r="U2196" t="s">
        <v>9478</v>
      </c>
      <c r="V2196" t="s">
        <v>9478</v>
      </c>
      <c r="W2196">
        <v>22</v>
      </c>
      <c r="X2196" t="s">
        <v>11674</v>
      </c>
      <c r="Y2196">
        <v>0.56666723044243716</v>
      </c>
      <c r="Z2196" t="str">
        <f>HYPERLINK("Melting_Curves/meltCurve_sp_Q5VTR2_BRE1A_HUMAN_.pdf", "Melting_Curves/meltCurve_sp_Q5VTR2_BRE1A_HUMAN_.pdf")</f>
        <v>Melting_Curves/meltCurve_sp_Q5VTR2_BRE1A_HUMAN_.pdf</v>
      </c>
      <c r="AA2196" t="s">
        <v>16372</v>
      </c>
      <c r="AB2196" t="s">
        <v>21030</v>
      </c>
    </row>
    <row r="2197" spans="1:28" x14ac:dyDescent="0.25">
      <c r="A2197" t="s">
        <v>2201</v>
      </c>
      <c r="B2197">
        <v>0.99904790336628502</v>
      </c>
      <c r="C2197">
        <v>1.1031313685919699</v>
      </c>
      <c r="D2197">
        <v>1.03669481390565</v>
      </c>
      <c r="E2197">
        <v>0.865391937572217</v>
      </c>
      <c r="F2197">
        <v>0.80923954966172296</v>
      </c>
      <c r="G2197">
        <v>0.47805313259363902</v>
      </c>
      <c r="H2197">
        <v>0.40155540636537801</v>
      </c>
      <c r="I2197">
        <v>0.36545684810985302</v>
      </c>
      <c r="J2197">
        <v>0.43297744340855698</v>
      </c>
      <c r="K2197">
        <v>0.44840116555686899</v>
      </c>
      <c r="L2197">
        <v>1558.75768143391</v>
      </c>
      <c r="M2197">
        <v>28.975512051130998</v>
      </c>
      <c r="N2197">
        <v>57.027071584252703</v>
      </c>
      <c r="O2197">
        <v>53.541409285729003</v>
      </c>
      <c r="P2197">
        <v>-8.0745806561443506E-2</v>
      </c>
      <c r="Q2197">
        <v>0.40319095248753201</v>
      </c>
      <c r="R2197">
        <v>0.96762380333882203</v>
      </c>
      <c r="S2197" t="s">
        <v>6937</v>
      </c>
      <c r="T2197" t="s">
        <v>9478</v>
      </c>
      <c r="U2197" t="s">
        <v>9478</v>
      </c>
      <c r="V2197" t="s">
        <v>9478</v>
      </c>
      <c r="W2197">
        <v>2</v>
      </c>
      <c r="X2197" t="s">
        <v>11675</v>
      </c>
      <c r="Y2197">
        <v>0.68181920841036869</v>
      </c>
      <c r="Z2197" t="str">
        <f>HYPERLINK("Melting_Curves/meltCurve_sp_Q5VTU8_AT5EL_HUMAN_.pdf", "Melting_Curves/meltCurve_sp_Q5VTU8_AT5EL_HUMAN_.pdf")</f>
        <v>Melting_Curves/meltCurve_sp_Q5VTU8_AT5EL_HUMAN_.pdf</v>
      </c>
      <c r="AA2197" t="s">
        <v>16373</v>
      </c>
      <c r="AB2197" t="s">
        <v>21031</v>
      </c>
    </row>
    <row r="2198" spans="1:28" x14ac:dyDescent="0.25">
      <c r="A2198" t="s">
        <v>2202</v>
      </c>
      <c r="B2198">
        <v>0.99904790336628502</v>
      </c>
      <c r="C2198">
        <v>1.08981403675946</v>
      </c>
      <c r="D2198">
        <v>0.94357193067530698</v>
      </c>
      <c r="E2198">
        <v>0.90576422825079395</v>
      </c>
      <c r="F2198">
        <v>0.773864072359988</v>
      </c>
      <c r="G2198">
        <v>0.65570706009146795</v>
      </c>
      <c r="H2198">
        <v>0.49610117923863201</v>
      </c>
      <c r="I2198">
        <v>0.43187299998923701</v>
      </c>
      <c r="J2198">
        <v>0.53427876479675396</v>
      </c>
      <c r="K2198">
        <v>0.53048317176706905</v>
      </c>
      <c r="L2198">
        <v>1068.7698296565</v>
      </c>
      <c r="M2198">
        <v>19.850912988440999</v>
      </c>
      <c r="N2198">
        <v>65.527289153657307</v>
      </c>
      <c r="O2198">
        <v>53.302384582316101</v>
      </c>
      <c r="P2198">
        <v>-4.7904015755840697E-2</v>
      </c>
      <c r="Q2198">
        <v>0.48550220613071798</v>
      </c>
      <c r="R2198">
        <v>0.95674858096517601</v>
      </c>
      <c r="S2198" t="s">
        <v>6938</v>
      </c>
      <c r="T2198" t="s">
        <v>9478</v>
      </c>
      <c r="U2198" t="s">
        <v>9478</v>
      </c>
      <c r="V2198" t="s">
        <v>9478</v>
      </c>
      <c r="W2198">
        <v>5</v>
      </c>
      <c r="X2198" t="s">
        <v>11676</v>
      </c>
      <c r="Y2198">
        <v>0.72994949643740037</v>
      </c>
      <c r="Z2198" t="str">
        <f>HYPERLINK("Melting_Curves/meltCurve_sp_Q5VUA4_ZN318_HUMAN_.pdf", "Melting_Curves/meltCurve_sp_Q5VUA4_ZN318_HUMAN_.pdf")</f>
        <v>Melting_Curves/meltCurve_sp_Q5VUA4_ZN318_HUMAN_.pdf</v>
      </c>
      <c r="AA2198" t="s">
        <v>16374</v>
      </c>
      <c r="AB2198" t="s">
        <v>21032</v>
      </c>
    </row>
    <row r="2199" spans="1:28" x14ac:dyDescent="0.25">
      <c r="A2199" t="s">
        <v>2203</v>
      </c>
      <c r="B2199">
        <v>0.99904790336628502</v>
      </c>
      <c r="C2199">
        <v>0.84179530423511095</v>
      </c>
      <c r="D2199">
        <v>0.83198439832865201</v>
      </c>
      <c r="E2199">
        <v>0.88334457673829803</v>
      </c>
      <c r="F2199">
        <v>0.90612531506194305</v>
      </c>
      <c r="G2199">
        <v>0.67656797302317295</v>
      </c>
      <c r="H2199">
        <v>0.59800334649542297</v>
      </c>
      <c r="I2199">
        <v>0.52678687354703502</v>
      </c>
      <c r="J2199">
        <v>0.505105092017612</v>
      </c>
      <c r="K2199">
        <v>0.483643112223683</v>
      </c>
      <c r="L2199">
        <v>318.95099513106499</v>
      </c>
      <c r="M2199">
        <v>4.7239165667349301</v>
      </c>
      <c r="N2199">
        <v>67.518337939049403</v>
      </c>
      <c r="O2199">
        <v>58.118904646608897</v>
      </c>
      <c r="P2199">
        <v>-2.04710876400446E-2</v>
      </c>
      <c r="Q2199">
        <v>0</v>
      </c>
      <c r="R2199">
        <v>0.88996081052996701</v>
      </c>
      <c r="S2199" t="s">
        <v>6939</v>
      </c>
      <c r="T2199" t="s">
        <v>9478</v>
      </c>
      <c r="U2199" t="s">
        <v>9478</v>
      </c>
      <c r="V2199" t="s">
        <v>9478</v>
      </c>
      <c r="W2199">
        <v>2</v>
      </c>
      <c r="X2199" t="s">
        <v>11677</v>
      </c>
      <c r="Y2199">
        <v>0.73380630068899977</v>
      </c>
      <c r="Z2199" t="str">
        <f>HYPERLINK("Melting_Curves/meltCurve_sp_Q5VUE5_CA053_HUMAN_.pdf", "Melting_Curves/meltCurve_sp_Q5VUE5_CA053_HUMAN_.pdf")</f>
        <v>Melting_Curves/meltCurve_sp_Q5VUE5_CA053_HUMAN_.pdf</v>
      </c>
      <c r="AA2199" t="s">
        <v>16375</v>
      </c>
      <c r="AB2199" t="s">
        <v>21033</v>
      </c>
    </row>
    <row r="2200" spans="1:28" x14ac:dyDescent="0.25">
      <c r="A2200" t="s">
        <v>2204</v>
      </c>
      <c r="B2200">
        <v>0.99904790336628502</v>
      </c>
      <c r="C2200">
        <v>1.0621228169485799</v>
      </c>
      <c r="D2200">
        <v>1.4296146631740401</v>
      </c>
      <c r="E2200">
        <v>1.20018616335054</v>
      </c>
      <c r="F2200">
        <v>1.86060605133032</v>
      </c>
      <c r="G2200">
        <v>1.37937055635171</v>
      </c>
      <c r="H2200">
        <v>1.5477946334022199</v>
      </c>
      <c r="I2200">
        <v>1.6594632246588601</v>
      </c>
      <c r="J2200">
        <v>1.6591082567401001</v>
      </c>
      <c r="K2200">
        <v>2.1582980559560001</v>
      </c>
      <c r="L2200">
        <v>2049.7499189994801</v>
      </c>
      <c r="M2200">
        <v>46.0443504430526</v>
      </c>
      <c r="O2200">
        <v>44.433116676314803</v>
      </c>
      <c r="P2200">
        <v>0.12953285654148</v>
      </c>
      <c r="Q2200">
        <v>1.5</v>
      </c>
      <c r="R2200">
        <v>0.38385689979285298</v>
      </c>
      <c r="S2200" t="s">
        <v>6940</v>
      </c>
      <c r="T2200" t="s">
        <v>9478</v>
      </c>
      <c r="U2200" t="s">
        <v>9478</v>
      </c>
      <c r="V2200" t="s">
        <v>9478</v>
      </c>
      <c r="W2200">
        <v>2</v>
      </c>
      <c r="X2200" t="s">
        <v>11678</v>
      </c>
      <c r="Y2200">
        <v>1.423491082907449</v>
      </c>
      <c r="Z2200" t="str">
        <f>HYPERLINK("Melting_Curves/meltCurve_sp_Q5VUM1_CF057_HUMAN_.pdf", "Melting_Curves/meltCurve_sp_Q5VUM1_CF057_HUMAN_.pdf")</f>
        <v>Melting_Curves/meltCurve_sp_Q5VUM1_CF057_HUMAN_.pdf</v>
      </c>
      <c r="AA2200" t="s">
        <v>16376</v>
      </c>
      <c r="AB2200" t="s">
        <v>21034</v>
      </c>
    </row>
    <row r="2201" spans="1:28" x14ac:dyDescent="0.25">
      <c r="A2201" t="s">
        <v>2205</v>
      </c>
      <c r="B2201">
        <v>0.99904790336628502</v>
      </c>
      <c r="C2201">
        <v>0.99327257699680305</v>
      </c>
      <c r="D2201">
        <v>0.94639346043737704</v>
      </c>
      <c r="E2201">
        <v>0.704107845308372</v>
      </c>
      <c r="F2201">
        <v>0.52145192364457904</v>
      </c>
      <c r="G2201">
        <v>0.37674546006092102</v>
      </c>
      <c r="H2201">
        <v>0.25597520566257298</v>
      </c>
      <c r="I2201">
        <v>0.208878189285581</v>
      </c>
      <c r="J2201">
        <v>0.188914238744429</v>
      </c>
      <c r="K2201">
        <v>0.17697992268811599</v>
      </c>
      <c r="L2201">
        <v>825.56892379739497</v>
      </c>
      <c r="M2201">
        <v>15.80414664231</v>
      </c>
      <c r="N2201">
        <v>53.654817129732599</v>
      </c>
      <c r="O2201">
        <v>51.422588260850802</v>
      </c>
      <c r="P2201">
        <v>-6.3728311084610703E-2</v>
      </c>
      <c r="Q2201">
        <v>0.17064681473156801</v>
      </c>
      <c r="R2201">
        <v>0.99679594827150597</v>
      </c>
      <c r="S2201" t="s">
        <v>6941</v>
      </c>
      <c r="T2201" t="s">
        <v>9478</v>
      </c>
      <c r="U2201" t="s">
        <v>9478</v>
      </c>
      <c r="V2201" t="s">
        <v>9478</v>
      </c>
      <c r="W2201">
        <v>2</v>
      </c>
      <c r="X2201" t="s">
        <v>11679</v>
      </c>
      <c r="Y2201">
        <v>0.52593171411417949</v>
      </c>
      <c r="Z2201" t="str">
        <f>HYPERLINK("Melting_Curves/meltCurve_sp_Q5VV41_ARHGG_HUMAN_.pdf", "Melting_Curves/meltCurve_sp_Q5VV41_ARHGG_HUMAN_.pdf")</f>
        <v>Melting_Curves/meltCurve_sp_Q5VV41_ARHGG_HUMAN_.pdf</v>
      </c>
      <c r="AA2201" t="s">
        <v>16377</v>
      </c>
      <c r="AB2201" t="s">
        <v>21035</v>
      </c>
    </row>
    <row r="2202" spans="1:28" x14ac:dyDescent="0.25">
      <c r="A2202" t="s">
        <v>2206</v>
      </c>
      <c r="B2202">
        <v>0.99904790336628502</v>
      </c>
      <c r="C2202">
        <v>0.74027116572391105</v>
      </c>
      <c r="D2202">
        <v>0.80987512504423598</v>
      </c>
      <c r="E2202">
        <v>0.84523598784140497</v>
      </c>
      <c r="F2202">
        <v>0.67444127086200101</v>
      </c>
      <c r="G2202">
        <v>0.48104166369554502</v>
      </c>
      <c r="H2202">
        <v>0.27497773287732502</v>
      </c>
      <c r="I2202">
        <v>0.19383774632891701</v>
      </c>
      <c r="J2202">
        <v>8.9320712388643905E-2</v>
      </c>
      <c r="K2202">
        <v>0.118396569623508</v>
      </c>
      <c r="L2202">
        <v>561.11072237783605</v>
      </c>
      <c r="M2202">
        <v>10.0578555875524</v>
      </c>
      <c r="N2202">
        <v>55.788305716287702</v>
      </c>
      <c r="O2202">
        <v>53.717538302853001</v>
      </c>
      <c r="P2202">
        <v>-4.68312647916167E-2</v>
      </c>
      <c r="Q2202">
        <v>0</v>
      </c>
      <c r="R2202">
        <v>0.93177137029826995</v>
      </c>
      <c r="S2202" t="s">
        <v>6942</v>
      </c>
      <c r="T2202" t="s">
        <v>9478</v>
      </c>
      <c r="U2202" t="s">
        <v>9478</v>
      </c>
      <c r="V2202" t="s">
        <v>9478</v>
      </c>
      <c r="W2202">
        <v>3</v>
      </c>
      <c r="X2202" t="s">
        <v>11680</v>
      </c>
      <c r="Y2202">
        <v>0.54841498003454459</v>
      </c>
      <c r="Z2202" t="str">
        <f>HYPERLINK("Melting_Curves/meltCurve_sp_Q5VVQ6_2_OTU1_HUMAN_.pdf", "Melting_Curves/meltCurve_sp_Q5VVQ6_2_OTU1_HUMAN_.pdf")</f>
        <v>Melting_Curves/meltCurve_sp_Q5VVQ6_2_OTU1_HUMAN_.pdf</v>
      </c>
      <c r="AA2202" t="s">
        <v>16378</v>
      </c>
      <c r="AB2202" t="s">
        <v>21036</v>
      </c>
    </row>
    <row r="2203" spans="1:28" x14ac:dyDescent="0.25">
      <c r="A2203" t="s">
        <v>2207</v>
      </c>
      <c r="B2203">
        <v>0.99904790336628502</v>
      </c>
      <c r="C2203">
        <v>0.87204397262414202</v>
      </c>
      <c r="D2203">
        <v>0.90263181688665906</v>
      </c>
      <c r="E2203">
        <v>0.85332815823600705</v>
      </c>
      <c r="F2203">
        <v>0.30845034060522802</v>
      </c>
      <c r="G2203">
        <v>9.9372353476878603E-2</v>
      </c>
      <c r="H2203">
        <v>6.7310919200453498E-2</v>
      </c>
      <c r="I2203">
        <v>3.2046940945424603E-2</v>
      </c>
      <c r="J2203">
        <v>3.36596192240338E-2</v>
      </c>
      <c r="K2203">
        <v>2.74041771628931E-2</v>
      </c>
      <c r="L2203">
        <v>2220.0158026887798</v>
      </c>
      <c r="M2203">
        <v>42.801161185539797</v>
      </c>
      <c r="N2203">
        <v>51.986165161456199</v>
      </c>
      <c r="O2203">
        <v>51.755278580534998</v>
      </c>
      <c r="P2203">
        <v>-0.19717426730461199</v>
      </c>
      <c r="Q2203">
        <v>4.6306905579502199E-2</v>
      </c>
      <c r="R2203">
        <v>0.98333045192964397</v>
      </c>
      <c r="S2203" t="s">
        <v>6943</v>
      </c>
      <c r="T2203" t="s">
        <v>9478</v>
      </c>
      <c r="U2203" t="s">
        <v>9478</v>
      </c>
      <c r="V2203" t="s">
        <v>9478</v>
      </c>
      <c r="W2203">
        <v>7</v>
      </c>
      <c r="X2203" t="s">
        <v>11681</v>
      </c>
      <c r="Y2203">
        <v>0.42657449703085049</v>
      </c>
      <c r="Z2203" t="str">
        <f>HYPERLINK("Melting_Curves/meltCurve_sp_Q5VW32_BROX_HUMAN_.pdf", "Melting_Curves/meltCurve_sp_Q5VW32_BROX_HUMAN_.pdf")</f>
        <v>Melting_Curves/meltCurve_sp_Q5VW32_BROX_HUMAN_.pdf</v>
      </c>
      <c r="AA2203" t="s">
        <v>16379</v>
      </c>
      <c r="AB2203" t="s">
        <v>21037</v>
      </c>
    </row>
    <row r="2204" spans="1:28" x14ac:dyDescent="0.25">
      <c r="A2204" t="s">
        <v>2208</v>
      </c>
      <c r="B2204">
        <v>0.99904790336628502</v>
      </c>
      <c r="C2204">
        <v>1.2049077142790201</v>
      </c>
      <c r="D2204">
        <v>1.18386359027926</v>
      </c>
      <c r="E2204">
        <v>0.92993409930317295</v>
      </c>
      <c r="F2204">
        <v>0.63664491615386898</v>
      </c>
      <c r="G2204">
        <v>0.16519295071207099</v>
      </c>
      <c r="H2204">
        <v>0.121768520256056</v>
      </c>
      <c r="I2204">
        <v>0</v>
      </c>
      <c r="J2204">
        <v>0</v>
      </c>
      <c r="K2204">
        <v>0</v>
      </c>
      <c r="L2204">
        <v>1712.23877660977</v>
      </c>
      <c r="M2204">
        <v>31.739782748325201</v>
      </c>
      <c r="N2204">
        <v>54.015061808733698</v>
      </c>
      <c r="O2204">
        <v>53.7333535371572</v>
      </c>
      <c r="P2204">
        <v>-0.14474284398064799</v>
      </c>
      <c r="Q2204">
        <v>1.98448981861243E-2</v>
      </c>
      <c r="R2204">
        <v>0.964758379680834</v>
      </c>
      <c r="S2204" t="s">
        <v>6944</v>
      </c>
      <c r="T2204" t="s">
        <v>9478</v>
      </c>
      <c r="U2204" t="s">
        <v>9478</v>
      </c>
      <c r="V2204" t="s">
        <v>9478</v>
      </c>
      <c r="W2204">
        <v>5</v>
      </c>
      <c r="X2204" t="s">
        <v>11682</v>
      </c>
      <c r="Y2204">
        <v>0.48125818569864148</v>
      </c>
      <c r="Z2204" t="str">
        <f>HYPERLINK("Melting_Curves/meltCurve_sp_Q5VW36_FOCAD_HUMAN_.pdf", "Melting_Curves/meltCurve_sp_Q5VW36_FOCAD_HUMAN_.pdf")</f>
        <v>Melting_Curves/meltCurve_sp_Q5VW36_FOCAD_HUMAN_.pdf</v>
      </c>
      <c r="AA2204" t="s">
        <v>16380</v>
      </c>
      <c r="AB2204" t="s">
        <v>21038</v>
      </c>
    </row>
    <row r="2205" spans="1:28" x14ac:dyDescent="0.25">
      <c r="A2205" t="s">
        <v>2209</v>
      </c>
      <c r="B2205">
        <v>0.99904790336628502</v>
      </c>
      <c r="C2205">
        <v>1.0770541812669101</v>
      </c>
      <c r="D2205">
        <v>1.0278515354508799</v>
      </c>
      <c r="E2205">
        <v>0.60351835973379298</v>
      </c>
      <c r="F2205">
        <v>0.29608489449207498</v>
      </c>
      <c r="G2205">
        <v>0.160918924017594</v>
      </c>
      <c r="H2205">
        <v>0.14279798000503099</v>
      </c>
      <c r="I2205">
        <v>0.135129965217089</v>
      </c>
      <c r="J2205">
        <v>0.168085964844746</v>
      </c>
      <c r="K2205">
        <v>0.15452092896834499</v>
      </c>
      <c r="L2205">
        <v>1828.8644883877701</v>
      </c>
      <c r="M2205">
        <v>36.352253197517598</v>
      </c>
      <c r="N2205">
        <v>50.819858122073597</v>
      </c>
      <c r="O2205">
        <v>50.158004350583099</v>
      </c>
      <c r="P2205">
        <v>-0.153482227453487</v>
      </c>
      <c r="Q2205">
        <v>0.152917553898094</v>
      </c>
      <c r="R2205">
        <v>0.99266114346889101</v>
      </c>
      <c r="S2205" t="s">
        <v>6945</v>
      </c>
      <c r="T2205" t="s">
        <v>9478</v>
      </c>
      <c r="U2205" t="s">
        <v>9478</v>
      </c>
      <c r="V2205" t="s">
        <v>9478</v>
      </c>
      <c r="W2205">
        <v>1</v>
      </c>
      <c r="X2205" t="s">
        <v>11683</v>
      </c>
      <c r="Y2205">
        <v>0.44759146867432531</v>
      </c>
      <c r="Z2205" t="str">
        <f>HYPERLINK("Melting_Curves/meltCurve_sp_Q5VWJ9_SNX30_HUMAN_.pdf", "Melting_Curves/meltCurve_sp_Q5VWJ9_SNX30_HUMAN_.pdf")</f>
        <v>Melting_Curves/meltCurve_sp_Q5VWJ9_SNX30_HUMAN_.pdf</v>
      </c>
      <c r="AA2205" t="s">
        <v>16381</v>
      </c>
      <c r="AB2205" t="s">
        <v>21039</v>
      </c>
    </row>
    <row r="2206" spans="1:28" x14ac:dyDescent="0.25">
      <c r="A2206" t="s">
        <v>2210</v>
      </c>
      <c r="B2206">
        <v>0.99904790336628502</v>
      </c>
      <c r="C2206">
        <v>0</v>
      </c>
      <c r="D2206">
        <v>1.0513224192977499</v>
      </c>
      <c r="E2206">
        <v>0.98797337043245603</v>
      </c>
      <c r="F2206">
        <v>1.0492002294185101</v>
      </c>
      <c r="G2206">
        <v>0.86323308599700999</v>
      </c>
      <c r="H2206">
        <v>0.79320730253627603</v>
      </c>
      <c r="I2206">
        <v>0.77917744040540604</v>
      </c>
      <c r="J2206">
        <v>0.88166310655230096</v>
      </c>
      <c r="K2206">
        <v>0.93177029696507796</v>
      </c>
      <c r="L2206">
        <v>10195.1160028049</v>
      </c>
      <c r="M2206">
        <v>250</v>
      </c>
      <c r="O2206">
        <v>40.777855015473499</v>
      </c>
      <c r="P2206">
        <v>-0.28311368377655699</v>
      </c>
      <c r="Q2206">
        <v>0.81528370331267597</v>
      </c>
      <c r="R2206">
        <v>3.5445683437153597E-2</v>
      </c>
      <c r="S2206" t="s">
        <v>6946</v>
      </c>
      <c r="T2206" t="s">
        <v>9478</v>
      </c>
      <c r="U2206" t="s">
        <v>9478</v>
      </c>
      <c r="V2206" t="s">
        <v>9478</v>
      </c>
      <c r="W2206">
        <v>9</v>
      </c>
      <c r="X2206" t="s">
        <v>11684</v>
      </c>
      <c r="Y2206">
        <v>0.82010967563114612</v>
      </c>
      <c r="Z2206" t="str">
        <f>HYPERLINK("Melting_Curves/meltCurve_sp_Q5VWP3_MLIP_HUMAN_.pdf", "Melting_Curves/meltCurve_sp_Q5VWP3_MLIP_HUMAN_.pdf")</f>
        <v>Melting_Curves/meltCurve_sp_Q5VWP3_MLIP_HUMAN_.pdf</v>
      </c>
      <c r="AA2206" t="s">
        <v>16382</v>
      </c>
      <c r="AB2206" t="s">
        <v>21040</v>
      </c>
    </row>
    <row r="2207" spans="1:28" x14ac:dyDescent="0.25">
      <c r="A2207" t="s">
        <v>2211</v>
      </c>
      <c r="B2207">
        <v>0.99904790336628502</v>
      </c>
      <c r="C2207">
        <v>1.3490134745928</v>
      </c>
      <c r="D2207">
        <v>1.0356007052241101</v>
      </c>
      <c r="E2207">
        <v>1.0150578706206499</v>
      </c>
      <c r="F2207">
        <v>1.24925282961346</v>
      </c>
      <c r="G2207">
        <v>0.85964516096680799</v>
      </c>
      <c r="H2207">
        <v>0.68148918122062296</v>
      </c>
      <c r="I2207">
        <v>0.71957376441657706</v>
      </c>
      <c r="J2207">
        <v>0.72942675741038498</v>
      </c>
      <c r="K2207">
        <v>0.71356766244445302</v>
      </c>
      <c r="L2207">
        <v>14253.265628359301</v>
      </c>
      <c r="M2207">
        <v>250</v>
      </c>
      <c r="O2207">
        <v>57.0094220376183</v>
      </c>
      <c r="P2207">
        <v>-0.31681791934409897</v>
      </c>
      <c r="Q2207">
        <v>0.711014337144526</v>
      </c>
      <c r="R2207">
        <v>0.62538586181742595</v>
      </c>
      <c r="S2207" t="s">
        <v>6947</v>
      </c>
      <c r="T2207" t="s">
        <v>9478</v>
      </c>
      <c r="U2207" t="s">
        <v>9478</v>
      </c>
      <c r="V2207" t="s">
        <v>9478</v>
      </c>
      <c r="W2207">
        <v>1</v>
      </c>
      <c r="X2207" t="s">
        <v>11685</v>
      </c>
      <c r="Y2207">
        <v>0.87492762378204214</v>
      </c>
      <c r="Z2207" t="str">
        <f>HYPERLINK("Melting_Curves/meltCurve_sp_Q5VWQ8_3_DAB2P_HUMAN_.pdf", "Melting_Curves/meltCurve_sp_Q5VWQ8_3_DAB2P_HUMAN_.pdf")</f>
        <v>Melting_Curves/meltCurve_sp_Q5VWQ8_3_DAB2P_HUMAN_.pdf</v>
      </c>
      <c r="AA2207" t="s">
        <v>16383</v>
      </c>
      <c r="AB2207" t="s">
        <v>21041</v>
      </c>
    </row>
    <row r="2208" spans="1:28" x14ac:dyDescent="0.25">
      <c r="A2208" t="s">
        <v>2212</v>
      </c>
      <c r="B2208">
        <v>0.99904790336628502</v>
      </c>
      <c r="C2208">
        <v>0.86241058371752999</v>
      </c>
      <c r="D2208">
        <v>0.80035687237005704</v>
      </c>
      <c r="E2208">
        <v>0.80094076766604205</v>
      </c>
      <c r="F2208">
        <v>0.61607491370666301</v>
      </c>
      <c r="G2208">
        <v>0.227466571230616</v>
      </c>
      <c r="H2208">
        <v>0.10403680857363801</v>
      </c>
      <c r="I2208">
        <v>6.5734347875451293E-2</v>
      </c>
      <c r="J2208">
        <v>4.9197335066803002E-2</v>
      </c>
      <c r="K2208">
        <v>3.52992562432278E-2</v>
      </c>
      <c r="L2208">
        <v>826.18545717114102</v>
      </c>
      <c r="M2208">
        <v>15.4091415415025</v>
      </c>
      <c r="N2208">
        <v>53.616580653202</v>
      </c>
      <c r="O2208">
        <v>52.737914522850502</v>
      </c>
      <c r="P2208">
        <v>-7.3052491468202502E-2</v>
      </c>
      <c r="Q2208">
        <v>0</v>
      </c>
      <c r="R2208">
        <v>0.97002228085369302</v>
      </c>
      <c r="S2208" t="s">
        <v>6948</v>
      </c>
      <c r="T2208" t="s">
        <v>9478</v>
      </c>
      <c r="U2208" t="s">
        <v>9478</v>
      </c>
      <c r="V2208" t="s">
        <v>9478</v>
      </c>
      <c r="W2208">
        <v>9</v>
      </c>
      <c r="X2208" t="s">
        <v>11686</v>
      </c>
      <c r="Y2208">
        <v>0.47408198499247328</v>
      </c>
      <c r="Z2208" t="str">
        <f>HYPERLINK("Melting_Curves/meltCurve_sp_Q5VWZ2_LYPL1_HUMAN_.pdf", "Melting_Curves/meltCurve_sp_Q5VWZ2_LYPL1_HUMAN_.pdf")</f>
        <v>Melting_Curves/meltCurve_sp_Q5VWZ2_LYPL1_HUMAN_.pdf</v>
      </c>
      <c r="AA2208" t="s">
        <v>16384</v>
      </c>
      <c r="AB2208" t="s">
        <v>21042</v>
      </c>
    </row>
    <row r="2209" spans="1:28" x14ac:dyDescent="0.25">
      <c r="A2209" t="s">
        <v>2213</v>
      </c>
      <c r="B2209">
        <v>0.99904790336628502</v>
      </c>
      <c r="C2209">
        <v>0.94225748262387399</v>
      </c>
      <c r="D2209">
        <v>0.95637396262795804</v>
      </c>
      <c r="E2209">
        <v>0.59266318559873199</v>
      </c>
      <c r="F2209">
        <v>0.20268008822988301</v>
      </c>
      <c r="G2209">
        <v>0.10560690161712</v>
      </c>
      <c r="H2209">
        <v>6.3689410168754998E-2</v>
      </c>
      <c r="I2209">
        <v>3.8712490328409198E-2</v>
      </c>
      <c r="J2209">
        <v>3.7406131436154601E-2</v>
      </c>
      <c r="K2209">
        <v>3.0520413402823299E-2</v>
      </c>
      <c r="L2209">
        <v>1561.6692358545999</v>
      </c>
      <c r="M2209">
        <v>30.969753674034401</v>
      </c>
      <c r="N2209">
        <v>50.584398116146502</v>
      </c>
      <c r="O2209">
        <v>50.216779631640399</v>
      </c>
      <c r="P2209">
        <v>-0.147040412728142</v>
      </c>
      <c r="Q2209">
        <v>4.6314216967921401E-2</v>
      </c>
      <c r="R2209">
        <v>0.99699949610202798</v>
      </c>
      <c r="S2209" t="s">
        <v>6949</v>
      </c>
      <c r="T2209" t="s">
        <v>9478</v>
      </c>
      <c r="U2209" t="s">
        <v>9478</v>
      </c>
      <c r="V2209" t="s">
        <v>9478</v>
      </c>
      <c r="W2209">
        <v>30</v>
      </c>
      <c r="X2209" t="s">
        <v>11687</v>
      </c>
      <c r="Y2209">
        <v>0.38331091611287249</v>
      </c>
      <c r="Z2209" t="str">
        <f>HYPERLINK("Melting_Curves/meltCurve_sp_Q5VYK3_ECM29_HUMAN_.pdf", "Melting_Curves/meltCurve_sp_Q5VYK3_ECM29_HUMAN_.pdf")</f>
        <v>Melting_Curves/meltCurve_sp_Q5VYK3_ECM29_HUMAN_.pdf</v>
      </c>
      <c r="AA2209" t="s">
        <v>16385</v>
      </c>
      <c r="AB2209" t="s">
        <v>21043</v>
      </c>
    </row>
    <row r="2210" spans="1:28" x14ac:dyDescent="0.25">
      <c r="A2210" t="s">
        <v>2214</v>
      </c>
      <c r="B2210">
        <v>0.99904790336628502</v>
      </c>
      <c r="C2210">
        <v>1.0480176177565499</v>
      </c>
      <c r="D2210">
        <v>0.98571863740318999</v>
      </c>
      <c r="E2210">
        <v>0.95157451002993398</v>
      </c>
      <c r="F2210">
        <v>0.92549085048935997</v>
      </c>
      <c r="G2210">
        <v>0.59805352378763799</v>
      </c>
      <c r="H2210">
        <v>0.54169756595088003</v>
      </c>
      <c r="I2210">
        <v>0.53598527090229398</v>
      </c>
      <c r="J2210">
        <v>0.60229986849552397</v>
      </c>
      <c r="K2210">
        <v>0.57928385941323501</v>
      </c>
      <c r="L2210">
        <v>2969.0983721910102</v>
      </c>
      <c r="M2210">
        <v>54.501953162411297</v>
      </c>
      <c r="O2210">
        <v>54.403730269504003</v>
      </c>
      <c r="P2210">
        <v>-0.10916552698333901</v>
      </c>
      <c r="Q2210">
        <v>0.56412516160218695</v>
      </c>
      <c r="R2210">
        <v>0.98245668073226</v>
      </c>
      <c r="S2210" t="s">
        <v>6950</v>
      </c>
      <c r="T2210" t="s">
        <v>9478</v>
      </c>
      <c r="U2210" t="s">
        <v>9478</v>
      </c>
      <c r="V2210" t="s">
        <v>9478</v>
      </c>
      <c r="W2210">
        <v>4</v>
      </c>
      <c r="X2210" t="s">
        <v>11688</v>
      </c>
      <c r="Y2210">
        <v>0.77534321316305721</v>
      </c>
      <c r="Z2210" t="str">
        <f>HYPERLINK("Melting_Curves/meltCurve_sp_Q5VYS8_6_TUT7_HUMAN_.pdf", "Melting_Curves/meltCurve_sp_Q5VYS8_6_TUT7_HUMAN_.pdf")</f>
        <v>Melting_Curves/meltCurve_sp_Q5VYS8_6_TUT7_HUMAN_.pdf</v>
      </c>
      <c r="AA2210" t="s">
        <v>16386</v>
      </c>
      <c r="AB2210" t="s">
        <v>21044</v>
      </c>
    </row>
    <row r="2211" spans="1:28" x14ac:dyDescent="0.25">
      <c r="A2211" t="s">
        <v>2215</v>
      </c>
      <c r="B2211">
        <v>0.99904790336628502</v>
      </c>
      <c r="C2211">
        <v>2.41766320335811</v>
      </c>
      <c r="D2211">
        <v>2.3781315460746701</v>
      </c>
      <c r="E2211">
        <v>2.0695144434652399</v>
      </c>
      <c r="F2211">
        <v>2.0660097361479099</v>
      </c>
      <c r="G2211">
        <v>1.1629124186550399</v>
      </c>
      <c r="H2211">
        <v>0.55118462334116403</v>
      </c>
      <c r="I2211">
        <v>0.333436697817865</v>
      </c>
      <c r="J2211">
        <v>0.266592570339857</v>
      </c>
      <c r="K2211">
        <v>0.25560905499102099</v>
      </c>
      <c r="L2211">
        <v>7028.2152747416603</v>
      </c>
      <c r="M2211">
        <v>115.731333305172</v>
      </c>
      <c r="N2211">
        <v>61.173267096189299</v>
      </c>
      <c r="O2211">
        <v>60.7105997186884</v>
      </c>
      <c r="P2211">
        <v>-0.34104850116477697</v>
      </c>
      <c r="Q2211">
        <v>0.28436823317983101</v>
      </c>
      <c r="R2211">
        <v>0.151355592950113</v>
      </c>
      <c r="S2211" t="s">
        <v>6951</v>
      </c>
      <c r="T2211" t="s">
        <v>9478</v>
      </c>
      <c r="U2211" t="s">
        <v>9478</v>
      </c>
      <c r="V2211" t="s">
        <v>9478</v>
      </c>
      <c r="W2211">
        <v>4</v>
      </c>
      <c r="X2211" t="s">
        <v>11689</v>
      </c>
      <c r="Y2211">
        <v>0.77919534676920377</v>
      </c>
      <c r="Z2211" t="str">
        <f>HYPERLINK("Melting_Curves/meltCurve_sp_Q5VYX0_2_RNLS_HUMAN_.pdf", "Melting_Curves/meltCurve_sp_Q5VYX0_2_RNLS_HUMAN_.pdf")</f>
        <v>Melting_Curves/meltCurve_sp_Q5VYX0_2_RNLS_HUMAN_.pdf</v>
      </c>
      <c r="AA2211" t="s">
        <v>16387</v>
      </c>
      <c r="AB2211" t="s">
        <v>21045</v>
      </c>
    </row>
    <row r="2212" spans="1:28" x14ac:dyDescent="0.25">
      <c r="A2212" t="s">
        <v>2216</v>
      </c>
      <c r="B2212">
        <v>0.99904790336628502</v>
      </c>
      <c r="C2212">
        <v>0.95055134427146504</v>
      </c>
      <c r="D2212">
        <v>0.85672097116573398</v>
      </c>
      <c r="E2212">
        <v>0.473927998392699</v>
      </c>
      <c r="F2212">
        <v>0.37037314792352399</v>
      </c>
      <c r="G2212">
        <v>0.19198583646695999</v>
      </c>
      <c r="H2212">
        <v>0.13993430422877001</v>
      </c>
      <c r="I2212">
        <v>0.113072778990883</v>
      </c>
      <c r="J2212">
        <v>0.109471637234571</v>
      </c>
      <c r="K2212">
        <v>6.1292163430540801E-2</v>
      </c>
      <c r="L2212">
        <v>848.04869293516595</v>
      </c>
      <c r="M2212">
        <v>17.017407799947701</v>
      </c>
      <c r="N2212">
        <v>50.418171815249501</v>
      </c>
      <c r="O2212">
        <v>49.161274913422702</v>
      </c>
      <c r="P2212">
        <v>-7.8802668634776599E-2</v>
      </c>
      <c r="Q2212">
        <v>8.9449493152940193E-2</v>
      </c>
      <c r="R2212">
        <v>0.99388560225386902</v>
      </c>
      <c r="S2212" t="s">
        <v>6952</v>
      </c>
      <c r="T2212" t="s">
        <v>9478</v>
      </c>
      <c r="U2212" t="s">
        <v>9478</v>
      </c>
      <c r="V2212" t="s">
        <v>9478</v>
      </c>
      <c r="W2212">
        <v>1</v>
      </c>
      <c r="X2212" t="s">
        <v>11690</v>
      </c>
      <c r="Y2212">
        <v>0.40524625932315339</v>
      </c>
      <c r="Z2212" t="str">
        <f>HYPERLINK("Melting_Curves/meltCurve_sp_Q5VZE5_NAA35_HUMAN_.pdf", "Melting_Curves/meltCurve_sp_Q5VZE5_NAA35_HUMAN_.pdf")</f>
        <v>Melting_Curves/meltCurve_sp_Q5VZE5_NAA35_HUMAN_.pdf</v>
      </c>
      <c r="AA2212" t="s">
        <v>16388</v>
      </c>
      <c r="AB2212" t="s">
        <v>21046</v>
      </c>
    </row>
    <row r="2213" spans="1:28" x14ac:dyDescent="0.25">
      <c r="A2213" t="s">
        <v>2217</v>
      </c>
      <c r="B2213">
        <v>0.99904790336628502</v>
      </c>
      <c r="C2213">
        <v>0.81909815062247304</v>
      </c>
      <c r="D2213">
        <v>0.870383309260368</v>
      </c>
      <c r="E2213">
        <v>0.86039209528995597</v>
      </c>
      <c r="F2213">
        <v>0.74279822433135401</v>
      </c>
      <c r="G2213">
        <v>0.53301188828217905</v>
      </c>
      <c r="H2213">
        <v>0.22764395117327599</v>
      </c>
      <c r="I2213">
        <v>0.16569535189273801</v>
      </c>
      <c r="J2213">
        <v>0.16704868728435601</v>
      </c>
      <c r="K2213">
        <v>0.12831425271449301</v>
      </c>
      <c r="L2213">
        <v>676.54583622144105</v>
      </c>
      <c r="M2213">
        <v>11.9197803693054</v>
      </c>
      <c r="N2213">
        <v>56.765946359468799</v>
      </c>
      <c r="O2213">
        <v>55.231480392850102</v>
      </c>
      <c r="P2213">
        <v>-5.3923499463706698E-2</v>
      </c>
      <c r="Q2213">
        <v>8.0774794804990805E-4</v>
      </c>
      <c r="R2213">
        <v>0.95877620687370602</v>
      </c>
      <c r="S2213" t="s">
        <v>6953</v>
      </c>
      <c r="T2213" t="s">
        <v>9478</v>
      </c>
      <c r="U2213" t="s">
        <v>9478</v>
      </c>
      <c r="V2213" t="s">
        <v>9478</v>
      </c>
      <c r="W2213">
        <v>4</v>
      </c>
      <c r="X2213" t="s">
        <v>11691</v>
      </c>
      <c r="Y2213">
        <v>0.57669830691135482</v>
      </c>
      <c r="Z2213" t="str">
        <f>HYPERLINK("Melting_Curves/meltCurve_sp_Q5VZK9_LR16A_HUMAN_.pdf", "Melting_Curves/meltCurve_sp_Q5VZK9_LR16A_HUMAN_.pdf")</f>
        <v>Melting_Curves/meltCurve_sp_Q5VZK9_LR16A_HUMAN_.pdf</v>
      </c>
      <c r="AA2213" t="s">
        <v>16389</v>
      </c>
      <c r="AB2213" t="s">
        <v>21047</v>
      </c>
    </row>
    <row r="2214" spans="1:28" x14ac:dyDescent="0.25">
      <c r="A2214" t="s">
        <v>2218</v>
      </c>
      <c r="B2214">
        <v>0.99904790336628502</v>
      </c>
      <c r="C2214">
        <v>1.0807028153200799</v>
      </c>
      <c r="D2214">
        <v>1.11310514210169</v>
      </c>
      <c r="E2214">
        <v>1.06900477683825</v>
      </c>
      <c r="F2214">
        <v>0.92970515777843998</v>
      </c>
      <c r="G2214">
        <v>0.68410440370268699</v>
      </c>
      <c r="H2214">
        <v>0.27680575251939099</v>
      </c>
      <c r="I2214">
        <v>0.100764124957835</v>
      </c>
      <c r="J2214">
        <v>8.2145597093336603E-2</v>
      </c>
      <c r="K2214">
        <v>3.8310027467658797E-2</v>
      </c>
      <c r="L2214">
        <v>1637.55323157621</v>
      </c>
      <c r="M2214">
        <v>28.000899633915601</v>
      </c>
      <c r="N2214">
        <v>58.6455067412193</v>
      </c>
      <c r="O2214">
        <v>58.186327765535303</v>
      </c>
      <c r="P2214">
        <v>-0.115795001225779</v>
      </c>
      <c r="Q2214">
        <v>3.7512778214701198E-2</v>
      </c>
      <c r="R2214">
        <v>0.98613436775160102</v>
      </c>
      <c r="S2214" t="s">
        <v>6954</v>
      </c>
      <c r="T2214" t="s">
        <v>9478</v>
      </c>
      <c r="U2214" t="s">
        <v>9478</v>
      </c>
      <c r="V2214" t="s">
        <v>9478</v>
      </c>
      <c r="W2214">
        <v>9</v>
      </c>
      <c r="X2214" t="s">
        <v>11692</v>
      </c>
      <c r="Y2214">
        <v>0.63744426132039744</v>
      </c>
      <c r="Z2214" t="str">
        <f>HYPERLINK("Melting_Curves/meltCurve_sp_Q5W0V3_F16B1_HUMAN_.pdf", "Melting_Curves/meltCurve_sp_Q5W0V3_F16B1_HUMAN_.pdf")</f>
        <v>Melting_Curves/meltCurve_sp_Q5W0V3_F16B1_HUMAN_.pdf</v>
      </c>
      <c r="AA2214" t="s">
        <v>16390</v>
      </c>
      <c r="AB2214" t="s">
        <v>21048</v>
      </c>
    </row>
    <row r="2215" spans="1:28" x14ac:dyDescent="0.25">
      <c r="A2215" t="s">
        <v>2219</v>
      </c>
      <c r="B2215">
        <v>0.99904790336628502</v>
      </c>
      <c r="C2215">
        <v>0.89978275074164404</v>
      </c>
      <c r="D2215">
        <v>0.839577706887074</v>
      </c>
      <c r="E2215">
        <v>0.74958235839986398</v>
      </c>
      <c r="F2215">
        <v>0.47821796540751099</v>
      </c>
      <c r="G2215">
        <v>0.15604915522594601</v>
      </c>
      <c r="H2215">
        <v>3.4362863526031302E-2</v>
      </c>
      <c r="I2215">
        <v>2.9487579727149101E-2</v>
      </c>
      <c r="J2215">
        <v>3.3509267770714501E-2</v>
      </c>
      <c r="K2215">
        <v>1.50350519538133E-2</v>
      </c>
      <c r="L2215">
        <v>946.46136141923</v>
      </c>
      <c r="M2215">
        <v>18.049617291543299</v>
      </c>
      <c r="N2215">
        <v>52.436650666660398</v>
      </c>
      <c r="O2215">
        <v>51.805695578572703</v>
      </c>
      <c r="P2215">
        <v>-8.7106712461670094E-2</v>
      </c>
      <c r="Q2215">
        <v>0</v>
      </c>
      <c r="R2215">
        <v>0.98713308222577001</v>
      </c>
      <c r="S2215" t="s">
        <v>6955</v>
      </c>
      <c r="T2215" t="s">
        <v>9478</v>
      </c>
      <c r="U2215" t="s">
        <v>9478</v>
      </c>
      <c r="V2215" t="s">
        <v>9478</v>
      </c>
      <c r="W2215">
        <v>3</v>
      </c>
      <c r="X2215" t="s">
        <v>11693</v>
      </c>
      <c r="Y2215">
        <v>0.43101373836406182</v>
      </c>
      <c r="Z2215" t="str">
        <f>HYPERLINK("Melting_Curves/meltCurve_sp_Q5W111_SPRY7_HUMAN_.pdf", "Melting_Curves/meltCurve_sp_Q5W111_SPRY7_HUMAN_.pdf")</f>
        <v>Melting_Curves/meltCurve_sp_Q5W111_SPRY7_HUMAN_.pdf</v>
      </c>
      <c r="AA2215" t="s">
        <v>16391</v>
      </c>
      <c r="AB2215" t="s">
        <v>21049</v>
      </c>
    </row>
    <row r="2216" spans="1:28" x14ac:dyDescent="0.25">
      <c r="A2216" t="s">
        <v>2220</v>
      </c>
      <c r="B2216">
        <v>0.99904790336628502</v>
      </c>
      <c r="C2216">
        <v>0.83236269270630003</v>
      </c>
      <c r="D2216">
        <v>0.86081849127562704</v>
      </c>
      <c r="E2216">
        <v>0.80959248618386903</v>
      </c>
      <c r="F2216">
        <v>0.32834173684211598</v>
      </c>
      <c r="G2216">
        <v>0.181584466574264</v>
      </c>
      <c r="H2216">
        <v>0.114826557756493</v>
      </c>
      <c r="I2216">
        <v>8.5346433965018204E-2</v>
      </c>
      <c r="J2216">
        <v>6.9158891995037594E-2</v>
      </c>
      <c r="K2216">
        <v>6.9064829428040597E-2</v>
      </c>
      <c r="L2216">
        <v>1500.3434141493501</v>
      </c>
      <c r="M2216">
        <v>29.0442482131993</v>
      </c>
      <c r="N2216">
        <v>51.989224323144803</v>
      </c>
      <c r="O2216">
        <v>51.4141341508018</v>
      </c>
      <c r="P2216">
        <v>-0.129271684574844</v>
      </c>
      <c r="Q2216">
        <v>8.4659741190582505E-2</v>
      </c>
      <c r="R2216">
        <v>0.96368948295705603</v>
      </c>
      <c r="S2216" t="s">
        <v>6956</v>
      </c>
      <c r="T2216" t="s">
        <v>9478</v>
      </c>
      <c r="U2216" t="s">
        <v>9478</v>
      </c>
      <c r="V2216" t="s">
        <v>9478</v>
      </c>
      <c r="W2216">
        <v>6</v>
      </c>
      <c r="X2216" t="s">
        <v>11694</v>
      </c>
      <c r="Y2216">
        <v>0.44653867166827421</v>
      </c>
      <c r="Z2216" t="str">
        <f>HYPERLINK("Melting_Curves/meltCurve_sp_Q5XPI4_RN123_HUMAN_.pdf", "Melting_Curves/meltCurve_sp_Q5XPI4_RN123_HUMAN_.pdf")</f>
        <v>Melting_Curves/meltCurve_sp_Q5XPI4_RN123_HUMAN_.pdf</v>
      </c>
      <c r="AA2216" t="s">
        <v>16392</v>
      </c>
      <c r="AB2216" t="s">
        <v>21050</v>
      </c>
    </row>
    <row r="2217" spans="1:28" x14ac:dyDescent="0.25">
      <c r="A2217" t="s">
        <v>2221</v>
      </c>
      <c r="B2217">
        <v>0.99904790336628502</v>
      </c>
      <c r="C2217">
        <v>0.94414774138400104</v>
      </c>
      <c r="D2217">
        <v>0.87276183484258696</v>
      </c>
      <c r="E2217">
        <v>0.53656340892603704</v>
      </c>
      <c r="F2217">
        <v>0.185866364140818</v>
      </c>
      <c r="G2217">
        <v>0.10127119553904</v>
      </c>
      <c r="H2217">
        <v>6.8721125778960501E-2</v>
      </c>
      <c r="I2217">
        <v>5.6957600880027603E-2</v>
      </c>
      <c r="J2217">
        <v>4.2795720262196899E-2</v>
      </c>
      <c r="K2217">
        <v>3.3894009076124297E-2</v>
      </c>
      <c r="L2217">
        <v>1207.6238395913099</v>
      </c>
      <c r="M2217">
        <v>24.226001920489001</v>
      </c>
      <c r="N2217">
        <v>50.039610450168396</v>
      </c>
      <c r="O2217">
        <v>49.512322924873303</v>
      </c>
      <c r="P2217">
        <v>-0.11691319200900099</v>
      </c>
      <c r="Q2217">
        <v>4.4240919811937299E-2</v>
      </c>
      <c r="R2217">
        <v>0.996745073145896</v>
      </c>
      <c r="S2217" t="s">
        <v>6957</v>
      </c>
      <c r="T2217" t="s">
        <v>9478</v>
      </c>
      <c r="U2217" t="s">
        <v>9478</v>
      </c>
      <c r="V2217" t="s">
        <v>9478</v>
      </c>
      <c r="W2217">
        <v>4</v>
      </c>
      <c r="X2217" t="s">
        <v>11695</v>
      </c>
      <c r="Y2217">
        <v>0.36708043300011028</v>
      </c>
      <c r="Z2217" t="str">
        <f>HYPERLINK("Melting_Curves/meltCurve_sp_Q63HM1_KFA_HUMAN_.pdf", "Melting_Curves/meltCurve_sp_Q63HM1_KFA_HUMAN_.pdf")</f>
        <v>Melting_Curves/meltCurve_sp_Q63HM1_KFA_HUMAN_.pdf</v>
      </c>
      <c r="AA2217" t="s">
        <v>16393</v>
      </c>
      <c r="AB2217" t="s">
        <v>21051</v>
      </c>
    </row>
    <row r="2218" spans="1:28" x14ac:dyDescent="0.25">
      <c r="A2218" t="s">
        <v>2222</v>
      </c>
      <c r="B2218">
        <v>0.99904790336628502</v>
      </c>
      <c r="C2218">
        <v>0.93025851373867996</v>
      </c>
      <c r="D2218">
        <v>0.78421253398193003</v>
      </c>
      <c r="E2218">
        <v>0.379144033628938</v>
      </c>
      <c r="F2218">
        <v>0.19625549519784999</v>
      </c>
      <c r="G2218">
        <v>0.12725756129570701</v>
      </c>
      <c r="H2218">
        <v>7.7861279336664396E-2</v>
      </c>
      <c r="I2218">
        <v>7.5161209885939106E-2</v>
      </c>
      <c r="J2218">
        <v>5.3190266729008201E-2</v>
      </c>
      <c r="K2218">
        <v>5.07243612254413E-2</v>
      </c>
      <c r="L2218">
        <v>1013.08874908598</v>
      </c>
      <c r="M2218">
        <v>20.887460363474499</v>
      </c>
      <c r="N2218">
        <v>48.815413266249102</v>
      </c>
      <c r="O2218">
        <v>48.064238963997099</v>
      </c>
      <c r="P2218">
        <v>-0.101833766673603</v>
      </c>
      <c r="Q2218">
        <v>6.2704909325800098E-2</v>
      </c>
      <c r="R2218">
        <v>0.99888584821012505</v>
      </c>
      <c r="S2218" t="s">
        <v>6958</v>
      </c>
      <c r="T2218" t="s">
        <v>9478</v>
      </c>
      <c r="U2218" t="s">
        <v>9478</v>
      </c>
      <c r="V2218" t="s">
        <v>9478</v>
      </c>
      <c r="W2218">
        <v>22</v>
      </c>
      <c r="X2218" t="s">
        <v>11696</v>
      </c>
      <c r="Y2218">
        <v>0.34040699191205709</v>
      </c>
      <c r="Z2218" t="str">
        <f>HYPERLINK("Melting_Curves/meltCurve_sp_Q63HN8_RN213_HUMAN_.pdf", "Melting_Curves/meltCurve_sp_Q63HN8_RN213_HUMAN_.pdf")</f>
        <v>Melting_Curves/meltCurve_sp_Q63HN8_RN213_HUMAN_.pdf</v>
      </c>
      <c r="AA2218" t="s">
        <v>16394</v>
      </c>
      <c r="AB2218" t="s">
        <v>21052</v>
      </c>
    </row>
    <row r="2219" spans="1:28" x14ac:dyDescent="0.25">
      <c r="A2219" t="s">
        <v>2223</v>
      </c>
      <c r="B2219">
        <v>0.99904790336628502</v>
      </c>
      <c r="C2219">
        <v>1.0058781220487201</v>
      </c>
      <c r="D2219">
        <v>0.94475779855222497</v>
      </c>
      <c r="E2219">
        <v>0.72229553286122605</v>
      </c>
      <c r="F2219">
        <v>0.53887146839075495</v>
      </c>
      <c r="G2219">
        <v>0.30084226625435601</v>
      </c>
      <c r="H2219">
        <v>0.22526839466569301</v>
      </c>
      <c r="I2219">
        <v>0.179873786517741</v>
      </c>
      <c r="J2219">
        <v>0.17798708033069</v>
      </c>
      <c r="K2219">
        <v>0.17476894510785301</v>
      </c>
      <c r="L2219">
        <v>963.97103916650099</v>
      </c>
      <c r="M2219">
        <v>18.473146337268702</v>
      </c>
      <c r="N2219">
        <v>53.324426418544299</v>
      </c>
      <c r="O2219">
        <v>51.582326402333997</v>
      </c>
      <c r="P2219">
        <v>-7.4907375596921302E-2</v>
      </c>
      <c r="Q2219">
        <v>0.16338569924897201</v>
      </c>
      <c r="R2219">
        <v>0.99879430987177198</v>
      </c>
      <c r="S2219" t="s">
        <v>6959</v>
      </c>
      <c r="T2219" t="s">
        <v>9478</v>
      </c>
      <c r="U2219" t="s">
        <v>9478</v>
      </c>
      <c r="V2219" t="s">
        <v>9478</v>
      </c>
      <c r="W2219">
        <v>10</v>
      </c>
      <c r="X2219" t="s">
        <v>11697</v>
      </c>
      <c r="Y2219">
        <v>0.51640219279320165</v>
      </c>
      <c r="Z2219" t="str">
        <f>HYPERLINK("Melting_Curves/meltCurve_sp_Q63ZY3_3_KANK2_HUMAN_.pdf", "Melting_Curves/meltCurve_sp_Q63ZY3_3_KANK2_HUMAN_.pdf")</f>
        <v>Melting_Curves/meltCurve_sp_Q63ZY3_3_KANK2_HUMAN_.pdf</v>
      </c>
      <c r="AA2219" t="s">
        <v>16395</v>
      </c>
      <c r="AB2219" t="s">
        <v>21053</v>
      </c>
    </row>
    <row r="2220" spans="1:28" x14ac:dyDescent="0.25">
      <c r="A2220" t="s">
        <v>2224</v>
      </c>
      <c r="B2220">
        <v>0.99904790336628502</v>
      </c>
      <c r="C2220">
        <v>0.92143216211219903</v>
      </c>
      <c r="D2220">
        <v>0.94124743670092104</v>
      </c>
      <c r="E2220">
        <v>0.86062947219978503</v>
      </c>
      <c r="F2220">
        <v>0.67199713712444797</v>
      </c>
      <c r="G2220">
        <v>0.33621558999914902</v>
      </c>
      <c r="H2220">
        <v>0.12227058215850201</v>
      </c>
      <c r="I2220">
        <v>6.8858876581688197E-2</v>
      </c>
      <c r="J2220">
        <v>5.7175519272101703E-2</v>
      </c>
      <c r="K2220">
        <v>3.7660339367457898E-2</v>
      </c>
      <c r="L2220">
        <v>1031.03632773202</v>
      </c>
      <c r="M2220">
        <v>18.8172502650913</v>
      </c>
      <c r="N2220">
        <v>54.876283769457501</v>
      </c>
      <c r="O2220">
        <v>54.184524861324498</v>
      </c>
      <c r="P2220">
        <v>-8.5588313512060296E-2</v>
      </c>
      <c r="Q2220">
        <v>1.4230029766453101E-2</v>
      </c>
      <c r="R2220">
        <v>0.99535578327858798</v>
      </c>
      <c r="S2220" t="s">
        <v>6960</v>
      </c>
      <c r="T2220" t="s">
        <v>9478</v>
      </c>
      <c r="U2220" t="s">
        <v>9478</v>
      </c>
      <c r="V2220" t="s">
        <v>9478</v>
      </c>
      <c r="W2220">
        <v>5</v>
      </c>
      <c r="X2220" t="s">
        <v>11698</v>
      </c>
      <c r="Y2220">
        <v>0.51472360755974511</v>
      </c>
      <c r="Z2220" t="str">
        <f>HYPERLINK("Melting_Curves/meltCurve_sp_Q658Y4_F91A1_HUMAN_.pdf", "Melting_Curves/meltCurve_sp_Q658Y4_F91A1_HUMAN_.pdf")</f>
        <v>Melting_Curves/meltCurve_sp_Q658Y4_F91A1_HUMAN_.pdf</v>
      </c>
      <c r="AA2220" t="s">
        <v>16396</v>
      </c>
      <c r="AB2220" t="s">
        <v>21054</v>
      </c>
    </row>
    <row r="2221" spans="1:28" x14ac:dyDescent="0.25">
      <c r="A2221" t="s">
        <v>2225</v>
      </c>
      <c r="B2221">
        <v>0.99904790336628502</v>
      </c>
      <c r="C2221">
        <v>1.09304169700233</v>
      </c>
      <c r="D2221">
        <v>1.0837202273478499</v>
      </c>
      <c r="E2221">
        <v>0.855422940162474</v>
      </c>
      <c r="F2221">
        <v>0.99059615146643099</v>
      </c>
      <c r="G2221">
        <v>0.92134761361399897</v>
      </c>
      <c r="H2221">
        <v>0.69455963708732604</v>
      </c>
      <c r="I2221">
        <v>0.70686110699390203</v>
      </c>
      <c r="J2221">
        <v>0.65745540695817195</v>
      </c>
      <c r="K2221">
        <v>0.87842989074175704</v>
      </c>
      <c r="L2221">
        <v>14299.3724297555</v>
      </c>
      <c r="M2221">
        <v>250</v>
      </c>
      <c r="O2221">
        <v>57.193824752021897</v>
      </c>
      <c r="P2221">
        <v>-0.29032141634137698</v>
      </c>
      <c r="Q2221">
        <v>0.73432650309047798</v>
      </c>
      <c r="R2221">
        <v>0.71305331012762296</v>
      </c>
      <c r="S2221" t="s">
        <v>6961</v>
      </c>
      <c r="T2221" t="s">
        <v>9478</v>
      </c>
      <c r="U2221" t="s">
        <v>9478</v>
      </c>
      <c r="V2221" t="s">
        <v>9478</v>
      </c>
      <c r="W2221">
        <v>3</v>
      </c>
      <c r="X2221" t="s">
        <v>11699</v>
      </c>
      <c r="Y2221">
        <v>0.88665041264047406</v>
      </c>
      <c r="Z2221" t="str">
        <f>HYPERLINK("Melting_Curves/meltCurve_sp_Q659C4_9_LAR1B_HUMAN_.pdf", "Melting_Curves/meltCurve_sp_Q659C4_9_LAR1B_HUMAN_.pdf")</f>
        <v>Melting_Curves/meltCurve_sp_Q659C4_9_LAR1B_HUMAN_.pdf</v>
      </c>
      <c r="AA2221" t="s">
        <v>16397</v>
      </c>
      <c r="AB2221" t="s">
        <v>21055</v>
      </c>
    </row>
    <row r="2222" spans="1:28" x14ac:dyDescent="0.25">
      <c r="A2222" t="s">
        <v>2226</v>
      </c>
      <c r="B2222">
        <v>0.99904790336628502</v>
      </c>
      <c r="C2222">
        <v>1.01563438738476</v>
      </c>
      <c r="D2222">
        <v>0.99542241726347003</v>
      </c>
      <c r="E2222">
        <v>0.72094821280766996</v>
      </c>
      <c r="F2222">
        <v>0.37707953471407002</v>
      </c>
      <c r="G2222">
        <v>0.16594015138915599</v>
      </c>
      <c r="H2222">
        <v>0.105128124446383</v>
      </c>
      <c r="I2222">
        <v>7.1536275330565197E-2</v>
      </c>
      <c r="J2222">
        <v>6.3908133860729299E-2</v>
      </c>
      <c r="K2222">
        <v>4.0595254998153203E-2</v>
      </c>
      <c r="L2222">
        <v>1338.6213970527101</v>
      </c>
      <c r="M2222">
        <v>25.900377039674801</v>
      </c>
      <c r="N2222">
        <v>51.971108967572299</v>
      </c>
      <c r="O2222">
        <v>51.378323413752</v>
      </c>
      <c r="P2222">
        <v>-0.117614163931441</v>
      </c>
      <c r="Q2222">
        <v>6.67706674231974E-2</v>
      </c>
      <c r="R2222">
        <v>0.99801223620258095</v>
      </c>
      <c r="S2222" t="s">
        <v>6962</v>
      </c>
      <c r="T2222" t="s">
        <v>9478</v>
      </c>
      <c r="U2222" t="s">
        <v>9478</v>
      </c>
      <c r="V2222" t="s">
        <v>9478</v>
      </c>
      <c r="W2222">
        <v>12</v>
      </c>
      <c r="X2222" t="s">
        <v>11700</v>
      </c>
      <c r="Y2222">
        <v>0.43814356592944992</v>
      </c>
      <c r="Z2222" t="str">
        <f>HYPERLINK("Melting_Curves/meltCurve_sp_Q66K14_2_TBC9B_HUMAN_.pdf", "Melting_Curves/meltCurve_sp_Q66K14_2_TBC9B_HUMAN_.pdf")</f>
        <v>Melting_Curves/meltCurve_sp_Q66K14_2_TBC9B_HUMAN_.pdf</v>
      </c>
      <c r="AA2222" t="s">
        <v>16398</v>
      </c>
      <c r="AB2222" t="s">
        <v>21056</v>
      </c>
    </row>
    <row r="2223" spans="1:28" x14ac:dyDescent="0.25">
      <c r="A2223" t="s">
        <v>2227</v>
      </c>
      <c r="B2223">
        <v>0.99904790336628502</v>
      </c>
      <c r="C2223">
        <v>0.95905181068588996</v>
      </c>
      <c r="D2223">
        <v>0.96416679266599303</v>
      </c>
      <c r="E2223">
        <v>0.75386345433924196</v>
      </c>
      <c r="F2223">
        <v>0.41797530196435601</v>
      </c>
      <c r="G2223">
        <v>0.244312959091916</v>
      </c>
      <c r="H2223">
        <v>0.15420680233399001</v>
      </c>
      <c r="I2223">
        <v>0.105745051206665</v>
      </c>
      <c r="J2223">
        <v>8.2392880399847004E-2</v>
      </c>
      <c r="K2223">
        <v>5.9754306463641202E-2</v>
      </c>
      <c r="L2223">
        <v>1086.3245066285299</v>
      </c>
      <c r="M2223">
        <v>20.854438349574298</v>
      </c>
      <c r="N2223">
        <v>52.554221624714302</v>
      </c>
      <c r="O2223">
        <v>51.618924791407402</v>
      </c>
      <c r="P2223">
        <v>-9.2521686111720694E-2</v>
      </c>
      <c r="Q2223">
        <v>8.3986214818186106E-2</v>
      </c>
      <c r="R2223">
        <v>0.99561325379738597</v>
      </c>
      <c r="S2223" t="s">
        <v>6963</v>
      </c>
      <c r="T2223" t="s">
        <v>9478</v>
      </c>
      <c r="U2223" t="s">
        <v>9478</v>
      </c>
      <c r="V2223" t="s">
        <v>9478</v>
      </c>
      <c r="W2223">
        <v>5</v>
      </c>
      <c r="X2223" t="s">
        <v>11701</v>
      </c>
      <c r="Y2223">
        <v>0.46491659097031562</v>
      </c>
      <c r="Z2223" t="str">
        <f>HYPERLINK("Melting_Curves/meltCurve_sp_Q66LE6_2ABD_HUMAN_.pdf", "Melting_Curves/meltCurve_sp_Q66LE6_2ABD_HUMAN_.pdf")</f>
        <v>Melting_Curves/meltCurve_sp_Q66LE6_2ABD_HUMAN_.pdf</v>
      </c>
      <c r="AA2223" t="s">
        <v>16399</v>
      </c>
      <c r="AB2223" t="s">
        <v>21057</v>
      </c>
    </row>
    <row r="2224" spans="1:28" x14ac:dyDescent="0.25">
      <c r="A2224" t="s">
        <v>2228</v>
      </c>
      <c r="B2224">
        <v>0.99904790336628502</v>
      </c>
      <c r="C2224">
        <v>1.003014002877</v>
      </c>
      <c r="D2224">
        <v>0.71216613383637395</v>
      </c>
      <c r="E2224">
        <v>0.260424325726894</v>
      </c>
      <c r="F2224">
        <v>0.12108246364971401</v>
      </c>
      <c r="G2224">
        <v>8.0259165196035598E-2</v>
      </c>
      <c r="H2224">
        <v>6.1069983678766399E-2</v>
      </c>
      <c r="I2224">
        <v>2.667096572446E-2</v>
      </c>
      <c r="J2224">
        <v>1.1090314281331301E-2</v>
      </c>
      <c r="K2224">
        <v>9.9821448817298698E-3</v>
      </c>
      <c r="L2224">
        <v>1225.8944278645699</v>
      </c>
      <c r="M2224">
        <v>25.696595987766798</v>
      </c>
      <c r="N2224">
        <v>47.845129336397697</v>
      </c>
      <c r="O2224">
        <v>47.4203836720826</v>
      </c>
      <c r="P2224">
        <v>-0.130613531217048</v>
      </c>
      <c r="Q2224">
        <v>3.5877124798850801E-2</v>
      </c>
      <c r="R2224">
        <v>0.99577241680086603</v>
      </c>
      <c r="S2224" t="s">
        <v>6964</v>
      </c>
      <c r="T2224" t="s">
        <v>9478</v>
      </c>
      <c r="U2224" t="s">
        <v>9478</v>
      </c>
      <c r="V2224" t="s">
        <v>9478</v>
      </c>
      <c r="W2224">
        <v>2</v>
      </c>
      <c r="X2224" t="s">
        <v>11702</v>
      </c>
      <c r="Y2224">
        <v>0.29158803532536243</v>
      </c>
      <c r="Z2224" t="str">
        <f>HYPERLINK("Melting_Curves/meltCurve_sp_Q66PJ3_5_AR6P4_HUMAN_.pdf", "Melting_Curves/meltCurve_sp_Q66PJ3_5_AR6P4_HUMAN_.pdf")</f>
        <v>Melting_Curves/meltCurve_sp_Q66PJ3_5_AR6P4_HUMAN_.pdf</v>
      </c>
      <c r="AA2224" t="s">
        <v>16400</v>
      </c>
      <c r="AB2224" t="s">
        <v>21058</v>
      </c>
    </row>
    <row r="2225" spans="1:28" x14ac:dyDescent="0.25">
      <c r="A2225" t="s">
        <v>2229</v>
      </c>
      <c r="B2225">
        <v>0.99904790336628502</v>
      </c>
      <c r="C2225">
        <v>1.04218718669202</v>
      </c>
      <c r="D2225">
        <v>0.98403572438695697</v>
      </c>
      <c r="E2225">
        <v>0.957925111633813</v>
      </c>
      <c r="F2225">
        <v>0.94772819788677498</v>
      </c>
      <c r="G2225">
        <v>0.76317657025352004</v>
      </c>
      <c r="H2225">
        <v>0.70175970609301097</v>
      </c>
      <c r="I2225">
        <v>0.643129420295522</v>
      </c>
      <c r="J2225">
        <v>0.727451218570483</v>
      </c>
      <c r="K2225">
        <v>0.68717076011851697</v>
      </c>
      <c r="L2225">
        <v>1885.45798152199</v>
      </c>
      <c r="M2225">
        <v>34.163049953064998</v>
      </c>
      <c r="O2225">
        <v>55.001901314219801</v>
      </c>
      <c r="P2225">
        <v>-4.87772770644661E-2</v>
      </c>
      <c r="Q2225">
        <v>0.685879034308711</v>
      </c>
      <c r="R2225">
        <v>0.967042832612099</v>
      </c>
      <c r="S2225" t="s">
        <v>6965</v>
      </c>
      <c r="T2225" t="s">
        <v>9478</v>
      </c>
      <c r="U2225" t="s">
        <v>9478</v>
      </c>
      <c r="V2225" t="s">
        <v>9478</v>
      </c>
      <c r="W2225">
        <v>3</v>
      </c>
      <c r="X2225" t="s">
        <v>11703</v>
      </c>
      <c r="Y2225">
        <v>0.84655608509430114</v>
      </c>
      <c r="Z2225" t="str">
        <f>HYPERLINK("Melting_Curves/meltCurve_sp_Q66PJ3_AR6P4_HUMAN_.pdf", "Melting_Curves/meltCurve_sp_Q66PJ3_AR6P4_HUMAN_.pdf")</f>
        <v>Melting_Curves/meltCurve_sp_Q66PJ3_AR6P4_HUMAN_.pdf</v>
      </c>
      <c r="AA2225" t="s">
        <v>16400</v>
      </c>
      <c r="AB2225" t="s">
        <v>21059</v>
      </c>
    </row>
    <row r="2226" spans="1:28" x14ac:dyDescent="0.25">
      <c r="A2226" t="s">
        <v>2230</v>
      </c>
      <c r="B2226">
        <v>0.99904790336628502</v>
      </c>
      <c r="C2226">
        <v>0.97374717231603702</v>
      </c>
      <c r="D2226">
        <v>0.93820823857304503</v>
      </c>
      <c r="E2226">
        <v>0.840777799163413</v>
      </c>
      <c r="F2226">
        <v>0.79655025487256503</v>
      </c>
      <c r="G2226">
        <v>0.58506701124264604</v>
      </c>
      <c r="H2226">
        <v>0.40015655998980398</v>
      </c>
      <c r="I2226">
        <v>0.27939515102648599</v>
      </c>
      <c r="J2226">
        <v>0.17822800021870699</v>
      </c>
      <c r="K2226">
        <v>0.131608528661604</v>
      </c>
      <c r="L2226">
        <v>663.55407648268397</v>
      </c>
      <c r="M2226">
        <v>11.3175283650081</v>
      </c>
      <c r="N2226">
        <v>58.630671522945399</v>
      </c>
      <c r="O2226">
        <v>56.889609644841101</v>
      </c>
      <c r="P2226">
        <v>-4.9749637979365303E-2</v>
      </c>
      <c r="Q2226">
        <v>0</v>
      </c>
      <c r="R2226">
        <v>0.99722278618865601</v>
      </c>
      <c r="S2226" t="s">
        <v>6966</v>
      </c>
      <c r="T2226" t="s">
        <v>9478</v>
      </c>
      <c r="U2226" t="s">
        <v>9478</v>
      </c>
      <c r="V2226" t="s">
        <v>9478</v>
      </c>
      <c r="W2226">
        <v>15</v>
      </c>
      <c r="X2226" t="s">
        <v>11704</v>
      </c>
      <c r="Y2226">
        <v>0.62977800801678774</v>
      </c>
      <c r="Z2226" t="str">
        <f>HYPERLINK("Melting_Curves/meltCurve_sp_Q676U5_2_A16L1_HUMAN_.pdf", "Melting_Curves/meltCurve_sp_Q676U5_2_A16L1_HUMAN_.pdf")</f>
        <v>Melting_Curves/meltCurve_sp_Q676U5_2_A16L1_HUMAN_.pdf</v>
      </c>
      <c r="AA2226" t="s">
        <v>16401</v>
      </c>
      <c r="AB2226" t="s">
        <v>21060</v>
      </c>
    </row>
    <row r="2227" spans="1:28" x14ac:dyDescent="0.25">
      <c r="A2227" t="s">
        <v>2231</v>
      </c>
      <c r="B2227">
        <v>0.99904790336628502</v>
      </c>
      <c r="C2227">
        <v>0.86954037956800201</v>
      </c>
      <c r="D2227">
        <v>0.67100250121697103</v>
      </c>
      <c r="E2227">
        <v>0.28481294549655001</v>
      </c>
      <c r="F2227">
        <v>0.13601273677171699</v>
      </c>
      <c r="G2227">
        <v>6.3391536640576299E-2</v>
      </c>
      <c r="H2227">
        <v>3.29476358920444E-2</v>
      </c>
      <c r="I2227">
        <v>2.24782797504335E-2</v>
      </c>
      <c r="J2227">
        <v>1.46617943576743E-2</v>
      </c>
      <c r="K2227">
        <v>1.29167594133912E-2</v>
      </c>
      <c r="L2227">
        <v>908.81738700685901</v>
      </c>
      <c r="M2227">
        <v>19.1157125434741</v>
      </c>
      <c r="N2227">
        <v>47.619900332488299</v>
      </c>
      <c r="O2227">
        <v>47.031839929055401</v>
      </c>
      <c r="P2227">
        <v>-0.100069237222899</v>
      </c>
      <c r="Q2227">
        <v>1.52070069108455E-2</v>
      </c>
      <c r="R2227">
        <v>0.99901781816548096</v>
      </c>
      <c r="S2227" t="s">
        <v>6967</v>
      </c>
      <c r="T2227" t="s">
        <v>9478</v>
      </c>
      <c r="U2227" t="s">
        <v>9478</v>
      </c>
      <c r="V2227" t="s">
        <v>9478</v>
      </c>
      <c r="W2227">
        <v>33</v>
      </c>
      <c r="X2227" t="s">
        <v>11705</v>
      </c>
      <c r="Y2227">
        <v>0.27841736712819648</v>
      </c>
      <c r="Z2227" t="str">
        <f>HYPERLINK("Melting_Curves/meltCurve_sp_Q68CK6_ACS2B_HUMAN_.pdf", "Melting_Curves/meltCurve_sp_Q68CK6_ACS2B_HUMAN_.pdf")</f>
        <v>Melting_Curves/meltCurve_sp_Q68CK6_ACS2B_HUMAN_.pdf</v>
      </c>
      <c r="AA2227" t="s">
        <v>16402</v>
      </c>
      <c r="AB2227" t="s">
        <v>21061</v>
      </c>
    </row>
    <row r="2228" spans="1:28" x14ac:dyDescent="0.25">
      <c r="A2228" t="s">
        <v>2232</v>
      </c>
      <c r="B2228">
        <v>0.99904790336628502</v>
      </c>
      <c r="C2228">
        <v>0.99122091995844197</v>
      </c>
      <c r="D2228">
        <v>0.88977415096296597</v>
      </c>
      <c r="E2228">
        <v>0.67850769721646298</v>
      </c>
      <c r="F2228">
        <v>0.47144898976289901</v>
      </c>
      <c r="G2228">
        <v>0.28720383329418703</v>
      </c>
      <c r="H2228">
        <v>0.228893298987042</v>
      </c>
      <c r="I2228">
        <v>0.196401727879886</v>
      </c>
      <c r="J2228">
        <v>0.20858452166243299</v>
      </c>
      <c r="K2228">
        <v>0.196199072405741</v>
      </c>
      <c r="L2228">
        <v>929.89082172591498</v>
      </c>
      <c r="M2228">
        <v>18.1936090080988</v>
      </c>
      <c r="N2228">
        <v>52.465147445216999</v>
      </c>
      <c r="O2228">
        <v>50.505368154495699</v>
      </c>
      <c r="P2228">
        <v>-7.3185752273830604E-2</v>
      </c>
      <c r="Q2228">
        <v>0.18738530283093299</v>
      </c>
      <c r="R2228">
        <v>0.999213833754792</v>
      </c>
      <c r="S2228" t="s">
        <v>6968</v>
      </c>
      <c r="T2228" t="s">
        <v>9478</v>
      </c>
      <c r="U2228" t="s">
        <v>9478</v>
      </c>
      <c r="V2228" t="s">
        <v>9478</v>
      </c>
      <c r="W2228">
        <v>20</v>
      </c>
      <c r="X2228" t="s">
        <v>11706</v>
      </c>
      <c r="Y2228">
        <v>0.50176057564972032</v>
      </c>
      <c r="Z2228" t="str">
        <f>HYPERLINK("Melting_Curves/meltCurve_sp_Q68CZ2_TENS3_HUMAN_.pdf", "Melting_Curves/meltCurve_sp_Q68CZ2_TENS3_HUMAN_.pdf")</f>
        <v>Melting_Curves/meltCurve_sp_Q68CZ2_TENS3_HUMAN_.pdf</v>
      </c>
      <c r="AA2228" t="s">
        <v>16403</v>
      </c>
      <c r="AB2228" t="s">
        <v>21062</v>
      </c>
    </row>
    <row r="2229" spans="1:28" x14ac:dyDescent="0.25">
      <c r="A2229" t="s">
        <v>2233</v>
      </c>
      <c r="B2229">
        <v>0.99904790336628502</v>
      </c>
      <c r="C2229">
        <v>1.02151744959045</v>
      </c>
      <c r="D2229">
        <v>0.97222886749289805</v>
      </c>
      <c r="E2229">
        <v>0.84729665488702699</v>
      </c>
      <c r="F2229">
        <v>0.77519762629039901</v>
      </c>
      <c r="G2229">
        <v>0.58321990808276403</v>
      </c>
      <c r="H2229">
        <v>0.47507430323476402</v>
      </c>
      <c r="I2229">
        <v>0.43445660695876098</v>
      </c>
      <c r="J2229">
        <v>0.45559399770120701</v>
      </c>
      <c r="K2229">
        <v>0.47923995917381002</v>
      </c>
      <c r="L2229">
        <v>977.03029792238101</v>
      </c>
      <c r="M2229">
        <v>18.234366411819298</v>
      </c>
      <c r="N2229">
        <v>60.503058616721503</v>
      </c>
      <c r="O2229">
        <v>52.949830207710598</v>
      </c>
      <c r="P2229">
        <v>-4.83946196370603E-2</v>
      </c>
      <c r="Q2229">
        <v>0.43790384188642401</v>
      </c>
      <c r="R2229">
        <v>0.99055097908832301</v>
      </c>
      <c r="S2229" t="s">
        <v>6969</v>
      </c>
      <c r="T2229" t="s">
        <v>9478</v>
      </c>
      <c r="U2229" t="s">
        <v>9478</v>
      </c>
      <c r="V2229" t="s">
        <v>9478</v>
      </c>
      <c r="W2229">
        <v>2</v>
      </c>
      <c r="X2229" t="s">
        <v>11707</v>
      </c>
      <c r="Y2229">
        <v>0.70129073711916778</v>
      </c>
      <c r="Z2229" t="str">
        <f>HYPERLINK("Melting_Curves/meltCurve_sp_Q68D10_3_SPT2_HUMAN_.pdf", "Melting_Curves/meltCurve_sp_Q68D10_3_SPT2_HUMAN_.pdf")</f>
        <v>Melting_Curves/meltCurve_sp_Q68D10_3_SPT2_HUMAN_.pdf</v>
      </c>
      <c r="AA2229" t="s">
        <v>16404</v>
      </c>
      <c r="AB2229" t="s">
        <v>21063</v>
      </c>
    </row>
    <row r="2230" spans="1:28" x14ac:dyDescent="0.25">
      <c r="A2230" t="s">
        <v>2234</v>
      </c>
      <c r="B2230">
        <v>0.99904790336628502</v>
      </c>
      <c r="C2230">
        <v>0.96245603200633301</v>
      </c>
      <c r="D2230">
        <v>0.86194045122957497</v>
      </c>
      <c r="E2230">
        <v>0.92230873087872001</v>
      </c>
      <c r="F2230">
        <v>1.0188719632618199</v>
      </c>
      <c r="G2230">
        <v>0.818290214811905</v>
      </c>
      <c r="H2230">
        <v>0.95267604138022599</v>
      </c>
      <c r="I2230">
        <v>0.89428360192560596</v>
      </c>
      <c r="J2230">
        <v>1.0059691873710901</v>
      </c>
      <c r="K2230">
        <v>1.14437668687807</v>
      </c>
      <c r="L2230">
        <v>15000</v>
      </c>
      <c r="M2230">
        <v>220.734800131866</v>
      </c>
      <c r="O2230">
        <v>67.949271003713406</v>
      </c>
      <c r="P2230">
        <v>0.117438258631282</v>
      </c>
      <c r="Q2230">
        <v>1.1446050922839299</v>
      </c>
      <c r="R2230">
        <v>4.2567230452645398E-2</v>
      </c>
      <c r="S2230" t="s">
        <v>6970</v>
      </c>
      <c r="T2230" t="s">
        <v>9478</v>
      </c>
      <c r="U2230" t="s">
        <v>9478</v>
      </c>
      <c r="V2230" t="s">
        <v>9478</v>
      </c>
      <c r="W2230">
        <v>1</v>
      </c>
      <c r="X2230" t="s">
        <v>11708</v>
      </c>
      <c r="Y2230">
        <v>1.0098383648414531</v>
      </c>
      <c r="Z2230" t="str">
        <f>HYPERLINK("Melting_Curves/meltCurve_sp_Q68DH5_LMBD2_HUMAN_.pdf", "Melting_Curves/meltCurve_sp_Q68DH5_LMBD2_HUMAN_.pdf")</f>
        <v>Melting_Curves/meltCurve_sp_Q68DH5_LMBD2_HUMAN_.pdf</v>
      </c>
      <c r="AA2230" t="s">
        <v>16405</v>
      </c>
      <c r="AB2230" t="s">
        <v>21064</v>
      </c>
    </row>
    <row r="2231" spans="1:28" x14ac:dyDescent="0.25">
      <c r="A2231" t="s">
        <v>2235</v>
      </c>
      <c r="B2231">
        <v>0.99904790336628502</v>
      </c>
      <c r="C2231">
        <v>0.90558001185695702</v>
      </c>
      <c r="D2231">
        <v>0.76124736798595205</v>
      </c>
      <c r="E2231">
        <v>0.52720840237964395</v>
      </c>
      <c r="F2231">
        <v>0.306047126342953</v>
      </c>
      <c r="G2231">
        <v>0.18067974105706</v>
      </c>
      <c r="H2231">
        <v>6.7590393626637393E-2</v>
      </c>
      <c r="I2231">
        <v>4.3609335721667003E-2</v>
      </c>
      <c r="J2231">
        <v>4.2968362586166098E-2</v>
      </c>
      <c r="K2231">
        <v>2.8332445383336399E-2</v>
      </c>
      <c r="L2231">
        <v>694.19080888878204</v>
      </c>
      <c r="M2231">
        <v>13.8572175557183</v>
      </c>
      <c r="N2231">
        <v>50.136233858231499</v>
      </c>
      <c r="O2231">
        <v>49.087266780129902</v>
      </c>
      <c r="P2231">
        <v>-7.0193572673333801E-2</v>
      </c>
      <c r="Q2231">
        <v>5.5330136870082296E-3</v>
      </c>
      <c r="R2231">
        <v>0.99820763571559601</v>
      </c>
      <c r="S2231" t="s">
        <v>6971</v>
      </c>
      <c r="T2231" t="s">
        <v>9478</v>
      </c>
      <c r="U2231" t="s">
        <v>9478</v>
      </c>
      <c r="V2231" t="s">
        <v>9478</v>
      </c>
      <c r="W2231">
        <v>2</v>
      </c>
      <c r="X2231" t="s">
        <v>11709</v>
      </c>
      <c r="Y2231">
        <v>0.36731017817452849</v>
      </c>
      <c r="Z2231" t="str">
        <f>HYPERLINK("Melting_Curves/meltCurve_sp_Q68E01_2_INT3_HUMAN_.pdf", "Melting_Curves/meltCurve_sp_Q68E01_2_INT3_HUMAN_.pdf")</f>
        <v>Melting_Curves/meltCurve_sp_Q68E01_2_INT3_HUMAN_.pdf</v>
      </c>
      <c r="AA2231" t="s">
        <v>16406</v>
      </c>
      <c r="AB2231" t="s">
        <v>21065</v>
      </c>
    </row>
    <row r="2232" spans="1:28" x14ac:dyDescent="0.25">
      <c r="A2232" t="s">
        <v>2236</v>
      </c>
      <c r="B2232">
        <v>0.99904790336628502</v>
      </c>
      <c r="C2232">
        <v>0.96073196033100605</v>
      </c>
      <c r="D2232">
        <v>0.962707878121288</v>
      </c>
      <c r="E2232">
        <v>0.77939840909021996</v>
      </c>
      <c r="F2232">
        <v>0.31220254355441801</v>
      </c>
      <c r="G2232">
        <v>0.18501446820641901</v>
      </c>
      <c r="H2232">
        <v>9.1916824343525605E-2</v>
      </c>
      <c r="I2232">
        <v>7.4084218928935297E-2</v>
      </c>
      <c r="J2232">
        <v>4.33361397276954E-2</v>
      </c>
      <c r="K2232">
        <v>5.7757486650675802E-2</v>
      </c>
      <c r="L2232">
        <v>1697.17415691582</v>
      </c>
      <c r="M2232">
        <v>32.915771598158898</v>
      </c>
      <c r="N2232">
        <v>51.824699224408498</v>
      </c>
      <c r="O2232">
        <v>51.371927344457497</v>
      </c>
      <c r="P2232">
        <v>-0.147838600127638</v>
      </c>
      <c r="Q2232">
        <v>7.7072272969626293E-2</v>
      </c>
      <c r="R2232">
        <v>0.99381630998761705</v>
      </c>
      <c r="S2232" t="s">
        <v>6972</v>
      </c>
      <c r="T2232" t="s">
        <v>9478</v>
      </c>
      <c r="U2232" t="s">
        <v>9478</v>
      </c>
      <c r="V2232" t="s">
        <v>9478</v>
      </c>
      <c r="W2232">
        <v>5</v>
      </c>
      <c r="X2232" t="s">
        <v>11710</v>
      </c>
      <c r="Y2232">
        <v>0.43760689271144021</v>
      </c>
      <c r="Z2232" t="str">
        <f>HYPERLINK("Melting_Curves/meltCurve_sp_Q68EM7_6_RHG17_HUMAN_.pdf", "Melting_Curves/meltCurve_sp_Q68EM7_6_RHG17_HUMAN_.pdf")</f>
        <v>Melting_Curves/meltCurve_sp_Q68EM7_6_RHG17_HUMAN_.pdf</v>
      </c>
      <c r="AA2232" t="s">
        <v>16407</v>
      </c>
      <c r="AB2232" t="s">
        <v>21066</v>
      </c>
    </row>
    <row r="2233" spans="1:28" x14ac:dyDescent="0.25">
      <c r="A2233" t="s">
        <v>2237</v>
      </c>
      <c r="B2233">
        <v>0.99904790336628502</v>
      </c>
      <c r="C2233">
        <v>1.01798430383509</v>
      </c>
      <c r="D2233">
        <v>0.95762516659737495</v>
      </c>
      <c r="E2233">
        <v>0.85059728668741397</v>
      </c>
      <c r="F2233">
        <v>0.57120714902224501</v>
      </c>
      <c r="G2233">
        <v>0.18429019815599301</v>
      </c>
      <c r="H2233">
        <v>0.11660679189262101</v>
      </c>
      <c r="I2233">
        <v>8.2249010807450701E-2</v>
      </c>
      <c r="J2233">
        <v>7.5227156042955906E-2</v>
      </c>
      <c r="K2233">
        <v>8.9039983387746893E-2</v>
      </c>
      <c r="L2233">
        <v>1449.05419102307</v>
      </c>
      <c r="M2233">
        <v>27.262593958216499</v>
      </c>
      <c r="N2233">
        <v>53.482774792327703</v>
      </c>
      <c r="O2233">
        <v>52.8682283939279</v>
      </c>
      <c r="P2233">
        <v>-0.118909881540413</v>
      </c>
      <c r="Q2233">
        <v>7.7638112674890805E-2</v>
      </c>
      <c r="R2233">
        <v>0.99863961930443801</v>
      </c>
      <c r="S2233" t="s">
        <v>6973</v>
      </c>
      <c r="T2233" t="s">
        <v>9478</v>
      </c>
      <c r="U2233" t="s">
        <v>9478</v>
      </c>
      <c r="V2233" t="s">
        <v>9478</v>
      </c>
      <c r="W2233">
        <v>7</v>
      </c>
      <c r="X2233" t="s">
        <v>11711</v>
      </c>
      <c r="Y2233">
        <v>0.48920794774564869</v>
      </c>
      <c r="Z2233" t="str">
        <f>HYPERLINK("Melting_Curves/meltCurve_sp_Q69YN2_C19L1_HUMAN_.pdf", "Melting_Curves/meltCurve_sp_Q69YN2_C19L1_HUMAN_.pdf")</f>
        <v>Melting_Curves/meltCurve_sp_Q69YN2_C19L1_HUMAN_.pdf</v>
      </c>
      <c r="AA2233" t="s">
        <v>16408</v>
      </c>
      <c r="AB2233" t="s">
        <v>21067</v>
      </c>
    </row>
    <row r="2234" spans="1:28" x14ac:dyDescent="0.25">
      <c r="A2234" t="s">
        <v>2238</v>
      </c>
      <c r="B2234">
        <v>0.99904790336628502</v>
      </c>
      <c r="C2234">
        <v>0.72821428232770302</v>
      </c>
      <c r="D2234">
        <v>0.88092748835811396</v>
      </c>
      <c r="E2234">
        <v>0.77698383552848305</v>
      </c>
      <c r="F2234">
        <v>0.42002879545843702</v>
      </c>
      <c r="G2234">
        <v>0.21450527499327299</v>
      </c>
      <c r="H2234">
        <v>7.2118360539934395E-2</v>
      </c>
      <c r="I2234">
        <v>2.3668388278405499E-2</v>
      </c>
      <c r="J2234">
        <v>0</v>
      </c>
      <c r="K2234">
        <v>0</v>
      </c>
      <c r="L2234">
        <v>851.47834600209796</v>
      </c>
      <c r="M2234">
        <v>16.254449707203801</v>
      </c>
      <c r="N2234">
        <v>52.384328447215999</v>
      </c>
      <c r="O2234">
        <v>51.610690893821698</v>
      </c>
      <c r="P2234">
        <v>-7.8741669982446902E-2</v>
      </c>
      <c r="Q2234">
        <v>0</v>
      </c>
      <c r="R2234">
        <v>0.94982267647338603</v>
      </c>
      <c r="S2234" t="s">
        <v>6974</v>
      </c>
      <c r="T2234" t="s">
        <v>9478</v>
      </c>
      <c r="U2234" t="s">
        <v>9478</v>
      </c>
      <c r="V2234" t="s">
        <v>9478</v>
      </c>
      <c r="W2234">
        <v>3</v>
      </c>
      <c r="X2234" t="s">
        <v>11712</v>
      </c>
      <c r="Y2234">
        <v>0.43232449473463308</v>
      </c>
      <c r="Z2234" t="str">
        <f>HYPERLINK("Melting_Curves/meltCurve_sp_Q69YN4_3_VIR_HUMAN_.pdf", "Melting_Curves/meltCurve_sp_Q69YN4_3_VIR_HUMAN_.pdf")</f>
        <v>Melting_Curves/meltCurve_sp_Q69YN4_3_VIR_HUMAN_.pdf</v>
      </c>
      <c r="AA2234" t="s">
        <v>16409</v>
      </c>
      <c r="AB2234" t="s">
        <v>21068</v>
      </c>
    </row>
    <row r="2235" spans="1:28" x14ac:dyDescent="0.25">
      <c r="A2235" t="s">
        <v>2239</v>
      </c>
      <c r="B2235">
        <v>0.99904790336628502</v>
      </c>
      <c r="C2235">
        <v>1.0151155566258301</v>
      </c>
      <c r="D2235">
        <v>0.97722399298747697</v>
      </c>
      <c r="E2235">
        <v>0.90521085349798902</v>
      </c>
      <c r="F2235">
        <v>0.835699717937614</v>
      </c>
      <c r="G2235">
        <v>0.63119675230146799</v>
      </c>
      <c r="H2235">
        <v>0.57445164403124604</v>
      </c>
      <c r="I2235">
        <v>0.46881991479799101</v>
      </c>
      <c r="J2235">
        <v>0.45287048840350103</v>
      </c>
      <c r="K2235">
        <v>0.45517799624781902</v>
      </c>
      <c r="L2235">
        <v>882.07818410836398</v>
      </c>
      <c r="M2235">
        <v>15.874427091957299</v>
      </c>
      <c r="N2235">
        <v>63.160985419050199</v>
      </c>
      <c r="O2235">
        <v>54.706621755953996</v>
      </c>
      <c r="P2235">
        <v>-4.1652298834599102E-2</v>
      </c>
      <c r="Q2235">
        <v>0.425876040373808</v>
      </c>
      <c r="R2235">
        <v>0.99343710324414702</v>
      </c>
      <c r="S2235" t="s">
        <v>6975</v>
      </c>
      <c r="T2235" t="s">
        <v>9478</v>
      </c>
      <c r="U2235" t="s">
        <v>9478</v>
      </c>
      <c r="V2235" t="s">
        <v>9478</v>
      </c>
      <c r="W2235">
        <v>7</v>
      </c>
      <c r="X2235" t="s">
        <v>11713</v>
      </c>
      <c r="Y2235">
        <v>0.73378146849990389</v>
      </c>
      <c r="Z2235" t="str">
        <f>HYPERLINK("Melting_Curves/meltCurve_sp_Q69YQ0_2_CYTSA_HUMAN_.pdf", "Melting_Curves/meltCurve_sp_Q69YQ0_2_CYTSA_HUMAN_.pdf")</f>
        <v>Melting_Curves/meltCurve_sp_Q69YQ0_2_CYTSA_HUMAN_.pdf</v>
      </c>
      <c r="AA2235" t="s">
        <v>16410</v>
      </c>
      <c r="AB2235" t="s">
        <v>21069</v>
      </c>
    </row>
    <row r="2236" spans="1:28" x14ac:dyDescent="0.25">
      <c r="A2236" t="s">
        <v>2240</v>
      </c>
      <c r="B2236">
        <v>0.99904790336628502</v>
      </c>
      <c r="C2236">
        <v>0.91787106680436104</v>
      </c>
      <c r="D2236">
        <v>0.70418071226770396</v>
      </c>
      <c r="E2236">
        <v>0.33400807049925602</v>
      </c>
      <c r="F2236">
        <v>0.20333109997954099</v>
      </c>
      <c r="G2236">
        <v>0.137305760480633</v>
      </c>
      <c r="H2236">
        <v>9.5900837507354994E-2</v>
      </c>
      <c r="I2236">
        <v>7.6701499722240996E-2</v>
      </c>
      <c r="J2236">
        <v>6.6320862826781193E-2</v>
      </c>
      <c r="K2236">
        <v>8.15243327340716E-2</v>
      </c>
      <c r="L2236">
        <v>950.75840843077106</v>
      </c>
      <c r="M2236">
        <v>19.915235894350101</v>
      </c>
      <c r="N2236">
        <v>48.163527041087598</v>
      </c>
      <c r="O2236">
        <v>47.266717077386303</v>
      </c>
      <c r="P2236">
        <v>-9.6881310759465905E-2</v>
      </c>
      <c r="Q2236">
        <v>8.0280037476170393E-2</v>
      </c>
      <c r="R2236">
        <v>0.99876332762143705</v>
      </c>
      <c r="S2236" t="s">
        <v>6976</v>
      </c>
      <c r="T2236" t="s">
        <v>9478</v>
      </c>
      <c r="U2236" t="s">
        <v>9478</v>
      </c>
      <c r="V2236" t="s">
        <v>9478</v>
      </c>
      <c r="W2236">
        <v>6</v>
      </c>
      <c r="X2236" t="s">
        <v>11714</v>
      </c>
      <c r="Y2236">
        <v>0.3308436593433709</v>
      </c>
      <c r="Z2236" t="str">
        <f>HYPERLINK("Melting_Curves/meltCurve_sp_Q6A1A2_PDPK2_HUMAN_.pdf", "Melting_Curves/meltCurve_sp_Q6A1A2_PDPK2_HUMAN_.pdf")</f>
        <v>Melting_Curves/meltCurve_sp_Q6A1A2_PDPK2_HUMAN_.pdf</v>
      </c>
      <c r="AA2236" t="s">
        <v>16411</v>
      </c>
      <c r="AB2236" t="s">
        <v>21070</v>
      </c>
    </row>
    <row r="2237" spans="1:28" x14ac:dyDescent="0.25">
      <c r="A2237" t="s">
        <v>2241</v>
      </c>
      <c r="B2237">
        <v>0.99904790336628502</v>
      </c>
      <c r="C2237">
        <v>1.12693548935009</v>
      </c>
      <c r="D2237">
        <v>1.1061706503250199</v>
      </c>
      <c r="E2237">
        <v>0.815234986271686</v>
      </c>
      <c r="F2237">
        <v>0.99017864257073895</v>
      </c>
      <c r="G2237">
        <v>0.54582639800243105</v>
      </c>
      <c r="H2237">
        <v>0.43784328219731899</v>
      </c>
      <c r="I2237">
        <v>0.24858755264289401</v>
      </c>
      <c r="J2237">
        <v>0</v>
      </c>
      <c r="K2237">
        <v>0</v>
      </c>
      <c r="L2237">
        <v>1059.56721146517</v>
      </c>
      <c r="M2237">
        <v>17.985499798586702</v>
      </c>
      <c r="N2237">
        <v>58.912303536670301</v>
      </c>
      <c r="O2237">
        <v>58.1984834295586</v>
      </c>
      <c r="P2237">
        <v>-7.7263139182606494E-2</v>
      </c>
      <c r="Q2237">
        <v>0</v>
      </c>
      <c r="R2237">
        <v>0.94512321561975599</v>
      </c>
      <c r="S2237" t="s">
        <v>6977</v>
      </c>
      <c r="T2237" t="s">
        <v>9478</v>
      </c>
      <c r="U2237" t="s">
        <v>9478</v>
      </c>
      <c r="V2237" t="s">
        <v>9478</v>
      </c>
      <c r="W2237">
        <v>2</v>
      </c>
      <c r="X2237" t="s">
        <v>11715</v>
      </c>
      <c r="Y2237">
        <v>0.64117593488918001</v>
      </c>
      <c r="Z2237" t="str">
        <f>HYPERLINK("Melting_Curves/meltCurve_sp_Q6AWC2_3_WWC2_HUMAN_.pdf", "Melting_Curves/meltCurve_sp_Q6AWC2_3_WWC2_HUMAN_.pdf")</f>
        <v>Melting_Curves/meltCurve_sp_Q6AWC2_3_WWC2_HUMAN_.pdf</v>
      </c>
      <c r="AA2237" t="s">
        <v>16412</v>
      </c>
      <c r="AB2237" t="s">
        <v>21071</v>
      </c>
    </row>
    <row r="2238" spans="1:28" x14ac:dyDescent="0.25">
      <c r="A2238" t="s">
        <v>2242</v>
      </c>
      <c r="B2238">
        <v>0.99904790336628502</v>
      </c>
      <c r="C2238">
        <v>1.0338578005649199</v>
      </c>
      <c r="D2238">
        <v>1.41523744958075</v>
      </c>
      <c r="E2238">
        <v>0.89911053280142905</v>
      </c>
      <c r="F2238">
        <v>0.80690781751193297</v>
      </c>
      <c r="G2238">
        <v>0.54737127310553502</v>
      </c>
      <c r="H2238">
        <v>0.505063095238107</v>
      </c>
      <c r="I2238">
        <v>0.37729054027501102</v>
      </c>
      <c r="J2238">
        <v>0.55291970367263499</v>
      </c>
      <c r="K2238">
        <v>0.36527883746724998</v>
      </c>
      <c r="L2238">
        <v>1574.10242142624</v>
      </c>
      <c r="M2238">
        <v>29.0856510376891</v>
      </c>
      <c r="N2238">
        <v>58.464498617318199</v>
      </c>
      <c r="O2238">
        <v>53.8656669436334</v>
      </c>
      <c r="P2238">
        <v>-7.5268054387337704E-2</v>
      </c>
      <c r="Q2238">
        <v>0.44242836752348602</v>
      </c>
      <c r="R2238">
        <v>0.803373487257389</v>
      </c>
      <c r="S2238" t="s">
        <v>6978</v>
      </c>
      <c r="T2238" t="s">
        <v>9478</v>
      </c>
      <c r="U2238" t="s">
        <v>9478</v>
      </c>
      <c r="V2238" t="s">
        <v>9478</v>
      </c>
      <c r="W2238">
        <v>1</v>
      </c>
      <c r="X2238" t="s">
        <v>11716</v>
      </c>
      <c r="Y2238">
        <v>0.70874215261758511</v>
      </c>
      <c r="Z2238" t="str">
        <f>HYPERLINK("Melting_Curves/meltCurve_sp_Q6DD87_ZN787_HUMAN_.pdf", "Melting_Curves/meltCurve_sp_Q6DD87_ZN787_HUMAN_.pdf")</f>
        <v>Melting_Curves/meltCurve_sp_Q6DD87_ZN787_HUMAN_.pdf</v>
      </c>
      <c r="AA2238" t="s">
        <v>16413</v>
      </c>
      <c r="AB2238" t="s">
        <v>21072</v>
      </c>
    </row>
    <row r="2239" spans="1:28" x14ac:dyDescent="0.25">
      <c r="A2239" t="s">
        <v>2243</v>
      </c>
      <c r="B2239">
        <v>0.99904790336628502</v>
      </c>
      <c r="C2239">
        <v>1.03599231507454</v>
      </c>
      <c r="D2239">
        <v>1.0153636292435799</v>
      </c>
      <c r="E2239">
        <v>0.64439073285342696</v>
      </c>
      <c r="F2239">
        <v>0.338481806290516</v>
      </c>
      <c r="G2239">
        <v>0.13472348726747099</v>
      </c>
      <c r="H2239">
        <v>6.8801593214896595E-2</v>
      </c>
      <c r="I2239">
        <v>5.1333186049331701E-2</v>
      </c>
      <c r="J2239">
        <v>4.3176445470315301E-2</v>
      </c>
      <c r="K2239">
        <v>5.74150824479676E-2</v>
      </c>
      <c r="L2239">
        <v>1365.44653221303</v>
      </c>
      <c r="M2239">
        <v>26.673055999809801</v>
      </c>
      <c r="N2239">
        <v>51.418826468898899</v>
      </c>
      <c r="O2239">
        <v>50.906830946791302</v>
      </c>
      <c r="P2239">
        <v>-0.123719377700561</v>
      </c>
      <c r="Q2239">
        <v>5.5511910116537999E-2</v>
      </c>
      <c r="R2239">
        <v>0.99600020005951795</v>
      </c>
      <c r="S2239" t="s">
        <v>6979</v>
      </c>
      <c r="T2239" t="s">
        <v>9478</v>
      </c>
      <c r="U2239" t="s">
        <v>9478</v>
      </c>
      <c r="V2239" t="s">
        <v>9478</v>
      </c>
      <c r="W2239">
        <v>6</v>
      </c>
      <c r="X2239" t="s">
        <v>11717</v>
      </c>
      <c r="Y2239">
        <v>0.4153947455823167</v>
      </c>
      <c r="Z2239" t="str">
        <f>HYPERLINK("Melting_Curves/meltCurve_sp_Q6DD88_ATLA3_HUMAN_.pdf", "Melting_Curves/meltCurve_sp_Q6DD88_ATLA3_HUMAN_.pdf")</f>
        <v>Melting_Curves/meltCurve_sp_Q6DD88_ATLA3_HUMAN_.pdf</v>
      </c>
      <c r="AA2239" t="s">
        <v>16414</v>
      </c>
      <c r="AB2239" t="s">
        <v>21073</v>
      </c>
    </row>
    <row r="2240" spans="1:28" x14ac:dyDescent="0.25">
      <c r="A2240" t="s">
        <v>2244</v>
      </c>
      <c r="B2240">
        <v>0.99904790336628502</v>
      </c>
      <c r="C2240">
        <v>1.0110774931675599</v>
      </c>
      <c r="D2240">
        <v>1.0164322211753101</v>
      </c>
      <c r="E2240">
        <v>0.87776213919514201</v>
      </c>
      <c r="F2240">
        <v>0.73324172608152405</v>
      </c>
      <c r="G2240">
        <v>0.47722109334083301</v>
      </c>
      <c r="H2240">
        <v>0.31687776594547501</v>
      </c>
      <c r="I2240">
        <v>0.38469010739617499</v>
      </c>
      <c r="J2240">
        <v>0.29494539398971797</v>
      </c>
      <c r="K2240">
        <v>0.340744877257108</v>
      </c>
      <c r="L2240">
        <v>1243.1352321551699</v>
      </c>
      <c r="M2240">
        <v>23.0815281589439</v>
      </c>
      <c r="N2240">
        <v>56.342572217853601</v>
      </c>
      <c r="O2240">
        <v>53.459056267172002</v>
      </c>
      <c r="P2240">
        <v>-7.3478483586595103E-2</v>
      </c>
      <c r="Q2240">
        <v>0.31927937549847502</v>
      </c>
      <c r="R2240">
        <v>0.99144697656371505</v>
      </c>
      <c r="S2240" t="s">
        <v>6980</v>
      </c>
      <c r="T2240" t="s">
        <v>9478</v>
      </c>
      <c r="U2240" t="s">
        <v>9478</v>
      </c>
      <c r="V2240" t="s">
        <v>9478</v>
      </c>
      <c r="W2240">
        <v>3</v>
      </c>
      <c r="X2240" t="s">
        <v>11718</v>
      </c>
      <c r="Y2240">
        <v>0.64100599614571097</v>
      </c>
      <c r="Z2240" t="str">
        <f>HYPERLINK("Melting_Curves/meltCurve_sp_Q6DHV7_2_ADAL_HUMAN_.pdf", "Melting_Curves/meltCurve_sp_Q6DHV7_2_ADAL_HUMAN_.pdf")</f>
        <v>Melting_Curves/meltCurve_sp_Q6DHV7_2_ADAL_HUMAN_.pdf</v>
      </c>
      <c r="AA2240" t="s">
        <v>16415</v>
      </c>
      <c r="AB2240" t="s">
        <v>21074</v>
      </c>
    </row>
    <row r="2241" spans="1:28" x14ac:dyDescent="0.25">
      <c r="A2241" t="s">
        <v>2245</v>
      </c>
      <c r="B2241">
        <v>0.99904790336628502</v>
      </c>
      <c r="C2241">
        <v>0.95647956547520196</v>
      </c>
      <c r="D2241">
        <v>0.91299589846592299</v>
      </c>
      <c r="E2241">
        <v>0.78532487755767799</v>
      </c>
      <c r="F2241">
        <v>0.50480266432112098</v>
      </c>
      <c r="G2241">
        <v>0.25022632754831298</v>
      </c>
      <c r="H2241">
        <v>0.17485458770082299</v>
      </c>
      <c r="I2241">
        <v>0.109191808767462</v>
      </c>
      <c r="J2241">
        <v>8.0261347765286595E-2</v>
      </c>
      <c r="K2241">
        <v>6.4965148567193307E-2</v>
      </c>
      <c r="L2241">
        <v>933.32380391399795</v>
      </c>
      <c r="M2241">
        <v>17.653979732922298</v>
      </c>
      <c r="N2241">
        <v>53.278997463263302</v>
      </c>
      <c r="O2241">
        <v>52.203257752534398</v>
      </c>
      <c r="P2241">
        <v>-7.9161825797581895E-2</v>
      </c>
      <c r="Q2241">
        <v>6.3715908410262506E-2</v>
      </c>
      <c r="R2241">
        <v>0.99694892067256302</v>
      </c>
      <c r="S2241" t="s">
        <v>6981</v>
      </c>
      <c r="T2241" t="s">
        <v>9478</v>
      </c>
      <c r="U2241" t="s">
        <v>9478</v>
      </c>
      <c r="V2241" t="s">
        <v>9478</v>
      </c>
      <c r="W2241">
        <v>3</v>
      </c>
      <c r="X2241" t="s">
        <v>11719</v>
      </c>
      <c r="Y2241">
        <v>0.48116229013924389</v>
      </c>
      <c r="Z2241" t="str">
        <f>HYPERLINK("Melting_Curves/meltCurve_sp_Q6DKK2_TTC19_HUMAN_.pdf", "Melting_Curves/meltCurve_sp_Q6DKK2_TTC19_HUMAN_.pdf")</f>
        <v>Melting_Curves/meltCurve_sp_Q6DKK2_TTC19_HUMAN_.pdf</v>
      </c>
      <c r="AA2241" t="s">
        <v>16416</v>
      </c>
      <c r="AB2241" t="s">
        <v>21075</v>
      </c>
    </row>
    <row r="2242" spans="1:28" x14ac:dyDescent="0.25">
      <c r="A2242" t="s">
        <v>2246</v>
      </c>
      <c r="B2242">
        <v>0.99904790336628502</v>
      </c>
      <c r="C2242">
        <v>1.10595215233913</v>
      </c>
      <c r="D2242">
        <v>1.0910776427184901</v>
      </c>
      <c r="E2242">
        <v>0.81132178445402203</v>
      </c>
      <c r="F2242">
        <v>0.61359658087594304</v>
      </c>
      <c r="G2242">
        <v>0.38896905265031401</v>
      </c>
      <c r="H2242">
        <v>0.23185961233756999</v>
      </c>
      <c r="I2242">
        <v>0.176228393259384</v>
      </c>
      <c r="J2242">
        <v>9.2773155733507695E-2</v>
      </c>
      <c r="K2242">
        <v>0.104054542259036</v>
      </c>
      <c r="L2242">
        <v>984.16879310772299</v>
      </c>
      <c r="M2242">
        <v>18.130633063068899</v>
      </c>
      <c r="N2242">
        <v>54.958306459990297</v>
      </c>
      <c r="O2242">
        <v>53.634658506286002</v>
      </c>
      <c r="P2242">
        <v>-7.6064664372329394E-2</v>
      </c>
      <c r="Q2242">
        <v>9.9974756215577804E-2</v>
      </c>
      <c r="R2242">
        <v>0.97850678765172705</v>
      </c>
      <c r="S2242" t="s">
        <v>6982</v>
      </c>
      <c r="T2242" t="s">
        <v>9478</v>
      </c>
      <c r="U2242" t="s">
        <v>9478</v>
      </c>
      <c r="V2242" t="s">
        <v>9478</v>
      </c>
      <c r="W2242">
        <v>8</v>
      </c>
      <c r="X2242" t="s">
        <v>11720</v>
      </c>
      <c r="Y2242">
        <v>0.54258238572612361</v>
      </c>
      <c r="Z2242" t="str">
        <f>HYPERLINK("Melting_Curves/meltCurve_sp_Q6DN90_2_IQEC1_HUMAN_.pdf", "Melting_Curves/meltCurve_sp_Q6DN90_2_IQEC1_HUMAN_.pdf")</f>
        <v>Melting_Curves/meltCurve_sp_Q6DN90_2_IQEC1_HUMAN_.pdf</v>
      </c>
      <c r="AA2242" t="s">
        <v>16417</v>
      </c>
      <c r="AB2242" t="s">
        <v>21076</v>
      </c>
    </row>
    <row r="2243" spans="1:28" x14ac:dyDescent="0.25">
      <c r="A2243" t="s">
        <v>2247</v>
      </c>
      <c r="B2243">
        <v>0.99904790336628502</v>
      </c>
      <c r="C2243">
        <v>0.98989627146009895</v>
      </c>
      <c r="D2243">
        <v>1.0783778029790401</v>
      </c>
      <c r="E2243">
        <v>0.81822795536152204</v>
      </c>
      <c r="F2243">
        <v>0.67963119101436498</v>
      </c>
      <c r="G2243">
        <v>0.61607764310806801</v>
      </c>
      <c r="H2243">
        <v>0.303310288602744</v>
      </c>
      <c r="I2243">
        <v>0.26333526193765799</v>
      </c>
      <c r="J2243">
        <v>0.19531171322445801</v>
      </c>
      <c r="K2243">
        <v>0.108406881606345</v>
      </c>
      <c r="L2243">
        <v>691.87552723481201</v>
      </c>
      <c r="M2243">
        <v>12.025728292342199</v>
      </c>
      <c r="N2243">
        <v>57.771235210331298</v>
      </c>
      <c r="O2243">
        <v>56.011305497830499</v>
      </c>
      <c r="P2243">
        <v>-5.2389177786354997E-2</v>
      </c>
      <c r="Q2243">
        <v>2.41971900975535E-2</v>
      </c>
      <c r="R2243">
        <v>0.974488304481124</v>
      </c>
      <c r="S2243" t="s">
        <v>6983</v>
      </c>
      <c r="T2243" t="s">
        <v>9478</v>
      </c>
      <c r="U2243" t="s">
        <v>9478</v>
      </c>
      <c r="V2243" t="s">
        <v>9478</v>
      </c>
      <c r="W2243">
        <v>4</v>
      </c>
      <c r="X2243" t="s">
        <v>11721</v>
      </c>
      <c r="Y2243">
        <v>0.60885023010435335</v>
      </c>
      <c r="Z2243" t="str">
        <f>HYPERLINK("Melting_Curves/meltCurve_sp_Q6EMK4_VASN_HUMAN_.pdf", "Melting_Curves/meltCurve_sp_Q6EMK4_VASN_HUMAN_.pdf")</f>
        <v>Melting_Curves/meltCurve_sp_Q6EMK4_VASN_HUMAN_.pdf</v>
      </c>
      <c r="AA2243" t="s">
        <v>16418</v>
      </c>
      <c r="AB2243" t="s">
        <v>21077</v>
      </c>
    </row>
    <row r="2244" spans="1:28" x14ac:dyDescent="0.25">
      <c r="A2244" t="s">
        <v>2248</v>
      </c>
      <c r="B2244">
        <v>0.99904790336628502</v>
      </c>
      <c r="C2244">
        <v>1.0089828530882601</v>
      </c>
      <c r="D2244">
        <v>0.97083099233860304</v>
      </c>
      <c r="E2244">
        <v>0.94150427529964298</v>
      </c>
      <c r="F2244">
        <v>0.84784577419170204</v>
      </c>
      <c r="G2244">
        <v>0.57982107656253201</v>
      </c>
      <c r="H2244">
        <v>0.39666332734112802</v>
      </c>
      <c r="I2244">
        <v>0.34552592412484701</v>
      </c>
      <c r="J2244">
        <v>0.33021894454142198</v>
      </c>
      <c r="K2244">
        <v>0.31645375278273502</v>
      </c>
      <c r="L2244">
        <v>1235.19048463941</v>
      </c>
      <c r="M2244">
        <v>22.105824103494498</v>
      </c>
      <c r="N2244">
        <v>58.406626094559101</v>
      </c>
      <c r="O2244">
        <v>55.425016252804099</v>
      </c>
      <c r="P2244">
        <v>-6.8989913246137402E-2</v>
      </c>
      <c r="Q2244">
        <v>0.30811298962775602</v>
      </c>
      <c r="R2244">
        <v>0.99897882908775704</v>
      </c>
      <c r="S2244" t="s">
        <v>6984</v>
      </c>
      <c r="T2244" t="s">
        <v>9478</v>
      </c>
      <c r="U2244" t="s">
        <v>9478</v>
      </c>
      <c r="V2244" t="s">
        <v>9478</v>
      </c>
      <c r="W2244">
        <v>9</v>
      </c>
      <c r="X2244" t="s">
        <v>11722</v>
      </c>
      <c r="Y2244">
        <v>0.68201053309313553</v>
      </c>
      <c r="Z2244" t="str">
        <f>HYPERLINK("Melting_Curves/meltCurve_sp_Q6FI81_3_CPIN1_HUMAN_.pdf", "Melting_Curves/meltCurve_sp_Q6FI81_3_CPIN1_HUMAN_.pdf")</f>
        <v>Melting_Curves/meltCurve_sp_Q6FI81_3_CPIN1_HUMAN_.pdf</v>
      </c>
      <c r="AA2244" t="s">
        <v>16419</v>
      </c>
      <c r="AB2244" t="s">
        <v>21078</v>
      </c>
    </row>
    <row r="2245" spans="1:28" x14ac:dyDescent="0.25">
      <c r="A2245" t="s">
        <v>2249</v>
      </c>
      <c r="B2245">
        <v>0.99904790336628502</v>
      </c>
      <c r="C2245">
        <v>1.08542076599185</v>
      </c>
      <c r="D2245">
        <v>1.0108510183176</v>
      </c>
      <c r="E2245">
        <v>0.91775082168164401</v>
      </c>
      <c r="F2245">
        <v>0.82184368390336104</v>
      </c>
      <c r="G2245">
        <v>0.60566990559071898</v>
      </c>
      <c r="H2245">
        <v>0.50652772900168697</v>
      </c>
      <c r="I2245">
        <v>0.62965425403041198</v>
      </c>
      <c r="J2245">
        <v>0.65946384743773101</v>
      </c>
      <c r="K2245">
        <v>0.71084220633331896</v>
      </c>
      <c r="L2245">
        <v>1986.6863154567</v>
      </c>
      <c r="M2245">
        <v>37.638424533074897</v>
      </c>
      <c r="O2245">
        <v>52.635114587542603</v>
      </c>
      <c r="P2245">
        <v>-6.7945394938233705E-2</v>
      </c>
      <c r="Q2245">
        <v>0.61993046087779002</v>
      </c>
      <c r="R2245">
        <v>0.904409595297754</v>
      </c>
      <c r="S2245" t="s">
        <v>6985</v>
      </c>
      <c r="T2245" t="s">
        <v>9478</v>
      </c>
      <c r="U2245" t="s">
        <v>9478</v>
      </c>
      <c r="V2245" t="s">
        <v>9478</v>
      </c>
      <c r="W2245">
        <v>2</v>
      </c>
      <c r="X2245" t="s">
        <v>11723</v>
      </c>
      <c r="Y2245">
        <v>0.78344921053336336</v>
      </c>
      <c r="Z2245" t="str">
        <f>HYPERLINK("Melting_Curves/meltCurve_sp_Q6FIF0_2_ZFAN6_HUMAN_.pdf", "Melting_Curves/meltCurve_sp_Q6FIF0_2_ZFAN6_HUMAN_.pdf")</f>
        <v>Melting_Curves/meltCurve_sp_Q6FIF0_2_ZFAN6_HUMAN_.pdf</v>
      </c>
      <c r="AA2245" t="s">
        <v>16420</v>
      </c>
      <c r="AB2245" t="s">
        <v>21079</v>
      </c>
    </row>
    <row r="2246" spans="1:28" x14ac:dyDescent="0.25">
      <c r="A2246" t="s">
        <v>2250</v>
      </c>
      <c r="B2246">
        <v>0.99904790336628502</v>
      </c>
      <c r="C2246">
        <v>0.989332457588181</v>
      </c>
      <c r="D2246">
        <v>0.97076567021210602</v>
      </c>
      <c r="E2246">
        <v>0.91283060355788503</v>
      </c>
      <c r="F2246">
        <v>0.76940450662339799</v>
      </c>
      <c r="G2246">
        <v>0.28421872635530498</v>
      </c>
      <c r="H2246">
        <v>0.13921231977654899</v>
      </c>
      <c r="I2246">
        <v>9.4341755948113698E-2</v>
      </c>
      <c r="J2246">
        <v>9.6904116939661306E-2</v>
      </c>
      <c r="K2246">
        <v>9.6571043837709605E-2</v>
      </c>
      <c r="L2246">
        <v>1652.8753916410401</v>
      </c>
      <c r="M2246">
        <v>30.223247459345998</v>
      </c>
      <c r="N2246">
        <v>55.056912237485101</v>
      </c>
      <c r="O2246">
        <v>54.4511244846789</v>
      </c>
      <c r="P2246">
        <v>-0.126071895030713</v>
      </c>
      <c r="Q2246">
        <v>9.1465872236238796E-2</v>
      </c>
      <c r="R2246">
        <v>0.99818128445824905</v>
      </c>
      <c r="S2246" t="s">
        <v>6986</v>
      </c>
      <c r="T2246" t="s">
        <v>9478</v>
      </c>
      <c r="U2246" t="s">
        <v>9478</v>
      </c>
      <c r="V2246" t="s">
        <v>9478</v>
      </c>
      <c r="W2246">
        <v>7</v>
      </c>
      <c r="X2246" t="s">
        <v>11724</v>
      </c>
      <c r="Y2246">
        <v>0.54223712609569419</v>
      </c>
      <c r="Z2246" t="str">
        <f>HYPERLINK("Melting_Curves/meltCurve_sp_Q6GMV2_SMYD5_HUMAN_.pdf", "Melting_Curves/meltCurve_sp_Q6GMV2_SMYD5_HUMAN_.pdf")</f>
        <v>Melting_Curves/meltCurve_sp_Q6GMV2_SMYD5_HUMAN_.pdf</v>
      </c>
      <c r="AA2246" t="s">
        <v>16421</v>
      </c>
      <c r="AB2246" t="s">
        <v>21080</v>
      </c>
    </row>
    <row r="2247" spans="1:28" x14ac:dyDescent="0.25">
      <c r="A2247" t="s">
        <v>2251</v>
      </c>
      <c r="B2247">
        <v>0.99904790336628502</v>
      </c>
      <c r="C2247">
        <v>0.96715525087074505</v>
      </c>
      <c r="D2247">
        <v>0.91485961955444295</v>
      </c>
      <c r="E2247">
        <v>0.85400043914116397</v>
      </c>
      <c r="F2247">
        <v>0.83749647676364602</v>
      </c>
      <c r="G2247">
        <v>0.64734016861395205</v>
      </c>
      <c r="H2247">
        <v>0.48742323235694701</v>
      </c>
      <c r="I2247">
        <v>0.314433106033781</v>
      </c>
      <c r="J2247">
        <v>0.22890269147662101</v>
      </c>
      <c r="K2247">
        <v>0.15338885825833701</v>
      </c>
      <c r="L2247">
        <v>657.22971519679299</v>
      </c>
      <c r="M2247">
        <v>10.9611102238415</v>
      </c>
      <c r="N2247">
        <v>59.960141075775198</v>
      </c>
      <c r="O2247">
        <v>58.068032444725901</v>
      </c>
      <c r="P2247">
        <v>-4.72069480332565E-2</v>
      </c>
      <c r="Q2247">
        <v>0</v>
      </c>
      <c r="R2247">
        <v>0.99153075834996096</v>
      </c>
      <c r="S2247" t="s">
        <v>6987</v>
      </c>
      <c r="T2247" t="s">
        <v>9478</v>
      </c>
      <c r="U2247" t="s">
        <v>9478</v>
      </c>
      <c r="V2247" t="s">
        <v>9478</v>
      </c>
      <c r="W2247">
        <v>6</v>
      </c>
      <c r="X2247" t="s">
        <v>11725</v>
      </c>
      <c r="Y2247">
        <v>0.66513357089034175</v>
      </c>
      <c r="Z2247" t="str">
        <f>HYPERLINK("Melting_Curves/meltCurve_sp_Q6GMV3_PTRD1_HUMAN_.pdf", "Melting_Curves/meltCurve_sp_Q6GMV3_PTRD1_HUMAN_.pdf")</f>
        <v>Melting_Curves/meltCurve_sp_Q6GMV3_PTRD1_HUMAN_.pdf</v>
      </c>
      <c r="AA2247" t="s">
        <v>16422</v>
      </c>
      <c r="AB2247" t="s">
        <v>21081</v>
      </c>
    </row>
    <row r="2248" spans="1:28" x14ac:dyDescent="0.25">
      <c r="A2248" t="s">
        <v>2252</v>
      </c>
      <c r="B2248">
        <v>0.99904790336628502</v>
      </c>
      <c r="C2248">
        <v>1.0153966528957099</v>
      </c>
      <c r="D2248">
        <v>0.89684848777044002</v>
      </c>
      <c r="E2248">
        <v>0.69387658764715199</v>
      </c>
      <c r="F2248">
        <v>0.643513385753264</v>
      </c>
      <c r="G2248">
        <v>0.35231077337842698</v>
      </c>
      <c r="H2248">
        <v>0.325543915789893</v>
      </c>
      <c r="I2248">
        <v>0.340672641546092</v>
      </c>
      <c r="J2248">
        <v>0.44095088634934299</v>
      </c>
      <c r="K2248">
        <v>0.46629321110514799</v>
      </c>
      <c r="L2248">
        <v>1027.8597656234001</v>
      </c>
      <c r="M2248">
        <v>20.341302851046599</v>
      </c>
      <c r="N2248">
        <v>54.3241061962405</v>
      </c>
      <c r="O2248">
        <v>50.049911141192702</v>
      </c>
      <c r="P2248">
        <v>-6.3078932544165495E-2</v>
      </c>
      <c r="Q2248">
        <v>0.37919437527758498</v>
      </c>
      <c r="R2248">
        <v>0.94694916399118501</v>
      </c>
      <c r="S2248" t="s">
        <v>6988</v>
      </c>
      <c r="T2248" t="s">
        <v>9478</v>
      </c>
      <c r="U2248" t="s">
        <v>9478</v>
      </c>
      <c r="V2248" t="s">
        <v>9478</v>
      </c>
      <c r="W2248">
        <v>6</v>
      </c>
      <c r="X2248" t="s">
        <v>11726</v>
      </c>
      <c r="Y2248">
        <v>0.60546423041069164</v>
      </c>
      <c r="Z2248" t="str">
        <f>HYPERLINK("Melting_Curves/meltCurve_sp_Q6GQQ9_2_OTU7B_HUMAN_.pdf", "Melting_Curves/meltCurve_sp_Q6GQQ9_2_OTU7B_HUMAN_.pdf")</f>
        <v>Melting_Curves/meltCurve_sp_Q6GQQ9_2_OTU7B_HUMAN_.pdf</v>
      </c>
      <c r="AA2248" t="s">
        <v>16423</v>
      </c>
      <c r="AB2248" t="s">
        <v>21082</v>
      </c>
    </row>
    <row r="2249" spans="1:28" x14ac:dyDescent="0.25">
      <c r="A2249" t="s">
        <v>2253</v>
      </c>
      <c r="B2249">
        <v>0.99904790336628502</v>
      </c>
      <c r="C2249">
        <v>0.97127638856319298</v>
      </c>
      <c r="D2249">
        <v>1.02877811467735</v>
      </c>
      <c r="E2249">
        <v>1.12769156471062</v>
      </c>
      <c r="F2249">
        <v>1.24849185869912</v>
      </c>
      <c r="G2249">
        <v>0.90946484130351002</v>
      </c>
      <c r="H2249">
        <v>0.78948524071003301</v>
      </c>
      <c r="I2249">
        <v>0.835474476516611</v>
      </c>
      <c r="J2249">
        <v>0.63906333092704903</v>
      </c>
      <c r="K2249">
        <v>0.34355221310746298</v>
      </c>
      <c r="L2249">
        <v>1282.40384084982</v>
      </c>
      <c r="M2249">
        <v>18.7712409723711</v>
      </c>
      <c r="N2249">
        <v>68.317477945326203</v>
      </c>
      <c r="O2249">
        <v>67.556294324325904</v>
      </c>
      <c r="P2249">
        <v>-6.94680846551195E-2</v>
      </c>
      <c r="Q2249">
        <v>0</v>
      </c>
      <c r="R2249">
        <v>0.82035199764261502</v>
      </c>
      <c r="S2249" t="s">
        <v>6989</v>
      </c>
      <c r="T2249" t="s">
        <v>9478</v>
      </c>
      <c r="U2249" t="s">
        <v>9478</v>
      </c>
      <c r="V2249" t="s">
        <v>9478</v>
      </c>
      <c r="W2249">
        <v>2</v>
      </c>
      <c r="X2249" t="s">
        <v>11727</v>
      </c>
      <c r="Y2249">
        <v>0.89380505481082984</v>
      </c>
      <c r="Z2249" t="str">
        <f>HYPERLINK("Melting_Curves/meltCurve_sp_Q6GYQ0_4_RGPA1_HUMAN_.pdf", "Melting_Curves/meltCurve_sp_Q6GYQ0_4_RGPA1_HUMAN_.pdf")</f>
        <v>Melting_Curves/meltCurve_sp_Q6GYQ0_4_RGPA1_HUMAN_.pdf</v>
      </c>
      <c r="AA2249" t="s">
        <v>16424</v>
      </c>
      <c r="AB2249" t="s">
        <v>21083</v>
      </c>
    </row>
    <row r="2250" spans="1:28" x14ac:dyDescent="0.25">
      <c r="A2250" t="s">
        <v>2254</v>
      </c>
      <c r="B2250">
        <v>0.99904790336628502</v>
      </c>
      <c r="C2250">
        <v>0.89971745188882801</v>
      </c>
      <c r="D2250">
        <v>0.879319566578461</v>
      </c>
      <c r="E2250">
        <v>0.68213550228440301</v>
      </c>
      <c r="F2250">
        <v>0.421613659044206</v>
      </c>
      <c r="G2250">
        <v>0.33324396803587603</v>
      </c>
      <c r="H2250">
        <v>0.16773645636720499</v>
      </c>
      <c r="I2250">
        <v>3.9828945997901197E-2</v>
      </c>
      <c r="J2250">
        <v>3.9177973951047801E-2</v>
      </c>
      <c r="K2250">
        <v>2.6099928436171201E-2</v>
      </c>
      <c r="L2250">
        <v>675.15054797650998</v>
      </c>
      <c r="M2250">
        <v>12.8352315370715</v>
      </c>
      <c r="N2250">
        <v>52.6013678872932</v>
      </c>
      <c r="O2250">
        <v>51.373573117548098</v>
      </c>
      <c r="P2250">
        <v>-6.2471883331990802E-2</v>
      </c>
      <c r="Q2250">
        <v>0</v>
      </c>
      <c r="R2250">
        <v>0.98967225014980897</v>
      </c>
      <c r="S2250" t="s">
        <v>6990</v>
      </c>
      <c r="T2250" t="s">
        <v>9478</v>
      </c>
      <c r="U2250" t="s">
        <v>9478</v>
      </c>
      <c r="V2250" t="s">
        <v>9478</v>
      </c>
      <c r="W2250">
        <v>4</v>
      </c>
      <c r="X2250" t="s">
        <v>11728</v>
      </c>
      <c r="Y2250">
        <v>0.44706449018516359</v>
      </c>
      <c r="Z2250" t="str">
        <f>HYPERLINK("Melting_Curves/meltCurve_sp_Q6IA69_NADE_HUMAN_.pdf", "Melting_Curves/meltCurve_sp_Q6IA69_NADE_HUMAN_.pdf")</f>
        <v>Melting_Curves/meltCurve_sp_Q6IA69_NADE_HUMAN_.pdf</v>
      </c>
      <c r="AA2250" t="s">
        <v>16425</v>
      </c>
      <c r="AB2250" t="s">
        <v>21084</v>
      </c>
    </row>
    <row r="2251" spans="1:28" x14ac:dyDescent="0.25">
      <c r="A2251" t="s">
        <v>2255</v>
      </c>
      <c r="B2251">
        <v>0.99904790336628502</v>
      </c>
      <c r="C2251">
        <v>1.04068338042324</v>
      </c>
      <c r="D2251">
        <v>1.0973823326334999</v>
      </c>
      <c r="E2251">
        <v>0.85059005863818005</v>
      </c>
      <c r="F2251">
        <v>0.535567780709022</v>
      </c>
      <c r="G2251">
        <v>0.222332394457639</v>
      </c>
      <c r="H2251">
        <v>0.11180830503197201</v>
      </c>
      <c r="I2251">
        <v>7.6513889366251697E-2</v>
      </c>
      <c r="J2251">
        <v>7.4027421121227899E-2</v>
      </c>
      <c r="K2251">
        <v>7.2848839327958395E-2</v>
      </c>
      <c r="L2251">
        <v>1460.61751468701</v>
      </c>
      <c r="M2251">
        <v>27.512805839523601</v>
      </c>
      <c r="N2251">
        <v>53.416949259807701</v>
      </c>
      <c r="O2251">
        <v>52.810551758594499</v>
      </c>
      <c r="P2251">
        <v>-0.120112909410758</v>
      </c>
      <c r="Q2251">
        <v>7.7786454488070297E-2</v>
      </c>
      <c r="R2251">
        <v>0.99162727584188903</v>
      </c>
      <c r="S2251" t="s">
        <v>6991</v>
      </c>
      <c r="T2251" t="s">
        <v>9478</v>
      </c>
      <c r="U2251" t="s">
        <v>9478</v>
      </c>
      <c r="V2251" t="s">
        <v>9478</v>
      </c>
      <c r="W2251">
        <v>7</v>
      </c>
      <c r="X2251" t="s">
        <v>11729</v>
      </c>
      <c r="Y2251">
        <v>0.48722035672817721</v>
      </c>
      <c r="Z2251" t="str">
        <f>HYPERLINK("Melting_Curves/meltCurve_sp_Q6IA86_2_ELP2_HUMAN_.pdf", "Melting_Curves/meltCurve_sp_Q6IA86_2_ELP2_HUMAN_.pdf")</f>
        <v>Melting_Curves/meltCurve_sp_Q6IA86_2_ELP2_HUMAN_.pdf</v>
      </c>
      <c r="AA2251" t="s">
        <v>16426</v>
      </c>
      <c r="AB2251" t="s">
        <v>21085</v>
      </c>
    </row>
    <row r="2252" spans="1:28" x14ac:dyDescent="0.25">
      <c r="A2252" t="s">
        <v>2256</v>
      </c>
      <c r="B2252">
        <v>0.99904790336628502</v>
      </c>
      <c r="C2252">
        <v>0.73282932065413497</v>
      </c>
      <c r="D2252">
        <v>0.84699978427467204</v>
      </c>
      <c r="E2252">
        <v>0.68491607706711999</v>
      </c>
      <c r="F2252">
        <v>0.34934236309327599</v>
      </c>
      <c r="G2252">
        <v>0.140217584087488</v>
      </c>
      <c r="H2252">
        <v>7.0996104626830703E-2</v>
      </c>
      <c r="I2252">
        <v>4.1144517561122897E-2</v>
      </c>
      <c r="J2252">
        <v>3.54363956560751E-2</v>
      </c>
      <c r="K2252">
        <v>3.0347314883015099E-2</v>
      </c>
      <c r="L2252">
        <v>726.69681129813603</v>
      </c>
      <c r="M2252">
        <v>14.2091524684141</v>
      </c>
      <c r="N2252">
        <v>51.142868215438803</v>
      </c>
      <c r="O2252">
        <v>50.161884964064598</v>
      </c>
      <c r="P2252">
        <v>-7.0825344493974901E-2</v>
      </c>
      <c r="Q2252">
        <v>0</v>
      </c>
      <c r="R2252">
        <v>0.95647750636048301</v>
      </c>
      <c r="S2252" t="s">
        <v>6992</v>
      </c>
      <c r="T2252" t="s">
        <v>9478</v>
      </c>
      <c r="U2252" t="s">
        <v>9478</v>
      </c>
      <c r="V2252" t="s">
        <v>9478</v>
      </c>
      <c r="W2252">
        <v>14</v>
      </c>
      <c r="X2252" t="s">
        <v>11730</v>
      </c>
      <c r="Y2252">
        <v>0.3965258188498294</v>
      </c>
      <c r="Z2252" t="str">
        <f>HYPERLINK("Melting_Curves/meltCurve_sp_Q6IB77_GLYAT_HUMAN_.pdf", "Melting_Curves/meltCurve_sp_Q6IB77_GLYAT_HUMAN_.pdf")</f>
        <v>Melting_Curves/meltCurve_sp_Q6IB77_GLYAT_HUMAN_.pdf</v>
      </c>
      <c r="AA2252" t="s">
        <v>16427</v>
      </c>
      <c r="AB2252" t="s">
        <v>21086</v>
      </c>
    </row>
    <row r="2253" spans="1:28" x14ac:dyDescent="0.25">
      <c r="A2253" t="s">
        <v>2257</v>
      </c>
      <c r="B2253">
        <v>0.99904790336628502</v>
      </c>
      <c r="C2253">
        <v>0.94368729490724301</v>
      </c>
      <c r="D2253">
        <v>0.92056521869987595</v>
      </c>
      <c r="E2253">
        <v>0.91476480703111496</v>
      </c>
      <c r="F2253">
        <v>0.79307780921980398</v>
      </c>
      <c r="G2253">
        <v>0.492052345968232</v>
      </c>
      <c r="H2253">
        <v>0.12397293252428</v>
      </c>
      <c r="I2253">
        <v>5.5531105494472502E-2</v>
      </c>
      <c r="J2253">
        <v>4.0091370068705397E-2</v>
      </c>
      <c r="K2253">
        <v>2.2920975496438099E-2</v>
      </c>
      <c r="L2253">
        <v>1216.0579559059099</v>
      </c>
      <c r="M2253">
        <v>21.5382783612834</v>
      </c>
      <c r="N2253">
        <v>56.460313729463898</v>
      </c>
      <c r="O2253">
        <v>55.9803710854193</v>
      </c>
      <c r="P2253">
        <v>-9.6189094675600703E-2</v>
      </c>
      <c r="Q2253">
        <v>0</v>
      </c>
      <c r="R2253">
        <v>0.99197760487991604</v>
      </c>
      <c r="S2253" t="s">
        <v>6993</v>
      </c>
      <c r="T2253" t="s">
        <v>9478</v>
      </c>
      <c r="U2253" t="s">
        <v>9478</v>
      </c>
      <c r="V2253" t="s">
        <v>9478</v>
      </c>
      <c r="W2253">
        <v>15</v>
      </c>
      <c r="X2253" t="s">
        <v>11731</v>
      </c>
      <c r="Y2253">
        <v>0.56009625842225375</v>
      </c>
      <c r="Z2253" t="str">
        <f>HYPERLINK("Melting_Curves/meltCurve_sp_Q6IBS0_TWF2_HUMAN_.pdf", "Melting_Curves/meltCurve_sp_Q6IBS0_TWF2_HUMAN_.pdf")</f>
        <v>Melting_Curves/meltCurve_sp_Q6IBS0_TWF2_HUMAN_.pdf</v>
      </c>
      <c r="AA2253" t="s">
        <v>16428</v>
      </c>
      <c r="AB2253" t="s">
        <v>21087</v>
      </c>
    </row>
    <row r="2254" spans="1:28" x14ac:dyDescent="0.25">
      <c r="A2254" t="s">
        <v>2258</v>
      </c>
      <c r="B2254">
        <v>0.99904790336628502</v>
      </c>
      <c r="C2254">
        <v>0.86868685317204197</v>
      </c>
      <c r="D2254">
        <v>0.753438556292924</v>
      </c>
      <c r="E2254">
        <v>0.57803661434291798</v>
      </c>
      <c r="F2254">
        <v>0.48646835106805902</v>
      </c>
      <c r="G2254">
        <v>0.25198873484288098</v>
      </c>
      <c r="H2254">
        <v>0.18384261894342099</v>
      </c>
      <c r="I2254">
        <v>0.155259635786064</v>
      </c>
      <c r="J2254">
        <v>0.13312703840496101</v>
      </c>
      <c r="K2254">
        <v>0.12986976161788999</v>
      </c>
      <c r="L2254">
        <v>554.17196962147295</v>
      </c>
      <c r="M2254">
        <v>10.890442821291</v>
      </c>
      <c r="N2254">
        <v>51.573625018134699</v>
      </c>
      <c r="O2254">
        <v>49.260522435922901</v>
      </c>
      <c r="P2254">
        <v>-5.1553241310212897E-2</v>
      </c>
      <c r="Q2254">
        <v>6.7568247729104303E-2</v>
      </c>
      <c r="R2254">
        <v>0.99218267150924599</v>
      </c>
      <c r="S2254" t="s">
        <v>6994</v>
      </c>
      <c r="T2254" t="s">
        <v>9478</v>
      </c>
      <c r="U2254" t="s">
        <v>9478</v>
      </c>
      <c r="V2254" t="s">
        <v>9478</v>
      </c>
      <c r="W2254">
        <v>3</v>
      </c>
      <c r="X2254" t="s">
        <v>11732</v>
      </c>
      <c r="Y2254">
        <v>0.44097944281515189</v>
      </c>
      <c r="Z2254" t="str">
        <f>HYPERLINK("Melting_Curves/meltCurve_sp_Q6IC98_GRAM4_HUMAN_.pdf", "Melting_Curves/meltCurve_sp_Q6IC98_GRAM4_HUMAN_.pdf")</f>
        <v>Melting_Curves/meltCurve_sp_Q6IC98_GRAM4_HUMAN_.pdf</v>
      </c>
      <c r="AA2254" t="s">
        <v>16429</v>
      </c>
      <c r="AB2254" t="s">
        <v>21088</v>
      </c>
    </row>
    <row r="2255" spans="1:28" x14ac:dyDescent="0.25">
      <c r="A2255" t="s">
        <v>2259</v>
      </c>
      <c r="B2255">
        <v>0.99904790336628502</v>
      </c>
      <c r="C2255">
        <v>0.95295704855917396</v>
      </c>
      <c r="D2255">
        <v>0.897833559084108</v>
      </c>
      <c r="E2255">
        <v>0.815754890655082</v>
      </c>
      <c r="F2255">
        <v>0.68491439498404505</v>
      </c>
      <c r="G2255">
        <v>0.44841301976181402</v>
      </c>
      <c r="H2255">
        <v>0.160829310463042</v>
      </c>
      <c r="I2255">
        <v>0.13039722517065899</v>
      </c>
      <c r="J2255">
        <v>5.7565313441166298E-2</v>
      </c>
      <c r="K2255">
        <v>0.28150516875093601</v>
      </c>
      <c r="L2255">
        <v>931.849378211155</v>
      </c>
      <c r="M2255">
        <v>17.112088072898501</v>
      </c>
      <c r="N2255">
        <v>55.264536138831602</v>
      </c>
      <c r="O2255">
        <v>53.7282535793073</v>
      </c>
      <c r="P2255">
        <v>-7.0806608210711594E-2</v>
      </c>
      <c r="Q2255">
        <v>0.110783818841689</v>
      </c>
      <c r="R2255">
        <v>0.96086325008003004</v>
      </c>
      <c r="S2255" t="s">
        <v>6995</v>
      </c>
      <c r="T2255" t="s">
        <v>9478</v>
      </c>
      <c r="U2255" t="s">
        <v>9478</v>
      </c>
      <c r="V2255" t="s">
        <v>9478</v>
      </c>
      <c r="W2255">
        <v>3</v>
      </c>
      <c r="X2255" t="s">
        <v>11733</v>
      </c>
      <c r="Y2255">
        <v>0.5543114570963632</v>
      </c>
      <c r="Z2255" t="str">
        <f>HYPERLINK("Melting_Curves/meltCurve_sp_Q6ICG6_3_K0930_HUMAN_.pdf", "Melting_Curves/meltCurve_sp_Q6ICG6_3_K0930_HUMAN_.pdf")</f>
        <v>Melting_Curves/meltCurve_sp_Q6ICG6_3_K0930_HUMAN_.pdf</v>
      </c>
      <c r="AA2255" t="s">
        <v>16430</v>
      </c>
      <c r="AB2255" t="s">
        <v>21089</v>
      </c>
    </row>
    <row r="2256" spans="1:28" x14ac:dyDescent="0.25">
      <c r="A2256" t="s">
        <v>2260</v>
      </c>
      <c r="B2256">
        <v>0.99904790336628502</v>
      </c>
      <c r="C2256">
        <v>1.02030433746112</v>
      </c>
      <c r="D2256">
        <v>1.0595132401455101</v>
      </c>
      <c r="E2256">
        <v>0.88716914533356594</v>
      </c>
      <c r="F2256">
        <v>0.65992823608093099</v>
      </c>
      <c r="G2256">
        <v>0.438855982028516</v>
      </c>
      <c r="H2256">
        <v>0.18650888844025901</v>
      </c>
      <c r="I2256">
        <v>0.13568014764241501</v>
      </c>
      <c r="J2256">
        <v>0.12524224232452799</v>
      </c>
      <c r="K2256">
        <v>0.121735672915933</v>
      </c>
      <c r="L2256">
        <v>1073.56910666517</v>
      </c>
      <c r="M2256">
        <v>19.551172506863701</v>
      </c>
      <c r="N2256">
        <v>55.522461146182899</v>
      </c>
      <c r="O2256">
        <v>54.3459487242093</v>
      </c>
      <c r="P2256">
        <v>-8.1226929225108699E-2</v>
      </c>
      <c r="Q2256">
        <v>9.68936553761712E-2</v>
      </c>
      <c r="R2256">
        <v>0.99222102779600396</v>
      </c>
      <c r="S2256" t="s">
        <v>6996</v>
      </c>
      <c r="T2256" t="s">
        <v>9478</v>
      </c>
      <c r="U2256" t="s">
        <v>9478</v>
      </c>
      <c r="V2256" t="s">
        <v>9478</v>
      </c>
      <c r="W2256">
        <v>14</v>
      </c>
      <c r="X2256" t="s">
        <v>11734</v>
      </c>
      <c r="Y2256">
        <v>0.5582267538907586</v>
      </c>
      <c r="Z2256" t="str">
        <f>HYPERLINK("Melting_Curves/meltCurve_sp_Q6IN85_2_P4R3A_HUMAN_.pdf", "Melting_Curves/meltCurve_sp_Q6IN85_2_P4R3A_HUMAN_.pdf")</f>
        <v>Melting_Curves/meltCurve_sp_Q6IN85_2_P4R3A_HUMAN_.pdf</v>
      </c>
      <c r="AA2256" t="s">
        <v>16431</v>
      </c>
      <c r="AB2256" t="s">
        <v>21090</v>
      </c>
    </row>
    <row r="2257" spans="1:28" x14ac:dyDescent="0.25">
      <c r="A2257" t="s">
        <v>2261</v>
      </c>
      <c r="B2257">
        <v>0.99904790336628502</v>
      </c>
      <c r="C2257">
        <v>0.84412908076001703</v>
      </c>
      <c r="D2257">
        <v>0.87418862699204303</v>
      </c>
      <c r="E2257">
        <v>0.73430302765677202</v>
      </c>
      <c r="F2257">
        <v>0.46244727176303402</v>
      </c>
      <c r="G2257">
        <v>0.180431523654148</v>
      </c>
      <c r="H2257">
        <v>6.4158680238520102E-2</v>
      </c>
      <c r="I2257">
        <v>3.4741147826584398E-2</v>
      </c>
      <c r="J2257">
        <v>2.2131950086265499E-2</v>
      </c>
      <c r="K2257">
        <v>1.22677084352226E-2</v>
      </c>
      <c r="L2257">
        <v>878.05128807850497</v>
      </c>
      <c r="M2257">
        <v>16.7618937487644</v>
      </c>
      <c r="N2257">
        <v>52.383777096344403</v>
      </c>
      <c r="O2257">
        <v>51.655222104820197</v>
      </c>
      <c r="P2257">
        <v>-8.1129206503286505E-2</v>
      </c>
      <c r="Q2257">
        <v>0</v>
      </c>
      <c r="R2257">
        <v>0.98508974994578102</v>
      </c>
      <c r="S2257" t="s">
        <v>6997</v>
      </c>
      <c r="T2257" t="s">
        <v>9478</v>
      </c>
      <c r="U2257" t="s">
        <v>9478</v>
      </c>
      <c r="V2257" t="s">
        <v>9478</v>
      </c>
      <c r="W2257">
        <v>3</v>
      </c>
      <c r="X2257" t="s">
        <v>11735</v>
      </c>
      <c r="Y2257">
        <v>0.43138126343369387</v>
      </c>
      <c r="Z2257" t="str">
        <f>HYPERLINK("Melting_Curves/meltCurve_sp_Q6IPR1_LYRM5_HUMAN_.pdf", "Melting_Curves/meltCurve_sp_Q6IPR1_LYRM5_HUMAN_.pdf")</f>
        <v>Melting_Curves/meltCurve_sp_Q6IPR1_LYRM5_HUMAN_.pdf</v>
      </c>
      <c r="AA2257" t="s">
        <v>16432</v>
      </c>
      <c r="AB2257" t="s">
        <v>21091</v>
      </c>
    </row>
    <row r="2258" spans="1:28" x14ac:dyDescent="0.25">
      <c r="A2258" t="s">
        <v>2262</v>
      </c>
      <c r="B2258">
        <v>0.99904790336628502</v>
      </c>
      <c r="C2258">
        <v>0.95291206039822396</v>
      </c>
      <c r="D2258">
        <v>0.90876873656243196</v>
      </c>
      <c r="E2258">
        <v>0.72518640410134205</v>
      </c>
      <c r="F2258">
        <v>0.54650469586801798</v>
      </c>
      <c r="G2258">
        <v>0.35749529263947999</v>
      </c>
      <c r="H2258">
        <v>0.184648082198</v>
      </c>
      <c r="I2258">
        <v>0.137503221469786</v>
      </c>
      <c r="J2258">
        <v>8.1997842083005201E-2</v>
      </c>
      <c r="K2258">
        <v>6.70734500267057E-2</v>
      </c>
      <c r="L2258">
        <v>678.61144335849497</v>
      </c>
      <c r="M2258">
        <v>12.6002124760115</v>
      </c>
      <c r="N2258">
        <v>53.964095041927798</v>
      </c>
      <c r="O2258">
        <v>52.554599649258897</v>
      </c>
      <c r="P2258">
        <v>-5.9211337224076503E-2</v>
      </c>
      <c r="Q2258">
        <v>1.23317312794972E-2</v>
      </c>
      <c r="R2258">
        <v>0.99924537628089805</v>
      </c>
      <c r="S2258" t="s">
        <v>6998</v>
      </c>
      <c r="T2258" t="s">
        <v>9478</v>
      </c>
      <c r="U2258" t="s">
        <v>9478</v>
      </c>
      <c r="V2258" t="s">
        <v>9478</v>
      </c>
      <c r="W2258">
        <v>1</v>
      </c>
      <c r="X2258" t="s">
        <v>11736</v>
      </c>
      <c r="Y2258">
        <v>0.49345558024338743</v>
      </c>
      <c r="Z2258" t="str">
        <f>HYPERLINK("Melting_Curves/meltCurve_sp_Q6IQ22_RAB12_HUMAN_.pdf", "Melting_Curves/meltCurve_sp_Q6IQ22_RAB12_HUMAN_.pdf")</f>
        <v>Melting_Curves/meltCurve_sp_Q6IQ22_RAB12_HUMAN_.pdf</v>
      </c>
      <c r="AA2258" t="s">
        <v>16433</v>
      </c>
      <c r="AB2258" t="s">
        <v>21092</v>
      </c>
    </row>
    <row r="2259" spans="1:28" x14ac:dyDescent="0.25">
      <c r="A2259" t="s">
        <v>2263</v>
      </c>
      <c r="B2259">
        <v>0.99904790336628502</v>
      </c>
      <c r="C2259">
        <v>0.72431638587698299</v>
      </c>
      <c r="D2259">
        <v>0.91086088811594002</v>
      </c>
      <c r="E2259">
        <v>0.78019497584791397</v>
      </c>
      <c r="F2259">
        <v>0.80639247124671598</v>
      </c>
      <c r="G2259">
        <v>0.65516521477970502</v>
      </c>
      <c r="H2259">
        <v>0.59725321028751099</v>
      </c>
      <c r="I2259">
        <v>0.449168331324106</v>
      </c>
      <c r="J2259">
        <v>0.43616944119530099</v>
      </c>
      <c r="K2259">
        <v>0.46738733528094001</v>
      </c>
      <c r="L2259">
        <v>279.60753402776402</v>
      </c>
      <c r="M2259">
        <v>4.2896373026091297</v>
      </c>
      <c r="N2259">
        <v>65.182092291199098</v>
      </c>
      <c r="O2259">
        <v>54.658696971074697</v>
      </c>
      <c r="P2259">
        <v>-1.9821122663383199E-2</v>
      </c>
      <c r="Q2259">
        <v>0</v>
      </c>
      <c r="R2259">
        <v>0.84726845369377102</v>
      </c>
      <c r="S2259" t="s">
        <v>6999</v>
      </c>
      <c r="T2259" t="s">
        <v>9478</v>
      </c>
      <c r="U2259" t="s">
        <v>9478</v>
      </c>
      <c r="V2259" t="s">
        <v>9478</v>
      </c>
      <c r="W2259">
        <v>12</v>
      </c>
      <c r="X2259" t="s">
        <v>11737</v>
      </c>
      <c r="Y2259">
        <v>0.68758965266955319</v>
      </c>
      <c r="Z2259" t="str">
        <f>HYPERLINK("Melting_Curves/meltCurve_sp_Q6IQ23_2_PKHA7_HUMAN_.pdf", "Melting_Curves/meltCurve_sp_Q6IQ23_2_PKHA7_HUMAN_.pdf")</f>
        <v>Melting_Curves/meltCurve_sp_Q6IQ23_2_PKHA7_HUMAN_.pdf</v>
      </c>
      <c r="AA2259" t="s">
        <v>16434</v>
      </c>
      <c r="AB2259" t="s">
        <v>21093</v>
      </c>
    </row>
    <row r="2260" spans="1:28" x14ac:dyDescent="0.25">
      <c r="A2260" t="s">
        <v>2264</v>
      </c>
      <c r="B2260">
        <v>0.99904790336628502</v>
      </c>
      <c r="C2260">
        <v>1.1369208062216101</v>
      </c>
      <c r="D2260">
        <v>1.09495911308428</v>
      </c>
      <c r="E2260">
        <v>0.93807107273871204</v>
      </c>
      <c r="F2260">
        <v>0.99935933390870002</v>
      </c>
      <c r="G2260">
        <v>0.58292430683310004</v>
      </c>
      <c r="H2260">
        <v>0.68430684291617405</v>
      </c>
      <c r="I2260">
        <v>0.55525770292795595</v>
      </c>
      <c r="J2260">
        <v>0.55472681159903203</v>
      </c>
      <c r="K2260">
        <v>0.62566698069339899</v>
      </c>
      <c r="L2260">
        <v>13584.8694846255</v>
      </c>
      <c r="M2260">
        <v>250</v>
      </c>
      <c r="O2260">
        <v>54.335980413618302</v>
      </c>
      <c r="P2260">
        <v>-0.45943767878657199</v>
      </c>
      <c r="Q2260">
        <v>0.60057590396812599</v>
      </c>
      <c r="R2260">
        <v>0.91378427626279002</v>
      </c>
      <c r="S2260" t="s">
        <v>7000</v>
      </c>
      <c r="T2260" t="s">
        <v>9478</v>
      </c>
      <c r="U2260" t="s">
        <v>9478</v>
      </c>
      <c r="V2260" t="s">
        <v>9478</v>
      </c>
      <c r="W2260">
        <v>2</v>
      </c>
      <c r="X2260" t="s">
        <v>11738</v>
      </c>
      <c r="Y2260">
        <v>0.79153176212748089</v>
      </c>
      <c r="Z2260" t="str">
        <f>HYPERLINK("Melting_Curves/meltCurve_sp_Q6IQ49_3_SDE2_HUMAN_.pdf", "Melting_Curves/meltCurve_sp_Q6IQ49_3_SDE2_HUMAN_.pdf")</f>
        <v>Melting_Curves/meltCurve_sp_Q6IQ49_3_SDE2_HUMAN_.pdf</v>
      </c>
      <c r="AA2260" t="s">
        <v>16435</v>
      </c>
      <c r="AB2260" t="s">
        <v>21094</v>
      </c>
    </row>
    <row r="2261" spans="1:28" x14ac:dyDescent="0.25">
      <c r="A2261" t="s">
        <v>2265</v>
      </c>
      <c r="B2261">
        <v>0.99904790336628502</v>
      </c>
      <c r="C2261">
        <v>1.36010377088181</v>
      </c>
      <c r="D2261">
        <v>1.62501472535862</v>
      </c>
      <c r="E2261">
        <v>1.0862110265335601</v>
      </c>
      <c r="F2261">
        <v>1.63606494249586</v>
      </c>
      <c r="G2261">
        <v>1.2160752608377099</v>
      </c>
      <c r="H2261">
        <v>0.45517099139962403</v>
      </c>
      <c r="I2261">
        <v>1.2387880529268001</v>
      </c>
      <c r="J2261">
        <v>0.94719107964249705</v>
      </c>
      <c r="K2261">
        <v>1.2465666008503899</v>
      </c>
      <c r="L2261">
        <v>15000</v>
      </c>
      <c r="M2261">
        <v>214.25813336887401</v>
      </c>
      <c r="Q2261">
        <v>1.5</v>
      </c>
      <c r="R2261">
        <v>-0.24973031565551099</v>
      </c>
      <c r="S2261" t="s">
        <v>7001</v>
      </c>
      <c r="T2261" t="s">
        <v>9478</v>
      </c>
      <c r="U2261" t="s">
        <v>9478</v>
      </c>
      <c r="V2261" t="s">
        <v>9478</v>
      </c>
      <c r="W2261">
        <v>1</v>
      </c>
      <c r="X2261" t="s">
        <v>11739</v>
      </c>
      <c r="Y2261">
        <v>1.003659019395938</v>
      </c>
      <c r="Z2261" t="str">
        <f>HYPERLINK("Melting_Curves/meltCurve_sp_Q6JBY9_2_CPZIP_HUMAN_.pdf", "Melting_Curves/meltCurve_sp_Q6JBY9_2_CPZIP_HUMAN_.pdf")</f>
        <v>Melting_Curves/meltCurve_sp_Q6JBY9_2_CPZIP_HUMAN_.pdf</v>
      </c>
      <c r="AA2261" t="s">
        <v>16436</v>
      </c>
      <c r="AB2261" t="s">
        <v>21095</v>
      </c>
    </row>
    <row r="2262" spans="1:28" x14ac:dyDescent="0.25">
      <c r="A2262" t="s">
        <v>2266</v>
      </c>
      <c r="B2262">
        <v>0.99904790336628502</v>
      </c>
      <c r="C2262">
        <v>0.753909221944846</v>
      </c>
      <c r="D2262">
        <v>0.47012852248935699</v>
      </c>
      <c r="E2262">
        <v>0.30414278379767201</v>
      </c>
      <c r="F2262">
        <v>0.17118990769383</v>
      </c>
      <c r="G2262">
        <v>9.1704931661656594E-2</v>
      </c>
      <c r="H2262">
        <v>4.48457335442689E-2</v>
      </c>
      <c r="I2262">
        <v>2.9882198277057601E-2</v>
      </c>
      <c r="J2262">
        <v>2.56102369932407E-2</v>
      </c>
      <c r="K2262">
        <v>2.0881384446694899E-2</v>
      </c>
      <c r="L2262">
        <v>690.24230927420001</v>
      </c>
      <c r="M2262">
        <v>14.936682287442901</v>
      </c>
      <c r="N2262">
        <v>46.373533909919402</v>
      </c>
      <c r="O2262">
        <v>45.406642550357603</v>
      </c>
      <c r="P2262">
        <v>-8.0152146746468506E-2</v>
      </c>
      <c r="Q2262">
        <v>2.5468710063448401E-2</v>
      </c>
      <c r="R2262">
        <v>0.98724188628473097</v>
      </c>
      <c r="S2262" t="s">
        <v>7002</v>
      </c>
      <c r="T2262" t="s">
        <v>9478</v>
      </c>
      <c r="U2262" t="s">
        <v>9478</v>
      </c>
      <c r="V2262" t="s">
        <v>9478</v>
      </c>
      <c r="W2262">
        <v>21</v>
      </c>
      <c r="X2262" t="s">
        <v>11740</v>
      </c>
      <c r="Y2262">
        <v>0.25546661147148131</v>
      </c>
      <c r="Z2262" t="str">
        <f>HYPERLINK("Melting_Curves/meltCurve_sp_Q6JQN1_ACD10_HUMAN_.pdf", "Melting_Curves/meltCurve_sp_Q6JQN1_ACD10_HUMAN_.pdf")</f>
        <v>Melting_Curves/meltCurve_sp_Q6JQN1_ACD10_HUMAN_.pdf</v>
      </c>
      <c r="AA2262" t="s">
        <v>16437</v>
      </c>
      <c r="AB2262" t="s">
        <v>21096</v>
      </c>
    </row>
    <row r="2263" spans="1:28" x14ac:dyDescent="0.25">
      <c r="A2263" t="s">
        <v>2267</v>
      </c>
      <c r="B2263">
        <v>0.99904790336628502</v>
      </c>
      <c r="C2263">
        <v>1.21746921078089</v>
      </c>
      <c r="D2263">
        <v>1.3031707481653301</v>
      </c>
      <c r="E2263">
        <v>0.99578223012407296</v>
      </c>
      <c r="F2263">
        <v>0.69367144082983001</v>
      </c>
      <c r="G2263">
        <v>0.36050414895369498</v>
      </c>
      <c r="H2263">
        <v>0.1646946040285</v>
      </c>
      <c r="I2263">
        <v>0.116729143466113</v>
      </c>
      <c r="J2263">
        <v>9.7707636475088205E-2</v>
      </c>
      <c r="K2263">
        <v>8.3605202059683997E-2</v>
      </c>
      <c r="L2263">
        <v>1510.5533046706901</v>
      </c>
      <c r="M2263">
        <v>27.5511007472454</v>
      </c>
      <c r="N2263">
        <v>55.268932335269099</v>
      </c>
      <c r="O2263">
        <v>54.5409218652213</v>
      </c>
      <c r="P2263">
        <v>-0.113811565788611</v>
      </c>
      <c r="Q2263">
        <v>9.8790136233378803E-2</v>
      </c>
      <c r="R2263">
        <v>0.93202968845043399</v>
      </c>
      <c r="S2263" t="s">
        <v>7003</v>
      </c>
      <c r="T2263" t="s">
        <v>9478</v>
      </c>
      <c r="U2263" t="s">
        <v>9478</v>
      </c>
      <c r="V2263" t="s">
        <v>9478</v>
      </c>
      <c r="W2263">
        <v>3</v>
      </c>
      <c r="X2263" t="s">
        <v>11741</v>
      </c>
      <c r="Y2263">
        <v>0.55120814860435507</v>
      </c>
      <c r="Z2263" t="str">
        <f>HYPERLINK("Melting_Curves/meltCurve_sp_Q6KB66_2_K2C80_HUMAN_.pdf", "Melting_Curves/meltCurve_sp_Q6KB66_2_K2C80_HUMAN_.pdf")</f>
        <v>Melting_Curves/meltCurve_sp_Q6KB66_2_K2C80_HUMAN_.pdf</v>
      </c>
      <c r="AA2263" t="s">
        <v>16438</v>
      </c>
      <c r="AB2263" t="s">
        <v>21097</v>
      </c>
    </row>
    <row r="2264" spans="1:28" x14ac:dyDescent="0.25">
      <c r="A2264" t="s">
        <v>2268</v>
      </c>
      <c r="B2264">
        <v>0.99904790336628502</v>
      </c>
      <c r="C2264">
        <v>1.05358329107527</v>
      </c>
      <c r="D2264">
        <v>0.93956778678245301</v>
      </c>
      <c r="E2264">
        <v>1.0397128206549899</v>
      </c>
      <c r="F2264">
        <v>0.91873821713333603</v>
      </c>
      <c r="G2264">
        <v>0.74814797195747296</v>
      </c>
      <c r="H2264">
        <v>0.69637424253515601</v>
      </c>
      <c r="I2264">
        <v>0.65113425193724095</v>
      </c>
      <c r="J2264">
        <v>0.60082550829657499</v>
      </c>
      <c r="K2264">
        <v>0.73192200559804599</v>
      </c>
      <c r="L2264">
        <v>1917.38491023131</v>
      </c>
      <c r="M2264">
        <v>34.812327022070598</v>
      </c>
      <c r="O2264">
        <v>54.896961365795498</v>
      </c>
      <c r="P2264">
        <v>-5.2863065932225901E-2</v>
      </c>
      <c r="Q2264">
        <v>0.66655360582686196</v>
      </c>
      <c r="R2264">
        <v>0.92926918688161997</v>
      </c>
      <c r="S2264" t="s">
        <v>7004</v>
      </c>
      <c r="T2264" t="s">
        <v>9478</v>
      </c>
      <c r="U2264" t="s">
        <v>9478</v>
      </c>
      <c r="V2264" t="s">
        <v>9478</v>
      </c>
      <c r="W2264">
        <v>4</v>
      </c>
      <c r="X2264" t="s">
        <v>11742</v>
      </c>
      <c r="Y2264">
        <v>0.8358040077208021</v>
      </c>
      <c r="Z2264" t="str">
        <f>HYPERLINK("Melting_Curves/meltCurve_sp_Q6KC79_2_NIPBL_HUMAN_.pdf", "Melting_Curves/meltCurve_sp_Q6KC79_2_NIPBL_HUMAN_.pdf")</f>
        <v>Melting_Curves/meltCurve_sp_Q6KC79_2_NIPBL_HUMAN_.pdf</v>
      </c>
      <c r="AA2264" t="s">
        <v>16439</v>
      </c>
      <c r="AB2264" t="s">
        <v>21098</v>
      </c>
    </row>
    <row r="2265" spans="1:28" x14ac:dyDescent="0.25">
      <c r="A2265" t="s">
        <v>2269</v>
      </c>
      <c r="B2265">
        <v>0.99904790336628502</v>
      </c>
      <c r="C2265">
        <v>0.77241818259447403</v>
      </c>
      <c r="D2265">
        <v>0.72912664719783404</v>
      </c>
      <c r="E2265">
        <v>0.76037241144137802</v>
      </c>
      <c r="F2265">
        <v>0.80975941766971105</v>
      </c>
      <c r="G2265">
        <v>0.59833601958715898</v>
      </c>
      <c r="H2265">
        <v>0.48721718810101</v>
      </c>
      <c r="I2265">
        <v>0.33321310570899199</v>
      </c>
      <c r="J2265">
        <v>0.109398806419624</v>
      </c>
      <c r="K2265">
        <v>0.33926850093123501</v>
      </c>
      <c r="L2265">
        <v>374.313486531401</v>
      </c>
      <c r="M2265">
        <v>6.3878046775914497</v>
      </c>
      <c r="N2265">
        <v>58.598159927699598</v>
      </c>
      <c r="O2265">
        <v>53.645093962824802</v>
      </c>
      <c r="P2265">
        <v>-2.9845816278819999E-2</v>
      </c>
      <c r="Q2265">
        <v>0</v>
      </c>
      <c r="R2265">
        <v>0.833010566348521</v>
      </c>
      <c r="S2265" t="s">
        <v>7005</v>
      </c>
      <c r="T2265" t="s">
        <v>9478</v>
      </c>
      <c r="U2265" t="s">
        <v>9478</v>
      </c>
      <c r="V2265" t="s">
        <v>9478</v>
      </c>
      <c r="W2265">
        <v>2</v>
      </c>
      <c r="X2265" t="s">
        <v>11743</v>
      </c>
      <c r="Y2265">
        <v>0.60740923285719017</v>
      </c>
      <c r="Z2265" t="str">
        <f>HYPERLINK("Melting_Curves/meltCurve_sp_Q6N043_2_Z280D_HUMAN_.pdf", "Melting_Curves/meltCurve_sp_Q6N043_2_Z280D_HUMAN_.pdf")</f>
        <v>Melting_Curves/meltCurve_sp_Q6N043_2_Z280D_HUMAN_.pdf</v>
      </c>
      <c r="AA2265" t="s">
        <v>16440</v>
      </c>
      <c r="AB2265" t="s">
        <v>21099</v>
      </c>
    </row>
    <row r="2266" spans="1:28" x14ac:dyDescent="0.25">
      <c r="A2266" t="s">
        <v>2270</v>
      </c>
      <c r="B2266">
        <v>0.99904790336628502</v>
      </c>
      <c r="C2266">
        <v>1.17770431951928</v>
      </c>
      <c r="D2266">
        <v>0.94871008355786002</v>
      </c>
      <c r="E2266">
        <v>0.49866879489622201</v>
      </c>
      <c r="F2266">
        <v>0.225811806924996</v>
      </c>
      <c r="G2266">
        <v>0.117862516764235</v>
      </c>
      <c r="H2266">
        <v>4.78873476731582E-2</v>
      </c>
      <c r="I2266">
        <v>5.28437340243509E-2</v>
      </c>
      <c r="J2266">
        <v>1.6670667395115E-2</v>
      </c>
      <c r="K2266">
        <v>3.95719583719438E-2</v>
      </c>
      <c r="L2266">
        <v>1481.8328174953999</v>
      </c>
      <c r="M2266">
        <v>29.634771575102501</v>
      </c>
      <c r="N2266">
        <v>50.183979145698899</v>
      </c>
      <c r="O2266">
        <v>49.777137387167897</v>
      </c>
      <c r="P2266">
        <v>-0.14130227610784199</v>
      </c>
      <c r="Q2266">
        <v>5.0632006052455901E-2</v>
      </c>
      <c r="R2266">
        <v>0.979549871227261</v>
      </c>
      <c r="S2266" t="s">
        <v>7006</v>
      </c>
      <c r="T2266" t="s">
        <v>9478</v>
      </c>
      <c r="U2266" t="s">
        <v>9478</v>
      </c>
      <c r="V2266" t="s">
        <v>9478</v>
      </c>
      <c r="W2266">
        <v>4</v>
      </c>
      <c r="X2266" t="s">
        <v>11744</v>
      </c>
      <c r="Y2266">
        <v>0.37320829087777219</v>
      </c>
      <c r="Z2266" t="str">
        <f>HYPERLINK("Melting_Curves/meltCurve_sp_Q6N063_OGFD2_HUMAN_.pdf", "Melting_Curves/meltCurve_sp_Q6N063_OGFD2_HUMAN_.pdf")</f>
        <v>Melting_Curves/meltCurve_sp_Q6N063_OGFD2_HUMAN_.pdf</v>
      </c>
      <c r="AA2266" t="s">
        <v>16441</v>
      </c>
      <c r="AB2266" t="s">
        <v>21100</v>
      </c>
    </row>
    <row r="2267" spans="1:28" x14ac:dyDescent="0.25">
      <c r="A2267" t="s">
        <v>2271</v>
      </c>
      <c r="B2267">
        <v>0.99904790336628502</v>
      </c>
      <c r="C2267">
        <v>1.1062209566353001</v>
      </c>
      <c r="D2267">
        <v>1.0711335640521999</v>
      </c>
      <c r="E2267">
        <v>0.91237551949713802</v>
      </c>
      <c r="F2267">
        <v>0.94150897857927796</v>
      </c>
      <c r="G2267">
        <v>0.69016109268947001</v>
      </c>
      <c r="H2267">
        <v>0.55536593433133497</v>
      </c>
      <c r="I2267">
        <v>0.47424453368527603</v>
      </c>
      <c r="J2267">
        <v>0.34856742256911899</v>
      </c>
      <c r="K2267">
        <v>0.35282392286223502</v>
      </c>
      <c r="L2267">
        <v>974.93151754248595</v>
      </c>
      <c r="M2267">
        <v>16.649459308097899</v>
      </c>
      <c r="N2267">
        <v>62.080024702765002</v>
      </c>
      <c r="O2267">
        <v>57.731165888397697</v>
      </c>
      <c r="P2267">
        <v>-5.0064240065728197E-2</v>
      </c>
      <c r="Q2267">
        <v>0.30566559976498903</v>
      </c>
      <c r="R2267">
        <v>0.96682125675399699</v>
      </c>
      <c r="S2267" t="s">
        <v>7007</v>
      </c>
      <c r="T2267" t="s">
        <v>9478</v>
      </c>
      <c r="U2267" t="s">
        <v>9478</v>
      </c>
      <c r="V2267" t="s">
        <v>9478</v>
      </c>
      <c r="W2267">
        <v>4</v>
      </c>
      <c r="X2267" t="s">
        <v>11745</v>
      </c>
      <c r="Y2267">
        <v>0.74332441075203115</v>
      </c>
      <c r="Z2267" t="str">
        <f>HYPERLINK("Melting_Curves/meltCurve_sp_Q6NUM9_RETST_HUMAN_.pdf", "Melting_Curves/meltCurve_sp_Q6NUM9_RETST_HUMAN_.pdf")</f>
        <v>Melting_Curves/meltCurve_sp_Q6NUM9_RETST_HUMAN_.pdf</v>
      </c>
      <c r="AA2267" t="s">
        <v>16442</v>
      </c>
      <c r="AB2267" t="s">
        <v>21101</v>
      </c>
    </row>
    <row r="2268" spans="1:28" x14ac:dyDescent="0.25">
      <c r="A2268" t="s">
        <v>2272</v>
      </c>
      <c r="B2268">
        <v>0.99904790336628502</v>
      </c>
      <c r="C2268">
        <v>0.85470003667761696</v>
      </c>
      <c r="D2268">
        <v>0.82747322716181704</v>
      </c>
      <c r="E2268">
        <v>0.70943240706732502</v>
      </c>
      <c r="F2268">
        <v>0.52725024015904798</v>
      </c>
      <c r="G2268">
        <v>0.30520029768641199</v>
      </c>
      <c r="H2268">
        <v>0.12848905793975701</v>
      </c>
      <c r="I2268">
        <v>5.8691023466139802E-2</v>
      </c>
      <c r="J2268">
        <v>4.0209593602415002E-2</v>
      </c>
      <c r="K2268">
        <v>3.06508387605414E-2</v>
      </c>
      <c r="L2268">
        <v>672.35511917303199</v>
      </c>
      <c r="M2268">
        <v>12.704426253031</v>
      </c>
      <c r="N2268">
        <v>52.922910734879103</v>
      </c>
      <c r="O2268">
        <v>51.663047810180302</v>
      </c>
      <c r="P2268">
        <v>-6.1489213607592602E-2</v>
      </c>
      <c r="Q2268">
        <v>0</v>
      </c>
      <c r="R2268">
        <v>0.98690355189149304</v>
      </c>
      <c r="S2268" t="s">
        <v>7008</v>
      </c>
      <c r="T2268" t="s">
        <v>9478</v>
      </c>
      <c r="U2268" t="s">
        <v>9478</v>
      </c>
      <c r="V2268" t="s">
        <v>9478</v>
      </c>
      <c r="W2268">
        <v>27</v>
      </c>
      <c r="X2268" t="s">
        <v>11746</v>
      </c>
      <c r="Y2268">
        <v>0.45756343640377112</v>
      </c>
      <c r="Z2268" t="str">
        <f>HYPERLINK("Melting_Curves/meltCurve_sp_Q6NUN0_ACSM5_HUMAN_.pdf", "Melting_Curves/meltCurve_sp_Q6NUN0_ACSM5_HUMAN_.pdf")</f>
        <v>Melting_Curves/meltCurve_sp_Q6NUN0_ACSM5_HUMAN_.pdf</v>
      </c>
      <c r="AA2268" t="s">
        <v>16443</v>
      </c>
      <c r="AB2268" t="s">
        <v>21102</v>
      </c>
    </row>
    <row r="2269" spans="1:28" x14ac:dyDescent="0.25">
      <c r="A2269" t="s">
        <v>2273</v>
      </c>
      <c r="B2269">
        <v>0.99904790336628502</v>
      </c>
      <c r="C2269">
        <v>1.08069361395507</v>
      </c>
      <c r="D2269">
        <v>0.71323597928315496</v>
      </c>
      <c r="E2269">
        <v>0.37712617696981698</v>
      </c>
      <c r="F2269">
        <v>0.329949448500714</v>
      </c>
      <c r="G2269">
        <v>0.20491229348242601</v>
      </c>
      <c r="H2269">
        <v>0.140864105246159</v>
      </c>
      <c r="I2269">
        <v>0.15186600718052901</v>
      </c>
      <c r="J2269">
        <v>0.20378261228167999</v>
      </c>
      <c r="K2269">
        <v>0.32495468561900298</v>
      </c>
      <c r="L2269">
        <v>1284.11950109534</v>
      </c>
      <c r="M2269">
        <v>27.077858968607</v>
      </c>
      <c r="N2269">
        <v>48.433819212742399</v>
      </c>
      <c r="O2269">
        <v>47.1668591850338</v>
      </c>
      <c r="P2269">
        <v>-0.112548362769709</v>
      </c>
      <c r="Q2269">
        <v>0.21581705771977</v>
      </c>
      <c r="R2269">
        <v>0.95913161480769904</v>
      </c>
      <c r="S2269" t="s">
        <v>7009</v>
      </c>
      <c r="T2269" t="s">
        <v>9478</v>
      </c>
      <c r="U2269" t="s">
        <v>9478</v>
      </c>
      <c r="V2269" t="s">
        <v>9478</v>
      </c>
      <c r="W2269">
        <v>2</v>
      </c>
      <c r="X2269" t="s">
        <v>11747</v>
      </c>
      <c r="Y2269">
        <v>0.41571070149464551</v>
      </c>
      <c r="Z2269" t="str">
        <f>HYPERLINK("Melting_Curves/meltCurve_sp_Q6NUQ1_RINT1_HUMAN_.pdf", "Melting_Curves/meltCurve_sp_Q6NUQ1_RINT1_HUMAN_.pdf")</f>
        <v>Melting_Curves/meltCurve_sp_Q6NUQ1_RINT1_HUMAN_.pdf</v>
      </c>
      <c r="AA2269" t="s">
        <v>16444</v>
      </c>
      <c r="AB2269" t="s">
        <v>21103</v>
      </c>
    </row>
    <row r="2270" spans="1:28" x14ac:dyDescent="0.25">
      <c r="A2270" t="s">
        <v>2274</v>
      </c>
      <c r="B2270">
        <v>0.99904790336628502</v>
      </c>
      <c r="C2270">
        <v>1.0295219401839699</v>
      </c>
      <c r="D2270">
        <v>1.09101423240642</v>
      </c>
      <c r="E2270">
        <v>1.0490741268146599</v>
      </c>
      <c r="F2270">
        <v>1.0247599256565501</v>
      </c>
      <c r="G2270">
        <v>0.94413060679749705</v>
      </c>
      <c r="H2270">
        <v>0.92827542389210904</v>
      </c>
      <c r="I2270">
        <v>0.93196710092847701</v>
      </c>
      <c r="J2270">
        <v>0.98501933446475198</v>
      </c>
      <c r="K2270">
        <v>0.82181304915855002</v>
      </c>
      <c r="L2270">
        <v>838.624621405168</v>
      </c>
      <c r="M2270">
        <v>10.213341821441301</v>
      </c>
      <c r="Q2270">
        <v>0</v>
      </c>
      <c r="R2270">
        <v>0.55840248341035903</v>
      </c>
      <c r="S2270" t="s">
        <v>7010</v>
      </c>
      <c r="T2270" t="s">
        <v>9478</v>
      </c>
      <c r="U2270" t="s">
        <v>9478</v>
      </c>
      <c r="V2270" t="s">
        <v>9478</v>
      </c>
      <c r="W2270">
        <v>4</v>
      </c>
      <c r="X2270" t="s">
        <v>11748</v>
      </c>
      <c r="Y2270">
        <v>0.97358269076768567</v>
      </c>
      <c r="Z2270" t="str">
        <f>HYPERLINK("Melting_Curves/meltCurve_sp_Q6NUQ4_2_TM214_HUMAN_.pdf", "Melting_Curves/meltCurve_sp_Q6NUQ4_2_TM214_HUMAN_.pdf")</f>
        <v>Melting_Curves/meltCurve_sp_Q6NUQ4_2_TM214_HUMAN_.pdf</v>
      </c>
      <c r="AA2270" t="s">
        <v>16445</v>
      </c>
      <c r="AB2270" t="s">
        <v>21104</v>
      </c>
    </row>
    <row r="2271" spans="1:28" x14ac:dyDescent="0.25">
      <c r="A2271" t="s">
        <v>2275</v>
      </c>
      <c r="B2271">
        <v>0.99904790336628502</v>
      </c>
      <c r="C2271">
        <v>1.0069783140020701</v>
      </c>
      <c r="D2271">
        <v>0.98364789566960198</v>
      </c>
      <c r="E2271">
        <v>0.95434548346529002</v>
      </c>
      <c r="F2271">
        <v>0.67464181567848402</v>
      </c>
      <c r="G2271">
        <v>0.119948998978762</v>
      </c>
      <c r="H2271">
        <v>6.7455308681890605E-2</v>
      </c>
      <c r="I2271">
        <v>4.0551977147944999E-2</v>
      </c>
      <c r="J2271">
        <v>3.2856974855755401E-2</v>
      </c>
      <c r="K2271">
        <v>2.6769406490528998E-2</v>
      </c>
      <c r="L2271">
        <v>2224.2445248356898</v>
      </c>
      <c r="M2271">
        <v>41.310117589949101</v>
      </c>
      <c r="N2271">
        <v>53.946399558049897</v>
      </c>
      <c r="O2271">
        <v>53.716896228429803</v>
      </c>
      <c r="P2271">
        <v>-0.184914610468077</v>
      </c>
      <c r="Q2271">
        <v>3.8199703084930002E-2</v>
      </c>
      <c r="R2271">
        <v>0.99947212289093901</v>
      </c>
      <c r="S2271" t="s">
        <v>7011</v>
      </c>
      <c r="T2271" t="s">
        <v>9478</v>
      </c>
      <c r="U2271" t="s">
        <v>9478</v>
      </c>
      <c r="V2271" t="s">
        <v>9478</v>
      </c>
      <c r="W2271">
        <v>28</v>
      </c>
      <c r="X2271" t="s">
        <v>11749</v>
      </c>
      <c r="Y2271">
        <v>0.48534369148035122</v>
      </c>
      <c r="Z2271" t="str">
        <f>HYPERLINK("Melting_Curves/meltCurve_sp_Q6NVY1_HIBCH_HUMAN_.pdf", "Melting_Curves/meltCurve_sp_Q6NVY1_HIBCH_HUMAN_.pdf")</f>
        <v>Melting_Curves/meltCurve_sp_Q6NVY1_HIBCH_HUMAN_.pdf</v>
      </c>
      <c r="AA2271" t="s">
        <v>16446</v>
      </c>
      <c r="AB2271" t="s">
        <v>21105</v>
      </c>
    </row>
    <row r="2272" spans="1:28" x14ac:dyDescent="0.25">
      <c r="A2272" t="s">
        <v>2276</v>
      </c>
      <c r="B2272">
        <v>0.99904790336628502</v>
      </c>
      <c r="C2272">
        <v>1.1647906278355999</v>
      </c>
      <c r="D2272">
        <v>1.50239034176331</v>
      </c>
      <c r="E2272">
        <v>1.2000688161131801</v>
      </c>
      <c r="F2272">
        <v>1.06254124459443</v>
      </c>
      <c r="G2272">
        <v>0.61116797333124395</v>
      </c>
      <c r="H2272">
        <v>0.64796984422536996</v>
      </c>
      <c r="I2272">
        <v>0.69599778940904899</v>
      </c>
      <c r="J2272">
        <v>0.66852953783438895</v>
      </c>
      <c r="K2272">
        <v>0.99061973197013498</v>
      </c>
      <c r="L2272">
        <v>4152.2116410653498</v>
      </c>
      <c r="M2272">
        <v>75.807680614973293</v>
      </c>
      <c r="O2272">
        <v>54.734887875762098</v>
      </c>
      <c r="P2272">
        <v>-9.6046469921612199E-2</v>
      </c>
      <c r="Q2272">
        <v>0.72260900961466801</v>
      </c>
      <c r="R2272">
        <v>0.45747567849861698</v>
      </c>
      <c r="S2272" t="s">
        <v>7012</v>
      </c>
      <c r="T2272" t="s">
        <v>9478</v>
      </c>
      <c r="U2272" t="s">
        <v>9478</v>
      </c>
      <c r="V2272" t="s">
        <v>9478</v>
      </c>
      <c r="W2272">
        <v>2</v>
      </c>
      <c r="X2272" t="s">
        <v>11750</v>
      </c>
      <c r="Y2272">
        <v>0.85949590856680058</v>
      </c>
      <c r="Z2272" t="str">
        <f>HYPERLINK("Melting_Curves/meltCurve_sp_Q6NY19_2_KANK3_HUMAN_.pdf", "Melting_Curves/meltCurve_sp_Q6NY19_2_KANK3_HUMAN_.pdf")</f>
        <v>Melting_Curves/meltCurve_sp_Q6NY19_2_KANK3_HUMAN_.pdf</v>
      </c>
      <c r="AA2272" t="s">
        <v>16447</v>
      </c>
      <c r="AB2272" t="s">
        <v>21106</v>
      </c>
    </row>
    <row r="2273" spans="1:28" x14ac:dyDescent="0.25">
      <c r="A2273" t="s">
        <v>2277</v>
      </c>
      <c r="B2273">
        <v>0.99904790336628502</v>
      </c>
      <c r="C2273">
        <v>0.92718518194727095</v>
      </c>
      <c r="D2273">
        <v>0.98299840359805501</v>
      </c>
      <c r="E2273">
        <v>0.98749682148135198</v>
      </c>
      <c r="F2273">
        <v>0.92212180943436395</v>
      </c>
      <c r="G2273">
        <v>0.70939810721279495</v>
      </c>
      <c r="H2273">
        <v>0.60489486303729401</v>
      </c>
      <c r="I2273">
        <v>0.60454302457786802</v>
      </c>
      <c r="J2273">
        <v>0.54742786804134203</v>
      </c>
      <c r="K2273">
        <v>0.62941215635940095</v>
      </c>
      <c r="L2273">
        <v>1795.6994887825299</v>
      </c>
      <c r="M2273">
        <v>32.418154409546297</v>
      </c>
      <c r="O2273">
        <v>55.182271146977399</v>
      </c>
      <c r="P2273">
        <v>-6.0186578993930998E-2</v>
      </c>
      <c r="Q2273">
        <v>0.59020281286309095</v>
      </c>
      <c r="R2273">
        <v>0.97106449993487298</v>
      </c>
      <c r="S2273" t="s">
        <v>7013</v>
      </c>
      <c r="T2273" t="s">
        <v>9478</v>
      </c>
      <c r="U2273" t="s">
        <v>9478</v>
      </c>
      <c r="V2273" t="s">
        <v>9478</v>
      </c>
      <c r="W2273">
        <v>4</v>
      </c>
      <c r="X2273" t="s">
        <v>11751</v>
      </c>
      <c r="Y2273">
        <v>0.80280718317556332</v>
      </c>
      <c r="Z2273" t="str">
        <f>HYPERLINK("Melting_Curves/meltCurve_sp_Q6NYC8_PPR18_HUMAN_.pdf", "Melting_Curves/meltCurve_sp_Q6NYC8_PPR18_HUMAN_.pdf")</f>
        <v>Melting_Curves/meltCurve_sp_Q6NYC8_PPR18_HUMAN_.pdf</v>
      </c>
      <c r="AA2273" t="s">
        <v>16448</v>
      </c>
      <c r="AB2273" t="s">
        <v>21107</v>
      </c>
    </row>
    <row r="2274" spans="1:28" x14ac:dyDescent="0.25">
      <c r="A2274" t="s">
        <v>2278</v>
      </c>
      <c r="B2274">
        <v>0.99904790336628502</v>
      </c>
      <c r="C2274">
        <v>0.98684622359956797</v>
      </c>
      <c r="D2274">
        <v>0.97862147304988001</v>
      </c>
      <c r="E2274">
        <v>0.85416199855011599</v>
      </c>
      <c r="F2274">
        <v>0.69812975827212598</v>
      </c>
      <c r="G2274">
        <v>0.43095316739106598</v>
      </c>
      <c r="H2274">
        <v>0.28316754086940799</v>
      </c>
      <c r="I2274">
        <v>0.23317160558157099</v>
      </c>
      <c r="J2274">
        <v>0.21919792457825099</v>
      </c>
      <c r="K2274">
        <v>0.23411617549924901</v>
      </c>
      <c r="L2274">
        <v>1038.4544529150401</v>
      </c>
      <c r="M2274">
        <v>19.155559247624701</v>
      </c>
      <c r="N2274">
        <v>55.744806792883999</v>
      </c>
      <c r="O2274">
        <v>53.631199558622001</v>
      </c>
      <c r="P2274">
        <v>-7.1011449834088594E-2</v>
      </c>
      <c r="Q2274">
        <v>0.20476720445414301</v>
      </c>
      <c r="R2274">
        <v>0.99911814774890495</v>
      </c>
      <c r="S2274" t="s">
        <v>7014</v>
      </c>
      <c r="T2274" t="s">
        <v>9478</v>
      </c>
      <c r="U2274" t="s">
        <v>9478</v>
      </c>
      <c r="V2274" t="s">
        <v>9478</v>
      </c>
      <c r="W2274">
        <v>12</v>
      </c>
      <c r="X2274" t="s">
        <v>11752</v>
      </c>
      <c r="Y2274">
        <v>0.59300744830363861</v>
      </c>
      <c r="Z2274" t="str">
        <f>HYPERLINK("Melting_Curves/meltCurve_sp_Q6NZY4_ZCHC8_HUMAN_.pdf", "Melting_Curves/meltCurve_sp_Q6NZY4_ZCHC8_HUMAN_.pdf")</f>
        <v>Melting_Curves/meltCurve_sp_Q6NZY4_ZCHC8_HUMAN_.pdf</v>
      </c>
      <c r="AA2274" t="s">
        <v>16449</v>
      </c>
      <c r="AB2274" t="s">
        <v>21108</v>
      </c>
    </row>
    <row r="2275" spans="1:28" x14ac:dyDescent="0.25">
      <c r="A2275" t="s">
        <v>2279</v>
      </c>
      <c r="B2275">
        <v>0.99904790336628502</v>
      </c>
      <c r="C2275">
        <v>1.00505890908461</v>
      </c>
      <c r="D2275">
        <v>0.99461386687215003</v>
      </c>
      <c r="E2275">
        <v>0.740522992899043</v>
      </c>
      <c r="F2275">
        <v>0.51135288426368797</v>
      </c>
      <c r="G2275">
        <v>0.24334631389175801</v>
      </c>
      <c r="H2275">
        <v>0.109878907849431</v>
      </c>
      <c r="I2275">
        <v>9.2286208233609002E-2</v>
      </c>
      <c r="J2275">
        <v>7.0855126316602499E-2</v>
      </c>
      <c r="K2275">
        <v>6.8161243503501903E-2</v>
      </c>
      <c r="L2275">
        <v>1060.2615200078501</v>
      </c>
      <c r="M2275">
        <v>20.1088315054308</v>
      </c>
      <c r="N2275">
        <v>53.073471953348701</v>
      </c>
      <c r="O2275">
        <v>52.213033401335998</v>
      </c>
      <c r="P2275">
        <v>-9.0350039508664604E-2</v>
      </c>
      <c r="Q2275">
        <v>6.1646286083000303E-2</v>
      </c>
      <c r="R2275">
        <v>0.99818922250733</v>
      </c>
      <c r="S2275" t="s">
        <v>7015</v>
      </c>
      <c r="T2275" t="s">
        <v>9478</v>
      </c>
      <c r="U2275" t="s">
        <v>9478</v>
      </c>
      <c r="V2275" t="s">
        <v>9478</v>
      </c>
      <c r="W2275">
        <v>7</v>
      </c>
      <c r="X2275" t="s">
        <v>11753</v>
      </c>
      <c r="Y2275">
        <v>0.47251355053942029</v>
      </c>
      <c r="Z2275" t="str">
        <f>HYPERLINK("Melting_Curves/meltCurve_sp_Q6P1J9_CDC73_HUMAN_.pdf", "Melting_Curves/meltCurve_sp_Q6P1J9_CDC73_HUMAN_.pdf")</f>
        <v>Melting_Curves/meltCurve_sp_Q6P1J9_CDC73_HUMAN_.pdf</v>
      </c>
      <c r="AA2275" t="s">
        <v>16450</v>
      </c>
      <c r="AB2275" t="s">
        <v>21109</v>
      </c>
    </row>
    <row r="2276" spans="1:28" x14ac:dyDescent="0.25">
      <c r="A2276" t="s">
        <v>2280</v>
      </c>
      <c r="B2276">
        <v>0.99904790336628502</v>
      </c>
      <c r="C2276">
        <v>1.0376386752117901</v>
      </c>
      <c r="D2276">
        <v>0.88713150328452395</v>
      </c>
      <c r="E2276">
        <v>0.61456400663622501</v>
      </c>
      <c r="F2276">
        <v>0.428083044315544</v>
      </c>
      <c r="G2276">
        <v>0.19053159095749</v>
      </c>
      <c r="H2276">
        <v>0.118634464991482</v>
      </c>
      <c r="I2276">
        <v>9.8997199215297899E-2</v>
      </c>
      <c r="J2276">
        <v>6.1789339592322197E-2</v>
      </c>
      <c r="K2276">
        <v>5.9275871778592101E-2</v>
      </c>
      <c r="L2276">
        <v>905.80771638175702</v>
      </c>
      <c r="M2276">
        <v>17.630787074283202</v>
      </c>
      <c r="N2276">
        <v>51.7359092051991</v>
      </c>
      <c r="O2276">
        <v>50.729193185432699</v>
      </c>
      <c r="P2276">
        <v>-8.1882854749849299E-2</v>
      </c>
      <c r="Q2276">
        <v>5.7641895387533899E-2</v>
      </c>
      <c r="R2276">
        <v>0.99586413294963105</v>
      </c>
      <c r="S2276" t="s">
        <v>7016</v>
      </c>
      <c r="T2276" t="s">
        <v>9478</v>
      </c>
      <c r="U2276" t="s">
        <v>9478</v>
      </c>
      <c r="V2276" t="s">
        <v>9478</v>
      </c>
      <c r="W2276">
        <v>2</v>
      </c>
      <c r="X2276" t="s">
        <v>11754</v>
      </c>
      <c r="Y2276">
        <v>0.43139358683174672</v>
      </c>
      <c r="Z2276" t="str">
        <f>HYPERLINK("Melting_Curves/meltCurve_sp_Q6P1M3_2_L2GL2_HUMAN_.pdf", "Melting_Curves/meltCurve_sp_Q6P1M3_2_L2GL2_HUMAN_.pdf")</f>
        <v>Melting_Curves/meltCurve_sp_Q6P1M3_2_L2GL2_HUMAN_.pdf</v>
      </c>
      <c r="AA2276" t="s">
        <v>16451</v>
      </c>
      <c r="AB2276" t="s">
        <v>21110</v>
      </c>
    </row>
    <row r="2277" spans="1:28" x14ac:dyDescent="0.25">
      <c r="A2277" t="s">
        <v>2281</v>
      </c>
      <c r="B2277">
        <v>0.99904790336628502</v>
      </c>
      <c r="C2277">
        <v>1.0268596251106099</v>
      </c>
      <c r="D2277">
        <v>0.93065582112185896</v>
      </c>
      <c r="E2277">
        <v>0.714216842538692</v>
      </c>
      <c r="F2277">
        <v>0.51851198237021501</v>
      </c>
      <c r="G2277">
        <v>0.23715394238540299</v>
      </c>
      <c r="H2277">
        <v>0.19791414429213999</v>
      </c>
      <c r="I2277">
        <v>0.21536271965791401</v>
      </c>
      <c r="J2277">
        <v>0.23746004627460199</v>
      </c>
      <c r="K2277">
        <v>0.19456413836178699</v>
      </c>
      <c r="L2277">
        <v>1153.63691342275</v>
      </c>
      <c r="M2277">
        <v>22.380181319693701</v>
      </c>
      <c r="N2277">
        <v>52.720650244223997</v>
      </c>
      <c r="O2277">
        <v>51.140999182002602</v>
      </c>
      <c r="P2277">
        <v>-8.7945084492180706E-2</v>
      </c>
      <c r="Q2277">
        <v>0.19616289500899001</v>
      </c>
      <c r="R2277">
        <v>0.99360941727567897</v>
      </c>
      <c r="S2277" t="s">
        <v>7017</v>
      </c>
      <c r="T2277" t="s">
        <v>9478</v>
      </c>
      <c r="U2277" t="s">
        <v>9478</v>
      </c>
      <c r="V2277" t="s">
        <v>9478</v>
      </c>
      <c r="W2277">
        <v>12</v>
      </c>
      <c r="X2277" t="s">
        <v>11755</v>
      </c>
      <c r="Y2277">
        <v>0.51460243505980785</v>
      </c>
      <c r="Z2277" t="str">
        <f>HYPERLINK("Melting_Curves/meltCurve_sp_Q6P1N0_2_C2D1A_HUMAN_.pdf", "Melting_Curves/meltCurve_sp_Q6P1N0_2_C2D1A_HUMAN_.pdf")</f>
        <v>Melting_Curves/meltCurve_sp_Q6P1N0_2_C2D1A_HUMAN_.pdf</v>
      </c>
      <c r="AA2277" t="s">
        <v>16452</v>
      </c>
      <c r="AB2277" t="s">
        <v>21111</v>
      </c>
    </row>
    <row r="2278" spans="1:28" x14ac:dyDescent="0.25">
      <c r="A2278" t="s">
        <v>2282</v>
      </c>
      <c r="B2278">
        <v>0.99904790336628502</v>
      </c>
      <c r="C2278">
        <v>0.98180405479031796</v>
      </c>
      <c r="D2278">
        <v>0.99505875516866005</v>
      </c>
      <c r="E2278">
        <v>0.98311419857099402</v>
      </c>
      <c r="F2278">
        <v>1.0073265068803801</v>
      </c>
      <c r="G2278">
        <v>0.83200492217677902</v>
      </c>
      <c r="H2278">
        <v>0.43437481082771101</v>
      </c>
      <c r="I2278">
        <v>9.6109792832205498E-2</v>
      </c>
      <c r="J2278">
        <v>3.49474426873548E-2</v>
      </c>
      <c r="K2278">
        <v>2.9060808737150001E-2</v>
      </c>
      <c r="L2278">
        <v>1913.0183440143301</v>
      </c>
      <c r="M2278">
        <v>31.7527958693221</v>
      </c>
      <c r="N2278">
        <v>60.247240899692301</v>
      </c>
      <c r="O2278">
        <v>60.009789086268697</v>
      </c>
      <c r="P2278">
        <v>-0.13228241955624601</v>
      </c>
      <c r="Q2278">
        <v>0</v>
      </c>
      <c r="R2278">
        <v>0.99741487639541004</v>
      </c>
      <c r="S2278" t="s">
        <v>7018</v>
      </c>
      <c r="T2278" t="s">
        <v>9478</v>
      </c>
      <c r="U2278" t="s">
        <v>9478</v>
      </c>
      <c r="V2278" t="s">
        <v>9478</v>
      </c>
      <c r="W2278">
        <v>12</v>
      </c>
      <c r="X2278" t="s">
        <v>11756</v>
      </c>
      <c r="Y2278">
        <v>0.68045194026411526</v>
      </c>
      <c r="Z2278" t="str">
        <f>HYPERLINK("Melting_Curves/meltCurve_sp_Q6P1N9_TATD1_HUMAN_.pdf", "Melting_Curves/meltCurve_sp_Q6P1N9_TATD1_HUMAN_.pdf")</f>
        <v>Melting_Curves/meltCurve_sp_Q6P1N9_TATD1_HUMAN_.pdf</v>
      </c>
      <c r="AA2278" t="s">
        <v>16453</v>
      </c>
      <c r="AB2278" t="s">
        <v>21112</v>
      </c>
    </row>
    <row r="2279" spans="1:28" x14ac:dyDescent="0.25">
      <c r="A2279" t="s">
        <v>2283</v>
      </c>
      <c r="B2279">
        <v>0.99904790336628502</v>
      </c>
      <c r="C2279">
        <v>1.0753457398589401</v>
      </c>
      <c r="D2279">
        <v>0.91477376737982696</v>
      </c>
      <c r="E2279">
        <v>0.46748710704777702</v>
      </c>
      <c r="F2279">
        <v>0.361142816140964</v>
      </c>
      <c r="G2279">
        <v>0.276258970350511</v>
      </c>
      <c r="H2279">
        <v>0.24123037246085099</v>
      </c>
      <c r="I2279">
        <v>0.212696190820856</v>
      </c>
      <c r="J2279">
        <v>0.26352258145511498</v>
      </c>
      <c r="K2279">
        <v>0.230395831720282</v>
      </c>
      <c r="L2279">
        <v>1549.4897889865899</v>
      </c>
      <c r="M2279">
        <v>31.719339221593401</v>
      </c>
      <c r="N2279">
        <v>49.938609656891799</v>
      </c>
      <c r="O2279">
        <v>48.657075505920901</v>
      </c>
      <c r="P2279">
        <v>-0.12230042272746899</v>
      </c>
      <c r="Q2279">
        <v>0.24957467934123601</v>
      </c>
      <c r="R2279">
        <v>0.98804536510365903</v>
      </c>
      <c r="S2279" t="s">
        <v>7019</v>
      </c>
      <c r="T2279" t="s">
        <v>9478</v>
      </c>
      <c r="U2279" t="s">
        <v>9478</v>
      </c>
      <c r="V2279" t="s">
        <v>9478</v>
      </c>
      <c r="W2279">
        <v>4</v>
      </c>
      <c r="X2279" t="s">
        <v>11757</v>
      </c>
      <c r="Y2279">
        <v>0.47501847088227739</v>
      </c>
      <c r="Z2279" t="str">
        <f>HYPERLINK("Melting_Curves/meltCurve_sp_Q6P1R4_DUS1L_HUMAN_.pdf", "Melting_Curves/meltCurve_sp_Q6P1R4_DUS1L_HUMAN_.pdf")</f>
        <v>Melting_Curves/meltCurve_sp_Q6P1R4_DUS1L_HUMAN_.pdf</v>
      </c>
      <c r="AA2279" t="s">
        <v>16454</v>
      </c>
      <c r="AB2279" t="s">
        <v>21113</v>
      </c>
    </row>
    <row r="2280" spans="1:28" x14ac:dyDescent="0.25">
      <c r="A2280" t="s">
        <v>2284</v>
      </c>
      <c r="B2280">
        <v>0.99904790336628502</v>
      </c>
      <c r="C2280">
        <v>1.0424093816087501</v>
      </c>
      <c r="D2280">
        <v>0.99343330451157696</v>
      </c>
      <c r="E2280">
        <v>0.94013887962485398</v>
      </c>
      <c r="F2280">
        <v>0.82235323550262396</v>
      </c>
      <c r="G2280">
        <v>0.45247800387887399</v>
      </c>
      <c r="H2280">
        <v>0.171552197292414</v>
      </c>
      <c r="I2280">
        <v>9.0876519628638006E-2</v>
      </c>
      <c r="J2280">
        <v>4.6575439421150902E-2</v>
      </c>
      <c r="K2280">
        <v>3.7168102550057702E-2</v>
      </c>
      <c r="L2280">
        <v>1286.5588639242601</v>
      </c>
      <c r="M2280">
        <v>22.8113837073867</v>
      </c>
      <c r="N2280">
        <v>56.5265365503789</v>
      </c>
      <c r="O2280">
        <v>55.971766248032097</v>
      </c>
      <c r="P2280">
        <v>-9.9350958064246694E-2</v>
      </c>
      <c r="Q2280">
        <v>2.4917842992957601E-2</v>
      </c>
      <c r="R2280">
        <v>0.99883042066052996</v>
      </c>
      <c r="S2280" t="s">
        <v>7020</v>
      </c>
      <c r="T2280" t="s">
        <v>9478</v>
      </c>
      <c r="U2280" t="s">
        <v>9478</v>
      </c>
      <c r="V2280" t="s">
        <v>9478</v>
      </c>
      <c r="W2280">
        <v>9</v>
      </c>
      <c r="X2280" t="s">
        <v>11758</v>
      </c>
      <c r="Y2280">
        <v>0.56822274119965832</v>
      </c>
      <c r="Z2280" t="str">
        <f>HYPERLINK("Melting_Curves/meltCurve_sp_Q6P1X6_CH082_HUMAN_.pdf", "Melting_Curves/meltCurve_sp_Q6P1X6_CH082_HUMAN_.pdf")</f>
        <v>Melting_Curves/meltCurve_sp_Q6P1X6_CH082_HUMAN_.pdf</v>
      </c>
      <c r="AA2280" t="s">
        <v>16455</v>
      </c>
      <c r="AB2280" t="s">
        <v>21114</v>
      </c>
    </row>
    <row r="2281" spans="1:28" x14ac:dyDescent="0.25">
      <c r="A2281" t="s">
        <v>2285</v>
      </c>
      <c r="B2281">
        <v>0.99904790336628502</v>
      </c>
      <c r="C2281">
        <v>1.0240395864429901</v>
      </c>
      <c r="D2281">
        <v>1.0113339625850499</v>
      </c>
      <c r="E2281">
        <v>0.89728172760893099</v>
      </c>
      <c r="F2281">
        <v>0.75918192295465803</v>
      </c>
      <c r="G2281">
        <v>0.33842986682349502</v>
      </c>
      <c r="H2281">
        <v>0.15953881358158301</v>
      </c>
      <c r="I2281">
        <v>0.106455928613802</v>
      </c>
      <c r="J2281">
        <v>0.108380337652126</v>
      </c>
      <c r="K2281">
        <v>0.104999616932533</v>
      </c>
      <c r="L2281">
        <v>1411.64317233881</v>
      </c>
      <c r="M2281">
        <v>25.723722252750001</v>
      </c>
      <c r="N2281">
        <v>55.328897645089498</v>
      </c>
      <c r="O2281">
        <v>54.548658180577803</v>
      </c>
      <c r="P2281">
        <v>-0.10672674345102399</v>
      </c>
      <c r="Q2281">
        <v>9.4729444534259702E-2</v>
      </c>
      <c r="R2281">
        <v>0.998290539641569</v>
      </c>
      <c r="S2281" t="s">
        <v>7021</v>
      </c>
      <c r="T2281" t="s">
        <v>9478</v>
      </c>
      <c r="U2281" t="s">
        <v>9478</v>
      </c>
      <c r="V2281" t="s">
        <v>9478</v>
      </c>
      <c r="W2281">
        <v>7</v>
      </c>
      <c r="X2281" t="s">
        <v>11759</v>
      </c>
      <c r="Y2281">
        <v>0.55162110273553722</v>
      </c>
      <c r="Z2281" t="str">
        <f>HYPERLINK("Melting_Curves/meltCurve_sp_Q6P2E9_EDC4_HUMAN_.pdf", "Melting_Curves/meltCurve_sp_Q6P2E9_EDC4_HUMAN_.pdf")</f>
        <v>Melting_Curves/meltCurve_sp_Q6P2E9_EDC4_HUMAN_.pdf</v>
      </c>
      <c r="AA2281" t="s">
        <v>16456</v>
      </c>
      <c r="AB2281" t="s">
        <v>21115</v>
      </c>
    </row>
    <row r="2282" spans="1:28" x14ac:dyDescent="0.25">
      <c r="A2282" t="s">
        <v>2286</v>
      </c>
      <c r="B2282">
        <v>0.99904790336628502</v>
      </c>
      <c r="C2282">
        <v>0.83012325567458001</v>
      </c>
      <c r="D2282">
        <v>0.79133142279813795</v>
      </c>
      <c r="E2282">
        <v>0.71439993185005901</v>
      </c>
      <c r="F2282">
        <v>0.53208146512696197</v>
      </c>
      <c r="G2282">
        <v>0.29199435238656302</v>
      </c>
      <c r="H2282">
        <v>0.19865918423530901</v>
      </c>
      <c r="I2282">
        <v>0.188366141739749</v>
      </c>
      <c r="J2282">
        <v>0.13893325288835801</v>
      </c>
      <c r="K2282">
        <v>0.20122208138266501</v>
      </c>
      <c r="L2282">
        <v>563.16439568472003</v>
      </c>
      <c r="M2282">
        <v>10.81694752302</v>
      </c>
      <c r="N2282">
        <v>52.96887722073</v>
      </c>
      <c r="O2282">
        <v>50.378510103392202</v>
      </c>
      <c r="P2282">
        <v>-4.9163926887729303E-2</v>
      </c>
      <c r="Q2282">
        <v>8.4431571109470596E-2</v>
      </c>
      <c r="R2282">
        <v>0.97384257380804296</v>
      </c>
      <c r="S2282" t="s">
        <v>7022</v>
      </c>
      <c r="T2282" t="s">
        <v>9478</v>
      </c>
      <c r="U2282" t="s">
        <v>9478</v>
      </c>
      <c r="V2282" t="s">
        <v>9478</v>
      </c>
      <c r="W2282">
        <v>2</v>
      </c>
      <c r="X2282" t="s">
        <v>11760</v>
      </c>
      <c r="Y2282">
        <v>0.48423882807864399</v>
      </c>
      <c r="Z2282" t="str">
        <f>HYPERLINK("Melting_Curves/meltCurve_sp_Q6P2P2_ANM10_HUMAN_.pdf", "Melting_Curves/meltCurve_sp_Q6P2P2_ANM10_HUMAN_.pdf")</f>
        <v>Melting_Curves/meltCurve_sp_Q6P2P2_ANM10_HUMAN_.pdf</v>
      </c>
      <c r="AA2282" t="s">
        <v>16457</v>
      </c>
      <c r="AB2282" t="s">
        <v>21116</v>
      </c>
    </row>
    <row r="2283" spans="1:28" x14ac:dyDescent="0.25">
      <c r="A2283" t="s">
        <v>2287</v>
      </c>
      <c r="B2283">
        <v>0.99904790336628502</v>
      </c>
      <c r="C2283">
        <v>1.0771377717183801</v>
      </c>
      <c r="D2283">
        <v>1.05417666262642</v>
      </c>
      <c r="E2283">
        <v>0.86838866098482903</v>
      </c>
      <c r="F2283">
        <v>0.48018663845088999</v>
      </c>
      <c r="G2283">
        <v>0.27592416196925501</v>
      </c>
      <c r="H2283">
        <v>0.14610940547078699</v>
      </c>
      <c r="I2283">
        <v>9.8193001383252196E-2</v>
      </c>
      <c r="J2283">
        <v>8.7691703328461906E-2</v>
      </c>
      <c r="K2283">
        <v>6.0649914297640301E-2</v>
      </c>
      <c r="L2283">
        <v>1379.07366613523</v>
      </c>
      <c r="M2283">
        <v>26.073457932708799</v>
      </c>
      <c r="N2283">
        <v>53.324613827889301</v>
      </c>
      <c r="O2283">
        <v>52.5836710248701</v>
      </c>
      <c r="P2283">
        <v>-0.112142646906128</v>
      </c>
      <c r="Q2283">
        <v>9.5355180750220106E-2</v>
      </c>
      <c r="R2283">
        <v>0.98763519660751098</v>
      </c>
      <c r="S2283" t="s">
        <v>7023</v>
      </c>
      <c r="T2283" t="s">
        <v>9478</v>
      </c>
      <c r="U2283" t="s">
        <v>9478</v>
      </c>
      <c r="V2283" t="s">
        <v>9478</v>
      </c>
      <c r="W2283">
        <v>13</v>
      </c>
      <c r="X2283" t="s">
        <v>11761</v>
      </c>
      <c r="Y2283">
        <v>0.49179252340071339</v>
      </c>
      <c r="Z2283" t="str">
        <f>HYPERLINK("Melting_Curves/meltCurve_sp_Q6P2Q9_PRP8_HUMAN_.pdf", "Melting_Curves/meltCurve_sp_Q6P2Q9_PRP8_HUMAN_.pdf")</f>
        <v>Melting_Curves/meltCurve_sp_Q6P2Q9_PRP8_HUMAN_.pdf</v>
      </c>
      <c r="AA2283" t="s">
        <v>16458</v>
      </c>
      <c r="AB2283" t="s">
        <v>21117</v>
      </c>
    </row>
    <row r="2284" spans="1:28" x14ac:dyDescent="0.25">
      <c r="A2284" t="s">
        <v>2288</v>
      </c>
      <c r="B2284">
        <v>0.99904790336628502</v>
      </c>
      <c r="C2284">
        <v>1.0364677491685199</v>
      </c>
      <c r="D2284">
        <v>0.98916223465943998</v>
      </c>
      <c r="E2284">
        <v>0.87198680214799895</v>
      </c>
      <c r="F2284">
        <v>0.76778600379447604</v>
      </c>
      <c r="G2284">
        <v>0.352121821372474</v>
      </c>
      <c r="H2284">
        <v>9.8367148724823203E-2</v>
      </c>
      <c r="I2284">
        <v>8.4922527795126601E-2</v>
      </c>
      <c r="J2284">
        <v>7.06677108339199E-2</v>
      </c>
      <c r="K2284">
        <v>6.9693048655930998E-2</v>
      </c>
      <c r="L2284">
        <v>1338.96180260604</v>
      </c>
      <c r="M2284">
        <v>24.280553279833001</v>
      </c>
      <c r="N2284">
        <v>55.384577894117299</v>
      </c>
      <c r="O2284">
        <v>54.775475802378899</v>
      </c>
      <c r="P2284">
        <v>-0.105305311422703</v>
      </c>
      <c r="Q2284">
        <v>4.9764666176502298E-2</v>
      </c>
      <c r="R2284">
        <v>0.99598651873010002</v>
      </c>
      <c r="S2284" t="s">
        <v>7024</v>
      </c>
      <c r="T2284" t="s">
        <v>9478</v>
      </c>
      <c r="U2284" t="s">
        <v>9478</v>
      </c>
      <c r="V2284" t="s">
        <v>9478</v>
      </c>
      <c r="W2284">
        <v>13</v>
      </c>
      <c r="X2284" t="s">
        <v>11762</v>
      </c>
      <c r="Y2284">
        <v>0.53872907222656463</v>
      </c>
      <c r="Z2284" t="str">
        <f>HYPERLINK("Melting_Curves/meltCurve_sp_Q6P3W7_SCYL2_HUMAN_.pdf", "Melting_Curves/meltCurve_sp_Q6P3W7_SCYL2_HUMAN_.pdf")</f>
        <v>Melting_Curves/meltCurve_sp_Q6P3W7_SCYL2_HUMAN_.pdf</v>
      </c>
      <c r="AA2284" t="s">
        <v>16459</v>
      </c>
      <c r="AB2284" t="s">
        <v>21118</v>
      </c>
    </row>
    <row r="2285" spans="1:28" x14ac:dyDescent="0.25">
      <c r="A2285" t="s">
        <v>2289</v>
      </c>
      <c r="B2285">
        <v>0.99904790336628502</v>
      </c>
      <c r="C2285">
        <v>0.96268852183432496</v>
      </c>
      <c r="D2285">
        <v>0.82225277365106697</v>
      </c>
      <c r="E2285">
        <v>0.30775490178283998</v>
      </c>
      <c r="F2285">
        <v>0.13220681212373001</v>
      </c>
      <c r="G2285">
        <v>8.5094712637481196E-2</v>
      </c>
      <c r="H2285">
        <v>4.1469605238579399E-2</v>
      </c>
      <c r="I2285">
        <v>4.4631663252580903E-2</v>
      </c>
      <c r="J2285">
        <v>1.6418999696065702E-2</v>
      </c>
      <c r="K2285">
        <v>0</v>
      </c>
      <c r="L2285">
        <v>1297.1862631413301</v>
      </c>
      <c r="M2285">
        <v>26.7903693504533</v>
      </c>
      <c r="N2285">
        <v>48.544564440716201</v>
      </c>
      <c r="O2285">
        <v>48.152499960873598</v>
      </c>
      <c r="P2285">
        <v>-0.134467879848504</v>
      </c>
      <c r="Q2285">
        <v>3.3249844985537298E-2</v>
      </c>
      <c r="R2285">
        <v>0.997842118319057</v>
      </c>
      <c r="S2285" t="s">
        <v>7025</v>
      </c>
      <c r="T2285" t="s">
        <v>9478</v>
      </c>
      <c r="U2285" t="s">
        <v>9478</v>
      </c>
      <c r="V2285" t="s">
        <v>9478</v>
      </c>
      <c r="W2285">
        <v>3</v>
      </c>
      <c r="X2285" t="s">
        <v>11763</v>
      </c>
      <c r="Y2285">
        <v>0.3119741210189611</v>
      </c>
      <c r="Z2285" t="str">
        <f>HYPERLINK("Melting_Curves/meltCurve_sp_Q6P3X3_TTC27_HUMAN_.pdf", "Melting_Curves/meltCurve_sp_Q6P3X3_TTC27_HUMAN_.pdf")</f>
        <v>Melting_Curves/meltCurve_sp_Q6P3X3_TTC27_HUMAN_.pdf</v>
      </c>
      <c r="AA2285" t="s">
        <v>16460</v>
      </c>
      <c r="AB2285" t="s">
        <v>21119</v>
      </c>
    </row>
    <row r="2286" spans="1:28" x14ac:dyDescent="0.25">
      <c r="A2286" t="s">
        <v>2290</v>
      </c>
      <c r="B2286">
        <v>0.99904790336628502</v>
      </c>
      <c r="C2286">
        <v>1.00609028853669</v>
      </c>
      <c r="D2286">
        <v>1.0339314954557299</v>
      </c>
      <c r="E2286">
        <v>0.99385274081388397</v>
      </c>
      <c r="F2286">
        <v>0.81454673705390601</v>
      </c>
      <c r="G2286">
        <v>0.71008213496248995</v>
      </c>
      <c r="H2286">
        <v>0.48497532219790701</v>
      </c>
      <c r="I2286">
        <v>0.42243622331575897</v>
      </c>
      <c r="J2286">
        <v>0.21847612675025699</v>
      </c>
      <c r="K2286">
        <v>8.1634959992466796E-2</v>
      </c>
      <c r="L2286">
        <v>815.76094127074805</v>
      </c>
      <c r="M2286">
        <v>13.393995900536099</v>
      </c>
      <c r="N2286">
        <v>60.904971785796903</v>
      </c>
      <c r="O2286">
        <v>59.595392647318498</v>
      </c>
      <c r="P2286">
        <v>-5.61960488940512E-2</v>
      </c>
      <c r="Q2286">
        <v>0</v>
      </c>
      <c r="R2286">
        <v>0.98252428001815795</v>
      </c>
      <c r="S2286" t="s">
        <v>7026</v>
      </c>
      <c r="T2286" t="s">
        <v>9478</v>
      </c>
      <c r="U2286" t="s">
        <v>9478</v>
      </c>
      <c r="V2286" t="s">
        <v>9478</v>
      </c>
      <c r="W2286">
        <v>6</v>
      </c>
      <c r="X2286" t="s">
        <v>11764</v>
      </c>
      <c r="Y2286">
        <v>0.69702157349527449</v>
      </c>
      <c r="Z2286" t="str">
        <f>HYPERLINK("Melting_Curves/meltCurve_sp_Q6P4A8_PLBL1_HUMAN_.pdf", "Melting_Curves/meltCurve_sp_Q6P4A8_PLBL1_HUMAN_.pdf")</f>
        <v>Melting_Curves/meltCurve_sp_Q6P4A8_PLBL1_HUMAN_.pdf</v>
      </c>
      <c r="AA2286" t="s">
        <v>16461</v>
      </c>
      <c r="AB2286" t="s">
        <v>21120</v>
      </c>
    </row>
    <row r="2287" spans="1:28" x14ac:dyDescent="0.25">
      <c r="A2287" t="s">
        <v>2291</v>
      </c>
      <c r="B2287">
        <v>0.99904790336628502</v>
      </c>
      <c r="C2287">
        <v>1.0640073738832601</v>
      </c>
      <c r="D2287">
        <v>0.966516805689559</v>
      </c>
      <c r="E2287">
        <v>0.90705781561291898</v>
      </c>
      <c r="F2287">
        <v>0.86232973631338095</v>
      </c>
      <c r="G2287">
        <v>0.67106279753517695</v>
      </c>
      <c r="H2287">
        <v>0.59722576964406104</v>
      </c>
      <c r="I2287">
        <v>0.62458970420991899</v>
      </c>
      <c r="J2287">
        <v>0.67662326768861902</v>
      </c>
      <c r="K2287">
        <v>0.61677296467648102</v>
      </c>
      <c r="L2287">
        <v>1342.6788830134899</v>
      </c>
      <c r="M2287">
        <v>25.147869169536602</v>
      </c>
      <c r="O2287">
        <v>53.057177721587102</v>
      </c>
      <c r="P2287">
        <v>-4.47606812133651E-2</v>
      </c>
      <c r="Q2287">
        <v>0.62225917811490705</v>
      </c>
      <c r="R2287">
        <v>0.95879614082157705</v>
      </c>
      <c r="S2287" t="s">
        <v>7027</v>
      </c>
      <c r="T2287" t="s">
        <v>9478</v>
      </c>
      <c r="U2287" t="s">
        <v>9478</v>
      </c>
      <c r="V2287" t="s">
        <v>9478</v>
      </c>
      <c r="W2287">
        <v>4</v>
      </c>
      <c r="X2287" t="s">
        <v>11765</v>
      </c>
      <c r="Y2287">
        <v>0.79432314802723836</v>
      </c>
      <c r="Z2287" t="str">
        <f>HYPERLINK("Melting_Curves/meltCurve_sp_Q6P4F2_ADXL_HUMAN_.pdf", "Melting_Curves/meltCurve_sp_Q6P4F2_ADXL_HUMAN_.pdf")</f>
        <v>Melting_Curves/meltCurve_sp_Q6P4F2_ADXL_HUMAN_.pdf</v>
      </c>
      <c r="AA2287" t="s">
        <v>16462</v>
      </c>
      <c r="AB2287" t="s">
        <v>21121</v>
      </c>
    </row>
    <row r="2288" spans="1:28" x14ac:dyDescent="0.25">
      <c r="A2288" t="s">
        <v>2292</v>
      </c>
      <c r="B2288">
        <v>0.99904790336628502</v>
      </c>
      <c r="C2288">
        <v>0.96376175822962795</v>
      </c>
      <c r="D2288">
        <v>1.0098781435511399</v>
      </c>
      <c r="E2288">
        <v>0.993872785478916</v>
      </c>
      <c r="F2288">
        <v>1.07597511851909</v>
      </c>
      <c r="G2288">
        <v>0.71471589789670198</v>
      </c>
      <c r="H2288">
        <v>0.709273674562933</v>
      </c>
      <c r="I2288">
        <v>0.66566158646109297</v>
      </c>
      <c r="J2288">
        <v>0.58455123131765896</v>
      </c>
      <c r="K2288">
        <v>0.58318330406906704</v>
      </c>
      <c r="L2288">
        <v>14176.8448223794</v>
      </c>
      <c r="M2288">
        <v>250</v>
      </c>
      <c r="O2288">
        <v>56.703765426464798</v>
      </c>
      <c r="P2288">
        <v>-0.40157458110724997</v>
      </c>
      <c r="Q2288">
        <v>0.635667443044585</v>
      </c>
      <c r="R2288">
        <v>0.94475349724272595</v>
      </c>
      <c r="S2288" t="s">
        <v>7028</v>
      </c>
      <c r="T2288" t="s">
        <v>9478</v>
      </c>
      <c r="U2288" t="s">
        <v>9478</v>
      </c>
      <c r="V2288" t="s">
        <v>9478</v>
      </c>
      <c r="W2288">
        <v>4</v>
      </c>
      <c r="X2288" t="s">
        <v>11766</v>
      </c>
      <c r="Y2288">
        <v>0.83860510884675732</v>
      </c>
      <c r="Z2288" t="str">
        <f>HYPERLINK("Melting_Curves/meltCurve_sp_Q6P4R8_3_NFRKB_HUMAN_.pdf", "Melting_Curves/meltCurve_sp_Q6P4R8_3_NFRKB_HUMAN_.pdf")</f>
        <v>Melting_Curves/meltCurve_sp_Q6P4R8_3_NFRKB_HUMAN_.pdf</v>
      </c>
      <c r="AA2288" t="s">
        <v>16463</v>
      </c>
      <c r="AB2288" t="s">
        <v>21122</v>
      </c>
    </row>
    <row r="2289" spans="1:28" x14ac:dyDescent="0.25">
      <c r="A2289" t="s">
        <v>2293</v>
      </c>
      <c r="B2289">
        <v>0.99904790336628502</v>
      </c>
      <c r="C2289">
        <v>1.0454351491523699</v>
      </c>
      <c r="D2289">
        <v>1.0503573506033499</v>
      </c>
      <c r="E2289">
        <v>1.0144362376790901</v>
      </c>
      <c r="F2289">
        <v>1.0101294081244101</v>
      </c>
      <c r="G2289">
        <v>0.863377227258178</v>
      </c>
      <c r="H2289">
        <v>0.73140559842206099</v>
      </c>
      <c r="I2289">
        <v>0.63199406078494202</v>
      </c>
      <c r="J2289">
        <v>0.56353325439193203</v>
      </c>
      <c r="K2289">
        <v>0.35576322681164801</v>
      </c>
      <c r="L2289">
        <v>802.48793097473595</v>
      </c>
      <c r="M2289">
        <v>12.019194543563099</v>
      </c>
      <c r="N2289">
        <v>67.137133962997794</v>
      </c>
      <c r="O2289">
        <v>64.999495515797094</v>
      </c>
      <c r="P2289">
        <v>-4.47575811668997E-2</v>
      </c>
      <c r="Q2289">
        <v>3.2040505902860401E-2</v>
      </c>
      <c r="R2289">
        <v>0.97234964502659904</v>
      </c>
      <c r="S2289" t="s">
        <v>7029</v>
      </c>
      <c r="T2289" t="s">
        <v>9478</v>
      </c>
      <c r="U2289" t="s">
        <v>9478</v>
      </c>
      <c r="V2289" t="s">
        <v>9478</v>
      </c>
      <c r="W2289">
        <v>13</v>
      </c>
      <c r="X2289" t="s">
        <v>11767</v>
      </c>
      <c r="Y2289">
        <v>0.83585919751978044</v>
      </c>
      <c r="Z2289" t="str">
        <f>HYPERLINK("Melting_Curves/meltCurve_sp_Q6P587_FAHD1_HUMAN_.pdf", "Melting_Curves/meltCurve_sp_Q6P587_FAHD1_HUMAN_.pdf")</f>
        <v>Melting_Curves/meltCurve_sp_Q6P587_FAHD1_HUMAN_.pdf</v>
      </c>
      <c r="AA2289" t="s">
        <v>16464</v>
      </c>
      <c r="AB2289" t="s">
        <v>21123</v>
      </c>
    </row>
    <row r="2290" spans="1:28" x14ac:dyDescent="0.25">
      <c r="A2290" t="s">
        <v>2294</v>
      </c>
      <c r="B2290">
        <v>0.99904790336628502</v>
      </c>
      <c r="C2290">
        <v>1.04926272483851</v>
      </c>
      <c r="D2290">
        <v>0.96960512092471796</v>
      </c>
      <c r="E2290">
        <v>0.92631744706163999</v>
      </c>
      <c r="F2290">
        <v>0.89934392101196003</v>
      </c>
      <c r="G2290">
        <v>0.66720116311113398</v>
      </c>
      <c r="H2290">
        <v>0.61091479582415298</v>
      </c>
      <c r="I2290">
        <v>0.56123580858992905</v>
      </c>
      <c r="J2290">
        <v>0.55037727546626902</v>
      </c>
      <c r="K2290">
        <v>0.55760885435629204</v>
      </c>
      <c r="L2290">
        <v>1260.2777190066699</v>
      </c>
      <c r="M2290">
        <v>22.8988772922431</v>
      </c>
      <c r="O2290">
        <v>54.622090044618197</v>
      </c>
      <c r="P2290">
        <v>-4.7236088911045901E-2</v>
      </c>
      <c r="Q2290">
        <v>0.54930815439495695</v>
      </c>
      <c r="R2290">
        <v>0.98391705945949604</v>
      </c>
      <c r="S2290" t="s">
        <v>7030</v>
      </c>
      <c r="T2290" t="s">
        <v>9478</v>
      </c>
      <c r="U2290" t="s">
        <v>9478</v>
      </c>
      <c r="V2290" t="s">
        <v>9478</v>
      </c>
      <c r="W2290">
        <v>6</v>
      </c>
      <c r="X2290" t="s">
        <v>11768</v>
      </c>
      <c r="Y2290">
        <v>0.78004686013570745</v>
      </c>
      <c r="Z2290" t="str">
        <f>HYPERLINK("Melting_Curves/meltCurve_sp_Q6P6B1_CH047_HUMAN_.pdf", "Melting_Curves/meltCurve_sp_Q6P6B1_CH047_HUMAN_.pdf")</f>
        <v>Melting_Curves/meltCurve_sp_Q6P6B1_CH047_HUMAN_.pdf</v>
      </c>
      <c r="AA2290" t="s">
        <v>16465</v>
      </c>
      <c r="AB2290" t="s">
        <v>21124</v>
      </c>
    </row>
    <row r="2291" spans="1:28" x14ac:dyDescent="0.25">
      <c r="A2291" t="s">
        <v>2295</v>
      </c>
      <c r="B2291">
        <v>0.99904790336628502</v>
      </c>
      <c r="C2291">
        <v>0.82317930965200803</v>
      </c>
      <c r="D2291">
        <v>0.45248357347907298</v>
      </c>
      <c r="E2291">
        <v>0.27871972280818502</v>
      </c>
      <c r="F2291">
        <v>0.13667315225609999</v>
      </c>
      <c r="G2291">
        <v>7.8881500436231794E-2</v>
      </c>
      <c r="H2291">
        <v>5.59503814787225E-2</v>
      </c>
      <c r="I2291">
        <v>3.1496372002469998E-2</v>
      </c>
      <c r="J2291">
        <v>1.72995158764889E-2</v>
      </c>
      <c r="K2291">
        <v>1.5146593875843601E-2</v>
      </c>
      <c r="L2291">
        <v>815.834626395594</v>
      </c>
      <c r="M2291">
        <v>17.703688515096498</v>
      </c>
      <c r="N2291">
        <v>46.267746294092198</v>
      </c>
      <c r="O2291">
        <v>45.506833458750201</v>
      </c>
      <c r="P2291">
        <v>-9.3940060408823203E-2</v>
      </c>
      <c r="Q2291">
        <v>3.4169751447480599E-2</v>
      </c>
      <c r="R2291">
        <v>0.98806955126194895</v>
      </c>
      <c r="S2291" t="s">
        <v>7031</v>
      </c>
      <c r="T2291" t="s">
        <v>9478</v>
      </c>
      <c r="U2291" t="s">
        <v>9478</v>
      </c>
      <c r="V2291" t="s">
        <v>9478</v>
      </c>
      <c r="W2291">
        <v>7</v>
      </c>
      <c r="X2291" t="s">
        <v>11769</v>
      </c>
      <c r="Y2291">
        <v>0.2495552060835374</v>
      </c>
      <c r="Z2291" t="str">
        <f>HYPERLINK("Melting_Curves/meltCurve_sp_Q6P6C2_ALKB5_HUMAN_.pdf", "Melting_Curves/meltCurve_sp_Q6P6C2_ALKB5_HUMAN_.pdf")</f>
        <v>Melting_Curves/meltCurve_sp_Q6P6C2_ALKB5_HUMAN_.pdf</v>
      </c>
      <c r="AA2291" t="s">
        <v>16466</v>
      </c>
      <c r="AB2291" t="s">
        <v>21125</v>
      </c>
    </row>
    <row r="2292" spans="1:28" x14ac:dyDescent="0.25">
      <c r="A2292" t="s">
        <v>2296</v>
      </c>
      <c r="B2292">
        <v>0.99904790336628502</v>
      </c>
      <c r="C2292">
        <v>1.0735120892244401</v>
      </c>
      <c r="D2292">
        <v>0.86035133992442803</v>
      </c>
      <c r="E2292">
        <v>0.46515228031344502</v>
      </c>
      <c r="F2292">
        <v>0.27237001014859702</v>
      </c>
      <c r="G2292">
        <v>0.13488756289478801</v>
      </c>
      <c r="H2292">
        <v>8.7955744427166596E-2</v>
      </c>
      <c r="I2292">
        <v>9.4155996479384205E-2</v>
      </c>
      <c r="J2292">
        <v>9.3366551606553397E-2</v>
      </c>
      <c r="K2292">
        <v>6.6338887623530102E-2</v>
      </c>
      <c r="L2292">
        <v>1182.1328966860799</v>
      </c>
      <c r="M2292">
        <v>23.888909414204701</v>
      </c>
      <c r="N2292">
        <v>49.884144243359501</v>
      </c>
      <c r="O2292">
        <v>49.1417419775984</v>
      </c>
      <c r="P2292">
        <v>-0.110950278053723</v>
      </c>
      <c r="Q2292">
        <v>8.7073916729278E-2</v>
      </c>
      <c r="R2292">
        <v>0.99239216083761195</v>
      </c>
      <c r="S2292" t="s">
        <v>7032</v>
      </c>
      <c r="T2292" t="s">
        <v>9478</v>
      </c>
      <c r="U2292" t="s">
        <v>9478</v>
      </c>
      <c r="V2292" t="s">
        <v>9478</v>
      </c>
      <c r="W2292">
        <v>4</v>
      </c>
      <c r="X2292" t="s">
        <v>11770</v>
      </c>
      <c r="Y2292">
        <v>0.38460440331413848</v>
      </c>
      <c r="Z2292" t="str">
        <f>HYPERLINK("Melting_Curves/meltCurve_sp_Q6PD62_CTR9_HUMAN_.pdf", "Melting_Curves/meltCurve_sp_Q6PD62_CTR9_HUMAN_.pdf")</f>
        <v>Melting_Curves/meltCurve_sp_Q6PD62_CTR9_HUMAN_.pdf</v>
      </c>
      <c r="AA2292" t="s">
        <v>16467</v>
      </c>
      <c r="AB2292" t="s">
        <v>21126</v>
      </c>
    </row>
    <row r="2293" spans="1:28" x14ac:dyDescent="0.25">
      <c r="A2293" t="s">
        <v>2297</v>
      </c>
      <c r="B2293">
        <v>0.99904790336628502</v>
      </c>
      <c r="C2293">
        <v>1.08773074103018</v>
      </c>
      <c r="D2293">
        <v>1.1003169267973301</v>
      </c>
      <c r="E2293">
        <v>0.97755625238626898</v>
      </c>
      <c r="F2293">
        <v>0.87655155788304695</v>
      </c>
      <c r="G2293">
        <v>0.36940427888257799</v>
      </c>
      <c r="H2293">
        <v>0.212370699039692</v>
      </c>
      <c r="I2293">
        <v>0.18495580738092901</v>
      </c>
      <c r="J2293">
        <v>0.174034166949985</v>
      </c>
      <c r="K2293">
        <v>0.22593741273880899</v>
      </c>
      <c r="L2293">
        <v>2251.6387173025601</v>
      </c>
      <c r="M2293">
        <v>40.784225470694601</v>
      </c>
      <c r="N2293">
        <v>55.882765235703999</v>
      </c>
      <c r="O2293">
        <v>55.076334085970998</v>
      </c>
      <c r="P2293">
        <v>-0.14915377869388299</v>
      </c>
      <c r="Q2293">
        <v>0.19431324404723899</v>
      </c>
      <c r="R2293">
        <v>0.98748441413356403</v>
      </c>
      <c r="S2293" t="s">
        <v>7033</v>
      </c>
      <c r="T2293" t="s">
        <v>9478</v>
      </c>
      <c r="U2293" t="s">
        <v>9478</v>
      </c>
      <c r="V2293" t="s">
        <v>9478</v>
      </c>
      <c r="W2293">
        <v>3</v>
      </c>
      <c r="X2293" t="s">
        <v>11771</v>
      </c>
      <c r="Y2293">
        <v>0.60570408572485035</v>
      </c>
      <c r="Z2293" t="str">
        <f>HYPERLINK("Melting_Curves/meltCurve_sp_Q6PD74_AAGAB_HUMAN_.pdf", "Melting_Curves/meltCurve_sp_Q6PD74_AAGAB_HUMAN_.pdf")</f>
        <v>Melting_Curves/meltCurve_sp_Q6PD74_AAGAB_HUMAN_.pdf</v>
      </c>
      <c r="AA2293" t="s">
        <v>16468</v>
      </c>
      <c r="AB2293" t="s">
        <v>21127</v>
      </c>
    </row>
    <row r="2294" spans="1:28" x14ac:dyDescent="0.25">
      <c r="A2294" t="s">
        <v>2298</v>
      </c>
      <c r="B2294">
        <v>0.99904790336628502</v>
      </c>
      <c r="C2294">
        <v>0.84559033878878798</v>
      </c>
      <c r="D2294">
        <v>0.60111312971944997</v>
      </c>
      <c r="E2294">
        <v>0.26147173208957097</v>
      </c>
      <c r="F2294">
        <v>0.143772543373339</v>
      </c>
      <c r="G2294">
        <v>8.62389406257216E-2</v>
      </c>
      <c r="H2294">
        <v>4.8376347975472002E-2</v>
      </c>
      <c r="I2294">
        <v>4.0955466772052002E-2</v>
      </c>
      <c r="J2294">
        <v>2.6728803438533701E-2</v>
      </c>
      <c r="K2294">
        <v>2.21318812440023E-2</v>
      </c>
      <c r="L2294">
        <v>867.53532046374505</v>
      </c>
      <c r="M2294">
        <v>18.4935373358391</v>
      </c>
      <c r="N2294">
        <v>47.083275164986297</v>
      </c>
      <c r="O2294">
        <v>46.372008601105399</v>
      </c>
      <c r="P2294">
        <v>-9.6429812100345402E-2</v>
      </c>
      <c r="Q2294">
        <v>3.28630603461516E-2</v>
      </c>
      <c r="R2294">
        <v>0.998257003812833</v>
      </c>
      <c r="S2294" t="s">
        <v>7034</v>
      </c>
      <c r="T2294" t="s">
        <v>9478</v>
      </c>
      <c r="U2294" t="s">
        <v>9478</v>
      </c>
      <c r="V2294" t="s">
        <v>9478</v>
      </c>
      <c r="W2294">
        <v>15</v>
      </c>
      <c r="X2294" t="s">
        <v>11772</v>
      </c>
      <c r="Y2294">
        <v>0.27252623530359188</v>
      </c>
      <c r="Z2294" t="str">
        <f>HYPERLINK("Melting_Curves/meltCurve_sp_Q6PGP7_TTC37_HUMAN_.pdf", "Melting_Curves/meltCurve_sp_Q6PGP7_TTC37_HUMAN_.pdf")</f>
        <v>Melting_Curves/meltCurve_sp_Q6PGP7_TTC37_HUMAN_.pdf</v>
      </c>
      <c r="AA2294" t="s">
        <v>16469</v>
      </c>
      <c r="AB2294" t="s">
        <v>21128</v>
      </c>
    </row>
    <row r="2295" spans="1:28" x14ac:dyDescent="0.25">
      <c r="A2295" t="s">
        <v>2299</v>
      </c>
      <c r="B2295">
        <v>0.99904790336628502</v>
      </c>
      <c r="C2295">
        <v>0.78641982633805996</v>
      </c>
      <c r="D2295">
        <v>0.45315800986165</v>
      </c>
      <c r="E2295">
        <v>0.21490856052614599</v>
      </c>
      <c r="F2295">
        <v>8.8781752148520396E-2</v>
      </c>
      <c r="G2295">
        <v>6.07007616230116E-2</v>
      </c>
      <c r="H2295">
        <v>3.41158706321592E-2</v>
      </c>
      <c r="I2295">
        <v>2.7531794425071102E-2</v>
      </c>
      <c r="J2295">
        <v>2.31023557441105E-2</v>
      </c>
      <c r="K2295">
        <v>1.90894762327046E-2</v>
      </c>
      <c r="L2295">
        <v>903.71699582772703</v>
      </c>
      <c r="M2295">
        <v>19.7821313142538</v>
      </c>
      <c r="N2295">
        <v>45.826655296107802</v>
      </c>
      <c r="O2295">
        <v>45.224351562164301</v>
      </c>
      <c r="P2295">
        <v>-0.106082519097791</v>
      </c>
      <c r="Q2295">
        <v>2.9963006584498499E-2</v>
      </c>
      <c r="R2295">
        <v>0.99524079792172304</v>
      </c>
      <c r="S2295" t="s">
        <v>7035</v>
      </c>
      <c r="T2295" t="s">
        <v>9478</v>
      </c>
      <c r="U2295" t="s">
        <v>9478</v>
      </c>
      <c r="V2295" t="s">
        <v>9478</v>
      </c>
      <c r="W2295">
        <v>17</v>
      </c>
      <c r="X2295" t="s">
        <v>11773</v>
      </c>
      <c r="Y2295">
        <v>0.22949325555976599</v>
      </c>
      <c r="Z2295" t="str">
        <f>HYPERLINK("Melting_Curves/meltCurve_sp_Q6PI48_SYDM_HUMAN_.pdf", "Melting_Curves/meltCurve_sp_Q6PI48_SYDM_HUMAN_.pdf")</f>
        <v>Melting_Curves/meltCurve_sp_Q6PI48_SYDM_HUMAN_.pdf</v>
      </c>
      <c r="AA2295" t="s">
        <v>16470</v>
      </c>
      <c r="AB2295" t="s">
        <v>21129</v>
      </c>
    </row>
    <row r="2296" spans="1:28" x14ac:dyDescent="0.25">
      <c r="A2296" t="s">
        <v>2300</v>
      </c>
      <c r="B2296">
        <v>0.99904790336628502</v>
      </c>
      <c r="C2296">
        <v>1.01319368807211</v>
      </c>
      <c r="D2296">
        <v>1.0011625245945699</v>
      </c>
      <c r="E2296">
        <v>0.87867490693134498</v>
      </c>
      <c r="F2296">
        <v>0.84555972006221802</v>
      </c>
      <c r="G2296">
        <v>0.64126748980336501</v>
      </c>
      <c r="H2296">
        <v>0.49466072223732999</v>
      </c>
      <c r="I2296">
        <v>0.56845468722961001</v>
      </c>
      <c r="J2296">
        <v>0.52245136350332899</v>
      </c>
      <c r="K2296">
        <v>0.56559344676696199</v>
      </c>
      <c r="L2296">
        <v>1206.7923104245399</v>
      </c>
      <c r="M2296">
        <v>22.381751258213601</v>
      </c>
      <c r="O2296">
        <v>53.493688326988703</v>
      </c>
      <c r="P2296">
        <v>-4.9391646275856398E-2</v>
      </c>
      <c r="Q2296">
        <v>0.52781419938295604</v>
      </c>
      <c r="R2296">
        <v>0.97405821493177702</v>
      </c>
      <c r="S2296" t="s">
        <v>7036</v>
      </c>
      <c r="T2296" t="s">
        <v>9478</v>
      </c>
      <c r="U2296" t="s">
        <v>9478</v>
      </c>
      <c r="V2296" t="s">
        <v>9478</v>
      </c>
      <c r="W2296">
        <v>1</v>
      </c>
      <c r="X2296" t="s">
        <v>11774</v>
      </c>
      <c r="Y2296">
        <v>0.75220633793374858</v>
      </c>
      <c r="Z2296" t="str">
        <f>HYPERLINK("Melting_Curves/meltCurve_sp_Q6PIJ6_2_FBX38_HUMAN_.pdf", "Melting_Curves/meltCurve_sp_Q6PIJ6_2_FBX38_HUMAN_.pdf")</f>
        <v>Melting_Curves/meltCurve_sp_Q6PIJ6_2_FBX38_HUMAN_.pdf</v>
      </c>
      <c r="AA2296" t="s">
        <v>16471</v>
      </c>
      <c r="AB2296" t="s">
        <v>21130</v>
      </c>
    </row>
    <row r="2297" spans="1:28" x14ac:dyDescent="0.25">
      <c r="A2297" t="s">
        <v>2301</v>
      </c>
      <c r="B2297">
        <v>0.99904790336628502</v>
      </c>
      <c r="C2297">
        <v>0.72313253652642195</v>
      </c>
      <c r="D2297">
        <v>0.61297597090808198</v>
      </c>
      <c r="E2297">
        <v>0.498670889095436</v>
      </c>
      <c r="F2297">
        <v>0.37590759586352301</v>
      </c>
      <c r="G2297">
        <v>0.20868136658736899</v>
      </c>
      <c r="H2297">
        <v>7.3804867940254704E-2</v>
      </c>
      <c r="I2297">
        <v>4.0834247927635903E-2</v>
      </c>
      <c r="J2297">
        <v>0</v>
      </c>
      <c r="K2297">
        <v>0</v>
      </c>
      <c r="L2297">
        <v>509.54818952253999</v>
      </c>
      <c r="M2297">
        <v>10.403051804475201</v>
      </c>
      <c r="N2297">
        <v>48.980642317324403</v>
      </c>
      <c r="O2297">
        <v>47.2744554528987</v>
      </c>
      <c r="P2297">
        <v>-5.5037128714223699E-2</v>
      </c>
      <c r="Q2297">
        <v>0</v>
      </c>
      <c r="R2297">
        <v>0.96913018923865801</v>
      </c>
      <c r="S2297" t="s">
        <v>7037</v>
      </c>
      <c r="T2297" t="s">
        <v>9478</v>
      </c>
      <c r="U2297" t="s">
        <v>9478</v>
      </c>
      <c r="V2297" t="s">
        <v>9478</v>
      </c>
      <c r="W2297">
        <v>1</v>
      </c>
      <c r="X2297" t="s">
        <v>11775</v>
      </c>
      <c r="Y2297">
        <v>0.34556418266436018</v>
      </c>
      <c r="Z2297" t="str">
        <f>HYPERLINK("Melting_Curves/meltCurve_sp_Q6PJG6_BRAT1_HUMAN_.pdf", "Melting_Curves/meltCurve_sp_Q6PJG6_BRAT1_HUMAN_.pdf")</f>
        <v>Melting_Curves/meltCurve_sp_Q6PJG6_BRAT1_HUMAN_.pdf</v>
      </c>
      <c r="AA2297" t="s">
        <v>16472</v>
      </c>
      <c r="AB2297" t="s">
        <v>21131</v>
      </c>
    </row>
    <row r="2298" spans="1:28" x14ac:dyDescent="0.25">
      <c r="A2298" t="s">
        <v>2302</v>
      </c>
      <c r="B2298">
        <v>0.99904790336628502</v>
      </c>
      <c r="C2298">
        <v>1.00154879172872</v>
      </c>
      <c r="D2298">
        <v>0.94006594173008595</v>
      </c>
      <c r="E2298">
        <v>0.97354987258150105</v>
      </c>
      <c r="F2298">
        <v>1.00285300594917</v>
      </c>
      <c r="G2298">
        <v>0.76001986806505395</v>
      </c>
      <c r="H2298">
        <v>0.70641355893220803</v>
      </c>
      <c r="I2298">
        <v>0.65942161610864303</v>
      </c>
      <c r="J2298">
        <v>0.69668795710361997</v>
      </c>
      <c r="K2298">
        <v>0.679403227792576</v>
      </c>
      <c r="L2298">
        <v>4996.0606825714203</v>
      </c>
      <c r="M2298">
        <v>88.814189288139602</v>
      </c>
      <c r="O2298">
        <v>56.224454128308999</v>
      </c>
      <c r="P2298">
        <v>-0.124253612320886</v>
      </c>
      <c r="Q2298">
        <v>0.68536149543749803</v>
      </c>
      <c r="R2298">
        <v>0.97329195409112201</v>
      </c>
      <c r="S2298" t="s">
        <v>7038</v>
      </c>
      <c r="T2298" t="s">
        <v>9478</v>
      </c>
      <c r="U2298" t="s">
        <v>9478</v>
      </c>
      <c r="V2298" t="s">
        <v>9478</v>
      </c>
      <c r="W2298">
        <v>7</v>
      </c>
      <c r="X2298" t="s">
        <v>11776</v>
      </c>
      <c r="Y2298">
        <v>0.8560681852472467</v>
      </c>
      <c r="Z2298" t="str">
        <f>HYPERLINK("Melting_Curves/meltCurve_sp_Q6PJT7_4_ZC3HE_HUMAN_.pdf", "Melting_Curves/meltCurve_sp_Q6PJT7_4_ZC3HE_HUMAN_.pdf")</f>
        <v>Melting_Curves/meltCurve_sp_Q6PJT7_4_ZC3HE_HUMAN_.pdf</v>
      </c>
      <c r="AA2298" t="s">
        <v>16473</v>
      </c>
      <c r="AB2298" t="s">
        <v>21132</v>
      </c>
    </row>
    <row r="2299" spans="1:28" x14ac:dyDescent="0.25">
      <c r="A2299" t="s">
        <v>2303</v>
      </c>
      <c r="B2299">
        <v>0.99904790336628502</v>
      </c>
      <c r="C2299">
        <v>0.99158407550028105</v>
      </c>
      <c r="D2299">
        <v>0.85342492705789996</v>
      </c>
      <c r="E2299">
        <v>0.67378918542778898</v>
      </c>
      <c r="F2299">
        <v>0.53121109599487704</v>
      </c>
      <c r="G2299">
        <v>0.52935715808753803</v>
      </c>
      <c r="H2299">
        <v>0.27619537797146798</v>
      </c>
      <c r="I2299">
        <v>0.30070080035221702</v>
      </c>
      <c r="J2299">
        <v>0.348199098517953</v>
      </c>
      <c r="K2299">
        <v>0.32675227656838601</v>
      </c>
      <c r="L2299">
        <v>703.24300518314499</v>
      </c>
      <c r="M2299">
        <v>13.8197316348101</v>
      </c>
      <c r="N2299">
        <v>54.395842971378599</v>
      </c>
      <c r="O2299">
        <v>49.8568708942339</v>
      </c>
      <c r="P2299">
        <v>-4.8862843340079599E-2</v>
      </c>
      <c r="Q2299">
        <v>0.29497637313867803</v>
      </c>
      <c r="R2299">
        <v>0.96828993716910305</v>
      </c>
      <c r="S2299" t="s">
        <v>7039</v>
      </c>
      <c r="T2299" t="s">
        <v>9478</v>
      </c>
      <c r="U2299" t="s">
        <v>9478</v>
      </c>
      <c r="V2299" t="s">
        <v>9478</v>
      </c>
      <c r="W2299">
        <v>1</v>
      </c>
      <c r="X2299" t="s">
        <v>11777</v>
      </c>
      <c r="Y2299">
        <v>0.56950936862112711</v>
      </c>
      <c r="Z2299" t="str">
        <f>HYPERLINK("Melting_Curves/meltCurve_sp_Q6PK81_2_ZN773_HUMAN_.pdf", "Melting_Curves/meltCurve_sp_Q6PK81_2_ZN773_HUMAN_.pdf")</f>
        <v>Melting_Curves/meltCurve_sp_Q6PK81_2_ZN773_HUMAN_.pdf</v>
      </c>
      <c r="AA2299" t="s">
        <v>16474</v>
      </c>
      <c r="AB2299" t="s">
        <v>21133</v>
      </c>
    </row>
    <row r="2300" spans="1:28" x14ac:dyDescent="0.25">
      <c r="A2300" t="s">
        <v>2304</v>
      </c>
      <c r="B2300">
        <v>0.99904790336628502</v>
      </c>
      <c r="C2300">
        <v>0.97525306537680501</v>
      </c>
      <c r="D2300">
        <v>0.922666339741116</v>
      </c>
      <c r="E2300">
        <v>0.86617591071227096</v>
      </c>
      <c r="F2300">
        <v>0.69034535665441699</v>
      </c>
      <c r="G2300">
        <v>0.42190129641705998</v>
      </c>
      <c r="H2300">
        <v>0.28830351707778901</v>
      </c>
      <c r="I2300">
        <v>0.243175048658586</v>
      </c>
      <c r="J2300">
        <v>0.258646063297166</v>
      </c>
      <c r="K2300">
        <v>0.22468307157474601</v>
      </c>
      <c r="L2300">
        <v>1009.65068210372</v>
      </c>
      <c r="M2300">
        <v>18.688987276298501</v>
      </c>
      <c r="N2300">
        <v>55.700044043018799</v>
      </c>
      <c r="O2300">
        <v>53.416699422448303</v>
      </c>
      <c r="P2300">
        <v>-6.8657767164461495E-2</v>
      </c>
      <c r="Q2300">
        <v>0.21508535326571801</v>
      </c>
      <c r="R2300">
        <v>0.99621785254673301</v>
      </c>
      <c r="S2300" t="s">
        <v>7040</v>
      </c>
      <c r="T2300" t="s">
        <v>9478</v>
      </c>
      <c r="U2300" t="s">
        <v>9478</v>
      </c>
      <c r="V2300" t="s">
        <v>9478</v>
      </c>
      <c r="W2300">
        <v>11</v>
      </c>
      <c r="X2300" t="s">
        <v>11778</v>
      </c>
      <c r="Y2300">
        <v>0.59386287034042573</v>
      </c>
      <c r="Z2300" t="str">
        <f>HYPERLINK("Melting_Curves/meltCurve_sp_Q6PKG0_LARP1_HUMAN_.pdf", "Melting_Curves/meltCurve_sp_Q6PKG0_LARP1_HUMAN_.pdf")</f>
        <v>Melting_Curves/meltCurve_sp_Q6PKG0_LARP1_HUMAN_.pdf</v>
      </c>
      <c r="AA2300" t="s">
        <v>16475</v>
      </c>
      <c r="AB2300" t="s">
        <v>21134</v>
      </c>
    </row>
    <row r="2301" spans="1:28" x14ac:dyDescent="0.25">
      <c r="A2301" t="s">
        <v>2305</v>
      </c>
      <c r="B2301">
        <v>0.99904790336628502</v>
      </c>
      <c r="C2301">
        <v>0.99034997344657105</v>
      </c>
      <c r="D2301">
        <v>0.86198315587289598</v>
      </c>
      <c r="E2301">
        <v>0.73523744270324798</v>
      </c>
      <c r="F2301">
        <v>0.50619052290146105</v>
      </c>
      <c r="G2301">
        <v>0.32156673816411502</v>
      </c>
      <c r="H2301">
        <v>0.222126533941753</v>
      </c>
      <c r="I2301">
        <v>0.213662218665745</v>
      </c>
      <c r="J2301">
        <v>0.20875902098638499</v>
      </c>
      <c r="K2301">
        <v>0.278386487280603</v>
      </c>
      <c r="L2301">
        <v>925.12836240041895</v>
      </c>
      <c r="M2301">
        <v>17.9817665588895</v>
      </c>
      <c r="N2301">
        <v>53.059734263178797</v>
      </c>
      <c r="O2301">
        <v>50.824502760675799</v>
      </c>
      <c r="P2301">
        <v>-6.9842314007230705E-2</v>
      </c>
      <c r="Q2301">
        <v>0.21041683198005701</v>
      </c>
      <c r="R2301">
        <v>0.99051491421054105</v>
      </c>
      <c r="S2301" t="s">
        <v>7041</v>
      </c>
      <c r="T2301" t="s">
        <v>9478</v>
      </c>
      <c r="U2301" t="s">
        <v>9478</v>
      </c>
      <c r="V2301" t="s">
        <v>9478</v>
      </c>
      <c r="W2301">
        <v>1</v>
      </c>
      <c r="X2301" t="s">
        <v>11779</v>
      </c>
      <c r="Y2301">
        <v>0.52498229822031794</v>
      </c>
      <c r="Z2301" t="str">
        <f>HYPERLINK("Melting_Curves/meltCurve_sp_Q6PL24_TMED8_HUMAN_.pdf", "Melting_Curves/meltCurve_sp_Q6PL24_TMED8_HUMAN_.pdf")</f>
        <v>Melting_Curves/meltCurve_sp_Q6PL24_TMED8_HUMAN_.pdf</v>
      </c>
      <c r="AA2301" t="s">
        <v>16476</v>
      </c>
      <c r="AB2301" t="s">
        <v>21135</v>
      </c>
    </row>
    <row r="2302" spans="1:28" x14ac:dyDescent="0.25">
      <c r="A2302" t="s">
        <v>2306</v>
      </c>
      <c r="B2302">
        <v>0.99904790336628502</v>
      </c>
      <c r="C2302">
        <v>0.98758147843780397</v>
      </c>
      <c r="D2302">
        <v>0.927332630103339</v>
      </c>
      <c r="E2302">
        <v>0.91288949003359798</v>
      </c>
      <c r="F2302">
        <v>1.0098681869567301</v>
      </c>
      <c r="G2302">
        <v>0.81671092031543602</v>
      </c>
      <c r="H2302">
        <v>0.66140198581184995</v>
      </c>
      <c r="I2302">
        <v>0.58246274564698297</v>
      </c>
      <c r="J2302">
        <v>0.59809823317437505</v>
      </c>
      <c r="K2302">
        <v>0.60250308173962097</v>
      </c>
      <c r="L2302">
        <v>1915.1887346931401</v>
      </c>
      <c r="M2302">
        <v>33.305299254061197</v>
      </c>
      <c r="O2302">
        <v>57.297899298557397</v>
      </c>
      <c r="P2302">
        <v>-5.9229789050228597E-2</v>
      </c>
      <c r="Q2302">
        <v>0.592409862683275</v>
      </c>
      <c r="R2302">
        <v>0.95028571498585201</v>
      </c>
      <c r="S2302" t="s">
        <v>7042</v>
      </c>
      <c r="T2302" t="s">
        <v>9478</v>
      </c>
      <c r="U2302" t="s">
        <v>9478</v>
      </c>
      <c r="V2302" t="s">
        <v>9478</v>
      </c>
      <c r="W2302">
        <v>1</v>
      </c>
      <c r="X2302" t="s">
        <v>11780</v>
      </c>
      <c r="Y2302">
        <v>0.83247393599582564</v>
      </c>
      <c r="Z2302" t="str">
        <f>HYPERLINK("Melting_Curves/meltCurve_sp_Q6Q6R5_3_CRIP3_HUMAN_.pdf", "Melting_Curves/meltCurve_sp_Q6Q6R5_3_CRIP3_HUMAN_.pdf")</f>
        <v>Melting_Curves/meltCurve_sp_Q6Q6R5_3_CRIP3_HUMAN_.pdf</v>
      </c>
      <c r="AA2302" t="s">
        <v>16477</v>
      </c>
      <c r="AB2302" t="s">
        <v>21136</v>
      </c>
    </row>
    <row r="2303" spans="1:28" x14ac:dyDescent="0.25">
      <c r="A2303" t="s">
        <v>2307</v>
      </c>
      <c r="B2303">
        <v>0.99904790336628502</v>
      </c>
      <c r="C2303">
        <v>0.97032579891929005</v>
      </c>
      <c r="D2303">
        <v>0.97480478242081803</v>
      </c>
      <c r="E2303">
        <v>0.83294560718674404</v>
      </c>
      <c r="F2303">
        <v>0.62961278914580798</v>
      </c>
      <c r="G2303">
        <v>0.33920577386228101</v>
      </c>
      <c r="H2303">
        <v>0.22118346295549501</v>
      </c>
      <c r="I2303">
        <v>0.175593520599236</v>
      </c>
      <c r="J2303">
        <v>0.16829042410801501</v>
      </c>
      <c r="K2303">
        <v>0.13916301409439299</v>
      </c>
      <c r="L2303">
        <v>1055.9124164566001</v>
      </c>
      <c r="M2303">
        <v>19.674756588981602</v>
      </c>
      <c r="N2303">
        <v>54.590545286136198</v>
      </c>
      <c r="O2303">
        <v>53.123195517898203</v>
      </c>
      <c r="P2303">
        <v>-7.9502394009234506E-2</v>
      </c>
      <c r="Q2303">
        <v>0.14138240968888899</v>
      </c>
      <c r="R2303">
        <v>0.99922772519573999</v>
      </c>
      <c r="S2303" t="s">
        <v>7043</v>
      </c>
      <c r="T2303" t="s">
        <v>9478</v>
      </c>
      <c r="U2303" t="s">
        <v>9478</v>
      </c>
      <c r="V2303" t="s">
        <v>9478</v>
      </c>
      <c r="W2303">
        <v>2</v>
      </c>
      <c r="X2303" t="s">
        <v>11781</v>
      </c>
      <c r="Y2303">
        <v>0.54462350595808517</v>
      </c>
      <c r="Z2303" t="str">
        <f>HYPERLINK("Melting_Curves/meltCurve_sp_Q6QHF9_3_PAOX_HUMAN_.pdf", "Melting_Curves/meltCurve_sp_Q6QHF9_3_PAOX_HUMAN_.pdf")</f>
        <v>Melting_Curves/meltCurve_sp_Q6QHF9_3_PAOX_HUMAN_.pdf</v>
      </c>
      <c r="AA2303" t="s">
        <v>16478</v>
      </c>
      <c r="AB2303" t="s">
        <v>21137</v>
      </c>
    </row>
    <row r="2304" spans="1:28" x14ac:dyDescent="0.25">
      <c r="A2304" t="s">
        <v>2308</v>
      </c>
      <c r="B2304">
        <v>0.99904790336628502</v>
      </c>
      <c r="C2304">
        <v>1.0072035911435699</v>
      </c>
      <c r="D2304">
        <v>1.0104230291721501</v>
      </c>
      <c r="E2304">
        <v>0.89348481984962602</v>
      </c>
      <c r="F2304">
        <v>0.77391528832818701</v>
      </c>
      <c r="G2304">
        <v>0.495249169378431</v>
      </c>
      <c r="H2304">
        <v>0.32208221134211501</v>
      </c>
      <c r="I2304">
        <v>0.24660060569456599</v>
      </c>
      <c r="J2304">
        <v>0.29213738649240301</v>
      </c>
      <c r="K2304">
        <v>0.294620266840384</v>
      </c>
      <c r="L2304">
        <v>1217.1151782964801</v>
      </c>
      <c r="M2304">
        <v>22.202880808521599</v>
      </c>
      <c r="N2304">
        <v>56.713982705671299</v>
      </c>
      <c r="O2304">
        <v>54.379018856753603</v>
      </c>
      <c r="P2304">
        <v>-7.5333705817942007E-2</v>
      </c>
      <c r="Q2304">
        <v>0.26199039658179601</v>
      </c>
      <c r="R2304">
        <v>0.99531751215464503</v>
      </c>
      <c r="S2304" t="s">
        <v>7044</v>
      </c>
      <c r="T2304" t="s">
        <v>9478</v>
      </c>
      <c r="U2304" t="s">
        <v>9478</v>
      </c>
      <c r="V2304" t="s">
        <v>9478</v>
      </c>
      <c r="W2304">
        <v>5</v>
      </c>
      <c r="X2304" t="s">
        <v>11782</v>
      </c>
      <c r="Y2304">
        <v>0.63488093531568879</v>
      </c>
      <c r="Z2304" t="str">
        <f>HYPERLINK("Melting_Curves/meltCurve_sp_Q6QNY0_BL1S3_HUMAN_.pdf", "Melting_Curves/meltCurve_sp_Q6QNY0_BL1S3_HUMAN_.pdf")</f>
        <v>Melting_Curves/meltCurve_sp_Q6QNY0_BL1S3_HUMAN_.pdf</v>
      </c>
      <c r="AA2304" t="s">
        <v>16479</v>
      </c>
      <c r="AB2304" t="s">
        <v>21138</v>
      </c>
    </row>
    <row r="2305" spans="1:28" x14ac:dyDescent="0.25">
      <c r="A2305" t="s">
        <v>2309</v>
      </c>
      <c r="B2305">
        <v>0.99904790336628502</v>
      </c>
      <c r="C2305">
        <v>0.84108559195169497</v>
      </c>
      <c r="D2305">
        <v>0.915737056235437</v>
      </c>
      <c r="E2305">
        <v>0.82521063589444599</v>
      </c>
      <c r="F2305">
        <v>0.75710295627126001</v>
      </c>
      <c r="G2305">
        <v>0.51503751544327203</v>
      </c>
      <c r="H2305">
        <v>0.39648001429896901</v>
      </c>
      <c r="I2305">
        <v>0.334191406907691</v>
      </c>
      <c r="J2305">
        <v>0.27299355380592599</v>
      </c>
      <c r="K2305">
        <v>0.249714515775742</v>
      </c>
      <c r="L2305">
        <v>519.22433417630896</v>
      </c>
      <c r="M2305">
        <v>9.0796377412839995</v>
      </c>
      <c r="N2305">
        <v>58.3860853226304</v>
      </c>
      <c r="O2305">
        <v>54.616282665705903</v>
      </c>
      <c r="P2305">
        <v>-3.8048820448087599E-2</v>
      </c>
      <c r="Q2305">
        <v>8.51500555636686E-2</v>
      </c>
      <c r="R2305">
        <v>0.97362289198727403</v>
      </c>
      <c r="S2305" t="s">
        <v>7045</v>
      </c>
      <c r="T2305" t="s">
        <v>9478</v>
      </c>
      <c r="U2305" t="s">
        <v>9478</v>
      </c>
      <c r="V2305" t="s">
        <v>9478</v>
      </c>
      <c r="W2305">
        <v>1</v>
      </c>
      <c r="X2305" t="s">
        <v>11783</v>
      </c>
      <c r="Y2305">
        <v>0.62135230039595912</v>
      </c>
      <c r="Z2305" t="str">
        <f>HYPERLINK("Melting_Curves/meltCurve_sp_Q6QNY1_2_BL1S2_HUMAN_.pdf", "Melting_Curves/meltCurve_sp_Q6QNY1_2_BL1S2_HUMAN_.pdf")</f>
        <v>Melting_Curves/meltCurve_sp_Q6QNY1_2_BL1S2_HUMAN_.pdf</v>
      </c>
      <c r="AA2305" t="s">
        <v>16480</v>
      </c>
      <c r="AB2305" t="s">
        <v>21139</v>
      </c>
    </row>
    <row r="2306" spans="1:28" x14ac:dyDescent="0.25">
      <c r="A2306" t="s">
        <v>2310</v>
      </c>
      <c r="B2306">
        <v>0.99904790336628502</v>
      </c>
      <c r="C2306">
        <v>0.93481445123194895</v>
      </c>
      <c r="D2306">
        <v>0.82758878013580295</v>
      </c>
      <c r="E2306">
        <v>0.78755952786932704</v>
      </c>
      <c r="F2306">
        <v>0.76532259834154504</v>
      </c>
      <c r="G2306">
        <v>0.50213475795476203</v>
      </c>
      <c r="H2306">
        <v>0.36832562475007002</v>
      </c>
      <c r="I2306">
        <v>0.31999567633253301</v>
      </c>
      <c r="J2306">
        <v>0.33710638404335702</v>
      </c>
      <c r="K2306">
        <v>0.36327424271543501</v>
      </c>
      <c r="L2306">
        <v>589.18853922935602</v>
      </c>
      <c r="M2306">
        <v>10.8781912905624</v>
      </c>
      <c r="N2306">
        <v>57.783269854260702</v>
      </c>
      <c r="O2306">
        <v>52.428430962374499</v>
      </c>
      <c r="P2306">
        <v>-3.9067244397006297E-2</v>
      </c>
      <c r="Q2306">
        <v>0.247112611917186</v>
      </c>
      <c r="R2306">
        <v>0.96200979371854201</v>
      </c>
      <c r="S2306" t="s">
        <v>7046</v>
      </c>
      <c r="T2306" t="s">
        <v>9478</v>
      </c>
      <c r="U2306" t="s">
        <v>9478</v>
      </c>
      <c r="V2306" t="s">
        <v>9478</v>
      </c>
      <c r="W2306">
        <v>2</v>
      </c>
      <c r="X2306" t="s">
        <v>11784</v>
      </c>
      <c r="Y2306">
        <v>0.62351000068950913</v>
      </c>
      <c r="Z2306" t="str">
        <f>HYPERLINK("Melting_Curves/meltCurve_sp_Q6SPF0_SAMD1_HUMAN_.pdf", "Melting_Curves/meltCurve_sp_Q6SPF0_SAMD1_HUMAN_.pdf")</f>
        <v>Melting_Curves/meltCurve_sp_Q6SPF0_SAMD1_HUMAN_.pdf</v>
      </c>
      <c r="AA2306" t="s">
        <v>16481</v>
      </c>
      <c r="AB2306" t="s">
        <v>21140</v>
      </c>
    </row>
    <row r="2307" spans="1:28" x14ac:dyDescent="0.25">
      <c r="A2307" t="s">
        <v>2311</v>
      </c>
      <c r="B2307">
        <v>0.99904790336628502</v>
      </c>
      <c r="C2307">
        <v>0.70714828430455201</v>
      </c>
      <c r="D2307">
        <v>1.03248448932862</v>
      </c>
      <c r="E2307">
        <v>0.91661172426957005</v>
      </c>
      <c r="F2307">
        <v>0.86612360386335896</v>
      </c>
      <c r="G2307">
        <v>0.53452415352808402</v>
      </c>
      <c r="H2307">
        <v>0.28033081447619002</v>
      </c>
      <c r="I2307">
        <v>0.13403247744496699</v>
      </c>
      <c r="J2307">
        <v>9.8939508351344393E-2</v>
      </c>
      <c r="K2307">
        <v>8.2628112817202795E-2</v>
      </c>
      <c r="L2307">
        <v>1134.6423008889601</v>
      </c>
      <c r="M2307">
        <v>19.813967302176501</v>
      </c>
      <c r="N2307">
        <v>57.559072247304499</v>
      </c>
      <c r="O2307">
        <v>56.691037924695202</v>
      </c>
      <c r="P2307">
        <v>-8.3170544365872207E-2</v>
      </c>
      <c r="Q2307">
        <v>4.8173416423512597E-2</v>
      </c>
      <c r="R2307">
        <v>0.934365930057802</v>
      </c>
      <c r="S2307" t="s">
        <v>7047</v>
      </c>
      <c r="T2307" t="s">
        <v>9478</v>
      </c>
      <c r="U2307" t="s">
        <v>9478</v>
      </c>
      <c r="V2307" t="s">
        <v>9478</v>
      </c>
      <c r="W2307">
        <v>6</v>
      </c>
      <c r="X2307" t="s">
        <v>11785</v>
      </c>
      <c r="Y2307">
        <v>0.60751266311910124</v>
      </c>
      <c r="Z2307" t="str">
        <f>HYPERLINK("Melting_Curves/meltCurve_sp_Q6UB28_AMP1D_HUMAN_.pdf", "Melting_Curves/meltCurve_sp_Q6UB28_AMP1D_HUMAN_.pdf")</f>
        <v>Melting_Curves/meltCurve_sp_Q6UB28_AMP1D_HUMAN_.pdf</v>
      </c>
      <c r="AA2307" t="s">
        <v>16482</v>
      </c>
      <c r="AB2307" t="s">
        <v>21141</v>
      </c>
    </row>
    <row r="2308" spans="1:28" x14ac:dyDescent="0.25">
      <c r="A2308" t="s">
        <v>2312</v>
      </c>
      <c r="B2308">
        <v>0.99904790336628502</v>
      </c>
      <c r="C2308">
        <v>1.04982176896169</v>
      </c>
      <c r="D2308">
        <v>0.978188001130465</v>
      </c>
      <c r="E2308">
        <v>0.86557584017357303</v>
      </c>
      <c r="F2308">
        <v>0.78562698270390796</v>
      </c>
      <c r="G2308">
        <v>0.498346016823352</v>
      </c>
      <c r="H2308">
        <v>0.43700073600009898</v>
      </c>
      <c r="I2308">
        <v>0.42412093555739699</v>
      </c>
      <c r="J2308">
        <v>0.456096198529786</v>
      </c>
      <c r="K2308">
        <v>0.39695463683962401</v>
      </c>
      <c r="L2308">
        <v>1256.07324401336</v>
      </c>
      <c r="M2308">
        <v>23.4455875069911</v>
      </c>
      <c r="N2308">
        <v>57.877479602638203</v>
      </c>
      <c r="O2308">
        <v>53.188790215967998</v>
      </c>
      <c r="P2308">
        <v>-6.47402578949135E-2</v>
      </c>
      <c r="Q2308">
        <v>0.41252975614575299</v>
      </c>
      <c r="R2308">
        <v>0.98636005590505305</v>
      </c>
      <c r="S2308" t="s">
        <v>7048</v>
      </c>
      <c r="T2308" t="s">
        <v>9478</v>
      </c>
      <c r="U2308" t="s">
        <v>9478</v>
      </c>
      <c r="V2308" t="s">
        <v>9478</v>
      </c>
      <c r="W2308">
        <v>8</v>
      </c>
      <c r="X2308" t="s">
        <v>11786</v>
      </c>
      <c r="Y2308">
        <v>0.6844414200056711</v>
      </c>
      <c r="Z2308" t="str">
        <f>HYPERLINK("Melting_Curves/meltCurve_sp_Q6ULP2_5_AFTIN_HUMAN_.pdf", "Melting_Curves/meltCurve_sp_Q6ULP2_5_AFTIN_HUMAN_.pdf")</f>
        <v>Melting_Curves/meltCurve_sp_Q6ULP2_5_AFTIN_HUMAN_.pdf</v>
      </c>
      <c r="AA2308" t="s">
        <v>16483</v>
      </c>
      <c r="AB2308" t="s">
        <v>21142</v>
      </c>
    </row>
    <row r="2309" spans="1:28" x14ac:dyDescent="0.25">
      <c r="A2309" t="s">
        <v>2313</v>
      </c>
      <c r="B2309">
        <v>0.99904790336628502</v>
      </c>
      <c r="C2309">
        <v>1.06519320581</v>
      </c>
      <c r="D2309">
        <v>0.98052666690242396</v>
      </c>
      <c r="E2309">
        <v>0.99125504086763105</v>
      </c>
      <c r="F2309">
        <v>0.97052187601596696</v>
      </c>
      <c r="G2309">
        <v>0.68919422707911004</v>
      </c>
      <c r="H2309">
        <v>0.60015470712479502</v>
      </c>
      <c r="I2309">
        <v>0.59292115249143695</v>
      </c>
      <c r="J2309">
        <v>0.66134948391229198</v>
      </c>
      <c r="K2309">
        <v>0.71438433758610398</v>
      </c>
      <c r="L2309">
        <v>3335.3425799808601</v>
      </c>
      <c r="M2309">
        <v>60.468848612564301</v>
      </c>
      <c r="O2309">
        <v>55.097799988886997</v>
      </c>
      <c r="P2309">
        <v>-9.8105813663834099E-2</v>
      </c>
      <c r="Q2309">
        <v>0.64243325449138</v>
      </c>
      <c r="R2309">
        <v>0.95484722210587902</v>
      </c>
      <c r="S2309" t="s">
        <v>7049</v>
      </c>
      <c r="T2309" t="s">
        <v>9478</v>
      </c>
      <c r="U2309" t="s">
        <v>9478</v>
      </c>
      <c r="V2309" t="s">
        <v>9478</v>
      </c>
      <c r="W2309">
        <v>5</v>
      </c>
      <c r="X2309" t="s">
        <v>11787</v>
      </c>
      <c r="Y2309">
        <v>0.82369388438590596</v>
      </c>
      <c r="Z2309" t="str">
        <f>HYPERLINK("Melting_Curves/meltCurve_sp_Q6UN15_4_FIP1_HUMAN_.pdf", "Melting_Curves/meltCurve_sp_Q6UN15_4_FIP1_HUMAN_.pdf")</f>
        <v>Melting_Curves/meltCurve_sp_Q6UN15_4_FIP1_HUMAN_.pdf</v>
      </c>
      <c r="AA2309" t="s">
        <v>16484</v>
      </c>
      <c r="AB2309" t="s">
        <v>21143</v>
      </c>
    </row>
    <row r="2310" spans="1:28" x14ac:dyDescent="0.25">
      <c r="A2310" t="s">
        <v>2314</v>
      </c>
      <c r="B2310">
        <v>0.99904790336628502</v>
      </c>
      <c r="C2310">
        <v>1.06534704214938</v>
      </c>
      <c r="D2310">
        <v>1.0425255254596799</v>
      </c>
      <c r="E2310">
        <v>0.49701301180603402</v>
      </c>
      <c r="F2310">
        <v>0.34356594430077098</v>
      </c>
      <c r="G2310">
        <v>0.14946100363325701</v>
      </c>
      <c r="H2310">
        <v>9.6749609421128493E-2</v>
      </c>
      <c r="I2310">
        <v>9.3669609857456898E-2</v>
      </c>
      <c r="J2310">
        <v>8.5082647069729803E-2</v>
      </c>
      <c r="K2310">
        <v>8.1150618719644393E-2</v>
      </c>
      <c r="L2310">
        <v>1409.46085110168</v>
      </c>
      <c r="M2310">
        <v>28.071561418486102</v>
      </c>
      <c r="N2310">
        <v>50.610691668393201</v>
      </c>
      <c r="O2310">
        <v>49.956833571047902</v>
      </c>
      <c r="P2310">
        <v>-0.126469616862984</v>
      </c>
      <c r="Q2310">
        <v>9.9734035651203298E-2</v>
      </c>
      <c r="R2310">
        <v>0.98192086659344002</v>
      </c>
      <c r="S2310" t="s">
        <v>7050</v>
      </c>
      <c r="T2310" t="s">
        <v>9478</v>
      </c>
      <c r="U2310" t="s">
        <v>9478</v>
      </c>
      <c r="V2310" t="s">
        <v>9478</v>
      </c>
      <c r="W2310">
        <v>1</v>
      </c>
      <c r="X2310" t="s">
        <v>11788</v>
      </c>
      <c r="Y2310">
        <v>0.41250018710966818</v>
      </c>
      <c r="Z2310" t="str">
        <f>HYPERLINK("Melting_Curves/meltCurve_sp_Q6UW63_KDEL1_HUMAN_.pdf", "Melting_Curves/meltCurve_sp_Q6UW63_KDEL1_HUMAN_.pdf")</f>
        <v>Melting_Curves/meltCurve_sp_Q6UW63_KDEL1_HUMAN_.pdf</v>
      </c>
      <c r="AA2310" t="s">
        <v>16485</v>
      </c>
      <c r="AB2310" t="s">
        <v>21144</v>
      </c>
    </row>
    <row r="2311" spans="1:28" x14ac:dyDescent="0.25">
      <c r="A2311" t="s">
        <v>2315</v>
      </c>
      <c r="B2311">
        <v>0.99904790336628502</v>
      </c>
      <c r="C2311">
        <v>0.96185226997474804</v>
      </c>
      <c r="D2311">
        <v>0.942280339141363</v>
      </c>
      <c r="E2311">
        <v>0.89438333479027798</v>
      </c>
      <c r="F2311">
        <v>0.75143155958039798</v>
      </c>
      <c r="G2311">
        <v>0.412567025054211</v>
      </c>
      <c r="H2311">
        <v>0.130929648436269</v>
      </c>
      <c r="I2311">
        <v>6.8298120081437597E-2</v>
      </c>
      <c r="J2311">
        <v>4.9362082621869703E-2</v>
      </c>
      <c r="K2311">
        <v>2.51711715922011E-2</v>
      </c>
      <c r="L2311">
        <v>1102.18510081815</v>
      </c>
      <c r="M2311">
        <v>19.746947294922599</v>
      </c>
      <c r="N2311">
        <v>55.817942292732603</v>
      </c>
      <c r="O2311">
        <v>55.252516041601098</v>
      </c>
      <c r="P2311">
        <v>-8.9312599569359899E-2</v>
      </c>
      <c r="Q2311">
        <v>4.3751547000502202E-4</v>
      </c>
      <c r="R2311">
        <v>0.99717707663391297</v>
      </c>
      <c r="S2311" t="s">
        <v>7051</v>
      </c>
      <c r="T2311" t="s">
        <v>9478</v>
      </c>
      <c r="U2311" t="s">
        <v>9478</v>
      </c>
      <c r="V2311" t="s">
        <v>9478</v>
      </c>
      <c r="W2311">
        <v>11</v>
      </c>
      <c r="X2311" t="s">
        <v>11789</v>
      </c>
      <c r="Y2311">
        <v>0.54058822663741379</v>
      </c>
      <c r="Z2311" t="str">
        <f>HYPERLINK("Melting_Curves/meltCurve_sp_Q6UWE0_LRSM1_HUMAN_.pdf", "Melting_Curves/meltCurve_sp_Q6UWE0_LRSM1_HUMAN_.pdf")</f>
        <v>Melting_Curves/meltCurve_sp_Q6UWE0_LRSM1_HUMAN_.pdf</v>
      </c>
      <c r="AA2311" t="s">
        <v>16486</v>
      </c>
      <c r="AB2311" t="s">
        <v>21145</v>
      </c>
    </row>
    <row r="2312" spans="1:28" x14ac:dyDescent="0.25">
      <c r="A2312" t="s">
        <v>2316</v>
      </c>
      <c r="B2312">
        <v>0.99904790336628502</v>
      </c>
      <c r="C2312">
        <v>0.99294952582083695</v>
      </c>
      <c r="D2312">
        <v>0.99460247613424202</v>
      </c>
      <c r="E2312">
        <v>0.63384091504068796</v>
      </c>
      <c r="F2312">
        <v>0.26198998220596997</v>
      </c>
      <c r="G2312">
        <v>0.23430622890029101</v>
      </c>
      <c r="H2312">
        <v>0.12685306969608501</v>
      </c>
      <c r="I2312">
        <v>8.62489476018308E-2</v>
      </c>
      <c r="J2312">
        <v>7.00991876452767E-2</v>
      </c>
      <c r="K2312">
        <v>5.21783143666903E-2</v>
      </c>
      <c r="L2312">
        <v>1487.7828500845801</v>
      </c>
      <c r="M2312">
        <v>29.374078156095699</v>
      </c>
      <c r="N2312">
        <v>51.038468848472696</v>
      </c>
      <c r="O2312">
        <v>50.416509744740601</v>
      </c>
      <c r="P2312">
        <v>-0.13105109280180299</v>
      </c>
      <c r="Q2312">
        <v>0.10028265627857499</v>
      </c>
      <c r="R2312">
        <v>0.98925408432250295</v>
      </c>
      <c r="S2312" t="s">
        <v>7052</v>
      </c>
      <c r="T2312" t="s">
        <v>9478</v>
      </c>
      <c r="U2312" t="s">
        <v>9478</v>
      </c>
      <c r="V2312" t="s">
        <v>9478</v>
      </c>
      <c r="W2312">
        <v>9</v>
      </c>
      <c r="X2312" t="s">
        <v>11790</v>
      </c>
      <c r="Y2312">
        <v>0.4255355765729959</v>
      </c>
      <c r="Z2312" t="str">
        <f>HYPERLINK("Melting_Curves/meltCurve_sp_Q6UWP2_DHR11_HUMAN_.pdf", "Melting_Curves/meltCurve_sp_Q6UWP2_DHR11_HUMAN_.pdf")</f>
        <v>Melting_Curves/meltCurve_sp_Q6UWP2_DHR11_HUMAN_.pdf</v>
      </c>
      <c r="AA2312" t="s">
        <v>16487</v>
      </c>
      <c r="AB2312" t="s">
        <v>21146</v>
      </c>
    </row>
    <row r="2313" spans="1:28" x14ac:dyDescent="0.25">
      <c r="A2313" t="s">
        <v>2317</v>
      </c>
      <c r="B2313">
        <v>0.99904790336628502</v>
      </c>
      <c r="C2313">
        <v>1.08211635291688</v>
      </c>
      <c r="D2313">
        <v>1.59437966047444</v>
      </c>
      <c r="E2313">
        <v>1.55508298998623</v>
      </c>
      <c r="F2313">
        <v>0.88459019011207995</v>
      </c>
      <c r="G2313">
        <v>0.80012097082954203</v>
      </c>
      <c r="H2313">
        <v>0.51529613071389602</v>
      </c>
      <c r="I2313">
        <v>0.46873753071450203</v>
      </c>
      <c r="J2313">
        <v>0.34805569764412703</v>
      </c>
      <c r="K2313">
        <v>0.36752360906634302</v>
      </c>
      <c r="L2313">
        <v>1754.5162929314599</v>
      </c>
      <c r="M2313">
        <v>29.9423901664784</v>
      </c>
      <c r="N2313">
        <v>61.358143725542902</v>
      </c>
      <c r="O2313">
        <v>58.336878980944903</v>
      </c>
      <c r="P2313">
        <v>-8.0829530808008199E-2</v>
      </c>
      <c r="Q2313">
        <v>0.370081946747637</v>
      </c>
      <c r="R2313">
        <v>0.63422010600164802</v>
      </c>
      <c r="S2313" t="s">
        <v>7053</v>
      </c>
      <c r="T2313" t="s">
        <v>9478</v>
      </c>
      <c r="U2313" t="s">
        <v>9478</v>
      </c>
      <c r="V2313" t="s">
        <v>9478</v>
      </c>
      <c r="W2313">
        <v>2</v>
      </c>
      <c r="X2313" t="s">
        <v>11791</v>
      </c>
      <c r="Y2313">
        <v>0.76465713242792688</v>
      </c>
      <c r="Z2313" t="str">
        <f>HYPERLINK("Melting_Curves/meltCurve_sp_Q6UWP8_SBSN_HUMAN_.pdf", "Melting_Curves/meltCurve_sp_Q6UWP8_SBSN_HUMAN_.pdf")</f>
        <v>Melting_Curves/meltCurve_sp_Q6UWP8_SBSN_HUMAN_.pdf</v>
      </c>
      <c r="AA2313" t="s">
        <v>16488</v>
      </c>
      <c r="AB2313" t="s">
        <v>21147</v>
      </c>
    </row>
    <row r="2314" spans="1:28" x14ac:dyDescent="0.25">
      <c r="A2314" t="s">
        <v>2318</v>
      </c>
      <c r="B2314">
        <v>0.99904790336628502</v>
      </c>
      <c r="C2314">
        <v>0.92348951934257895</v>
      </c>
      <c r="D2314">
        <v>0.88628331121487103</v>
      </c>
      <c r="E2314">
        <v>0.75516355093838305</v>
      </c>
      <c r="F2314">
        <v>0.44628526409671399</v>
      </c>
      <c r="G2314">
        <v>0.20025488720894799</v>
      </c>
      <c r="H2314">
        <v>0.143543382805152</v>
      </c>
      <c r="I2314">
        <v>7.5669619085400694E-2</v>
      </c>
      <c r="J2314">
        <v>7.8259891367922205E-2</v>
      </c>
      <c r="K2314">
        <v>4.9869382340297697E-2</v>
      </c>
      <c r="L2314">
        <v>932.86164002304702</v>
      </c>
      <c r="M2314">
        <v>17.851971050295901</v>
      </c>
      <c r="N2314">
        <v>52.557428581391001</v>
      </c>
      <c r="O2314">
        <v>51.612912366572402</v>
      </c>
      <c r="P2314">
        <v>-8.2258956244864595E-2</v>
      </c>
      <c r="Q2314">
        <v>4.8753129338141597E-2</v>
      </c>
      <c r="R2314">
        <v>0.99362121842867701</v>
      </c>
      <c r="S2314" t="s">
        <v>7054</v>
      </c>
      <c r="T2314" t="s">
        <v>9478</v>
      </c>
      <c r="U2314" t="s">
        <v>9478</v>
      </c>
      <c r="V2314" t="s">
        <v>9478</v>
      </c>
      <c r="W2314">
        <v>4</v>
      </c>
      <c r="X2314" t="s">
        <v>11792</v>
      </c>
      <c r="Y2314">
        <v>0.45334142036196928</v>
      </c>
      <c r="Z2314" t="str">
        <f>HYPERLINK("Melting_Curves/meltCurve_sp_Q6UWW8_EST3_HUMAN_.pdf", "Melting_Curves/meltCurve_sp_Q6UWW8_EST3_HUMAN_.pdf")</f>
        <v>Melting_Curves/meltCurve_sp_Q6UWW8_EST3_HUMAN_.pdf</v>
      </c>
      <c r="AA2314" t="s">
        <v>16489</v>
      </c>
      <c r="AB2314" t="s">
        <v>21148</v>
      </c>
    </row>
    <row r="2315" spans="1:28" x14ac:dyDescent="0.25">
      <c r="A2315" t="s">
        <v>2319</v>
      </c>
      <c r="B2315">
        <v>0.99904790336628502</v>
      </c>
      <c r="C2315">
        <v>0.80930201299654603</v>
      </c>
      <c r="D2315">
        <v>0.87042481323867504</v>
      </c>
      <c r="E2315">
        <v>0.638621666162694</v>
      </c>
      <c r="F2315">
        <v>0.459131571427769</v>
      </c>
      <c r="G2315">
        <v>0.295091739515636</v>
      </c>
      <c r="H2315">
        <v>0.19210698557002501</v>
      </c>
      <c r="I2315">
        <v>0.155924031573037</v>
      </c>
      <c r="J2315">
        <v>0.14325624061088699</v>
      </c>
      <c r="K2315">
        <v>0.16546309800036799</v>
      </c>
      <c r="L2315">
        <v>620.14664162383701</v>
      </c>
      <c r="M2315">
        <v>12.084592033507599</v>
      </c>
      <c r="N2315">
        <v>52.236701586957999</v>
      </c>
      <c r="O2315">
        <v>49.972516680737201</v>
      </c>
      <c r="P2315">
        <v>-5.4676417286249598E-2</v>
      </c>
      <c r="Q2315">
        <v>9.5814797776798202E-2</v>
      </c>
      <c r="R2315">
        <v>0.98136280409867704</v>
      </c>
      <c r="S2315" t="s">
        <v>7055</v>
      </c>
      <c r="T2315" t="s">
        <v>9478</v>
      </c>
      <c r="U2315" t="s">
        <v>9478</v>
      </c>
      <c r="V2315" t="s">
        <v>9478</v>
      </c>
      <c r="W2315">
        <v>2</v>
      </c>
      <c r="X2315" t="s">
        <v>11793</v>
      </c>
      <c r="Y2315">
        <v>0.46554563152726969</v>
      </c>
      <c r="Z2315" t="str">
        <f>HYPERLINK("Melting_Curves/meltCurve_sp_Q6UX04_2_CWC27_HUMAN_.pdf", "Melting_Curves/meltCurve_sp_Q6UX04_2_CWC27_HUMAN_.pdf")</f>
        <v>Melting_Curves/meltCurve_sp_Q6UX04_2_CWC27_HUMAN_.pdf</v>
      </c>
      <c r="AA2315" t="s">
        <v>16490</v>
      </c>
      <c r="AB2315" t="s">
        <v>21149</v>
      </c>
    </row>
    <row r="2316" spans="1:28" x14ac:dyDescent="0.25">
      <c r="A2316" t="s">
        <v>2320</v>
      </c>
      <c r="B2316">
        <v>0.99904790336628502</v>
      </c>
      <c r="C2316">
        <v>0.98298748291109495</v>
      </c>
      <c r="D2316">
        <v>0.73193937679565901</v>
      </c>
      <c r="E2316">
        <v>0.38695588978233197</v>
      </c>
      <c r="F2316">
        <v>0.19717039412119799</v>
      </c>
      <c r="G2316">
        <v>0.11608140075128499</v>
      </c>
      <c r="H2316">
        <v>7.4963779813321404E-2</v>
      </c>
      <c r="I2316">
        <v>5.0985493373164298E-2</v>
      </c>
      <c r="J2316">
        <v>4.5000177086424599E-2</v>
      </c>
      <c r="K2316">
        <v>3.6510716531271498E-2</v>
      </c>
      <c r="L2316">
        <v>968.41589465054301</v>
      </c>
      <c r="M2316">
        <v>19.975817071388299</v>
      </c>
      <c r="N2316">
        <v>48.733731356121602</v>
      </c>
      <c r="O2316">
        <v>48.001408230057798</v>
      </c>
      <c r="P2316">
        <v>-9.8891300886791503E-2</v>
      </c>
      <c r="Q2316">
        <v>4.9497362274127897E-2</v>
      </c>
      <c r="R2316">
        <v>0.99706220246358301</v>
      </c>
      <c r="S2316" t="s">
        <v>7056</v>
      </c>
      <c r="T2316" t="s">
        <v>9478</v>
      </c>
      <c r="U2316" t="s">
        <v>9478</v>
      </c>
      <c r="V2316" t="s">
        <v>9478</v>
      </c>
      <c r="W2316">
        <v>6</v>
      </c>
      <c r="X2316" t="s">
        <v>11794</v>
      </c>
      <c r="Y2316">
        <v>0.33158372571453248</v>
      </c>
      <c r="Z2316" t="str">
        <f>HYPERLINK("Melting_Curves/meltCurve_sp_Q6UX53_MET7B_HUMAN_.pdf", "Melting_Curves/meltCurve_sp_Q6UX53_MET7B_HUMAN_.pdf")</f>
        <v>Melting_Curves/meltCurve_sp_Q6UX53_MET7B_HUMAN_.pdf</v>
      </c>
      <c r="AA2316" t="s">
        <v>16491</v>
      </c>
      <c r="AB2316" t="s">
        <v>21150</v>
      </c>
    </row>
    <row r="2317" spans="1:28" x14ac:dyDescent="0.25">
      <c r="A2317" t="s">
        <v>2321</v>
      </c>
      <c r="B2317">
        <v>0.99904790336628502</v>
      </c>
      <c r="C2317">
        <v>0.95920497505763802</v>
      </c>
      <c r="D2317">
        <v>0.97816033493691101</v>
      </c>
      <c r="E2317">
        <v>0.97219758586911698</v>
      </c>
      <c r="F2317">
        <v>0.99371405932102397</v>
      </c>
      <c r="G2317">
        <v>0.85876812442534201</v>
      </c>
      <c r="H2317">
        <v>0.77526052222017094</v>
      </c>
      <c r="I2317">
        <v>0.77920791803210498</v>
      </c>
      <c r="J2317">
        <v>0.74574716492780901</v>
      </c>
      <c r="K2317">
        <v>0.66751741818067201</v>
      </c>
      <c r="L2317">
        <v>850.72277191896501</v>
      </c>
      <c r="M2317">
        <v>14.307092838078599</v>
      </c>
      <c r="O2317">
        <v>58.336121668194302</v>
      </c>
      <c r="P2317">
        <v>-2.0751167273141E-2</v>
      </c>
      <c r="Q2317">
        <v>0.66159569071069602</v>
      </c>
      <c r="R2317">
        <v>0.94573032853795003</v>
      </c>
      <c r="S2317" t="s">
        <v>7057</v>
      </c>
      <c r="T2317" t="s">
        <v>9478</v>
      </c>
      <c r="U2317" t="s">
        <v>9478</v>
      </c>
      <c r="V2317" t="s">
        <v>9478</v>
      </c>
      <c r="W2317">
        <v>7</v>
      </c>
      <c r="X2317" t="s">
        <v>11795</v>
      </c>
      <c r="Y2317">
        <v>0.8839815001758512</v>
      </c>
      <c r="Z2317" t="str">
        <f>HYPERLINK("Melting_Curves/meltCurve_sp_Q6UXH1_4_CREL2_HUMAN_.pdf", "Melting_Curves/meltCurve_sp_Q6UXH1_4_CREL2_HUMAN_.pdf")</f>
        <v>Melting_Curves/meltCurve_sp_Q6UXH1_4_CREL2_HUMAN_.pdf</v>
      </c>
      <c r="AA2317" t="s">
        <v>16492</v>
      </c>
      <c r="AB2317" t="s">
        <v>21151</v>
      </c>
    </row>
    <row r="2318" spans="1:28" x14ac:dyDescent="0.25">
      <c r="A2318" t="s">
        <v>2322</v>
      </c>
      <c r="B2318">
        <v>0.99904790336628502</v>
      </c>
      <c r="C2318">
        <v>0.80177873164178204</v>
      </c>
      <c r="D2318">
        <v>0.77150658546542095</v>
      </c>
      <c r="E2318">
        <v>0.77543935908361294</v>
      </c>
      <c r="F2318">
        <v>0.78363629247969302</v>
      </c>
      <c r="G2318">
        <v>0.56258096500035304</v>
      </c>
      <c r="H2318">
        <v>0.31347428621496198</v>
      </c>
      <c r="I2318">
        <v>9.2874287123097699E-2</v>
      </c>
      <c r="J2318">
        <v>2.6224439366509301E-2</v>
      </c>
      <c r="K2318">
        <v>3.32387468759252E-2</v>
      </c>
      <c r="L2318">
        <v>731.71973881386202</v>
      </c>
      <c r="M2318">
        <v>12.942827937212799</v>
      </c>
      <c r="N2318">
        <v>56.5347643598923</v>
      </c>
      <c r="O2318">
        <v>55.236175148217498</v>
      </c>
      <c r="P2318">
        <v>-5.85900000393706E-2</v>
      </c>
      <c r="Q2318">
        <v>0</v>
      </c>
      <c r="R2318">
        <v>0.91474164977343297</v>
      </c>
      <c r="S2318" t="s">
        <v>7058</v>
      </c>
      <c r="T2318" t="s">
        <v>9478</v>
      </c>
      <c r="U2318" t="s">
        <v>9478</v>
      </c>
      <c r="V2318" t="s">
        <v>9478</v>
      </c>
      <c r="W2318">
        <v>8</v>
      </c>
      <c r="X2318" t="s">
        <v>11796</v>
      </c>
      <c r="Y2318">
        <v>0.56932374711653011</v>
      </c>
      <c r="Z2318" t="str">
        <f>HYPERLINK("Melting_Curves/meltCurve_sp_Q6UXN9_WDR82_HUMAN_.pdf", "Melting_Curves/meltCurve_sp_Q6UXN9_WDR82_HUMAN_.pdf")</f>
        <v>Melting_Curves/meltCurve_sp_Q6UXN9_WDR82_HUMAN_.pdf</v>
      </c>
      <c r="AA2318" t="s">
        <v>16493</v>
      </c>
      <c r="AB2318" t="s">
        <v>21152</v>
      </c>
    </row>
    <row r="2319" spans="1:28" x14ac:dyDescent="0.25">
      <c r="A2319" t="s">
        <v>2323</v>
      </c>
      <c r="B2319">
        <v>0.99904790336628502</v>
      </c>
      <c r="C2319">
        <v>0.93180512629733503</v>
      </c>
      <c r="D2319">
        <v>0.91351474911749997</v>
      </c>
      <c r="E2319">
        <v>0.90923305513059804</v>
      </c>
      <c r="F2319">
        <v>0.88419934112856702</v>
      </c>
      <c r="G2319">
        <v>0.71785740234617901</v>
      </c>
      <c r="H2319">
        <v>0.63544961371916298</v>
      </c>
      <c r="I2319">
        <v>0.56885214443829302</v>
      </c>
      <c r="J2319">
        <v>0.58718932320274697</v>
      </c>
      <c r="K2319">
        <v>0.62905644051777698</v>
      </c>
      <c r="L2319">
        <v>740.86268867389902</v>
      </c>
      <c r="M2319">
        <v>13.475637223846901</v>
      </c>
      <c r="O2319">
        <v>53.809579364424202</v>
      </c>
      <c r="P2319">
        <v>-2.7762688738577901E-2</v>
      </c>
      <c r="Q2319">
        <v>0.55663123800778802</v>
      </c>
      <c r="R2319">
        <v>0.942842039480289</v>
      </c>
      <c r="S2319" t="s">
        <v>7059</v>
      </c>
      <c r="T2319" t="s">
        <v>9478</v>
      </c>
      <c r="U2319" t="s">
        <v>9478</v>
      </c>
      <c r="V2319" t="s">
        <v>9478</v>
      </c>
      <c r="W2319">
        <v>6</v>
      </c>
      <c r="X2319" t="s">
        <v>11797</v>
      </c>
      <c r="Y2319">
        <v>0.78749923843654601</v>
      </c>
      <c r="Z2319" t="str">
        <f>HYPERLINK("Melting_Curves/meltCurve_sp_Q6UXV4_APOOL_HUMAN_.pdf", "Melting_Curves/meltCurve_sp_Q6UXV4_APOOL_HUMAN_.pdf")</f>
        <v>Melting_Curves/meltCurve_sp_Q6UXV4_APOOL_HUMAN_.pdf</v>
      </c>
      <c r="AA2319" t="s">
        <v>16494</v>
      </c>
      <c r="AB2319" t="s">
        <v>21153</v>
      </c>
    </row>
    <row r="2320" spans="1:28" x14ac:dyDescent="0.25">
      <c r="A2320" t="s">
        <v>2324</v>
      </c>
      <c r="B2320">
        <v>0.99904790336628502</v>
      </c>
      <c r="C2320">
        <v>1.01157619846981</v>
      </c>
      <c r="D2320">
        <v>1.0454540395446399</v>
      </c>
      <c r="E2320">
        <v>0.99515754329184303</v>
      </c>
      <c r="F2320">
        <v>0.92479512954936705</v>
      </c>
      <c r="G2320">
        <v>0.71888714827142797</v>
      </c>
      <c r="H2320">
        <v>0.62196113351976001</v>
      </c>
      <c r="I2320">
        <v>0.50141286405233698</v>
      </c>
      <c r="J2320">
        <v>0.58153401555531303</v>
      </c>
      <c r="K2320">
        <v>0.45970887175958502</v>
      </c>
      <c r="L2320">
        <v>1290.59155192193</v>
      </c>
      <c r="M2320">
        <v>22.719810159878801</v>
      </c>
      <c r="O2320">
        <v>56.370097849667403</v>
      </c>
      <c r="P2320">
        <v>-5.0227108267471302E-2</v>
      </c>
      <c r="Q2320">
        <v>0.50153608858169696</v>
      </c>
      <c r="R2320">
        <v>0.97482686060254997</v>
      </c>
      <c r="S2320" t="s">
        <v>7060</v>
      </c>
      <c r="T2320" t="s">
        <v>9478</v>
      </c>
      <c r="U2320" t="s">
        <v>9478</v>
      </c>
      <c r="V2320" t="s">
        <v>9478</v>
      </c>
      <c r="W2320">
        <v>2</v>
      </c>
      <c r="X2320" t="s">
        <v>11798</v>
      </c>
      <c r="Y2320">
        <v>0.78596344635663351</v>
      </c>
      <c r="Z2320" t="str">
        <f>HYPERLINK("Melting_Curves/meltCurve_sp_Q6VMQ6_2_MCAF1_HUMAN_.pdf", "Melting_Curves/meltCurve_sp_Q6VMQ6_2_MCAF1_HUMAN_.pdf")</f>
        <v>Melting_Curves/meltCurve_sp_Q6VMQ6_2_MCAF1_HUMAN_.pdf</v>
      </c>
      <c r="AA2320" t="s">
        <v>16495</v>
      </c>
      <c r="AB2320" t="s">
        <v>21154</v>
      </c>
    </row>
    <row r="2321" spans="1:28" x14ac:dyDescent="0.25">
      <c r="A2321" t="s">
        <v>2325</v>
      </c>
      <c r="B2321">
        <v>0.99904790336628502</v>
      </c>
      <c r="C2321">
        <v>0.92221082135201005</v>
      </c>
      <c r="D2321">
        <v>0.94907550604967705</v>
      </c>
      <c r="E2321">
        <v>0.79673078958904797</v>
      </c>
      <c r="F2321">
        <v>0.61476896159734795</v>
      </c>
      <c r="G2321">
        <v>0.34595766525117599</v>
      </c>
      <c r="H2321">
        <v>0.25649935583259698</v>
      </c>
      <c r="I2321">
        <v>0.210498937148758</v>
      </c>
      <c r="J2321">
        <v>0.17181559925920201</v>
      </c>
      <c r="K2321">
        <v>0.211049484021365</v>
      </c>
      <c r="L2321">
        <v>939.79202213542101</v>
      </c>
      <c r="M2321">
        <v>17.6777156735948</v>
      </c>
      <c r="N2321">
        <v>54.471701127528199</v>
      </c>
      <c r="O2321">
        <v>52.496221581237698</v>
      </c>
      <c r="P2321">
        <v>-6.9619051138549104E-2</v>
      </c>
      <c r="Q2321">
        <v>0.173073407750302</v>
      </c>
      <c r="R2321">
        <v>0.99411763144221299</v>
      </c>
      <c r="S2321" t="s">
        <v>7061</v>
      </c>
      <c r="T2321" t="s">
        <v>9478</v>
      </c>
      <c r="U2321" t="s">
        <v>9478</v>
      </c>
      <c r="V2321" t="s">
        <v>9478</v>
      </c>
      <c r="W2321">
        <v>2</v>
      </c>
      <c r="X2321" t="s">
        <v>11799</v>
      </c>
      <c r="Y2321">
        <v>0.54977409438480218</v>
      </c>
      <c r="Z2321" t="str">
        <f>HYPERLINK("Melting_Curves/meltCurve_sp_Q6VY07_PACS1_HUMAN_.pdf", "Melting_Curves/meltCurve_sp_Q6VY07_PACS1_HUMAN_.pdf")</f>
        <v>Melting_Curves/meltCurve_sp_Q6VY07_PACS1_HUMAN_.pdf</v>
      </c>
      <c r="AA2321" t="s">
        <v>16496</v>
      </c>
      <c r="AB2321" t="s">
        <v>21155</v>
      </c>
    </row>
    <row r="2322" spans="1:28" x14ac:dyDescent="0.25">
      <c r="A2322" t="s">
        <v>2326</v>
      </c>
      <c r="B2322">
        <v>0.99904790336628502</v>
      </c>
      <c r="C2322">
        <v>1.09831571818567</v>
      </c>
      <c r="D2322">
        <v>1.10921343722049</v>
      </c>
      <c r="E2322">
        <v>0.92144590703276696</v>
      </c>
      <c r="F2322">
        <v>0.88000910320555104</v>
      </c>
      <c r="G2322">
        <v>0.68200931321559399</v>
      </c>
      <c r="H2322">
        <v>0.57758741724184004</v>
      </c>
      <c r="I2322">
        <v>0.58742246004888699</v>
      </c>
      <c r="J2322">
        <v>0.68978229562202298</v>
      </c>
      <c r="K2322">
        <v>0.73303432646477096</v>
      </c>
      <c r="L2322">
        <v>1920.3549096331799</v>
      </c>
      <c r="M2322">
        <v>35.795591684824103</v>
      </c>
      <c r="O2322">
        <v>53.481187612805599</v>
      </c>
      <c r="P2322">
        <v>-5.9212969137847002E-2</v>
      </c>
      <c r="Q2322">
        <v>0.646127361243932</v>
      </c>
      <c r="R2322">
        <v>0.88019323832083496</v>
      </c>
      <c r="S2322" t="s">
        <v>7062</v>
      </c>
      <c r="T2322" t="s">
        <v>9478</v>
      </c>
      <c r="U2322" t="s">
        <v>9478</v>
      </c>
      <c r="V2322" t="s">
        <v>9478</v>
      </c>
      <c r="W2322">
        <v>6</v>
      </c>
      <c r="X2322" t="s">
        <v>11800</v>
      </c>
      <c r="Y2322">
        <v>0.80874871233244994</v>
      </c>
      <c r="Z2322" t="str">
        <f>HYPERLINK("Melting_Curves/meltCurve_sp_Q6WCQ1_MPRIP_HUMAN_.pdf", "Melting_Curves/meltCurve_sp_Q6WCQ1_MPRIP_HUMAN_.pdf")</f>
        <v>Melting_Curves/meltCurve_sp_Q6WCQ1_MPRIP_HUMAN_.pdf</v>
      </c>
      <c r="AA2322" t="s">
        <v>16497</v>
      </c>
      <c r="AB2322" t="s">
        <v>21156</v>
      </c>
    </row>
    <row r="2323" spans="1:28" x14ac:dyDescent="0.25">
      <c r="A2323" t="s">
        <v>2327</v>
      </c>
      <c r="B2323">
        <v>0.99904790336628502</v>
      </c>
      <c r="C2323">
        <v>1.03339096698931</v>
      </c>
      <c r="D2323">
        <v>0.65173887278057796</v>
      </c>
      <c r="E2323">
        <v>0.31073011081109198</v>
      </c>
      <c r="F2323">
        <v>0.28140591476228999</v>
      </c>
      <c r="G2323">
        <v>0.112634543210615</v>
      </c>
      <c r="H2323">
        <v>0.113999964384706</v>
      </c>
      <c r="I2323">
        <v>9.9414360842963095E-2</v>
      </c>
      <c r="J2323">
        <v>7.8374137930236398E-2</v>
      </c>
      <c r="K2323">
        <v>9.9636025441002002E-2</v>
      </c>
      <c r="L2323">
        <v>1049.9200526431</v>
      </c>
      <c r="M2323">
        <v>22.098445880520501</v>
      </c>
      <c r="N2323">
        <v>48.030815445383404</v>
      </c>
      <c r="O2323">
        <v>47.127127104521001</v>
      </c>
      <c r="P2323">
        <v>-0.104762953868549</v>
      </c>
      <c r="Q2323">
        <v>0.10635049301451199</v>
      </c>
      <c r="R2323">
        <v>0.980138862401288</v>
      </c>
      <c r="S2323" t="s">
        <v>7063</v>
      </c>
      <c r="T2323" t="s">
        <v>9478</v>
      </c>
      <c r="U2323" t="s">
        <v>9478</v>
      </c>
      <c r="V2323" t="s">
        <v>9478</v>
      </c>
      <c r="W2323">
        <v>2</v>
      </c>
      <c r="X2323" t="s">
        <v>11801</v>
      </c>
      <c r="Y2323">
        <v>0.34044266942414469</v>
      </c>
      <c r="Z2323" t="str">
        <f>HYPERLINK("Melting_Curves/meltCurve_sp_Q6WKZ4_3_RFIP1_HUMAN_.pdf", "Melting_Curves/meltCurve_sp_Q6WKZ4_3_RFIP1_HUMAN_.pdf")</f>
        <v>Melting_Curves/meltCurve_sp_Q6WKZ4_3_RFIP1_HUMAN_.pdf</v>
      </c>
      <c r="AA2323" t="s">
        <v>16498</v>
      </c>
      <c r="AB2323" t="s">
        <v>21157</v>
      </c>
    </row>
    <row r="2324" spans="1:28" x14ac:dyDescent="0.25">
      <c r="A2324" t="s">
        <v>2328</v>
      </c>
      <c r="B2324">
        <v>0.99904790336628502</v>
      </c>
      <c r="C2324">
        <v>0.98338114956982703</v>
      </c>
      <c r="D2324">
        <v>1.05701676423768</v>
      </c>
      <c r="E2324">
        <v>1.02962817291734</v>
      </c>
      <c r="F2324">
        <v>0.96197842186125804</v>
      </c>
      <c r="G2324">
        <v>0.69684172978083503</v>
      </c>
      <c r="H2324">
        <v>0.178617985560235</v>
      </c>
      <c r="I2324">
        <v>5.3847387002330702E-2</v>
      </c>
      <c r="J2324">
        <v>2.80148862337164E-2</v>
      </c>
      <c r="K2324">
        <v>2.1030851805479402E-2</v>
      </c>
      <c r="L2324">
        <v>2107.8850267375301</v>
      </c>
      <c r="M2324">
        <v>36.182914507357403</v>
      </c>
      <c r="N2324">
        <v>58.316413764463299</v>
      </c>
      <c r="O2324">
        <v>58.079276985638899</v>
      </c>
      <c r="P2324">
        <v>-0.152900386321005</v>
      </c>
      <c r="Q2324">
        <v>1.8286260730066999E-2</v>
      </c>
      <c r="R2324">
        <v>0.99762008332457297</v>
      </c>
      <c r="S2324" t="s">
        <v>7064</v>
      </c>
      <c r="T2324" t="s">
        <v>9478</v>
      </c>
      <c r="U2324" t="s">
        <v>9478</v>
      </c>
      <c r="V2324" t="s">
        <v>9478</v>
      </c>
      <c r="W2324">
        <v>26</v>
      </c>
      <c r="X2324" t="s">
        <v>11802</v>
      </c>
      <c r="Y2324">
        <v>0.62035741464137772</v>
      </c>
      <c r="Z2324" t="str">
        <f>HYPERLINK("Melting_Curves/meltCurve_sp_Q6XQN6_PNCB_HUMAN_.pdf", "Melting_Curves/meltCurve_sp_Q6XQN6_PNCB_HUMAN_.pdf")</f>
        <v>Melting_Curves/meltCurve_sp_Q6XQN6_PNCB_HUMAN_.pdf</v>
      </c>
      <c r="AA2324" t="s">
        <v>16499</v>
      </c>
      <c r="AB2324" t="s">
        <v>21158</v>
      </c>
    </row>
    <row r="2325" spans="1:28" x14ac:dyDescent="0.25">
      <c r="A2325" t="s">
        <v>2329</v>
      </c>
      <c r="B2325">
        <v>0.99904790336628502</v>
      </c>
      <c r="C2325">
        <v>0.96509549374688697</v>
      </c>
      <c r="D2325">
        <v>0.92237733667247601</v>
      </c>
      <c r="E2325">
        <v>0.99496423077264995</v>
      </c>
      <c r="F2325">
        <v>1.2316204175306</v>
      </c>
      <c r="G2325">
        <v>0.82205883601030805</v>
      </c>
      <c r="H2325">
        <v>0.80811695453895505</v>
      </c>
      <c r="I2325">
        <v>0.90112123961850599</v>
      </c>
      <c r="J2325">
        <v>1.0104398413681499</v>
      </c>
      <c r="K2325">
        <v>1.03007385669202</v>
      </c>
      <c r="L2325">
        <v>3389.9466387469101</v>
      </c>
      <c r="M2325">
        <v>61.2295253210306</v>
      </c>
      <c r="O2325">
        <v>55.305609270460003</v>
      </c>
      <c r="P2325">
        <v>-2.3285754920727E-2</v>
      </c>
      <c r="Q2325">
        <v>0.91586853768717102</v>
      </c>
      <c r="R2325">
        <v>0.16721870043225501</v>
      </c>
      <c r="S2325" t="s">
        <v>7065</v>
      </c>
      <c r="T2325" t="s">
        <v>9478</v>
      </c>
      <c r="U2325" t="s">
        <v>9478</v>
      </c>
      <c r="V2325" t="s">
        <v>9478</v>
      </c>
      <c r="W2325">
        <v>3</v>
      </c>
      <c r="X2325" t="s">
        <v>11803</v>
      </c>
      <c r="Y2325">
        <v>0.95909341745612509</v>
      </c>
      <c r="Z2325" t="str">
        <f>HYPERLINK("Melting_Curves/meltCurve_sp_Q6XZF7_DNMBP_HUMAN_.pdf", "Melting_Curves/meltCurve_sp_Q6XZF7_DNMBP_HUMAN_.pdf")</f>
        <v>Melting_Curves/meltCurve_sp_Q6XZF7_DNMBP_HUMAN_.pdf</v>
      </c>
      <c r="AA2325" t="s">
        <v>16500</v>
      </c>
      <c r="AB2325" t="s">
        <v>21159</v>
      </c>
    </row>
    <row r="2326" spans="1:28" x14ac:dyDescent="0.25">
      <c r="A2326" t="s">
        <v>2330</v>
      </c>
      <c r="B2326">
        <v>0.99904790336628502</v>
      </c>
      <c r="C2326">
        <v>0.87722717839345898</v>
      </c>
      <c r="D2326">
        <v>0.85607033833967305</v>
      </c>
      <c r="E2326">
        <v>0.80745946836600402</v>
      </c>
      <c r="F2326">
        <v>0.78213334405942303</v>
      </c>
      <c r="G2326">
        <v>0.58114084743872396</v>
      </c>
      <c r="H2326">
        <v>0.49171377943496802</v>
      </c>
      <c r="I2326">
        <v>0.42489603812714499</v>
      </c>
      <c r="J2326">
        <v>0.39737839678581299</v>
      </c>
      <c r="K2326">
        <v>0.36018510315443097</v>
      </c>
      <c r="L2326">
        <v>393.17839540093001</v>
      </c>
      <c r="M2326">
        <v>6.6717222064860202</v>
      </c>
      <c r="N2326">
        <v>61.388848816094701</v>
      </c>
      <c r="O2326">
        <v>54.313745554827698</v>
      </c>
      <c r="P2326">
        <v>-2.7171041783699099E-2</v>
      </c>
      <c r="Q2326">
        <v>0.117165013351249</v>
      </c>
      <c r="R2326">
        <v>0.97689207181257398</v>
      </c>
      <c r="S2326" t="s">
        <v>7066</v>
      </c>
      <c r="T2326" t="s">
        <v>9478</v>
      </c>
      <c r="U2326" t="s">
        <v>9478</v>
      </c>
      <c r="V2326" t="s">
        <v>9478</v>
      </c>
      <c r="W2326">
        <v>14</v>
      </c>
      <c r="X2326" t="s">
        <v>11804</v>
      </c>
      <c r="Y2326">
        <v>0.66191406052756208</v>
      </c>
      <c r="Z2326" t="str">
        <f>HYPERLINK("Melting_Curves/meltCurve_sp_Q6Y7W6_4_PERQ2_HUMAN_.pdf", "Melting_Curves/meltCurve_sp_Q6Y7W6_4_PERQ2_HUMAN_.pdf")</f>
        <v>Melting_Curves/meltCurve_sp_Q6Y7W6_4_PERQ2_HUMAN_.pdf</v>
      </c>
      <c r="AA2326" t="s">
        <v>16501</v>
      </c>
      <c r="AB2326" t="s">
        <v>21160</v>
      </c>
    </row>
    <row r="2327" spans="1:28" x14ac:dyDescent="0.25">
      <c r="A2327" t="s">
        <v>2331</v>
      </c>
      <c r="B2327">
        <v>0.99904790336628502</v>
      </c>
      <c r="C2327">
        <v>0.90487408007963399</v>
      </c>
      <c r="D2327">
        <v>0.85324295417795903</v>
      </c>
      <c r="E2327">
        <v>0.67461643428083695</v>
      </c>
      <c r="F2327">
        <v>0.32457775153239299</v>
      </c>
      <c r="G2327">
        <v>0.16577234457781201</v>
      </c>
      <c r="H2327">
        <v>0.102698895497536</v>
      </c>
      <c r="I2327">
        <v>8.2754079522967594E-2</v>
      </c>
      <c r="J2327">
        <v>6.5514187772562002E-2</v>
      </c>
      <c r="K2327">
        <v>5.1339858916749102E-2</v>
      </c>
      <c r="L2327">
        <v>909.97589453649005</v>
      </c>
      <c r="M2327">
        <v>17.8359261844519</v>
      </c>
      <c r="N2327">
        <v>51.306767339060201</v>
      </c>
      <c r="O2327">
        <v>50.390888646899299</v>
      </c>
      <c r="P2327">
        <v>-8.4284031286363595E-2</v>
      </c>
      <c r="Q2327">
        <v>4.7556102986513402E-2</v>
      </c>
      <c r="R2327">
        <v>0.99162865807785305</v>
      </c>
      <c r="S2327" t="s">
        <v>7067</v>
      </c>
      <c r="T2327" t="s">
        <v>9478</v>
      </c>
      <c r="U2327" t="s">
        <v>9478</v>
      </c>
      <c r="V2327" t="s">
        <v>9478</v>
      </c>
      <c r="W2327">
        <v>27</v>
      </c>
      <c r="X2327" t="s">
        <v>11805</v>
      </c>
      <c r="Y2327">
        <v>0.4137081325428707</v>
      </c>
      <c r="Z2327" t="str">
        <f>HYPERLINK("Melting_Curves/meltCurve_sp_Q6YN16_HSDL2_HUMAN_.pdf", "Melting_Curves/meltCurve_sp_Q6YN16_HSDL2_HUMAN_.pdf")</f>
        <v>Melting_Curves/meltCurve_sp_Q6YN16_HSDL2_HUMAN_.pdf</v>
      </c>
      <c r="AA2327" t="s">
        <v>16502</v>
      </c>
      <c r="AB2327" t="s">
        <v>21161</v>
      </c>
    </row>
    <row r="2328" spans="1:28" x14ac:dyDescent="0.25">
      <c r="A2328" t="s">
        <v>2332</v>
      </c>
      <c r="B2328">
        <v>0.99904790336628502</v>
      </c>
      <c r="C2328">
        <v>0.97540558122599397</v>
      </c>
      <c r="D2328">
        <v>0.98393683071633997</v>
      </c>
      <c r="E2328">
        <v>0.97365607797827403</v>
      </c>
      <c r="F2328">
        <v>0.88946955176019105</v>
      </c>
      <c r="G2328">
        <v>0.79014384767171197</v>
      </c>
      <c r="H2328">
        <v>0.58469495123890802</v>
      </c>
      <c r="I2328">
        <v>0.47881399301958399</v>
      </c>
      <c r="J2328">
        <v>0.32898560940441102</v>
      </c>
      <c r="K2328">
        <v>0.19476770382244599</v>
      </c>
      <c r="L2328">
        <v>780.35908961894995</v>
      </c>
      <c r="M2328">
        <v>12.394373985121801</v>
      </c>
      <c r="N2328">
        <v>62.960750640136403</v>
      </c>
      <c r="O2328">
        <v>61.389116816695697</v>
      </c>
      <c r="P2328">
        <v>-5.04853582707619E-2</v>
      </c>
      <c r="Q2328">
        <v>0</v>
      </c>
      <c r="R2328">
        <v>0.996264531349358</v>
      </c>
      <c r="S2328" t="s">
        <v>7068</v>
      </c>
      <c r="T2328" t="s">
        <v>9478</v>
      </c>
      <c r="U2328" t="s">
        <v>9478</v>
      </c>
      <c r="V2328" t="s">
        <v>9478</v>
      </c>
      <c r="W2328">
        <v>15</v>
      </c>
      <c r="X2328" t="s">
        <v>11806</v>
      </c>
      <c r="Y2328">
        <v>0.74775784602797424</v>
      </c>
      <c r="Z2328" t="str">
        <f>HYPERLINK("Melting_Curves/meltCurve_sp_Q6YP21_3_KAT3_HUMAN_.pdf", "Melting_Curves/meltCurve_sp_Q6YP21_3_KAT3_HUMAN_.pdf")</f>
        <v>Melting_Curves/meltCurve_sp_Q6YP21_3_KAT3_HUMAN_.pdf</v>
      </c>
      <c r="AA2328" t="s">
        <v>16503</v>
      </c>
      <c r="AB2328" t="s">
        <v>21162</v>
      </c>
    </row>
    <row r="2329" spans="1:28" x14ac:dyDescent="0.25">
      <c r="A2329" t="s">
        <v>2333</v>
      </c>
      <c r="B2329">
        <v>0.99904790336628502</v>
      </c>
      <c r="C2329">
        <v>1.08933311909192</v>
      </c>
      <c r="D2329">
        <v>1.06178294698557</v>
      </c>
      <c r="E2329">
        <v>0.70975667545705101</v>
      </c>
      <c r="F2329">
        <v>0.41618838313610901</v>
      </c>
      <c r="G2329">
        <v>0.28001628560028602</v>
      </c>
      <c r="H2329">
        <v>0.19162151042268899</v>
      </c>
      <c r="I2329">
        <v>0.17468868415471001</v>
      </c>
      <c r="J2329">
        <v>0.18490861801807601</v>
      </c>
      <c r="K2329">
        <v>0.14834195432147901</v>
      </c>
      <c r="L2329">
        <v>1473.4479865660301</v>
      </c>
      <c r="M2329">
        <v>28.719996499576101</v>
      </c>
      <c r="N2329">
        <v>52.131218558878899</v>
      </c>
      <c r="O2329">
        <v>51.057102087900802</v>
      </c>
      <c r="P2329">
        <v>-0.114889499450209</v>
      </c>
      <c r="Q2329">
        <v>0.18302503502818299</v>
      </c>
      <c r="R2329">
        <v>0.98483387710618897</v>
      </c>
      <c r="S2329" t="s">
        <v>7069</v>
      </c>
      <c r="T2329" t="s">
        <v>9478</v>
      </c>
      <c r="U2329" t="s">
        <v>9478</v>
      </c>
      <c r="V2329" t="s">
        <v>9478</v>
      </c>
      <c r="W2329">
        <v>11</v>
      </c>
      <c r="X2329" t="s">
        <v>11807</v>
      </c>
      <c r="Y2329">
        <v>0.49648969332998849</v>
      </c>
      <c r="Z2329" t="str">
        <f>HYPERLINK("Melting_Curves/meltCurve_sp_Q6ZMI0_PPR21_HUMAN_.pdf", "Melting_Curves/meltCurve_sp_Q6ZMI0_PPR21_HUMAN_.pdf")</f>
        <v>Melting_Curves/meltCurve_sp_Q6ZMI0_PPR21_HUMAN_.pdf</v>
      </c>
      <c r="AA2329" t="s">
        <v>16504</v>
      </c>
      <c r="AB2329" t="s">
        <v>21163</v>
      </c>
    </row>
    <row r="2330" spans="1:28" x14ac:dyDescent="0.25">
      <c r="A2330" t="s">
        <v>2334</v>
      </c>
      <c r="B2330">
        <v>0.99904790336628502</v>
      </c>
      <c r="C2330">
        <v>1.0525545262112499</v>
      </c>
      <c r="D2330">
        <v>1.0039775409309599</v>
      </c>
      <c r="E2330">
        <v>0.86750177602902501</v>
      </c>
      <c r="F2330">
        <v>0.73419402678477597</v>
      </c>
      <c r="G2330">
        <v>0.25049921153030102</v>
      </c>
      <c r="H2330">
        <v>0.17225766782952201</v>
      </c>
      <c r="I2330">
        <v>0.14044607103165499</v>
      </c>
      <c r="J2330">
        <v>0.10292816269993101</v>
      </c>
      <c r="K2330">
        <v>0.15643987357014</v>
      </c>
      <c r="L2330">
        <v>1632.15611673577</v>
      </c>
      <c r="M2330">
        <v>30.173395811480599</v>
      </c>
      <c r="N2330">
        <v>54.630911102412298</v>
      </c>
      <c r="O2330">
        <v>53.856628014900501</v>
      </c>
      <c r="P2330">
        <v>-0.122051491000096</v>
      </c>
      <c r="Q2330">
        <v>0.12860459074564301</v>
      </c>
      <c r="R2330">
        <v>0.99268367519659495</v>
      </c>
      <c r="S2330" t="s">
        <v>7070</v>
      </c>
      <c r="T2330" t="s">
        <v>9478</v>
      </c>
      <c r="U2330" t="s">
        <v>9478</v>
      </c>
      <c r="V2330" t="s">
        <v>9478</v>
      </c>
      <c r="W2330">
        <v>3</v>
      </c>
      <c r="X2330" t="s">
        <v>11808</v>
      </c>
      <c r="Y2330">
        <v>0.54361095567236262</v>
      </c>
      <c r="Z2330" t="str">
        <f>HYPERLINK("Melting_Curves/meltCurve_sp_Q6ZMZ3_3_SYNE3_HUMAN_.pdf", "Melting_Curves/meltCurve_sp_Q6ZMZ3_3_SYNE3_HUMAN_.pdf")</f>
        <v>Melting_Curves/meltCurve_sp_Q6ZMZ3_3_SYNE3_HUMAN_.pdf</v>
      </c>
      <c r="AA2330" t="s">
        <v>16505</v>
      </c>
      <c r="AB2330" t="s">
        <v>21164</v>
      </c>
    </row>
    <row r="2331" spans="1:28" x14ac:dyDescent="0.25">
      <c r="A2331" t="s">
        <v>2335</v>
      </c>
      <c r="B2331">
        <v>0.99904790336628502</v>
      </c>
      <c r="C2331">
        <v>0.92162518470341903</v>
      </c>
      <c r="D2331">
        <v>0.86475306541809605</v>
      </c>
      <c r="E2331">
        <v>0.39586504948566198</v>
      </c>
      <c r="F2331">
        <v>0.248437460723095</v>
      </c>
      <c r="G2331">
        <v>0.14045713833770501</v>
      </c>
      <c r="H2331">
        <v>6.0530366701588602E-2</v>
      </c>
      <c r="I2331">
        <v>4.3265610077724101E-2</v>
      </c>
      <c r="J2331">
        <v>2.5711022596082999E-2</v>
      </c>
      <c r="K2331">
        <v>0</v>
      </c>
      <c r="L2331">
        <v>972.14714166599094</v>
      </c>
      <c r="M2331">
        <v>19.7167501370987</v>
      </c>
      <c r="N2331">
        <v>49.4704119471551</v>
      </c>
      <c r="O2331">
        <v>48.806851689742203</v>
      </c>
      <c r="P2331">
        <v>-9.7787640922713095E-2</v>
      </c>
      <c r="Q2331">
        <v>3.1779005299085401E-2</v>
      </c>
      <c r="R2331">
        <v>0.99273487263391402</v>
      </c>
      <c r="S2331" t="s">
        <v>7071</v>
      </c>
      <c r="T2331" t="s">
        <v>9478</v>
      </c>
      <c r="U2331" t="s">
        <v>9478</v>
      </c>
      <c r="V2331" t="s">
        <v>9478</v>
      </c>
      <c r="W2331">
        <v>2</v>
      </c>
      <c r="X2331" t="s">
        <v>11809</v>
      </c>
      <c r="Y2331">
        <v>0.34603090193767327</v>
      </c>
      <c r="Z2331" t="str">
        <f>HYPERLINK("Melting_Curves/meltCurve_sp_Q6ZNW5_GDPP1_HUMAN_.pdf", "Melting_Curves/meltCurve_sp_Q6ZNW5_GDPP1_HUMAN_.pdf")</f>
        <v>Melting_Curves/meltCurve_sp_Q6ZNW5_GDPP1_HUMAN_.pdf</v>
      </c>
      <c r="AA2331" t="s">
        <v>16506</v>
      </c>
      <c r="AB2331" t="s">
        <v>21165</v>
      </c>
    </row>
    <row r="2332" spans="1:28" x14ac:dyDescent="0.25">
      <c r="A2332" t="s">
        <v>2336</v>
      </c>
      <c r="B2332">
        <v>0.99904790336628502</v>
      </c>
      <c r="C2332">
        <v>0.94816261821761005</v>
      </c>
      <c r="D2332">
        <v>1.0381493178005201</v>
      </c>
      <c r="E2332">
        <v>1.0390658446838601</v>
      </c>
      <c r="F2332">
        <v>1.0358240163268699</v>
      </c>
      <c r="G2332">
        <v>0.92921611895703504</v>
      </c>
      <c r="H2332">
        <v>0.802651633404317</v>
      </c>
      <c r="I2332">
        <v>1.01221321013483</v>
      </c>
      <c r="J2332">
        <v>0.80220157802889303</v>
      </c>
      <c r="K2332">
        <v>0.35604321046578502</v>
      </c>
      <c r="L2332">
        <v>3145.4437342179399</v>
      </c>
      <c r="M2332">
        <v>45.527144718858601</v>
      </c>
      <c r="N2332">
        <v>69.089413672876901</v>
      </c>
      <c r="O2332">
        <v>68.956513999416003</v>
      </c>
      <c r="P2332">
        <v>-0.16505766074360401</v>
      </c>
      <c r="Q2332">
        <v>0</v>
      </c>
      <c r="R2332">
        <v>0.87050163168469197</v>
      </c>
      <c r="S2332" t="s">
        <v>7072</v>
      </c>
      <c r="T2332" t="s">
        <v>9478</v>
      </c>
      <c r="U2332" t="s">
        <v>9478</v>
      </c>
      <c r="V2332" t="s">
        <v>9478</v>
      </c>
      <c r="W2332">
        <v>2</v>
      </c>
      <c r="X2332" t="s">
        <v>11810</v>
      </c>
      <c r="Y2332">
        <v>0.94924302573121577</v>
      </c>
      <c r="Z2332" t="str">
        <f>HYPERLINK("Melting_Curves/meltCurve_sp_Q6ZRS2_3_SRCAP_HUMAN_.pdf", "Melting_Curves/meltCurve_sp_Q6ZRS2_3_SRCAP_HUMAN_.pdf")</f>
        <v>Melting_Curves/meltCurve_sp_Q6ZRS2_3_SRCAP_HUMAN_.pdf</v>
      </c>
      <c r="AA2332" t="s">
        <v>16507</v>
      </c>
      <c r="AB2332" t="s">
        <v>21166</v>
      </c>
    </row>
    <row r="2333" spans="1:28" x14ac:dyDescent="0.25">
      <c r="A2333" t="s">
        <v>2337</v>
      </c>
      <c r="B2333">
        <v>0.99904790336628502</v>
      </c>
      <c r="C2333">
        <v>2.1070473109623502</v>
      </c>
      <c r="D2333">
        <v>1.6596433561277699</v>
      </c>
      <c r="E2333">
        <v>1.8387707488793501</v>
      </c>
      <c r="F2333">
        <v>0.60940640925549705</v>
      </c>
      <c r="G2333">
        <v>0.78117450021767898</v>
      </c>
      <c r="H2333">
        <v>0</v>
      </c>
      <c r="I2333">
        <v>0</v>
      </c>
      <c r="J2333">
        <v>0</v>
      </c>
      <c r="K2333">
        <v>0</v>
      </c>
      <c r="L2333">
        <v>4650.1348283294001</v>
      </c>
      <c r="M2333">
        <v>80.325572475786998</v>
      </c>
      <c r="N2333">
        <v>57.891088747689103</v>
      </c>
      <c r="O2333">
        <v>57.855236452243702</v>
      </c>
      <c r="P2333">
        <v>-0.34709728889220898</v>
      </c>
      <c r="Q2333">
        <v>0</v>
      </c>
      <c r="R2333">
        <v>0.59164085375327902</v>
      </c>
      <c r="S2333" t="s">
        <v>7073</v>
      </c>
      <c r="T2333" t="s">
        <v>9478</v>
      </c>
      <c r="U2333" t="s">
        <v>9478</v>
      </c>
      <c r="V2333" t="s">
        <v>9478</v>
      </c>
      <c r="W2333">
        <v>1</v>
      </c>
      <c r="X2333" t="s">
        <v>11811</v>
      </c>
      <c r="Y2333">
        <v>0.59735562535937736</v>
      </c>
      <c r="Z2333" t="str">
        <f>HYPERLINK("Melting_Curves/meltCurve_sp_Q6ZS17_2_FA65A_HUMAN_.pdf", "Melting_Curves/meltCurve_sp_Q6ZS17_2_FA65A_HUMAN_.pdf")</f>
        <v>Melting_Curves/meltCurve_sp_Q6ZS17_2_FA65A_HUMAN_.pdf</v>
      </c>
      <c r="AA2333" t="s">
        <v>16508</v>
      </c>
      <c r="AB2333" t="s">
        <v>21167</v>
      </c>
    </row>
    <row r="2334" spans="1:28" x14ac:dyDescent="0.25">
      <c r="A2334" t="s">
        <v>2338</v>
      </c>
      <c r="B2334">
        <v>0.99904790336628502</v>
      </c>
      <c r="C2334">
        <v>1.0836829673525601</v>
      </c>
      <c r="D2334">
        <v>1.05237372205699</v>
      </c>
      <c r="E2334">
        <v>0.87283280625431703</v>
      </c>
      <c r="F2334">
        <v>0.49983208466514401</v>
      </c>
      <c r="G2334">
        <v>0.24564335775505799</v>
      </c>
      <c r="H2334">
        <v>0.172512516495329</v>
      </c>
      <c r="I2334">
        <v>0.132479531155762</v>
      </c>
      <c r="J2334">
        <v>0.118452365629858</v>
      </c>
      <c r="K2334">
        <v>0.114646726953977</v>
      </c>
      <c r="L2334">
        <v>1634.90562529215</v>
      </c>
      <c r="M2334">
        <v>31.058121450513902</v>
      </c>
      <c r="N2334">
        <v>53.183955129529998</v>
      </c>
      <c r="O2334">
        <v>52.423407966574203</v>
      </c>
      <c r="P2334">
        <v>-0.12796470159036699</v>
      </c>
      <c r="Q2334">
        <v>0.13603177077214301</v>
      </c>
      <c r="R2334">
        <v>0.99111903149764402</v>
      </c>
      <c r="S2334" t="s">
        <v>7074</v>
      </c>
      <c r="T2334" t="s">
        <v>9478</v>
      </c>
      <c r="U2334" t="s">
        <v>9478</v>
      </c>
      <c r="V2334" t="s">
        <v>9478</v>
      </c>
      <c r="W2334">
        <v>7</v>
      </c>
      <c r="X2334" t="s">
        <v>11812</v>
      </c>
      <c r="Y2334">
        <v>0.5052616659230702</v>
      </c>
      <c r="Z2334" t="str">
        <f>HYPERLINK("Melting_Curves/meltCurve_sp_Q6ZS30_NBEL1_HUMAN_.pdf", "Melting_Curves/meltCurve_sp_Q6ZS30_NBEL1_HUMAN_.pdf")</f>
        <v>Melting_Curves/meltCurve_sp_Q6ZS30_NBEL1_HUMAN_.pdf</v>
      </c>
      <c r="AA2334" t="s">
        <v>16509</v>
      </c>
      <c r="AB2334" t="s">
        <v>21168</v>
      </c>
    </row>
    <row r="2335" spans="1:28" x14ac:dyDescent="0.25">
      <c r="A2335" t="s">
        <v>2339</v>
      </c>
      <c r="B2335">
        <v>0.99904790336628502</v>
      </c>
      <c r="C2335">
        <v>1.0046473474379001</v>
      </c>
      <c r="D2335">
        <v>0.88412832007470998</v>
      </c>
      <c r="E2335">
        <v>0.75320522644936605</v>
      </c>
      <c r="F2335">
        <v>0.6741683804484</v>
      </c>
      <c r="G2335">
        <v>0.48935401219379199</v>
      </c>
      <c r="H2335">
        <v>0.34123901556684</v>
      </c>
      <c r="I2335">
        <v>0.35326229280771299</v>
      </c>
      <c r="J2335">
        <v>0.46550118382010602</v>
      </c>
      <c r="K2335">
        <v>0.35118003609959098</v>
      </c>
      <c r="L2335">
        <v>788.39103689133594</v>
      </c>
      <c r="M2335">
        <v>15.172062135009099</v>
      </c>
      <c r="N2335">
        <v>56.485134005110801</v>
      </c>
      <c r="O2335">
        <v>51.085690572518402</v>
      </c>
      <c r="P2335">
        <v>-4.8148560789778701E-2</v>
      </c>
      <c r="Q2335">
        <v>0.35158059580476198</v>
      </c>
      <c r="R2335">
        <v>0.969114998831618</v>
      </c>
      <c r="S2335" t="s">
        <v>7075</v>
      </c>
      <c r="T2335" t="s">
        <v>9478</v>
      </c>
      <c r="U2335" t="s">
        <v>9478</v>
      </c>
      <c r="V2335" t="s">
        <v>9478</v>
      </c>
      <c r="W2335">
        <v>5</v>
      </c>
      <c r="X2335" t="s">
        <v>11813</v>
      </c>
      <c r="Y2335">
        <v>0.62441842970146944</v>
      </c>
      <c r="Z2335" t="str">
        <f>HYPERLINK("Melting_Curves/meltCurve_sp_Q6ZSZ5_2_ARHGI_HUMAN_.pdf", "Melting_Curves/meltCurve_sp_Q6ZSZ5_2_ARHGI_HUMAN_.pdf")</f>
        <v>Melting_Curves/meltCurve_sp_Q6ZSZ5_2_ARHGI_HUMAN_.pdf</v>
      </c>
      <c r="AA2335" t="s">
        <v>16510</v>
      </c>
      <c r="AB2335" t="s">
        <v>21169</v>
      </c>
    </row>
    <row r="2336" spans="1:28" x14ac:dyDescent="0.25">
      <c r="A2336" t="s">
        <v>2340</v>
      </c>
      <c r="B2336">
        <v>0.99904790336628502</v>
      </c>
      <c r="C2336">
        <v>0.99149675659792402</v>
      </c>
      <c r="D2336">
        <v>0.93317683477330404</v>
      </c>
      <c r="E2336">
        <v>0.60807421865931299</v>
      </c>
      <c r="F2336">
        <v>0.30832030637087499</v>
      </c>
      <c r="G2336">
        <v>0.15265239292924301</v>
      </c>
      <c r="H2336">
        <v>9.4269397338397398E-2</v>
      </c>
      <c r="I2336">
        <v>7.4507373037519697E-2</v>
      </c>
      <c r="J2336">
        <v>6.2692713704216696E-2</v>
      </c>
      <c r="K2336">
        <v>5.28136319746444E-2</v>
      </c>
      <c r="L2336">
        <v>1183.10701926204</v>
      </c>
      <c r="M2336">
        <v>23.3262605651901</v>
      </c>
      <c r="N2336">
        <v>51.032229601270501</v>
      </c>
      <c r="O2336">
        <v>50.351597199193002</v>
      </c>
      <c r="P2336">
        <v>-0.108116045901228</v>
      </c>
      <c r="Q2336">
        <v>6.6507919701099205E-2</v>
      </c>
      <c r="R2336">
        <v>0.99934757238946204</v>
      </c>
      <c r="S2336" t="s">
        <v>7076</v>
      </c>
      <c r="T2336" t="s">
        <v>9478</v>
      </c>
      <c r="U2336" t="s">
        <v>9478</v>
      </c>
      <c r="V2336" t="s">
        <v>9478</v>
      </c>
      <c r="W2336">
        <v>11</v>
      </c>
      <c r="X2336" t="s">
        <v>11814</v>
      </c>
      <c r="Y2336">
        <v>0.40971159137007718</v>
      </c>
      <c r="Z2336" t="str">
        <f>HYPERLINK("Melting_Curves/meltCurve_sp_Q6ZT12_UBR3_HUMAN_.pdf", "Melting_Curves/meltCurve_sp_Q6ZT12_UBR3_HUMAN_.pdf")</f>
        <v>Melting_Curves/meltCurve_sp_Q6ZT12_UBR3_HUMAN_.pdf</v>
      </c>
      <c r="AA2336" t="s">
        <v>16511</v>
      </c>
      <c r="AB2336" t="s">
        <v>21170</v>
      </c>
    </row>
    <row r="2337" spans="1:28" x14ac:dyDescent="0.25">
      <c r="A2337" t="s">
        <v>2341</v>
      </c>
      <c r="B2337">
        <v>0.99904790336628502</v>
      </c>
      <c r="C2337">
        <v>0.96396453826766904</v>
      </c>
      <c r="D2337">
        <v>0.99740147330737705</v>
      </c>
      <c r="E2337">
        <v>0.83238320621200301</v>
      </c>
      <c r="F2337">
        <v>0.47292488818984502</v>
      </c>
      <c r="G2337">
        <v>0.19164758728439299</v>
      </c>
      <c r="H2337">
        <v>0.106744704019581</v>
      </c>
      <c r="I2337">
        <v>8.4777940520576106E-2</v>
      </c>
      <c r="J2337">
        <v>7.9424946785985495E-2</v>
      </c>
      <c r="K2337">
        <v>7.4104673635136897E-2</v>
      </c>
      <c r="L2337">
        <v>1470.58370994748</v>
      </c>
      <c r="M2337">
        <v>27.983977165068399</v>
      </c>
      <c r="N2337">
        <v>52.888210297248598</v>
      </c>
      <c r="O2337">
        <v>52.2847576526081</v>
      </c>
      <c r="P2337">
        <v>-0.122871579615954</v>
      </c>
      <c r="Q2337">
        <v>8.1723726485260398E-2</v>
      </c>
      <c r="R2337">
        <v>0.99868571473484502</v>
      </c>
      <c r="S2337" t="s">
        <v>7077</v>
      </c>
      <c r="T2337" t="s">
        <v>9478</v>
      </c>
      <c r="U2337" t="s">
        <v>9478</v>
      </c>
      <c r="V2337" t="s">
        <v>9478</v>
      </c>
      <c r="W2337">
        <v>26</v>
      </c>
      <c r="X2337" t="s">
        <v>11815</v>
      </c>
      <c r="Y2337">
        <v>0.47267830636188191</v>
      </c>
      <c r="Z2337" t="str">
        <f>HYPERLINK("Melting_Curves/meltCurve_sp_Q6ZUJ8_BCAP_HUMAN_.pdf", "Melting_Curves/meltCurve_sp_Q6ZUJ8_BCAP_HUMAN_.pdf")</f>
        <v>Melting_Curves/meltCurve_sp_Q6ZUJ8_BCAP_HUMAN_.pdf</v>
      </c>
      <c r="AA2337" t="s">
        <v>16512</v>
      </c>
      <c r="AB2337" t="s">
        <v>21171</v>
      </c>
    </row>
    <row r="2338" spans="1:28" x14ac:dyDescent="0.25">
      <c r="A2338" t="s">
        <v>2342</v>
      </c>
      <c r="B2338">
        <v>0.99904790336628502</v>
      </c>
      <c r="C2338">
        <v>0.89213079875268697</v>
      </c>
      <c r="D2338">
        <v>0.92970880495504804</v>
      </c>
      <c r="E2338">
        <v>0.81154234531596503</v>
      </c>
      <c r="F2338">
        <v>0.75621383779222295</v>
      </c>
      <c r="G2338">
        <v>0.57008115902337897</v>
      </c>
      <c r="H2338">
        <v>0.48051187111351501</v>
      </c>
      <c r="I2338">
        <v>0.387347069428013</v>
      </c>
      <c r="J2338">
        <v>0.38988423770787001</v>
      </c>
      <c r="K2338">
        <v>0.41103651949309</v>
      </c>
      <c r="L2338">
        <v>592.32421228314001</v>
      </c>
      <c r="M2338">
        <v>10.835949052176799</v>
      </c>
      <c r="N2338">
        <v>60.138371005033498</v>
      </c>
      <c r="O2338">
        <v>52.899979019817103</v>
      </c>
      <c r="P2338">
        <v>-3.5163973520045501E-2</v>
      </c>
      <c r="Q2338">
        <v>0.31357788431056499</v>
      </c>
      <c r="R2338">
        <v>0.97881534030962003</v>
      </c>
      <c r="S2338" t="s">
        <v>7078</v>
      </c>
      <c r="T2338" t="s">
        <v>9478</v>
      </c>
      <c r="U2338" t="s">
        <v>9478</v>
      </c>
      <c r="V2338" t="s">
        <v>9478</v>
      </c>
      <c r="W2338">
        <v>4</v>
      </c>
      <c r="X2338" t="s">
        <v>11816</v>
      </c>
      <c r="Y2338">
        <v>0.66704802736737334</v>
      </c>
      <c r="Z2338" t="str">
        <f>HYPERLINK("Melting_Curves/meltCurve_sp_Q6ZVM7_TM1L2_HUMAN_.pdf", "Melting_Curves/meltCurve_sp_Q6ZVM7_TM1L2_HUMAN_.pdf")</f>
        <v>Melting_Curves/meltCurve_sp_Q6ZVM7_TM1L2_HUMAN_.pdf</v>
      </c>
      <c r="AA2338" t="s">
        <v>16513</v>
      </c>
      <c r="AB2338" t="s">
        <v>21172</v>
      </c>
    </row>
    <row r="2339" spans="1:28" x14ac:dyDescent="0.25">
      <c r="A2339" t="s">
        <v>2343</v>
      </c>
      <c r="B2339">
        <v>0.99904790336628502</v>
      </c>
      <c r="C2339">
        <v>1.04760333703686</v>
      </c>
      <c r="D2339">
        <v>1.0717171594764701</v>
      </c>
      <c r="E2339">
        <v>1.00946777468118</v>
      </c>
      <c r="F2339">
        <v>0.89649176311826495</v>
      </c>
      <c r="G2339">
        <v>0.71953261623666598</v>
      </c>
      <c r="H2339">
        <v>0.51507766852723103</v>
      </c>
      <c r="I2339">
        <v>0.36303061067534198</v>
      </c>
      <c r="J2339">
        <v>0.12726412809695001</v>
      </c>
      <c r="K2339">
        <v>0.107182878463667</v>
      </c>
      <c r="L2339">
        <v>989.77546038394405</v>
      </c>
      <c r="M2339">
        <v>16.246578027838499</v>
      </c>
      <c r="N2339">
        <v>60.922088281485799</v>
      </c>
      <c r="O2339">
        <v>60.021541119851697</v>
      </c>
      <c r="P2339">
        <v>-6.7674806520756497E-2</v>
      </c>
      <c r="Q2339">
        <v>0</v>
      </c>
      <c r="R2339">
        <v>0.98651233154808804</v>
      </c>
      <c r="S2339" t="s">
        <v>7079</v>
      </c>
      <c r="T2339" t="s">
        <v>9478</v>
      </c>
      <c r="U2339" t="s">
        <v>9478</v>
      </c>
      <c r="V2339" t="s">
        <v>9478</v>
      </c>
      <c r="W2339">
        <v>40</v>
      </c>
      <c r="X2339" t="s">
        <v>11817</v>
      </c>
      <c r="Y2339">
        <v>0.70168406707524456</v>
      </c>
      <c r="Z2339" t="str">
        <f>HYPERLINK("Melting_Curves/meltCurve_sp_Q709C8_3_VP13C_HUMAN_.pdf", "Melting_Curves/meltCurve_sp_Q709C8_3_VP13C_HUMAN_.pdf")</f>
        <v>Melting_Curves/meltCurve_sp_Q709C8_3_VP13C_HUMAN_.pdf</v>
      </c>
      <c r="AA2339" t="s">
        <v>16514</v>
      </c>
      <c r="AB2339" t="s">
        <v>21173</v>
      </c>
    </row>
    <row r="2340" spans="1:28" x14ac:dyDescent="0.25">
      <c r="A2340" t="s">
        <v>2344</v>
      </c>
      <c r="B2340">
        <v>0.99904790336628502</v>
      </c>
      <c r="C2340">
        <v>0.97638832397974995</v>
      </c>
      <c r="D2340">
        <v>0.94054828322525597</v>
      </c>
      <c r="E2340">
        <v>0.73078547814091999</v>
      </c>
      <c r="F2340">
        <v>0.42664926051985502</v>
      </c>
      <c r="G2340">
        <v>0.14860349083821001</v>
      </c>
      <c r="H2340">
        <v>7.0153467828838398E-2</v>
      </c>
      <c r="I2340">
        <v>4.9592840991695801E-2</v>
      </c>
      <c r="J2340">
        <v>4.5743796056453803E-2</v>
      </c>
      <c r="K2340">
        <v>3.3588995049033399E-2</v>
      </c>
      <c r="L2340">
        <v>1158.8583132164699</v>
      </c>
      <c r="M2340">
        <v>22.2502385695892</v>
      </c>
      <c r="N2340">
        <v>52.244010795521298</v>
      </c>
      <c r="O2340">
        <v>51.667731210197701</v>
      </c>
      <c r="P2340">
        <v>-0.10409370638559801</v>
      </c>
      <c r="Q2340">
        <v>3.3148193958464599E-2</v>
      </c>
      <c r="R2340">
        <v>0.999693389852643</v>
      </c>
      <c r="S2340" t="s">
        <v>7080</v>
      </c>
      <c r="T2340" t="s">
        <v>9478</v>
      </c>
      <c r="U2340" t="s">
        <v>9478</v>
      </c>
      <c r="V2340" t="s">
        <v>9478</v>
      </c>
      <c r="W2340">
        <v>33</v>
      </c>
      <c r="X2340" t="s">
        <v>11818</v>
      </c>
      <c r="Y2340">
        <v>0.43357454743744461</v>
      </c>
      <c r="Z2340" t="str">
        <f>HYPERLINK("Melting_Curves/meltCurve_sp_Q709F0_ACD11_HUMAN_.pdf", "Melting_Curves/meltCurve_sp_Q709F0_ACD11_HUMAN_.pdf")</f>
        <v>Melting_Curves/meltCurve_sp_Q709F0_ACD11_HUMAN_.pdf</v>
      </c>
      <c r="AA2340" t="s">
        <v>16515</v>
      </c>
      <c r="AB2340" t="s">
        <v>21174</v>
      </c>
    </row>
    <row r="2341" spans="1:28" x14ac:dyDescent="0.25">
      <c r="A2341" t="s">
        <v>2345</v>
      </c>
      <c r="B2341">
        <v>0.99904790336628502</v>
      </c>
      <c r="C2341">
        <v>0.87645390864220496</v>
      </c>
      <c r="D2341">
        <v>0.813786848029592</v>
      </c>
      <c r="E2341">
        <v>0.67535817000726805</v>
      </c>
      <c r="F2341">
        <v>0.55994163483752901</v>
      </c>
      <c r="G2341">
        <v>0.306007072378706</v>
      </c>
      <c r="H2341">
        <v>0.20897424105982401</v>
      </c>
      <c r="I2341">
        <v>0.14445035244707299</v>
      </c>
      <c r="J2341">
        <v>0.129926441517382</v>
      </c>
      <c r="K2341">
        <v>5.9521666680215302E-2</v>
      </c>
      <c r="L2341">
        <v>546.82725592719601</v>
      </c>
      <c r="M2341">
        <v>10.2606841126895</v>
      </c>
      <c r="N2341">
        <v>53.293448970168797</v>
      </c>
      <c r="O2341">
        <v>51.388190831336303</v>
      </c>
      <c r="P2341">
        <v>-4.9939521459027199E-2</v>
      </c>
      <c r="Q2341">
        <v>0</v>
      </c>
      <c r="R2341">
        <v>0.99280881586690695</v>
      </c>
      <c r="S2341" t="s">
        <v>7081</v>
      </c>
      <c r="T2341" t="s">
        <v>9478</v>
      </c>
      <c r="U2341" t="s">
        <v>9478</v>
      </c>
      <c r="V2341" t="s">
        <v>9478</v>
      </c>
      <c r="W2341">
        <v>5</v>
      </c>
      <c r="X2341" t="s">
        <v>11819</v>
      </c>
      <c r="Y2341">
        <v>0.4754611682330076</v>
      </c>
      <c r="Z2341" t="str">
        <f>HYPERLINK("Melting_Curves/meltCurve_sp_Q70E73_7_RAPH1_HUMAN_.pdf", "Melting_Curves/meltCurve_sp_Q70E73_7_RAPH1_HUMAN_.pdf")</f>
        <v>Melting_Curves/meltCurve_sp_Q70E73_7_RAPH1_HUMAN_.pdf</v>
      </c>
      <c r="AA2341" t="s">
        <v>16516</v>
      </c>
      <c r="AB2341" t="s">
        <v>21175</v>
      </c>
    </row>
    <row r="2342" spans="1:28" x14ac:dyDescent="0.25">
      <c r="A2342" t="s">
        <v>2346</v>
      </c>
      <c r="B2342">
        <v>0.99904790336628502</v>
      </c>
      <c r="C2342">
        <v>0.74335193549513101</v>
      </c>
      <c r="D2342">
        <v>0.75180542498456104</v>
      </c>
      <c r="E2342">
        <v>0.76335801227406697</v>
      </c>
      <c r="F2342">
        <v>0.67709413683032205</v>
      </c>
      <c r="G2342">
        <v>0.38328189294304099</v>
      </c>
      <c r="H2342">
        <v>0.24086528323981199</v>
      </c>
      <c r="I2342">
        <v>0.15433530934114201</v>
      </c>
      <c r="J2342">
        <v>0.164779043945845</v>
      </c>
      <c r="K2342">
        <v>0.15977549612370301</v>
      </c>
      <c r="L2342">
        <v>458.93245165985201</v>
      </c>
      <c r="M2342">
        <v>8.4262235364837501</v>
      </c>
      <c r="N2342">
        <v>54.464784736287903</v>
      </c>
      <c r="O2342">
        <v>51.656559460480899</v>
      </c>
      <c r="P2342">
        <v>-4.08179956053418E-2</v>
      </c>
      <c r="Q2342">
        <v>0</v>
      </c>
      <c r="R2342">
        <v>0.92976201996005103</v>
      </c>
      <c r="S2342" t="s">
        <v>7082</v>
      </c>
      <c r="T2342" t="s">
        <v>9478</v>
      </c>
      <c r="U2342" t="s">
        <v>9478</v>
      </c>
      <c r="V2342" t="s">
        <v>9478</v>
      </c>
      <c r="W2342">
        <v>7</v>
      </c>
      <c r="X2342" t="s">
        <v>11820</v>
      </c>
      <c r="Y2342">
        <v>0.5126067194536108</v>
      </c>
      <c r="Z2342" t="str">
        <f>HYPERLINK("Melting_Curves/meltCurve_sp_Q70E73_RAPH1_HUMAN_.pdf", "Melting_Curves/meltCurve_sp_Q70E73_RAPH1_HUMAN_.pdf")</f>
        <v>Melting_Curves/meltCurve_sp_Q70E73_RAPH1_HUMAN_.pdf</v>
      </c>
      <c r="AA2342" t="s">
        <v>16516</v>
      </c>
      <c r="AB2342" t="s">
        <v>21176</v>
      </c>
    </row>
    <row r="2343" spans="1:28" x14ac:dyDescent="0.25">
      <c r="A2343" t="s">
        <v>2347</v>
      </c>
      <c r="B2343">
        <v>0.99904790336628502</v>
      </c>
      <c r="C2343">
        <v>1.1161577827585201</v>
      </c>
      <c r="D2343">
        <v>1.21738372186925</v>
      </c>
      <c r="E2343">
        <v>0.78856992753580002</v>
      </c>
      <c r="F2343">
        <v>0.458873247225076</v>
      </c>
      <c r="G2343">
        <v>0.22010924174521301</v>
      </c>
      <c r="H2343">
        <v>5.6495040552909E-2</v>
      </c>
      <c r="I2343">
        <v>0</v>
      </c>
      <c r="J2343">
        <v>0</v>
      </c>
      <c r="K2343">
        <v>0</v>
      </c>
      <c r="L2343">
        <v>1344.3078063575399</v>
      </c>
      <c r="M2343">
        <v>25.401403021137401</v>
      </c>
      <c r="N2343">
        <v>52.971208624705199</v>
      </c>
      <c r="O2343">
        <v>52.597848599812501</v>
      </c>
      <c r="P2343">
        <v>-0.11934416228529</v>
      </c>
      <c r="Q2343">
        <v>1.1524412670283099E-2</v>
      </c>
      <c r="R2343">
        <v>0.96474776185221101</v>
      </c>
      <c r="S2343" t="s">
        <v>7083</v>
      </c>
      <c r="T2343" t="s">
        <v>9478</v>
      </c>
      <c r="U2343" t="s">
        <v>9478</v>
      </c>
      <c r="V2343" t="s">
        <v>9478</v>
      </c>
      <c r="W2343">
        <v>1</v>
      </c>
      <c r="X2343" t="s">
        <v>11821</v>
      </c>
      <c r="Y2343">
        <v>0.44613978541520039</v>
      </c>
      <c r="Z2343" t="str">
        <f>HYPERLINK("Melting_Curves/meltCurve_sp_Q70EL4_4_UBP43_HUMAN_.pdf", "Melting_Curves/meltCurve_sp_Q70EL4_4_UBP43_HUMAN_.pdf")</f>
        <v>Melting_Curves/meltCurve_sp_Q70EL4_4_UBP43_HUMAN_.pdf</v>
      </c>
      <c r="AA2343" t="s">
        <v>16517</v>
      </c>
      <c r="AB2343" t="s">
        <v>21177</v>
      </c>
    </row>
    <row r="2344" spans="1:28" x14ac:dyDescent="0.25">
      <c r="A2344" t="s">
        <v>2348</v>
      </c>
      <c r="B2344">
        <v>0.99904790336628502</v>
      </c>
      <c r="C2344">
        <v>1.0474971649056199</v>
      </c>
      <c r="D2344">
        <v>0.89648010967133296</v>
      </c>
      <c r="E2344">
        <v>0.40787601954547498</v>
      </c>
      <c r="F2344">
        <v>0.202411208053214</v>
      </c>
      <c r="G2344">
        <v>0.122826129330878</v>
      </c>
      <c r="H2344">
        <v>7.53278035594349E-2</v>
      </c>
      <c r="I2344">
        <v>5.8452097736512498E-2</v>
      </c>
      <c r="J2344">
        <v>5.43183526898708E-2</v>
      </c>
      <c r="K2344">
        <v>3.1626282835820203E-2</v>
      </c>
      <c r="L2344">
        <v>1390.0637821252999</v>
      </c>
      <c r="M2344">
        <v>28.242643580951</v>
      </c>
      <c r="N2344">
        <v>49.464923836547598</v>
      </c>
      <c r="O2344">
        <v>48.973860499512803</v>
      </c>
      <c r="P2344">
        <v>-0.13471621853581101</v>
      </c>
      <c r="Q2344">
        <v>6.5595164028569394E-2</v>
      </c>
      <c r="R2344">
        <v>0.99501929949321</v>
      </c>
      <c r="S2344" t="s">
        <v>7084</v>
      </c>
      <c r="T2344" t="s">
        <v>9478</v>
      </c>
      <c r="U2344" t="s">
        <v>9478</v>
      </c>
      <c r="V2344" t="s">
        <v>9478</v>
      </c>
      <c r="W2344">
        <v>4</v>
      </c>
      <c r="X2344" t="s">
        <v>11822</v>
      </c>
      <c r="Y2344">
        <v>0.35918520572647578</v>
      </c>
      <c r="Z2344" t="str">
        <f>HYPERLINK("Melting_Curves/meltCurve_sp_Q70IA6_MOB2_HUMAN_.pdf", "Melting_Curves/meltCurve_sp_Q70IA6_MOB2_HUMAN_.pdf")</f>
        <v>Melting_Curves/meltCurve_sp_Q70IA6_MOB2_HUMAN_.pdf</v>
      </c>
      <c r="AA2344" t="s">
        <v>16518</v>
      </c>
      <c r="AB2344" t="s">
        <v>21178</v>
      </c>
    </row>
    <row r="2345" spans="1:28" x14ac:dyDescent="0.25">
      <c r="A2345" t="s">
        <v>2349</v>
      </c>
      <c r="B2345">
        <v>0.99904790336628502</v>
      </c>
      <c r="C2345">
        <v>0.81066126297107699</v>
      </c>
      <c r="D2345">
        <v>0.73110164427018598</v>
      </c>
      <c r="E2345">
        <v>0.78132177604506203</v>
      </c>
      <c r="F2345">
        <v>0.76793190543890499</v>
      </c>
      <c r="G2345">
        <v>0.74196776215948601</v>
      </c>
      <c r="H2345">
        <v>0.51162296419558295</v>
      </c>
      <c r="I2345">
        <v>0.33222727929953999</v>
      </c>
      <c r="J2345">
        <v>0.111807865741825</v>
      </c>
      <c r="K2345">
        <v>5.3516577733400697E-2</v>
      </c>
      <c r="L2345">
        <v>572.80867420938898</v>
      </c>
      <c r="M2345">
        <v>9.7071077052382506</v>
      </c>
      <c r="N2345">
        <v>59.009197930477498</v>
      </c>
      <c r="O2345">
        <v>56.668170579852301</v>
      </c>
      <c r="P2345">
        <v>-4.2847662355178499E-2</v>
      </c>
      <c r="Q2345">
        <v>0</v>
      </c>
      <c r="R2345">
        <v>0.84646325360136099</v>
      </c>
      <c r="S2345" t="s">
        <v>7085</v>
      </c>
      <c r="T2345" t="s">
        <v>9478</v>
      </c>
      <c r="U2345" t="s">
        <v>9478</v>
      </c>
      <c r="V2345" t="s">
        <v>9478</v>
      </c>
      <c r="W2345">
        <v>3</v>
      </c>
      <c r="X2345" t="s">
        <v>11823</v>
      </c>
      <c r="Y2345">
        <v>0.63594238250743507</v>
      </c>
      <c r="Z2345" t="str">
        <f>HYPERLINK("Melting_Curves/meltCurve_sp_Q712K3_UB2R2_HUMAN_.pdf", "Melting_Curves/meltCurve_sp_Q712K3_UB2R2_HUMAN_.pdf")</f>
        <v>Melting_Curves/meltCurve_sp_Q712K3_UB2R2_HUMAN_.pdf</v>
      </c>
      <c r="AA2345" t="s">
        <v>16519</v>
      </c>
      <c r="AB2345" t="s">
        <v>21179</v>
      </c>
    </row>
    <row r="2346" spans="1:28" x14ac:dyDescent="0.25">
      <c r="A2346" t="s">
        <v>2350</v>
      </c>
      <c r="B2346">
        <v>0.99904790336628502</v>
      </c>
      <c r="C2346">
        <v>1.0500019419615201</v>
      </c>
      <c r="D2346">
        <v>0.94267497066053296</v>
      </c>
      <c r="E2346">
        <v>0.85191566228788995</v>
      </c>
      <c r="F2346">
        <v>0.70869131247243899</v>
      </c>
      <c r="G2346">
        <v>0.53988948508175905</v>
      </c>
      <c r="H2346">
        <v>0.415110401984986</v>
      </c>
      <c r="I2346">
        <v>0.39989523455074799</v>
      </c>
      <c r="J2346">
        <v>0.37664522246902599</v>
      </c>
      <c r="K2346">
        <v>0.35434214949816301</v>
      </c>
      <c r="L2346">
        <v>885.13624064404803</v>
      </c>
      <c r="M2346">
        <v>16.4675480424639</v>
      </c>
      <c r="N2346">
        <v>57.922744609774298</v>
      </c>
      <c r="O2346">
        <v>52.976476122792398</v>
      </c>
      <c r="P2346">
        <v>-5.0724863988572802E-2</v>
      </c>
      <c r="Q2346">
        <v>0.34731381118914401</v>
      </c>
      <c r="R2346">
        <v>0.99376368767910395</v>
      </c>
      <c r="S2346" t="s">
        <v>7086</v>
      </c>
      <c r="T2346" t="s">
        <v>9478</v>
      </c>
      <c r="U2346" t="s">
        <v>9478</v>
      </c>
      <c r="V2346" t="s">
        <v>9478</v>
      </c>
      <c r="W2346">
        <v>5</v>
      </c>
      <c r="X2346" t="s">
        <v>11824</v>
      </c>
      <c r="Y2346">
        <v>0.65843902364093332</v>
      </c>
      <c r="Z2346" t="str">
        <f>HYPERLINK("Melting_Curves/meltCurve_sp_Q71RC2_6_LARP4_HUMAN_.pdf", "Melting_Curves/meltCurve_sp_Q71RC2_6_LARP4_HUMAN_.pdf")</f>
        <v>Melting_Curves/meltCurve_sp_Q71RC2_6_LARP4_HUMAN_.pdf</v>
      </c>
      <c r="AA2346" t="s">
        <v>16520</v>
      </c>
      <c r="AB2346" t="s">
        <v>21180</v>
      </c>
    </row>
    <row r="2347" spans="1:28" x14ac:dyDescent="0.25">
      <c r="A2347" t="s">
        <v>2351</v>
      </c>
      <c r="B2347">
        <v>0.99904790336628502</v>
      </c>
      <c r="C2347">
        <v>0.82250649469932202</v>
      </c>
      <c r="D2347">
        <v>0.66958488973124897</v>
      </c>
      <c r="E2347">
        <v>0.41887329160130998</v>
      </c>
      <c r="F2347">
        <v>0.24198318630893401</v>
      </c>
      <c r="G2347">
        <v>0.13331342524117901</v>
      </c>
      <c r="H2347">
        <v>7.0564667220423996E-2</v>
      </c>
      <c r="I2347">
        <v>5.5473216647722499E-2</v>
      </c>
      <c r="J2347">
        <v>4.34402486421991E-2</v>
      </c>
      <c r="K2347">
        <v>3.0758330783587799E-2</v>
      </c>
      <c r="L2347">
        <v>656.58679347055102</v>
      </c>
      <c r="M2347">
        <v>13.569463316592</v>
      </c>
      <c r="N2347">
        <v>48.524621455104601</v>
      </c>
      <c r="O2347">
        <v>47.372464060136402</v>
      </c>
      <c r="P2347">
        <v>-7.02700464376418E-2</v>
      </c>
      <c r="Q2347">
        <v>1.88650899538086E-2</v>
      </c>
      <c r="R2347">
        <v>0.99650823977272096</v>
      </c>
      <c r="S2347" t="s">
        <v>7087</v>
      </c>
      <c r="T2347" t="s">
        <v>9478</v>
      </c>
      <c r="U2347" t="s">
        <v>9478</v>
      </c>
      <c r="V2347" t="s">
        <v>9478</v>
      </c>
      <c r="W2347">
        <v>17</v>
      </c>
      <c r="X2347" t="s">
        <v>11825</v>
      </c>
      <c r="Y2347">
        <v>0.32318343612074257</v>
      </c>
      <c r="Z2347" t="str">
        <f>HYPERLINK("Melting_Curves/meltCurve_sp_Q71U36_2_TBA1A_HUMAN_.pdf", "Melting_Curves/meltCurve_sp_Q71U36_2_TBA1A_HUMAN_.pdf")</f>
        <v>Melting_Curves/meltCurve_sp_Q71U36_2_TBA1A_HUMAN_.pdf</v>
      </c>
      <c r="AA2347" t="s">
        <v>16521</v>
      </c>
      <c r="AB2347" t="s">
        <v>21181</v>
      </c>
    </row>
    <row r="2348" spans="1:28" x14ac:dyDescent="0.25">
      <c r="A2348" t="s">
        <v>2352</v>
      </c>
      <c r="B2348">
        <v>0.99904790336628502</v>
      </c>
      <c r="C2348">
        <v>0.94888724212842501</v>
      </c>
      <c r="D2348">
        <v>0.76070315201129801</v>
      </c>
      <c r="E2348">
        <v>0.517892418033715</v>
      </c>
      <c r="F2348">
        <v>0.32352812157508298</v>
      </c>
      <c r="G2348">
        <v>0.26582548041699799</v>
      </c>
      <c r="H2348">
        <v>0.16583425875251301</v>
      </c>
      <c r="I2348">
        <v>0.13318611185180701</v>
      </c>
      <c r="J2348">
        <v>0.117932402358498</v>
      </c>
      <c r="K2348">
        <v>9.7775496571998702E-2</v>
      </c>
      <c r="L2348">
        <v>735.422194867293</v>
      </c>
      <c r="M2348">
        <v>14.868552685136899</v>
      </c>
      <c r="N2348">
        <v>50.278288207162802</v>
      </c>
      <c r="O2348">
        <v>48.592734999395901</v>
      </c>
      <c r="P2348">
        <v>-6.8296193967544605E-2</v>
      </c>
      <c r="Q2348">
        <v>0.10728313948377</v>
      </c>
      <c r="R2348">
        <v>0.99496032684735303</v>
      </c>
      <c r="S2348" t="s">
        <v>7088</v>
      </c>
      <c r="T2348" t="s">
        <v>9478</v>
      </c>
      <c r="U2348" t="s">
        <v>9478</v>
      </c>
      <c r="V2348" t="s">
        <v>9478</v>
      </c>
      <c r="W2348">
        <v>4</v>
      </c>
      <c r="X2348" t="s">
        <v>11826</v>
      </c>
      <c r="Y2348">
        <v>0.4108573589726629</v>
      </c>
      <c r="Z2348" t="str">
        <f>HYPERLINK("Melting_Curves/meltCurve_sp_Q71UI9_H2AV_HUMAN_.pdf", "Melting_Curves/meltCurve_sp_Q71UI9_H2AV_HUMAN_.pdf")</f>
        <v>Melting_Curves/meltCurve_sp_Q71UI9_H2AV_HUMAN_.pdf</v>
      </c>
      <c r="AA2348" t="s">
        <v>16522</v>
      </c>
      <c r="AB2348" t="s">
        <v>21182</v>
      </c>
    </row>
    <row r="2349" spans="1:28" x14ac:dyDescent="0.25">
      <c r="A2349" t="s">
        <v>2353</v>
      </c>
      <c r="B2349">
        <v>0.99904790336628502</v>
      </c>
      <c r="C2349">
        <v>0.78400961568889804</v>
      </c>
      <c r="D2349">
        <v>0.85868632130816103</v>
      </c>
      <c r="E2349">
        <v>0.73978077327676395</v>
      </c>
      <c r="F2349">
        <v>0.70613252552397798</v>
      </c>
      <c r="G2349">
        <v>0.49291576819078697</v>
      </c>
      <c r="H2349">
        <v>0.494945811356027</v>
      </c>
      <c r="I2349">
        <v>0.45323832452491503</v>
      </c>
      <c r="J2349">
        <v>0.43709758604464699</v>
      </c>
      <c r="K2349">
        <v>0.43892671650299597</v>
      </c>
      <c r="L2349">
        <v>403.90787859305198</v>
      </c>
      <c r="M2349">
        <v>7.7431006915099703</v>
      </c>
      <c r="N2349">
        <v>60.860636896092998</v>
      </c>
      <c r="O2349">
        <v>49.026782120860403</v>
      </c>
      <c r="P2349">
        <v>-2.63045523749376E-2</v>
      </c>
      <c r="Q2349">
        <v>0.33464254731000997</v>
      </c>
      <c r="R2349">
        <v>0.93062903192130897</v>
      </c>
      <c r="S2349" t="s">
        <v>7089</v>
      </c>
      <c r="T2349" t="s">
        <v>9478</v>
      </c>
      <c r="U2349" t="s">
        <v>9478</v>
      </c>
      <c r="V2349" t="s">
        <v>9478</v>
      </c>
      <c r="W2349">
        <v>7</v>
      </c>
      <c r="X2349" t="s">
        <v>11827</v>
      </c>
      <c r="Y2349">
        <v>0.6358979351076115</v>
      </c>
      <c r="Z2349" t="str">
        <f>HYPERLINK("Melting_Curves/meltCurve_sp_Q765P7_MTSSL_HUMAN_.pdf", "Melting_Curves/meltCurve_sp_Q765P7_MTSSL_HUMAN_.pdf")</f>
        <v>Melting_Curves/meltCurve_sp_Q765P7_MTSSL_HUMAN_.pdf</v>
      </c>
      <c r="AA2349" t="s">
        <v>16523</v>
      </c>
      <c r="AB2349" t="s">
        <v>21183</v>
      </c>
    </row>
    <row r="2350" spans="1:28" x14ac:dyDescent="0.25">
      <c r="A2350" t="s">
        <v>2354</v>
      </c>
      <c r="B2350">
        <v>0.99904790336628502</v>
      </c>
      <c r="C2350">
        <v>1.0407727041294399</v>
      </c>
      <c r="D2350">
        <v>1.1405934898155301</v>
      </c>
      <c r="E2350">
        <v>0.99931019673209698</v>
      </c>
      <c r="F2350">
        <v>1.03951176176558</v>
      </c>
      <c r="G2350">
        <v>0.80847221648378198</v>
      </c>
      <c r="H2350">
        <v>0.88843431658460104</v>
      </c>
      <c r="I2350">
        <v>0.40289874430772299</v>
      </c>
      <c r="J2350">
        <v>0.29295072180570297</v>
      </c>
      <c r="K2350">
        <v>0.19749391517100201</v>
      </c>
      <c r="L2350">
        <v>3545.4740553341799</v>
      </c>
      <c r="M2350">
        <v>56.519033727967297</v>
      </c>
      <c r="N2350">
        <v>63.416639384020797</v>
      </c>
      <c r="O2350">
        <v>62.6522236453687</v>
      </c>
      <c r="P2350">
        <v>-0.17394783241745099</v>
      </c>
      <c r="Q2350">
        <v>0.22870482491763799</v>
      </c>
      <c r="R2350">
        <v>0.94302647194454603</v>
      </c>
      <c r="S2350" t="s">
        <v>7090</v>
      </c>
      <c r="T2350" t="s">
        <v>9478</v>
      </c>
      <c r="U2350" t="s">
        <v>9478</v>
      </c>
      <c r="V2350" t="s">
        <v>9478</v>
      </c>
      <c r="W2350">
        <v>4</v>
      </c>
      <c r="X2350" t="s">
        <v>11828</v>
      </c>
      <c r="Y2350">
        <v>0.81466923536302605</v>
      </c>
      <c r="Z2350" t="str">
        <f>HYPERLINK("Melting_Curves/meltCurve_sp_Q76FK4_3_NOL8_HUMAN_.pdf", "Melting_Curves/meltCurve_sp_Q76FK4_3_NOL8_HUMAN_.pdf")</f>
        <v>Melting_Curves/meltCurve_sp_Q76FK4_3_NOL8_HUMAN_.pdf</v>
      </c>
      <c r="AA2350" t="s">
        <v>16524</v>
      </c>
      <c r="AB2350" t="s">
        <v>21184</v>
      </c>
    </row>
    <row r="2351" spans="1:28" x14ac:dyDescent="0.25">
      <c r="A2351" t="s">
        <v>2355</v>
      </c>
      <c r="B2351">
        <v>0.99904790336628502</v>
      </c>
      <c r="C2351">
        <v>0.96845703727628496</v>
      </c>
      <c r="D2351">
        <v>1.01561204078778</v>
      </c>
      <c r="E2351">
        <v>0.66278882056338595</v>
      </c>
      <c r="F2351">
        <v>0.30634027770541</v>
      </c>
      <c r="G2351">
        <v>0.19920301561218101</v>
      </c>
      <c r="H2351">
        <v>0.137306642383551</v>
      </c>
      <c r="I2351">
        <v>0.10035063748572499</v>
      </c>
      <c r="J2351">
        <v>8.7007322787800101E-2</v>
      </c>
      <c r="K2351">
        <v>7.3926601425168895E-2</v>
      </c>
      <c r="L2351">
        <v>1513.0469895936401</v>
      </c>
      <c r="M2351">
        <v>29.722934323639599</v>
      </c>
      <c r="N2351">
        <v>51.325171386338901</v>
      </c>
      <c r="O2351">
        <v>50.676278618958598</v>
      </c>
      <c r="P2351">
        <v>-0.13079851002125201</v>
      </c>
      <c r="Q2351">
        <v>0.10798354440131</v>
      </c>
      <c r="R2351">
        <v>0.994036252839269</v>
      </c>
      <c r="S2351" t="s">
        <v>7091</v>
      </c>
      <c r="T2351" t="s">
        <v>9478</v>
      </c>
      <c r="U2351" t="s">
        <v>9478</v>
      </c>
      <c r="V2351" t="s">
        <v>9478</v>
      </c>
      <c r="W2351">
        <v>24</v>
      </c>
      <c r="X2351" t="s">
        <v>11829</v>
      </c>
      <c r="Y2351">
        <v>0.43793741903667749</v>
      </c>
      <c r="Z2351" t="str">
        <f>HYPERLINK("Melting_Curves/meltCurve_sp_Q7KZ85_SPT6H_HUMAN_.pdf", "Melting_Curves/meltCurve_sp_Q7KZ85_SPT6H_HUMAN_.pdf")</f>
        <v>Melting_Curves/meltCurve_sp_Q7KZ85_SPT6H_HUMAN_.pdf</v>
      </c>
      <c r="AA2351" t="s">
        <v>16525</v>
      </c>
      <c r="AB2351" t="s">
        <v>21185</v>
      </c>
    </row>
    <row r="2352" spans="1:28" x14ac:dyDescent="0.25">
      <c r="A2352" t="s">
        <v>2356</v>
      </c>
      <c r="B2352">
        <v>0.99904790336628502</v>
      </c>
      <c r="C2352">
        <v>0.900914355661247</v>
      </c>
      <c r="D2352">
        <v>0.585720055115445</v>
      </c>
      <c r="E2352">
        <v>0.20434780386276</v>
      </c>
      <c r="F2352">
        <v>0.11638719420266801</v>
      </c>
      <c r="G2352">
        <v>7.3000472941528505E-2</v>
      </c>
      <c r="H2352">
        <v>5.6346671148604102E-2</v>
      </c>
      <c r="I2352">
        <v>4.0351722701212997E-2</v>
      </c>
      <c r="J2352">
        <v>3.3215173085934399E-2</v>
      </c>
      <c r="K2352">
        <v>2.6483056696602301E-2</v>
      </c>
      <c r="L2352">
        <v>1092.8415173143801</v>
      </c>
      <c r="M2352">
        <v>23.446395509180899</v>
      </c>
      <c r="N2352">
        <v>46.796386754877503</v>
      </c>
      <c r="O2352">
        <v>46.275139430144201</v>
      </c>
      <c r="P2352">
        <v>-0.121030046309067</v>
      </c>
      <c r="Q2352">
        <v>4.4529790315527701E-2</v>
      </c>
      <c r="R2352">
        <v>0.99864774917160604</v>
      </c>
      <c r="S2352" t="s">
        <v>7092</v>
      </c>
      <c r="T2352" t="s">
        <v>9478</v>
      </c>
      <c r="U2352" t="s">
        <v>9478</v>
      </c>
      <c r="V2352" t="s">
        <v>9478</v>
      </c>
      <c r="W2352">
        <v>43</v>
      </c>
      <c r="X2352" t="s">
        <v>11830</v>
      </c>
      <c r="Y2352">
        <v>0.26500878944493311</v>
      </c>
      <c r="Z2352" t="str">
        <f>HYPERLINK("Melting_Curves/meltCurve_sp_Q7KZF4_SND1_HUMAN_.pdf", "Melting_Curves/meltCurve_sp_Q7KZF4_SND1_HUMAN_.pdf")</f>
        <v>Melting_Curves/meltCurve_sp_Q7KZF4_SND1_HUMAN_.pdf</v>
      </c>
      <c r="AA2352" t="s">
        <v>16526</v>
      </c>
      <c r="AB2352" t="s">
        <v>21186</v>
      </c>
    </row>
    <row r="2353" spans="1:28" x14ac:dyDescent="0.25">
      <c r="A2353" t="s">
        <v>2357</v>
      </c>
      <c r="B2353">
        <v>0.99904790336628502</v>
      </c>
      <c r="C2353">
        <v>0.73709181006120605</v>
      </c>
      <c r="D2353">
        <v>0.88451215494815405</v>
      </c>
      <c r="E2353">
        <v>0.77395826079077701</v>
      </c>
      <c r="F2353">
        <v>0.68160965045358302</v>
      </c>
      <c r="G2353">
        <v>0.43770258635724801</v>
      </c>
      <c r="H2353">
        <v>0.289996598922726</v>
      </c>
      <c r="I2353">
        <v>0.252111128746632</v>
      </c>
      <c r="J2353">
        <v>0.30358448661524701</v>
      </c>
      <c r="K2353">
        <v>0.47006588925230902</v>
      </c>
      <c r="L2353">
        <v>579.64887250854702</v>
      </c>
      <c r="M2353">
        <v>11.127750419660901</v>
      </c>
      <c r="N2353">
        <v>55.924046715830301</v>
      </c>
      <c r="O2353">
        <v>50.493012295158401</v>
      </c>
      <c r="P2353">
        <v>-4.0407652532786102E-2</v>
      </c>
      <c r="Q2353">
        <v>0.26682518602729399</v>
      </c>
      <c r="R2353">
        <v>0.84648354268158499</v>
      </c>
      <c r="S2353" t="s">
        <v>7093</v>
      </c>
      <c r="T2353" t="s">
        <v>9478</v>
      </c>
      <c r="U2353" t="s">
        <v>9478</v>
      </c>
      <c r="V2353" t="s">
        <v>9478</v>
      </c>
      <c r="W2353">
        <v>1</v>
      </c>
      <c r="X2353" t="s">
        <v>11831</v>
      </c>
      <c r="Y2353">
        <v>0.58676900173853475</v>
      </c>
      <c r="Z2353" t="str">
        <f>HYPERLINK("Melting_Curves/meltCurve_sp_Q7KZI7_12_MARK2_HUMAN_.pdf", "Melting_Curves/meltCurve_sp_Q7KZI7_12_MARK2_HUMAN_.pdf")</f>
        <v>Melting_Curves/meltCurve_sp_Q7KZI7_12_MARK2_HUMAN_.pdf</v>
      </c>
      <c r="AA2353" t="s">
        <v>16527</v>
      </c>
      <c r="AB2353" t="s">
        <v>21187</v>
      </c>
    </row>
    <row r="2354" spans="1:28" x14ac:dyDescent="0.25">
      <c r="A2354" t="s">
        <v>2358</v>
      </c>
      <c r="B2354">
        <v>0.99904790336628502</v>
      </c>
      <c r="C2354">
        <v>1.01290606979729</v>
      </c>
      <c r="D2354">
        <v>0.84350178347823401</v>
      </c>
      <c r="E2354">
        <v>0.63139518609904899</v>
      </c>
      <c r="F2354">
        <v>0.58423352740941104</v>
      </c>
      <c r="G2354">
        <v>0.36047075672795098</v>
      </c>
      <c r="H2354">
        <v>0.30711664153881701</v>
      </c>
      <c r="I2354">
        <v>0.24854307252407301</v>
      </c>
      <c r="J2354">
        <v>0.25274713672590099</v>
      </c>
      <c r="K2354">
        <v>0.23423972042942201</v>
      </c>
      <c r="L2354">
        <v>695.82471508120796</v>
      </c>
      <c r="M2354">
        <v>13.539689806444001</v>
      </c>
      <c r="N2354">
        <v>53.6026702634895</v>
      </c>
      <c r="O2354">
        <v>50.309274823136597</v>
      </c>
      <c r="P2354">
        <v>-5.2893442026544703E-2</v>
      </c>
      <c r="Q2354">
        <v>0.21397592746931801</v>
      </c>
      <c r="R2354">
        <v>0.98742337305106298</v>
      </c>
      <c r="S2354" t="s">
        <v>7094</v>
      </c>
      <c r="T2354" t="s">
        <v>9478</v>
      </c>
      <c r="U2354" t="s">
        <v>9478</v>
      </c>
      <c r="V2354" t="s">
        <v>9478</v>
      </c>
      <c r="W2354">
        <v>27</v>
      </c>
      <c r="X2354" t="s">
        <v>11832</v>
      </c>
      <c r="Y2354">
        <v>0.53347323775943989</v>
      </c>
      <c r="Z2354" t="str">
        <f>HYPERLINK("Melting_Curves/meltCurve_sp_Q7L014_DDX46_HUMAN_.pdf", "Melting_Curves/meltCurve_sp_Q7L014_DDX46_HUMAN_.pdf")</f>
        <v>Melting_Curves/meltCurve_sp_Q7L014_DDX46_HUMAN_.pdf</v>
      </c>
      <c r="AA2354" t="s">
        <v>16528</v>
      </c>
      <c r="AB2354" t="s">
        <v>21188</v>
      </c>
    </row>
    <row r="2355" spans="1:28" x14ac:dyDescent="0.25">
      <c r="A2355" t="s">
        <v>2359</v>
      </c>
      <c r="B2355">
        <v>0.99904790336628502</v>
      </c>
      <c r="C2355">
        <v>1.00976068422388</v>
      </c>
      <c r="D2355">
        <v>0.93285001872897699</v>
      </c>
      <c r="E2355">
        <v>0.93790774072126104</v>
      </c>
      <c r="F2355">
        <v>0.90375217733775204</v>
      </c>
      <c r="G2355">
        <v>0.51955625109063897</v>
      </c>
      <c r="H2355">
        <v>0.354459744397081</v>
      </c>
      <c r="I2355">
        <v>0.166901265064333</v>
      </c>
      <c r="J2355">
        <v>0.146493068213745</v>
      </c>
      <c r="K2355">
        <v>0.11056649386421399</v>
      </c>
      <c r="L2355">
        <v>1141.96180332569</v>
      </c>
      <c r="M2355">
        <v>19.921715157580302</v>
      </c>
      <c r="N2355">
        <v>57.914974709939699</v>
      </c>
      <c r="O2355">
        <v>56.754247263612399</v>
      </c>
      <c r="P2355">
        <v>-7.9666628479415205E-2</v>
      </c>
      <c r="Q2355">
        <v>9.2192624386926103E-2</v>
      </c>
      <c r="R2355">
        <v>0.99029036812069804</v>
      </c>
      <c r="S2355" t="s">
        <v>7095</v>
      </c>
      <c r="T2355" t="s">
        <v>9478</v>
      </c>
      <c r="U2355" t="s">
        <v>9478</v>
      </c>
      <c r="V2355" t="s">
        <v>9478</v>
      </c>
      <c r="W2355">
        <v>7</v>
      </c>
      <c r="X2355" t="s">
        <v>11833</v>
      </c>
      <c r="Y2355">
        <v>0.62729811045225481</v>
      </c>
      <c r="Z2355" t="str">
        <f>HYPERLINK("Melting_Curves/meltCurve_sp_Q7L099_4_RUFY3_HUMAN_.pdf", "Melting_Curves/meltCurve_sp_Q7L099_4_RUFY3_HUMAN_.pdf")</f>
        <v>Melting_Curves/meltCurve_sp_Q7L099_4_RUFY3_HUMAN_.pdf</v>
      </c>
      <c r="AA2355" t="s">
        <v>16529</v>
      </c>
      <c r="AB2355" t="s">
        <v>21189</v>
      </c>
    </row>
    <row r="2356" spans="1:28" x14ac:dyDescent="0.25">
      <c r="A2356" t="s">
        <v>2360</v>
      </c>
      <c r="B2356">
        <v>0.99904790336628502</v>
      </c>
      <c r="C2356">
        <v>0.98097295364461501</v>
      </c>
      <c r="D2356">
        <v>0.86707280111291496</v>
      </c>
      <c r="E2356">
        <v>0.449343708981156</v>
      </c>
      <c r="F2356">
        <v>0.187163659434295</v>
      </c>
      <c r="G2356">
        <v>0.119695738346312</v>
      </c>
      <c r="H2356">
        <v>8.2216434970335997E-2</v>
      </c>
      <c r="I2356">
        <v>6.2244954486093101E-2</v>
      </c>
      <c r="J2356">
        <v>5.5059822655936598E-2</v>
      </c>
      <c r="K2356">
        <v>4.0860252262293402E-2</v>
      </c>
      <c r="L2356">
        <v>1233.69883416075</v>
      </c>
      <c r="M2356">
        <v>25.0307851952223</v>
      </c>
      <c r="N2356">
        <v>49.546054359640003</v>
      </c>
      <c r="O2356">
        <v>48.975905266062099</v>
      </c>
      <c r="P2356">
        <v>-0.119942959584456</v>
      </c>
      <c r="Q2356">
        <v>6.1278122013408501E-2</v>
      </c>
      <c r="R2356">
        <v>0.998918234929007</v>
      </c>
      <c r="S2356" t="s">
        <v>7096</v>
      </c>
      <c r="T2356" t="s">
        <v>9478</v>
      </c>
      <c r="U2356" t="s">
        <v>9478</v>
      </c>
      <c r="V2356" t="s">
        <v>9478</v>
      </c>
      <c r="W2356">
        <v>21</v>
      </c>
      <c r="X2356" t="s">
        <v>11834</v>
      </c>
      <c r="Y2356">
        <v>0.36019787729638159</v>
      </c>
      <c r="Z2356" t="str">
        <f>HYPERLINK("Melting_Curves/meltCurve_sp_Q7L0Y3_MRRP1_HUMAN_.pdf", "Melting_Curves/meltCurve_sp_Q7L0Y3_MRRP1_HUMAN_.pdf")</f>
        <v>Melting_Curves/meltCurve_sp_Q7L0Y3_MRRP1_HUMAN_.pdf</v>
      </c>
      <c r="AA2356" t="s">
        <v>16530</v>
      </c>
      <c r="AB2356" t="s">
        <v>21190</v>
      </c>
    </row>
    <row r="2357" spans="1:28" x14ac:dyDescent="0.25">
      <c r="A2357" t="s">
        <v>2361</v>
      </c>
      <c r="B2357">
        <v>0.99904790336628502</v>
      </c>
      <c r="C2357">
        <v>0.92927456242431095</v>
      </c>
      <c r="D2357">
        <v>0.91150471810245004</v>
      </c>
      <c r="E2357">
        <v>0.80072115828549595</v>
      </c>
      <c r="F2357">
        <v>0.27484792562638</v>
      </c>
      <c r="G2357">
        <v>0.10299809503195501</v>
      </c>
      <c r="H2357">
        <v>4.5926840617061003E-2</v>
      </c>
      <c r="I2357">
        <v>2.90649610154891E-2</v>
      </c>
      <c r="J2357">
        <v>2.0988454119973E-2</v>
      </c>
      <c r="K2357">
        <v>1.74402135936048E-2</v>
      </c>
      <c r="L2357">
        <v>1979.7729126818499</v>
      </c>
      <c r="M2357">
        <v>38.3633953334841</v>
      </c>
      <c r="N2357">
        <v>51.704796955789199</v>
      </c>
      <c r="O2357">
        <v>51.466174985049499</v>
      </c>
      <c r="P2357">
        <v>-0.17975309457850899</v>
      </c>
      <c r="Q2357">
        <v>3.54161499278869E-2</v>
      </c>
      <c r="R2357">
        <v>0.99159499356116099</v>
      </c>
      <c r="S2357" t="s">
        <v>7097</v>
      </c>
      <c r="T2357" t="s">
        <v>9478</v>
      </c>
      <c r="U2357" t="s">
        <v>9478</v>
      </c>
      <c r="V2357" t="s">
        <v>9478</v>
      </c>
      <c r="W2357">
        <v>18</v>
      </c>
      <c r="X2357" t="s">
        <v>11835</v>
      </c>
      <c r="Y2357">
        <v>0.41231579271006918</v>
      </c>
      <c r="Z2357" t="str">
        <f>HYPERLINK("Melting_Curves/meltCurve_sp_Q7L1Q6_BZW1_HUMAN_.pdf", "Melting_Curves/meltCurve_sp_Q7L1Q6_BZW1_HUMAN_.pdf")</f>
        <v>Melting_Curves/meltCurve_sp_Q7L1Q6_BZW1_HUMAN_.pdf</v>
      </c>
      <c r="AA2357" t="s">
        <v>16531</v>
      </c>
      <c r="AB2357" t="s">
        <v>21191</v>
      </c>
    </row>
    <row r="2358" spans="1:28" x14ac:dyDescent="0.25">
      <c r="A2358" t="s">
        <v>2362</v>
      </c>
      <c r="B2358">
        <v>0.99904790336628502</v>
      </c>
      <c r="C2358">
        <v>1.0531498677064799</v>
      </c>
      <c r="D2358">
        <v>1.0520917275319699</v>
      </c>
      <c r="E2358">
        <v>1.01601401391611</v>
      </c>
      <c r="F2358">
        <v>0.86967201568654195</v>
      </c>
      <c r="G2358">
        <v>0.66171388555754196</v>
      </c>
      <c r="H2358">
        <v>0.45574177228623303</v>
      </c>
      <c r="I2358">
        <v>0.32963133213750301</v>
      </c>
      <c r="J2358">
        <v>0.197846586105349</v>
      </c>
      <c r="K2358">
        <v>0.16128452443568</v>
      </c>
      <c r="L2358">
        <v>980.16574183616899</v>
      </c>
      <c r="M2358">
        <v>16.552634120284399</v>
      </c>
      <c r="N2358">
        <v>60.030542469717197</v>
      </c>
      <c r="O2358">
        <v>58.371067015331903</v>
      </c>
      <c r="P2358">
        <v>-6.3760652537423301E-2</v>
      </c>
      <c r="Q2358">
        <v>0.10068165103222899</v>
      </c>
      <c r="R2358">
        <v>0.98995299142942705</v>
      </c>
      <c r="S2358" t="s">
        <v>7098</v>
      </c>
      <c r="T2358" t="s">
        <v>9478</v>
      </c>
      <c r="U2358" t="s">
        <v>9478</v>
      </c>
      <c r="V2358" t="s">
        <v>9478</v>
      </c>
      <c r="W2358">
        <v>1</v>
      </c>
      <c r="X2358" t="s">
        <v>11836</v>
      </c>
      <c r="Y2358">
        <v>0.68583349855266096</v>
      </c>
      <c r="Z2358" t="str">
        <f>HYPERLINK("Melting_Curves/meltCurve_sp_Q7L266_ASGL1_HUMAN_.pdf", "Melting_Curves/meltCurve_sp_Q7L266_ASGL1_HUMAN_.pdf")</f>
        <v>Melting_Curves/meltCurve_sp_Q7L266_ASGL1_HUMAN_.pdf</v>
      </c>
      <c r="AA2358" t="s">
        <v>16532</v>
      </c>
      <c r="AB2358" t="s">
        <v>21192</v>
      </c>
    </row>
    <row r="2359" spans="1:28" x14ac:dyDescent="0.25">
      <c r="A2359" t="s">
        <v>2363</v>
      </c>
      <c r="B2359">
        <v>0.99904790336628502</v>
      </c>
      <c r="C2359">
        <v>0.79456332829554299</v>
      </c>
      <c r="D2359">
        <v>0.84711123930743004</v>
      </c>
      <c r="E2359">
        <v>0.74363835391600197</v>
      </c>
      <c r="F2359">
        <v>0.61592532548508205</v>
      </c>
      <c r="G2359">
        <v>0.42189460366491299</v>
      </c>
      <c r="H2359">
        <v>0.35260800235158501</v>
      </c>
      <c r="I2359">
        <v>0.343265508522348</v>
      </c>
      <c r="J2359">
        <v>0.29490378447723897</v>
      </c>
      <c r="K2359">
        <v>0.32857524830693002</v>
      </c>
      <c r="L2359">
        <v>481.13565559700999</v>
      </c>
      <c r="M2359">
        <v>9.18711346432071</v>
      </c>
      <c r="N2359">
        <v>55.8135253010215</v>
      </c>
      <c r="O2359">
        <v>50.068528009269301</v>
      </c>
      <c r="P2359">
        <v>-3.5974459337807602E-2</v>
      </c>
      <c r="Q2359">
        <v>0.216302283475551</v>
      </c>
      <c r="R2359">
        <v>0.96017867053442796</v>
      </c>
      <c r="S2359" t="s">
        <v>7099</v>
      </c>
      <c r="T2359" t="s">
        <v>9478</v>
      </c>
      <c r="U2359" t="s">
        <v>9478</v>
      </c>
      <c r="V2359" t="s">
        <v>9478</v>
      </c>
      <c r="W2359">
        <v>10</v>
      </c>
      <c r="X2359" t="s">
        <v>11837</v>
      </c>
      <c r="Y2359">
        <v>0.5706128519925896</v>
      </c>
      <c r="Z2359" t="str">
        <f>HYPERLINK("Melting_Curves/meltCurve_sp_Q7L2J0_MEPCE_HUMAN_.pdf", "Melting_Curves/meltCurve_sp_Q7L2J0_MEPCE_HUMAN_.pdf")</f>
        <v>Melting_Curves/meltCurve_sp_Q7L2J0_MEPCE_HUMAN_.pdf</v>
      </c>
      <c r="AA2359" t="s">
        <v>16533</v>
      </c>
      <c r="AB2359" t="s">
        <v>21193</v>
      </c>
    </row>
    <row r="2360" spans="1:28" x14ac:dyDescent="0.25">
      <c r="A2360" t="s">
        <v>2364</v>
      </c>
      <c r="B2360">
        <v>0.99904790336628502</v>
      </c>
      <c r="C2360">
        <v>0.97920531849106096</v>
      </c>
      <c r="D2360">
        <v>0.90876549952995</v>
      </c>
      <c r="E2360">
        <v>0.71396617306658405</v>
      </c>
      <c r="F2360">
        <v>0.57389963447689596</v>
      </c>
      <c r="G2360">
        <v>0.39101960845591299</v>
      </c>
      <c r="H2360">
        <v>0.23036561742981501</v>
      </c>
      <c r="I2360">
        <v>0.16255468502307399</v>
      </c>
      <c r="J2360">
        <v>0.110945803605524</v>
      </c>
      <c r="K2360">
        <v>7.3727647260464199E-2</v>
      </c>
      <c r="L2360">
        <v>632.59007997582205</v>
      </c>
      <c r="M2360">
        <v>11.6360479494023</v>
      </c>
      <c r="N2360">
        <v>54.483283509594202</v>
      </c>
      <c r="O2360">
        <v>52.833457924882303</v>
      </c>
      <c r="P2360">
        <v>-5.4386241027538702E-2</v>
      </c>
      <c r="Q2360">
        <v>1.25055838676478E-2</v>
      </c>
      <c r="R2360">
        <v>0.99858209306172496</v>
      </c>
      <c r="S2360" t="s">
        <v>7100</v>
      </c>
      <c r="T2360" t="s">
        <v>9478</v>
      </c>
      <c r="U2360" t="s">
        <v>9478</v>
      </c>
      <c r="V2360" t="s">
        <v>9478</v>
      </c>
      <c r="W2360">
        <v>7</v>
      </c>
      <c r="X2360" t="s">
        <v>11838</v>
      </c>
      <c r="Y2360">
        <v>0.51084856668543466</v>
      </c>
      <c r="Z2360" t="str">
        <f>HYPERLINK("Melting_Curves/meltCurve_sp_Q7L3T8_SYPM_HUMAN_.pdf", "Melting_Curves/meltCurve_sp_Q7L3T8_SYPM_HUMAN_.pdf")</f>
        <v>Melting_Curves/meltCurve_sp_Q7L3T8_SYPM_HUMAN_.pdf</v>
      </c>
      <c r="AA2360" t="s">
        <v>16534</v>
      </c>
      <c r="AB2360" t="s">
        <v>21194</v>
      </c>
    </row>
    <row r="2361" spans="1:28" x14ac:dyDescent="0.25">
      <c r="A2361" t="s">
        <v>2365</v>
      </c>
      <c r="B2361">
        <v>0.99904790336628502</v>
      </c>
      <c r="C2361">
        <v>0.97153693023181098</v>
      </c>
      <c r="D2361">
        <v>0.95065049009329805</v>
      </c>
      <c r="E2361">
        <v>0.92732915529985704</v>
      </c>
      <c r="F2361">
        <v>1.0000586511956799</v>
      </c>
      <c r="G2361">
        <v>0.75919248473271606</v>
      </c>
      <c r="H2361">
        <v>0.70162147571163802</v>
      </c>
      <c r="I2361">
        <v>0.65350188436850298</v>
      </c>
      <c r="J2361">
        <v>0.72664935656969498</v>
      </c>
      <c r="K2361">
        <v>0.76967666947069402</v>
      </c>
      <c r="L2361">
        <v>14156.0523005383</v>
      </c>
      <c r="M2361">
        <v>250</v>
      </c>
      <c r="O2361">
        <v>56.620603434602899</v>
      </c>
      <c r="P2361">
        <v>-0.31695368723419398</v>
      </c>
      <c r="Q2361">
        <v>0.71286234568112405</v>
      </c>
      <c r="R2361">
        <v>0.90604549361564801</v>
      </c>
      <c r="S2361" t="s">
        <v>7101</v>
      </c>
      <c r="T2361" t="s">
        <v>9478</v>
      </c>
      <c r="U2361" t="s">
        <v>9478</v>
      </c>
      <c r="V2361" t="s">
        <v>9478</v>
      </c>
      <c r="W2361">
        <v>5</v>
      </c>
      <c r="X2361" t="s">
        <v>11839</v>
      </c>
      <c r="Y2361">
        <v>0.87200542771277378</v>
      </c>
      <c r="Z2361" t="str">
        <f>HYPERLINK("Melting_Curves/meltCurve_sp_Q7L4I2_RSRC2_HUMAN_.pdf", "Melting_Curves/meltCurve_sp_Q7L4I2_RSRC2_HUMAN_.pdf")</f>
        <v>Melting_Curves/meltCurve_sp_Q7L4I2_RSRC2_HUMAN_.pdf</v>
      </c>
      <c r="AA2361" t="s">
        <v>16535</v>
      </c>
      <c r="AB2361" t="s">
        <v>21195</v>
      </c>
    </row>
    <row r="2362" spans="1:28" x14ac:dyDescent="0.25">
      <c r="A2362" t="s">
        <v>2366</v>
      </c>
      <c r="B2362">
        <v>0.99904790336628502</v>
      </c>
      <c r="C2362">
        <v>1.02034756445497</v>
      </c>
      <c r="D2362">
        <v>1.0924482438927801</v>
      </c>
      <c r="E2362">
        <v>0.95894889875262801</v>
      </c>
      <c r="F2362">
        <v>0.48921119859085199</v>
      </c>
      <c r="G2362">
        <v>0.151307166941958</v>
      </c>
      <c r="H2362">
        <v>7.6794959894637402E-2</v>
      </c>
      <c r="I2362">
        <v>5.4193526464054002E-2</v>
      </c>
      <c r="J2362">
        <v>5.2482532450326802E-2</v>
      </c>
      <c r="K2362">
        <v>3.7371643858458002E-2</v>
      </c>
      <c r="L2362">
        <v>2342.83124444135</v>
      </c>
      <c r="M2362">
        <v>44.322934620517501</v>
      </c>
      <c r="N2362">
        <v>53.024890991282099</v>
      </c>
      <c r="O2362">
        <v>52.750948148069703</v>
      </c>
      <c r="P2362">
        <v>-0.19639738918358399</v>
      </c>
      <c r="Q2362">
        <v>6.5031636812358698E-2</v>
      </c>
      <c r="R2362">
        <v>0.99303992705371402</v>
      </c>
      <c r="S2362" t="s">
        <v>7102</v>
      </c>
      <c r="T2362" t="s">
        <v>9478</v>
      </c>
      <c r="U2362" t="s">
        <v>9478</v>
      </c>
      <c r="V2362" t="s">
        <v>9478</v>
      </c>
      <c r="W2362">
        <v>19</v>
      </c>
      <c r="X2362" t="s">
        <v>11840</v>
      </c>
      <c r="Y2362">
        <v>0.46854292826541039</v>
      </c>
      <c r="Z2362" t="str">
        <f>HYPERLINK("Melting_Curves/meltCurve_sp_Q7L576_CYFP1_HUMAN_.pdf", "Melting_Curves/meltCurve_sp_Q7L576_CYFP1_HUMAN_.pdf")</f>
        <v>Melting_Curves/meltCurve_sp_Q7L576_CYFP1_HUMAN_.pdf</v>
      </c>
      <c r="AA2362" t="s">
        <v>16536</v>
      </c>
      <c r="AB2362" t="s">
        <v>21196</v>
      </c>
    </row>
    <row r="2363" spans="1:28" x14ac:dyDescent="0.25">
      <c r="A2363" t="s">
        <v>2367</v>
      </c>
      <c r="B2363">
        <v>0.99904790336628502</v>
      </c>
      <c r="C2363">
        <v>0.99612666499704405</v>
      </c>
      <c r="D2363">
        <v>0.91744094724942704</v>
      </c>
      <c r="E2363">
        <v>0.74535331496586199</v>
      </c>
      <c r="F2363">
        <v>0.227219564273658</v>
      </c>
      <c r="G2363">
        <v>9.9126628737783398E-2</v>
      </c>
      <c r="H2363">
        <v>6.6472440860842599E-2</v>
      </c>
      <c r="I2363">
        <v>3.6041395427781703E-2</v>
      </c>
      <c r="J2363">
        <v>2.7191762868955999E-2</v>
      </c>
      <c r="K2363">
        <v>2.5935170854660398E-2</v>
      </c>
      <c r="L2363">
        <v>2002.3114290656099</v>
      </c>
      <c r="M2363">
        <v>39.111419023976403</v>
      </c>
      <c r="N2363">
        <v>51.318283536318901</v>
      </c>
      <c r="O2363">
        <v>51.061771205264002</v>
      </c>
      <c r="P2363">
        <v>-0.18290868375055899</v>
      </c>
      <c r="Q2363">
        <v>4.4819096026596797E-2</v>
      </c>
      <c r="R2363">
        <v>0.99535560629492603</v>
      </c>
      <c r="S2363" t="s">
        <v>7103</v>
      </c>
      <c r="T2363" t="s">
        <v>9478</v>
      </c>
      <c r="U2363" t="s">
        <v>9478</v>
      </c>
      <c r="V2363" t="s">
        <v>9478</v>
      </c>
      <c r="W2363">
        <v>6</v>
      </c>
      <c r="X2363" t="s">
        <v>11841</v>
      </c>
      <c r="Y2363">
        <v>0.40479875058578318</v>
      </c>
      <c r="Z2363" t="str">
        <f>HYPERLINK("Melting_Curves/meltCurve_sp_Q7L592_NDUF7_HUMAN_.pdf", "Melting_Curves/meltCurve_sp_Q7L592_NDUF7_HUMAN_.pdf")</f>
        <v>Melting_Curves/meltCurve_sp_Q7L592_NDUF7_HUMAN_.pdf</v>
      </c>
      <c r="AA2363" t="s">
        <v>16537</v>
      </c>
      <c r="AB2363" t="s">
        <v>21197</v>
      </c>
    </row>
    <row r="2364" spans="1:28" x14ac:dyDescent="0.25">
      <c r="A2364" t="s">
        <v>2368</v>
      </c>
      <c r="B2364">
        <v>0.99904790336628502</v>
      </c>
      <c r="C2364">
        <v>0.71276282878686004</v>
      </c>
      <c r="D2364">
        <v>0.68001924090620303</v>
      </c>
      <c r="E2364">
        <v>0.53171644901362902</v>
      </c>
      <c r="F2364">
        <v>0.39894083743662401</v>
      </c>
      <c r="G2364">
        <v>0.20718607657653601</v>
      </c>
      <c r="H2364">
        <v>0.141928052266972</v>
      </c>
      <c r="I2364">
        <v>0.10986403045427801</v>
      </c>
      <c r="J2364">
        <v>8.0695398094775203E-2</v>
      </c>
      <c r="K2364">
        <v>7.6389375974145898E-2</v>
      </c>
      <c r="L2364">
        <v>459.75164954124398</v>
      </c>
      <c r="M2364">
        <v>9.2202980841882507</v>
      </c>
      <c r="N2364">
        <v>49.863008655872399</v>
      </c>
      <c r="O2364">
        <v>47.685699381114901</v>
      </c>
      <c r="P2364">
        <v>-4.8370936382290099E-2</v>
      </c>
      <c r="Q2364">
        <v>0</v>
      </c>
      <c r="R2364">
        <v>0.97532991151663995</v>
      </c>
      <c r="S2364" t="s">
        <v>7104</v>
      </c>
      <c r="T2364" t="s">
        <v>9478</v>
      </c>
      <c r="U2364" t="s">
        <v>9478</v>
      </c>
      <c r="V2364" t="s">
        <v>9478</v>
      </c>
      <c r="W2364">
        <v>3</v>
      </c>
      <c r="X2364" t="s">
        <v>11842</v>
      </c>
      <c r="Y2364">
        <v>0.37970708288488958</v>
      </c>
      <c r="Z2364" t="str">
        <f>HYPERLINK("Melting_Curves/meltCurve_sp_Q7L5D6_GET4_HUMAN_.pdf", "Melting_Curves/meltCurve_sp_Q7L5D6_GET4_HUMAN_.pdf")</f>
        <v>Melting_Curves/meltCurve_sp_Q7L5D6_GET4_HUMAN_.pdf</v>
      </c>
      <c r="AA2364" t="s">
        <v>16538</v>
      </c>
      <c r="AB2364" t="s">
        <v>21198</v>
      </c>
    </row>
    <row r="2365" spans="1:28" x14ac:dyDescent="0.25">
      <c r="A2365" t="s">
        <v>2369</v>
      </c>
      <c r="B2365">
        <v>0.99904790336628502</v>
      </c>
      <c r="C2365">
        <v>0.99394730464908898</v>
      </c>
      <c r="D2365">
        <v>1.0267696156875299</v>
      </c>
      <c r="E2365">
        <v>0.89805517891509901</v>
      </c>
      <c r="F2365">
        <v>0.62042992060018398</v>
      </c>
      <c r="G2365">
        <v>0.28662580274251998</v>
      </c>
      <c r="H2365">
        <v>9.4652889485758104E-2</v>
      </c>
      <c r="I2365">
        <v>5.9921265645372902E-2</v>
      </c>
      <c r="J2365">
        <v>4.0827103015036399E-2</v>
      </c>
      <c r="K2365">
        <v>2.96702063774077E-2</v>
      </c>
      <c r="L2365">
        <v>1258.51138817639</v>
      </c>
      <c r="M2365">
        <v>23.199378181722501</v>
      </c>
      <c r="N2365">
        <v>54.392186915147903</v>
      </c>
      <c r="O2365">
        <v>53.849387471374499</v>
      </c>
      <c r="P2365">
        <v>-0.104486852369123</v>
      </c>
      <c r="Q2365">
        <v>2.9896185757825999E-2</v>
      </c>
      <c r="R2365">
        <v>0.99832413956687305</v>
      </c>
      <c r="S2365" t="s">
        <v>7105</v>
      </c>
      <c r="T2365" t="s">
        <v>9478</v>
      </c>
      <c r="U2365" t="s">
        <v>9478</v>
      </c>
      <c r="V2365" t="s">
        <v>9478</v>
      </c>
      <c r="W2365">
        <v>22</v>
      </c>
      <c r="X2365" t="s">
        <v>11843</v>
      </c>
      <c r="Y2365">
        <v>0.50087420720730946</v>
      </c>
      <c r="Z2365" t="str">
        <f>HYPERLINK("Melting_Curves/meltCurve_sp_Q7L5Y1_ENOF1_HUMAN_.pdf", "Melting_Curves/meltCurve_sp_Q7L5Y1_ENOF1_HUMAN_.pdf")</f>
        <v>Melting_Curves/meltCurve_sp_Q7L5Y1_ENOF1_HUMAN_.pdf</v>
      </c>
      <c r="AA2365" t="s">
        <v>16539</v>
      </c>
      <c r="AB2365" t="s">
        <v>21199</v>
      </c>
    </row>
    <row r="2366" spans="1:28" x14ac:dyDescent="0.25">
      <c r="A2366" t="s">
        <v>2370</v>
      </c>
      <c r="B2366">
        <v>0.99904790336628502</v>
      </c>
      <c r="C2366">
        <v>1.02573008803665</v>
      </c>
      <c r="D2366">
        <v>1.0354919704263099</v>
      </c>
      <c r="E2366">
        <v>0.88918371492377102</v>
      </c>
      <c r="F2366">
        <v>0.61355669268191404</v>
      </c>
      <c r="G2366">
        <v>0.23242723800406401</v>
      </c>
      <c r="H2366">
        <v>0.12516598152622899</v>
      </c>
      <c r="I2366">
        <v>8.7460472279363197E-2</v>
      </c>
      <c r="J2366">
        <v>7.8767331341793104E-2</v>
      </c>
      <c r="K2366">
        <v>7.6300519299610597E-2</v>
      </c>
      <c r="L2366">
        <v>1481.7186058207501</v>
      </c>
      <c r="M2366">
        <v>27.620304520795099</v>
      </c>
      <c r="N2366">
        <v>53.986474925971798</v>
      </c>
      <c r="O2366">
        <v>53.367162706191998</v>
      </c>
      <c r="P2366">
        <v>-0.119046678016813</v>
      </c>
      <c r="Q2366">
        <v>7.9934306490513293E-2</v>
      </c>
      <c r="R2366">
        <v>0.99826798492447699</v>
      </c>
      <c r="S2366" t="s">
        <v>7106</v>
      </c>
      <c r="T2366" t="s">
        <v>9478</v>
      </c>
      <c r="U2366" t="s">
        <v>9478</v>
      </c>
      <c r="V2366" t="s">
        <v>9478</v>
      </c>
      <c r="W2366">
        <v>12</v>
      </c>
      <c r="X2366" t="s">
        <v>11844</v>
      </c>
      <c r="Y2366">
        <v>0.50549557960052005</v>
      </c>
      <c r="Z2366" t="str">
        <f>HYPERLINK("Melting_Curves/meltCurve_sp_Q7L775_EPMIP_HUMAN_.pdf", "Melting_Curves/meltCurve_sp_Q7L775_EPMIP_HUMAN_.pdf")</f>
        <v>Melting_Curves/meltCurve_sp_Q7L775_EPMIP_HUMAN_.pdf</v>
      </c>
      <c r="AA2366" t="s">
        <v>16540</v>
      </c>
      <c r="AB2366" t="s">
        <v>21200</v>
      </c>
    </row>
    <row r="2367" spans="1:28" x14ac:dyDescent="0.25">
      <c r="A2367" t="s">
        <v>2371</v>
      </c>
      <c r="B2367">
        <v>0.99904790336628502</v>
      </c>
      <c r="C2367">
        <v>0.86210146116458097</v>
      </c>
      <c r="D2367">
        <v>0.94000332186215496</v>
      </c>
      <c r="E2367">
        <v>0.66356586525314598</v>
      </c>
      <c r="F2367">
        <v>0.31327756564137998</v>
      </c>
      <c r="G2367">
        <v>0.17977168544216199</v>
      </c>
      <c r="H2367">
        <v>4.5479803758832198E-2</v>
      </c>
      <c r="I2367">
        <v>3.5210591178791002E-2</v>
      </c>
      <c r="J2367">
        <v>0</v>
      </c>
      <c r="K2367">
        <v>6.6948618420949693E-2</v>
      </c>
      <c r="L2367">
        <v>1046.14651661218</v>
      </c>
      <c r="M2367">
        <v>20.4036078561981</v>
      </c>
      <c r="N2367">
        <v>51.4059017203395</v>
      </c>
      <c r="O2367">
        <v>50.787724616088703</v>
      </c>
      <c r="P2367">
        <v>-9.7851220274576295E-2</v>
      </c>
      <c r="Q2367">
        <v>2.5762159431034399E-2</v>
      </c>
      <c r="R2367">
        <v>0.98526549370354199</v>
      </c>
      <c r="S2367" t="s">
        <v>7107</v>
      </c>
      <c r="T2367" t="s">
        <v>9478</v>
      </c>
      <c r="U2367" t="s">
        <v>9478</v>
      </c>
      <c r="V2367" t="s">
        <v>9478</v>
      </c>
      <c r="W2367">
        <v>3</v>
      </c>
      <c r="X2367" t="s">
        <v>11845</v>
      </c>
      <c r="Y2367">
        <v>0.404858540776382</v>
      </c>
      <c r="Z2367" t="str">
        <f>HYPERLINK("Melting_Curves/meltCurve_sp_Q7L7X3_3_TAOK1_HUMAN_.pdf", "Melting_Curves/meltCurve_sp_Q7L7X3_3_TAOK1_HUMAN_.pdf")</f>
        <v>Melting_Curves/meltCurve_sp_Q7L7X3_3_TAOK1_HUMAN_.pdf</v>
      </c>
      <c r="AA2367" t="s">
        <v>16541</v>
      </c>
      <c r="AB2367" t="s">
        <v>21201</v>
      </c>
    </row>
    <row r="2368" spans="1:28" x14ac:dyDescent="0.25">
      <c r="A2368" t="s">
        <v>2372</v>
      </c>
      <c r="B2368">
        <v>0.99904790336628502</v>
      </c>
      <c r="C2368">
        <v>1.3510819541988399</v>
      </c>
      <c r="D2368">
        <v>0.95305524564571797</v>
      </c>
      <c r="E2368">
        <v>0.80792422570640599</v>
      </c>
      <c r="F2368">
        <v>0.45138969584042898</v>
      </c>
      <c r="G2368">
        <v>0.22247331418558999</v>
      </c>
      <c r="H2368">
        <v>0.17281464481739001</v>
      </c>
      <c r="I2368">
        <v>0.263318603880555</v>
      </c>
      <c r="J2368">
        <v>0.217904254247933</v>
      </c>
      <c r="K2368">
        <v>0.22345441879809499</v>
      </c>
      <c r="L2368">
        <v>1821.2578963608</v>
      </c>
      <c r="M2368">
        <v>35.262331593480503</v>
      </c>
      <c r="N2368">
        <v>52.484210837895198</v>
      </c>
      <c r="O2368">
        <v>51.483580251282397</v>
      </c>
      <c r="P2368">
        <v>-0.13445821802639399</v>
      </c>
      <c r="Q2368">
        <v>0.214758241467042</v>
      </c>
      <c r="R2368">
        <v>0.92017554419439995</v>
      </c>
      <c r="S2368" t="s">
        <v>7108</v>
      </c>
      <c r="T2368" t="s">
        <v>9478</v>
      </c>
      <c r="U2368" t="s">
        <v>9478</v>
      </c>
      <c r="V2368" t="s">
        <v>9478</v>
      </c>
      <c r="W2368">
        <v>2</v>
      </c>
      <c r="X2368" t="s">
        <v>11846</v>
      </c>
      <c r="Y2368">
        <v>0.52327395671437749</v>
      </c>
      <c r="Z2368" t="str">
        <f>HYPERLINK("Melting_Curves/meltCurve_sp_Q7L8L6_FAKD5_HUMAN_.pdf", "Melting_Curves/meltCurve_sp_Q7L8L6_FAKD5_HUMAN_.pdf")</f>
        <v>Melting_Curves/meltCurve_sp_Q7L8L6_FAKD5_HUMAN_.pdf</v>
      </c>
      <c r="AA2368" t="s">
        <v>16542</v>
      </c>
      <c r="AB2368" t="s">
        <v>21202</v>
      </c>
    </row>
    <row r="2369" spans="1:28" x14ac:dyDescent="0.25">
      <c r="A2369" t="s">
        <v>2373</v>
      </c>
      <c r="B2369">
        <v>0.99904790336628502</v>
      </c>
      <c r="C2369">
        <v>0.91523817244828098</v>
      </c>
      <c r="D2369">
        <v>0.81511151915945801</v>
      </c>
      <c r="E2369">
        <v>0.54465808173373498</v>
      </c>
      <c r="F2369">
        <v>0.41487708544657698</v>
      </c>
      <c r="G2369">
        <v>0.271181867704056</v>
      </c>
      <c r="H2369">
        <v>0.191400238930172</v>
      </c>
      <c r="I2369">
        <v>0.14018355882238601</v>
      </c>
      <c r="J2369">
        <v>0.149562784926943</v>
      </c>
      <c r="K2369">
        <v>0.159873425082007</v>
      </c>
      <c r="L2369">
        <v>709.29557288992601</v>
      </c>
      <c r="M2369">
        <v>14.1758283292702</v>
      </c>
      <c r="N2369">
        <v>51.106279405002098</v>
      </c>
      <c r="O2369">
        <v>49.071427287292202</v>
      </c>
      <c r="P2369">
        <v>-6.2949744690089501E-2</v>
      </c>
      <c r="Q2369">
        <v>0.12847565839307701</v>
      </c>
      <c r="R2369">
        <v>0.99755320944362602</v>
      </c>
      <c r="S2369" t="s">
        <v>7109</v>
      </c>
      <c r="T2369" t="s">
        <v>9478</v>
      </c>
      <c r="U2369" t="s">
        <v>9478</v>
      </c>
      <c r="V2369" t="s">
        <v>9478</v>
      </c>
      <c r="W2369">
        <v>5</v>
      </c>
      <c r="X2369" t="s">
        <v>11847</v>
      </c>
      <c r="Y2369">
        <v>0.44292488166882221</v>
      </c>
      <c r="Z2369" t="str">
        <f>HYPERLINK("Melting_Curves/meltCurve_sp_Q7L9B9_EEPD1_HUMAN_.pdf", "Melting_Curves/meltCurve_sp_Q7L9B9_EEPD1_HUMAN_.pdf")</f>
        <v>Melting_Curves/meltCurve_sp_Q7L9B9_EEPD1_HUMAN_.pdf</v>
      </c>
      <c r="AA2369" t="s">
        <v>16543</v>
      </c>
      <c r="AB2369" t="s">
        <v>21203</v>
      </c>
    </row>
    <row r="2370" spans="1:28" x14ac:dyDescent="0.25">
      <c r="A2370" t="s">
        <v>2374</v>
      </c>
      <c r="B2370">
        <v>0.99904790336628502</v>
      </c>
      <c r="C2370">
        <v>0.84555070792348397</v>
      </c>
      <c r="D2370">
        <v>0.74704341398951601</v>
      </c>
      <c r="E2370">
        <v>0.46231674635424602</v>
      </c>
      <c r="F2370">
        <v>0.33185455369928601</v>
      </c>
      <c r="G2370">
        <v>0.16364881021788999</v>
      </c>
      <c r="H2370">
        <v>8.9192584183275705E-2</v>
      </c>
      <c r="I2370">
        <v>6.7572085281199706E-2</v>
      </c>
      <c r="J2370">
        <v>7.7357557738202604E-2</v>
      </c>
      <c r="K2370">
        <v>7.8275683739560495E-2</v>
      </c>
      <c r="L2370">
        <v>665.30562850971103</v>
      </c>
      <c r="M2370">
        <v>13.509461640361801</v>
      </c>
      <c r="N2370">
        <v>49.568664277044299</v>
      </c>
      <c r="O2370">
        <v>48.205863660503901</v>
      </c>
      <c r="P2370">
        <v>-6.7134609652115804E-2</v>
      </c>
      <c r="Q2370">
        <v>4.19190421240846E-2</v>
      </c>
      <c r="R2370">
        <v>0.99552974531464899</v>
      </c>
      <c r="S2370" t="s">
        <v>7110</v>
      </c>
      <c r="T2370" t="s">
        <v>9478</v>
      </c>
      <c r="U2370" t="s">
        <v>9478</v>
      </c>
      <c r="V2370" t="s">
        <v>9478</v>
      </c>
      <c r="W2370">
        <v>8</v>
      </c>
      <c r="X2370" t="s">
        <v>11848</v>
      </c>
      <c r="Y2370">
        <v>0.3655685335446765</v>
      </c>
      <c r="Z2370" t="str">
        <f>HYPERLINK("Melting_Curves/meltCurve_sp_Q7LBC6_KDM3B_HUMAN_.pdf", "Melting_Curves/meltCurve_sp_Q7LBC6_KDM3B_HUMAN_.pdf")</f>
        <v>Melting_Curves/meltCurve_sp_Q7LBC6_KDM3B_HUMAN_.pdf</v>
      </c>
      <c r="AA2370" t="s">
        <v>16544</v>
      </c>
      <c r="AB2370" t="s">
        <v>21204</v>
      </c>
    </row>
    <row r="2371" spans="1:28" x14ac:dyDescent="0.25">
      <c r="A2371" t="s">
        <v>2375</v>
      </c>
      <c r="B2371">
        <v>0.99904790336628502</v>
      </c>
      <c r="C2371">
        <v>0.98282121492429098</v>
      </c>
      <c r="D2371">
        <v>0.96535787437889298</v>
      </c>
      <c r="E2371">
        <v>0.930222094214881</v>
      </c>
      <c r="F2371">
        <v>0.88242173424391701</v>
      </c>
      <c r="G2371">
        <v>0.533115987278027</v>
      </c>
      <c r="H2371">
        <v>0.23968289021580499</v>
      </c>
      <c r="I2371">
        <v>0.21243405317149</v>
      </c>
      <c r="J2371">
        <v>0.19301987880464799</v>
      </c>
      <c r="K2371">
        <v>0.18344332567521801</v>
      </c>
      <c r="L2371">
        <v>1539.6259578556801</v>
      </c>
      <c r="M2371">
        <v>27.331025678403702</v>
      </c>
      <c r="N2371">
        <v>57.237865595238397</v>
      </c>
      <c r="O2371">
        <v>56.033546869652398</v>
      </c>
      <c r="P2371">
        <v>-0.100541707964376</v>
      </c>
      <c r="Q2371">
        <v>0.17549302292687</v>
      </c>
      <c r="R2371">
        <v>0.99651411999477402</v>
      </c>
      <c r="S2371" t="s">
        <v>7111</v>
      </c>
      <c r="T2371" t="s">
        <v>9478</v>
      </c>
      <c r="U2371" t="s">
        <v>9478</v>
      </c>
      <c r="V2371" t="s">
        <v>9478</v>
      </c>
      <c r="W2371">
        <v>2</v>
      </c>
      <c r="X2371" t="s">
        <v>11849</v>
      </c>
      <c r="Y2371">
        <v>0.63085551177880261</v>
      </c>
      <c r="Z2371" t="str">
        <f>HYPERLINK("Melting_Curves/meltCurve_sp_Q7LBR1_CHM1B_HUMAN_.pdf", "Melting_Curves/meltCurve_sp_Q7LBR1_CHM1B_HUMAN_.pdf")</f>
        <v>Melting_Curves/meltCurve_sp_Q7LBR1_CHM1B_HUMAN_.pdf</v>
      </c>
      <c r="AA2371" t="s">
        <v>16545</v>
      </c>
      <c r="AB2371" t="s">
        <v>21205</v>
      </c>
    </row>
    <row r="2372" spans="1:28" x14ac:dyDescent="0.25">
      <c r="A2372" t="s">
        <v>2376</v>
      </c>
      <c r="B2372">
        <v>0.99904790336628502</v>
      </c>
      <c r="C2372">
        <v>1.0811927511891299</v>
      </c>
      <c r="D2372">
        <v>1.08900072247858</v>
      </c>
      <c r="E2372">
        <v>1.0182068611333699</v>
      </c>
      <c r="F2372">
        <v>0.91932221851592699</v>
      </c>
      <c r="G2372">
        <v>0.77903769411867196</v>
      </c>
      <c r="H2372">
        <v>0.64998689741827098</v>
      </c>
      <c r="I2372">
        <v>0.58954145290310001</v>
      </c>
      <c r="J2372">
        <v>0.505136761321897</v>
      </c>
      <c r="K2372">
        <v>0.30615226664349598</v>
      </c>
      <c r="L2372">
        <v>703.17497606955499</v>
      </c>
      <c r="M2372">
        <v>10.8372914633871</v>
      </c>
      <c r="N2372">
        <v>65.579183476242903</v>
      </c>
      <c r="O2372">
        <v>62.792680336589697</v>
      </c>
      <c r="P2372">
        <v>-4.0822674536417303E-2</v>
      </c>
      <c r="Q2372">
        <v>5.4210320929840697E-2</v>
      </c>
      <c r="R2372">
        <v>0.95525947114202903</v>
      </c>
      <c r="S2372" t="s">
        <v>7112</v>
      </c>
      <c r="T2372" t="s">
        <v>9478</v>
      </c>
      <c r="U2372" t="s">
        <v>9478</v>
      </c>
      <c r="V2372" t="s">
        <v>9478</v>
      </c>
      <c r="W2372">
        <v>7</v>
      </c>
      <c r="X2372" t="s">
        <v>11850</v>
      </c>
      <c r="Y2372">
        <v>0.79494583772552296</v>
      </c>
      <c r="Z2372" t="str">
        <f>HYPERLINK("Melting_Curves/meltCurve_sp_Q7LG56_RIR2B_HUMAN_.pdf", "Melting_Curves/meltCurve_sp_Q7LG56_RIR2B_HUMAN_.pdf")</f>
        <v>Melting_Curves/meltCurve_sp_Q7LG56_RIR2B_HUMAN_.pdf</v>
      </c>
      <c r="AA2372" t="s">
        <v>16546</v>
      </c>
      <c r="AB2372" t="s">
        <v>21206</v>
      </c>
    </row>
    <row r="2373" spans="1:28" x14ac:dyDescent="0.25">
      <c r="A2373" t="s">
        <v>2377</v>
      </c>
      <c r="B2373">
        <v>0.99904790336628502</v>
      </c>
      <c r="C2373">
        <v>0.95941294290166501</v>
      </c>
      <c r="D2373">
        <v>0.94237907356384698</v>
      </c>
      <c r="E2373">
        <v>0.86139385178356398</v>
      </c>
      <c r="F2373">
        <v>0.82379968519319702</v>
      </c>
      <c r="G2373">
        <v>0.67510381000877095</v>
      </c>
      <c r="H2373">
        <v>0.58669339713614599</v>
      </c>
      <c r="I2373">
        <v>0.56220253894088001</v>
      </c>
      <c r="J2373">
        <v>0.614725649541492</v>
      </c>
      <c r="K2373">
        <v>0.60113307231914104</v>
      </c>
      <c r="L2373">
        <v>784.27045605679496</v>
      </c>
      <c r="M2373">
        <v>14.788694190788799</v>
      </c>
      <c r="O2373">
        <v>52.090402149632801</v>
      </c>
      <c r="P2373">
        <v>-3.0836142038069499E-2</v>
      </c>
      <c r="Q2373">
        <v>0.56558828386526505</v>
      </c>
      <c r="R2373">
        <v>0.97488787248717801</v>
      </c>
      <c r="S2373" t="s">
        <v>7113</v>
      </c>
      <c r="T2373" t="s">
        <v>9478</v>
      </c>
      <c r="U2373" t="s">
        <v>9478</v>
      </c>
      <c r="V2373" t="s">
        <v>9478</v>
      </c>
      <c r="W2373">
        <v>18</v>
      </c>
      <c r="X2373" t="s">
        <v>11851</v>
      </c>
      <c r="Y2373">
        <v>0.76381305229708663</v>
      </c>
      <c r="Z2373" t="str">
        <f>HYPERLINK("Melting_Curves/meltCurve_sp_Q7RTP6_MICA3_HUMAN_.pdf", "Melting_Curves/meltCurve_sp_Q7RTP6_MICA3_HUMAN_.pdf")</f>
        <v>Melting_Curves/meltCurve_sp_Q7RTP6_MICA3_HUMAN_.pdf</v>
      </c>
      <c r="AA2373" t="s">
        <v>16547</v>
      </c>
      <c r="AB2373" t="s">
        <v>21207</v>
      </c>
    </row>
    <row r="2374" spans="1:28" x14ac:dyDescent="0.25">
      <c r="A2374" t="s">
        <v>2378</v>
      </c>
      <c r="B2374">
        <v>0.99904790336628502</v>
      </c>
      <c r="C2374">
        <v>1.02655372861159</v>
      </c>
      <c r="D2374">
        <v>0.94182416403261504</v>
      </c>
      <c r="E2374">
        <v>0.870729781809919</v>
      </c>
      <c r="F2374">
        <v>0.88281169416640703</v>
      </c>
      <c r="G2374">
        <v>0.60818584293564804</v>
      </c>
      <c r="H2374">
        <v>0.52597794477524695</v>
      </c>
      <c r="I2374">
        <v>0.65684150703857502</v>
      </c>
      <c r="J2374">
        <v>0.74799488318797602</v>
      </c>
      <c r="K2374">
        <v>0.80207592026443597</v>
      </c>
      <c r="L2374">
        <v>1511.6523722787099</v>
      </c>
      <c r="M2374">
        <v>28.942513500821601</v>
      </c>
      <c r="O2374">
        <v>51.982040965029597</v>
      </c>
      <c r="P2374">
        <v>-4.5877244961200499E-2</v>
      </c>
      <c r="Q2374">
        <v>0.67041219018109099</v>
      </c>
      <c r="R2374">
        <v>0.73909894096624595</v>
      </c>
      <c r="S2374" t="s">
        <v>7114</v>
      </c>
      <c r="T2374" t="s">
        <v>9478</v>
      </c>
      <c r="U2374" t="s">
        <v>9478</v>
      </c>
      <c r="V2374" t="s">
        <v>9478</v>
      </c>
      <c r="W2374">
        <v>10</v>
      </c>
      <c r="X2374" t="s">
        <v>11852</v>
      </c>
      <c r="Y2374">
        <v>0.80703681677223993</v>
      </c>
      <c r="Z2374" t="str">
        <f>HYPERLINK("Melting_Curves/meltCurve_sp_Q7RTV0_PHF5A_HUMAN_.pdf", "Melting_Curves/meltCurve_sp_Q7RTV0_PHF5A_HUMAN_.pdf")</f>
        <v>Melting_Curves/meltCurve_sp_Q7RTV0_PHF5A_HUMAN_.pdf</v>
      </c>
      <c r="AA2374" t="s">
        <v>16548</v>
      </c>
      <c r="AB2374" t="s">
        <v>21208</v>
      </c>
    </row>
    <row r="2375" spans="1:28" x14ac:dyDescent="0.25">
      <c r="A2375" t="s">
        <v>2379</v>
      </c>
      <c r="B2375">
        <v>0.99904790336628502</v>
      </c>
      <c r="C2375">
        <v>0.88933337433945303</v>
      </c>
      <c r="D2375">
        <v>0.67032909562658505</v>
      </c>
      <c r="E2375">
        <v>0.52164918114030201</v>
      </c>
      <c r="F2375">
        <v>0.42348723426296397</v>
      </c>
      <c r="G2375">
        <v>0.27906785660550798</v>
      </c>
      <c r="H2375">
        <v>0.219772561205723</v>
      </c>
      <c r="I2375">
        <v>0.185253240438469</v>
      </c>
      <c r="J2375">
        <v>0.20846019824985801</v>
      </c>
      <c r="K2375">
        <v>0.209285424640163</v>
      </c>
      <c r="L2375">
        <v>618.50491722346703</v>
      </c>
      <c r="M2375">
        <v>12.7435864897306</v>
      </c>
      <c r="N2375">
        <v>50.254842220763798</v>
      </c>
      <c r="O2375">
        <v>47.386027455159997</v>
      </c>
      <c r="P2375">
        <v>-5.5359237571405102E-2</v>
      </c>
      <c r="Q2375">
        <v>0.17676121425473801</v>
      </c>
      <c r="R2375">
        <v>0.98912175856023699</v>
      </c>
      <c r="S2375" t="s">
        <v>7115</v>
      </c>
      <c r="T2375" t="s">
        <v>9478</v>
      </c>
      <c r="U2375" t="s">
        <v>9478</v>
      </c>
      <c r="V2375" t="s">
        <v>9478</v>
      </c>
      <c r="W2375">
        <v>22</v>
      </c>
      <c r="X2375" t="s">
        <v>11853</v>
      </c>
      <c r="Y2375">
        <v>0.43897637511430088</v>
      </c>
      <c r="Z2375" t="str">
        <f>HYPERLINK("Melting_Curves/meltCurve_sp_Q7Z2W4_ZCCHV_HUMAN_.pdf", "Melting_Curves/meltCurve_sp_Q7Z2W4_ZCCHV_HUMAN_.pdf")</f>
        <v>Melting_Curves/meltCurve_sp_Q7Z2W4_ZCCHV_HUMAN_.pdf</v>
      </c>
      <c r="AA2375" t="s">
        <v>16549</v>
      </c>
      <c r="AB2375" t="s">
        <v>21209</v>
      </c>
    </row>
    <row r="2376" spans="1:28" x14ac:dyDescent="0.25">
      <c r="A2376" t="s">
        <v>2380</v>
      </c>
      <c r="B2376">
        <v>0.99904790336628502</v>
      </c>
      <c r="C2376">
        <v>0.99186551806701995</v>
      </c>
      <c r="D2376">
        <v>0.96715480226792305</v>
      </c>
      <c r="E2376">
        <v>0.60389511755902803</v>
      </c>
      <c r="F2376">
        <v>0.28100577712966701</v>
      </c>
      <c r="G2376">
        <v>0.14067801702881599</v>
      </c>
      <c r="H2376">
        <v>7.5732643508387001E-2</v>
      </c>
      <c r="I2376">
        <v>6.5043056726063503E-2</v>
      </c>
      <c r="J2376">
        <v>5.1812669455412998E-2</v>
      </c>
      <c r="K2376">
        <v>5.4218429480407497E-2</v>
      </c>
      <c r="L2376">
        <v>1348.91785376454</v>
      </c>
      <c r="M2376">
        <v>26.6264821396061</v>
      </c>
      <c r="N2376">
        <v>50.921862833173897</v>
      </c>
      <c r="O2376">
        <v>50.377589183477802</v>
      </c>
      <c r="P2376">
        <v>-0.123704542205409</v>
      </c>
      <c r="Q2376">
        <v>6.3808466155668195E-2</v>
      </c>
      <c r="R2376">
        <v>0.99873407988417795</v>
      </c>
      <c r="S2376" t="s">
        <v>7116</v>
      </c>
      <c r="T2376" t="s">
        <v>9478</v>
      </c>
      <c r="U2376" t="s">
        <v>9478</v>
      </c>
      <c r="V2376" t="s">
        <v>9478</v>
      </c>
      <c r="W2376">
        <v>18</v>
      </c>
      <c r="X2376" t="s">
        <v>11854</v>
      </c>
      <c r="Y2376">
        <v>0.40392582620955281</v>
      </c>
      <c r="Z2376" t="str">
        <f>HYPERLINK("Melting_Curves/meltCurve_sp_Q7Z2Z2_ETUD1_HUMAN_.pdf", "Melting_Curves/meltCurve_sp_Q7Z2Z2_ETUD1_HUMAN_.pdf")</f>
        <v>Melting_Curves/meltCurve_sp_Q7Z2Z2_ETUD1_HUMAN_.pdf</v>
      </c>
      <c r="AA2376" t="s">
        <v>16550</v>
      </c>
      <c r="AB2376" t="s">
        <v>21210</v>
      </c>
    </row>
    <row r="2377" spans="1:28" x14ac:dyDescent="0.25">
      <c r="A2377" t="s">
        <v>2381</v>
      </c>
      <c r="B2377">
        <v>0.99904790336628502</v>
      </c>
      <c r="C2377">
        <v>1.0706992395138699</v>
      </c>
      <c r="D2377">
        <v>1.0798879275606399</v>
      </c>
      <c r="E2377">
        <v>0.68112646081404704</v>
      </c>
      <c r="F2377">
        <v>0.23335273658648201</v>
      </c>
      <c r="G2377">
        <v>0.13031463765055101</v>
      </c>
      <c r="H2377">
        <v>7.8089204830399606E-2</v>
      </c>
      <c r="I2377">
        <v>5.3653012124343098E-2</v>
      </c>
      <c r="J2377">
        <v>4.5893316072267903E-2</v>
      </c>
      <c r="K2377">
        <v>3.8866208895945303E-2</v>
      </c>
      <c r="L2377">
        <v>2006.8294103647499</v>
      </c>
      <c r="M2377">
        <v>39.4200828032983</v>
      </c>
      <c r="N2377">
        <v>51.093221100007199</v>
      </c>
      <c r="O2377">
        <v>50.7783339943893</v>
      </c>
      <c r="P2377">
        <v>-0.18121001883149099</v>
      </c>
      <c r="Q2377">
        <v>6.6311384496197001E-2</v>
      </c>
      <c r="R2377">
        <v>0.99058785330041099</v>
      </c>
      <c r="S2377" t="s">
        <v>7117</v>
      </c>
      <c r="T2377" t="s">
        <v>9478</v>
      </c>
      <c r="U2377" t="s">
        <v>9478</v>
      </c>
      <c r="V2377" t="s">
        <v>9478</v>
      </c>
      <c r="W2377">
        <v>5</v>
      </c>
      <c r="X2377" t="s">
        <v>11855</v>
      </c>
      <c r="Y2377">
        <v>0.40920932322796222</v>
      </c>
      <c r="Z2377" t="str">
        <f>HYPERLINK("Melting_Curves/meltCurve_sp_Q7Z392_3_TPC11_HUMAN_.pdf", "Melting_Curves/meltCurve_sp_Q7Z392_3_TPC11_HUMAN_.pdf")</f>
        <v>Melting_Curves/meltCurve_sp_Q7Z392_3_TPC11_HUMAN_.pdf</v>
      </c>
      <c r="AA2377" t="s">
        <v>16551</v>
      </c>
      <c r="AB2377" t="s">
        <v>21211</v>
      </c>
    </row>
    <row r="2378" spans="1:28" x14ac:dyDescent="0.25">
      <c r="A2378" t="s">
        <v>2382</v>
      </c>
      <c r="B2378">
        <v>0.99904790336628502</v>
      </c>
      <c r="C2378">
        <v>0.78447108801864895</v>
      </c>
      <c r="D2378">
        <v>0.95416916147219299</v>
      </c>
      <c r="E2378">
        <v>0.83782982656902005</v>
      </c>
      <c r="F2378">
        <v>0.92653843367672395</v>
      </c>
      <c r="G2378">
        <v>0.74193440516407805</v>
      </c>
      <c r="H2378">
        <v>0.55238277060847096</v>
      </c>
      <c r="I2378">
        <v>0.57469644613488602</v>
      </c>
      <c r="J2378">
        <v>0.60013974867782305</v>
      </c>
      <c r="K2378">
        <v>0.47646739746882699</v>
      </c>
      <c r="L2378">
        <v>318.510173623806</v>
      </c>
      <c r="M2378">
        <v>4.5941869841248399</v>
      </c>
      <c r="N2378">
        <v>69.328953086244098</v>
      </c>
      <c r="O2378">
        <v>59.249286970142599</v>
      </c>
      <c r="P2378">
        <v>-1.9543210942535701E-2</v>
      </c>
      <c r="Q2378">
        <v>0</v>
      </c>
      <c r="R2378">
        <v>0.81386580420658905</v>
      </c>
      <c r="S2378" t="s">
        <v>7118</v>
      </c>
      <c r="T2378" t="s">
        <v>9478</v>
      </c>
      <c r="U2378" t="s">
        <v>9478</v>
      </c>
      <c r="V2378" t="s">
        <v>9478</v>
      </c>
      <c r="W2378">
        <v>1</v>
      </c>
      <c r="X2378" t="s">
        <v>11856</v>
      </c>
      <c r="Y2378">
        <v>0.75423199055422963</v>
      </c>
      <c r="Z2378" t="str">
        <f>HYPERLINK("Melting_Curves/meltCurve_sp_Q7Z3E2_CJ118_HUMAN_.pdf", "Melting_Curves/meltCurve_sp_Q7Z3E2_CJ118_HUMAN_.pdf")</f>
        <v>Melting_Curves/meltCurve_sp_Q7Z3E2_CJ118_HUMAN_.pdf</v>
      </c>
      <c r="AA2378" t="s">
        <v>16552</v>
      </c>
      <c r="AB2378" t="s">
        <v>21212</v>
      </c>
    </row>
    <row r="2379" spans="1:28" x14ac:dyDescent="0.25">
      <c r="A2379" t="s">
        <v>2383</v>
      </c>
      <c r="B2379">
        <v>0.99904790336628502</v>
      </c>
      <c r="C2379">
        <v>0.97492345127422997</v>
      </c>
      <c r="D2379">
        <v>0.96044098858970905</v>
      </c>
      <c r="E2379">
        <v>0.67070046028899</v>
      </c>
      <c r="F2379">
        <v>0.21081049176327299</v>
      </c>
      <c r="G2379">
        <v>0.100289279902245</v>
      </c>
      <c r="H2379">
        <v>6.5009777341605901E-2</v>
      </c>
      <c r="I2379">
        <v>4.82180144310876E-2</v>
      </c>
      <c r="J2379">
        <v>4.3255285638086498E-2</v>
      </c>
      <c r="K2379">
        <v>3.1349470908254899E-2</v>
      </c>
      <c r="L2379">
        <v>1852.4306273992599</v>
      </c>
      <c r="M2379">
        <v>36.454562060652997</v>
      </c>
      <c r="N2379">
        <v>50.967229986381902</v>
      </c>
      <c r="O2379">
        <v>50.662602668970102</v>
      </c>
      <c r="P2379">
        <v>-0.17059668399709699</v>
      </c>
      <c r="Q2379">
        <v>5.1658339232666398E-2</v>
      </c>
      <c r="R2379">
        <v>0.998375524401373</v>
      </c>
      <c r="S2379" t="s">
        <v>7119</v>
      </c>
      <c r="T2379" t="s">
        <v>9478</v>
      </c>
      <c r="U2379" t="s">
        <v>9478</v>
      </c>
      <c r="V2379" t="s">
        <v>9478</v>
      </c>
      <c r="W2379">
        <v>10</v>
      </c>
      <c r="X2379" t="s">
        <v>11857</v>
      </c>
      <c r="Y2379">
        <v>0.39754476411789691</v>
      </c>
      <c r="Z2379" t="str">
        <f>HYPERLINK("Melting_Curves/meltCurve_sp_Q7Z3J2_CP062_HUMAN_.pdf", "Melting_Curves/meltCurve_sp_Q7Z3J2_CP062_HUMAN_.pdf")</f>
        <v>Melting_Curves/meltCurve_sp_Q7Z3J2_CP062_HUMAN_.pdf</v>
      </c>
      <c r="AA2379" t="s">
        <v>16553</v>
      </c>
      <c r="AB2379" t="s">
        <v>21213</v>
      </c>
    </row>
    <row r="2380" spans="1:28" x14ac:dyDescent="0.25">
      <c r="A2380" t="s">
        <v>2384</v>
      </c>
      <c r="B2380">
        <v>0.99904790336628502</v>
      </c>
      <c r="C2380">
        <v>0.97210897018539399</v>
      </c>
      <c r="D2380">
        <v>0.98182068148677903</v>
      </c>
      <c r="E2380">
        <v>0.94307958702718497</v>
      </c>
      <c r="F2380">
        <v>0.86988994054857505</v>
      </c>
      <c r="G2380">
        <v>0.54031859006086203</v>
      </c>
      <c r="H2380">
        <v>0.47743931049260002</v>
      </c>
      <c r="I2380">
        <v>0.475768701580568</v>
      </c>
      <c r="J2380">
        <v>0.49792005240239201</v>
      </c>
      <c r="K2380">
        <v>0.45073909632519499</v>
      </c>
      <c r="L2380">
        <v>2078.66115135372</v>
      </c>
      <c r="M2380">
        <v>38.2232707937277</v>
      </c>
      <c r="N2380">
        <v>58.784809187672899</v>
      </c>
      <c r="O2380">
        <v>54.233871628341099</v>
      </c>
      <c r="P2380">
        <v>-9.3129809878757394E-2</v>
      </c>
      <c r="Q2380">
        <v>0.47144474192162</v>
      </c>
      <c r="R2380">
        <v>0.99284189688767099</v>
      </c>
      <c r="S2380" t="s">
        <v>7120</v>
      </c>
      <c r="T2380" t="s">
        <v>9478</v>
      </c>
      <c r="U2380" t="s">
        <v>9478</v>
      </c>
      <c r="V2380" t="s">
        <v>9478</v>
      </c>
      <c r="W2380">
        <v>10</v>
      </c>
      <c r="X2380" t="s">
        <v>11858</v>
      </c>
      <c r="Y2380">
        <v>0.72700514924534387</v>
      </c>
      <c r="Z2380" t="str">
        <f>HYPERLINK("Melting_Curves/meltCurve_sp_Q7Z3T8_ZFY16_HUMAN_.pdf", "Melting_Curves/meltCurve_sp_Q7Z3T8_ZFY16_HUMAN_.pdf")</f>
        <v>Melting_Curves/meltCurve_sp_Q7Z3T8_ZFY16_HUMAN_.pdf</v>
      </c>
      <c r="AA2380" t="s">
        <v>16554</v>
      </c>
      <c r="AB2380" t="s">
        <v>21214</v>
      </c>
    </row>
    <row r="2381" spans="1:28" x14ac:dyDescent="0.25">
      <c r="A2381" t="s">
        <v>2385</v>
      </c>
      <c r="B2381">
        <v>0.99904790336628502</v>
      </c>
      <c r="C2381">
        <v>1.0283721913142301</v>
      </c>
      <c r="D2381">
        <v>0.72364281264678498</v>
      </c>
      <c r="E2381">
        <v>0.38550388012909098</v>
      </c>
      <c r="F2381">
        <v>0.25561868604749799</v>
      </c>
      <c r="G2381">
        <v>0.16380016080624801</v>
      </c>
      <c r="H2381">
        <v>0.157413078632127</v>
      </c>
      <c r="I2381">
        <v>0.12529052054280501</v>
      </c>
      <c r="J2381">
        <v>0.12526838131558801</v>
      </c>
      <c r="K2381">
        <v>0.119164471255499</v>
      </c>
      <c r="L2381">
        <v>1077.6550944621599</v>
      </c>
      <c r="M2381">
        <v>22.4471324686548</v>
      </c>
      <c r="N2381">
        <v>48.688742025961297</v>
      </c>
      <c r="O2381">
        <v>47.632437066638602</v>
      </c>
      <c r="P2381">
        <v>-0.10196042792278701</v>
      </c>
      <c r="Q2381">
        <v>0.13458459511231199</v>
      </c>
      <c r="R2381">
        <v>0.99152640102892897</v>
      </c>
      <c r="S2381" t="s">
        <v>7121</v>
      </c>
      <c r="T2381" t="s">
        <v>9478</v>
      </c>
      <c r="U2381" t="s">
        <v>9478</v>
      </c>
      <c r="V2381" t="s">
        <v>9478</v>
      </c>
      <c r="W2381">
        <v>19</v>
      </c>
      <c r="X2381" t="s">
        <v>11859</v>
      </c>
      <c r="Y2381">
        <v>0.37522914083167308</v>
      </c>
      <c r="Z2381" t="str">
        <f>HYPERLINK("Melting_Curves/meltCurve_sp_Q7Z406_MYH14_HUMAN_.pdf", "Melting_Curves/meltCurve_sp_Q7Z406_MYH14_HUMAN_.pdf")</f>
        <v>Melting_Curves/meltCurve_sp_Q7Z406_MYH14_HUMAN_.pdf</v>
      </c>
      <c r="AA2381" t="s">
        <v>16555</v>
      </c>
      <c r="AB2381" t="s">
        <v>21215</v>
      </c>
    </row>
    <row r="2382" spans="1:28" x14ac:dyDescent="0.25">
      <c r="A2382" t="s">
        <v>2386</v>
      </c>
      <c r="B2382">
        <v>0.99904790336628502</v>
      </c>
      <c r="C2382">
        <v>0.97778035954047005</v>
      </c>
      <c r="D2382">
        <v>0.88471890917212404</v>
      </c>
      <c r="E2382">
        <v>0.87834702810730403</v>
      </c>
      <c r="F2382">
        <v>0.81054711561023896</v>
      </c>
      <c r="G2382">
        <v>0.62230088833924702</v>
      </c>
      <c r="H2382">
        <v>0.53249244605267598</v>
      </c>
      <c r="I2382">
        <v>0.49472686883466799</v>
      </c>
      <c r="J2382">
        <v>0.501140098585107</v>
      </c>
      <c r="K2382">
        <v>0.547162843847253</v>
      </c>
      <c r="L2382">
        <v>775.71711812335798</v>
      </c>
      <c r="M2382">
        <v>14.4384247231459</v>
      </c>
      <c r="N2382">
        <v>68.838268488931703</v>
      </c>
      <c r="O2382">
        <v>52.726811005444297</v>
      </c>
      <c r="P2382">
        <v>-3.5671646303256102E-2</v>
      </c>
      <c r="Q2382">
        <v>0.47899259645518699</v>
      </c>
      <c r="R2382">
        <v>0.96818717705434298</v>
      </c>
      <c r="S2382" t="s">
        <v>7122</v>
      </c>
      <c r="T2382" t="s">
        <v>9478</v>
      </c>
      <c r="U2382" t="s">
        <v>9478</v>
      </c>
      <c r="V2382" t="s">
        <v>9478</v>
      </c>
      <c r="W2382">
        <v>12</v>
      </c>
      <c r="X2382" t="s">
        <v>11860</v>
      </c>
      <c r="Y2382">
        <v>0.72874517408968131</v>
      </c>
      <c r="Z2382" t="str">
        <f>HYPERLINK("Melting_Curves/meltCurve_sp_Q7Z417_NUFP2_HUMAN_.pdf", "Melting_Curves/meltCurve_sp_Q7Z417_NUFP2_HUMAN_.pdf")</f>
        <v>Melting_Curves/meltCurve_sp_Q7Z417_NUFP2_HUMAN_.pdf</v>
      </c>
      <c r="AA2382" t="s">
        <v>16556</v>
      </c>
      <c r="AB2382" t="s">
        <v>21216</v>
      </c>
    </row>
    <row r="2383" spans="1:28" x14ac:dyDescent="0.25">
      <c r="A2383" t="s">
        <v>2387</v>
      </c>
      <c r="B2383">
        <v>0.99904790336628502</v>
      </c>
      <c r="C2383">
        <v>1.08043090686828</v>
      </c>
      <c r="D2383">
        <v>1.0537161460340601</v>
      </c>
      <c r="E2383">
        <v>1.0233282413245199</v>
      </c>
      <c r="F2383">
        <v>1.06024176290317</v>
      </c>
      <c r="G2383">
        <v>0.85816109419455899</v>
      </c>
      <c r="H2383">
        <v>0.71050382820079805</v>
      </c>
      <c r="I2383">
        <v>0.74367855425515295</v>
      </c>
      <c r="J2383">
        <v>0.74085125828751597</v>
      </c>
      <c r="K2383">
        <v>0.82718107493232995</v>
      </c>
      <c r="L2383">
        <v>14231.5444345533</v>
      </c>
      <c r="M2383">
        <v>250</v>
      </c>
      <c r="O2383">
        <v>56.9225348789967</v>
      </c>
      <c r="P2383">
        <v>-0.26839801200867502</v>
      </c>
      <c r="Q2383">
        <v>0.75555367725190603</v>
      </c>
      <c r="R2383">
        <v>0.89406325178700696</v>
      </c>
      <c r="S2383" t="s">
        <v>7123</v>
      </c>
      <c r="T2383" t="s">
        <v>9478</v>
      </c>
      <c r="U2383" t="s">
        <v>9478</v>
      </c>
      <c r="V2383" t="s">
        <v>9478</v>
      </c>
      <c r="W2383">
        <v>4</v>
      </c>
      <c r="X2383" t="s">
        <v>11861</v>
      </c>
      <c r="Y2383">
        <v>0.8934961620961327</v>
      </c>
      <c r="Z2383" t="str">
        <f>HYPERLINK("Melting_Curves/meltCurve_sp_Q7Z422_2_SZRD1_HUMAN_.pdf", "Melting_Curves/meltCurve_sp_Q7Z422_2_SZRD1_HUMAN_.pdf")</f>
        <v>Melting_Curves/meltCurve_sp_Q7Z422_2_SZRD1_HUMAN_.pdf</v>
      </c>
      <c r="AA2383" t="s">
        <v>16557</v>
      </c>
      <c r="AB2383" t="s">
        <v>21217</v>
      </c>
    </row>
    <row r="2384" spans="1:28" x14ac:dyDescent="0.25">
      <c r="A2384" t="s">
        <v>2388</v>
      </c>
      <c r="B2384">
        <v>0.99904790336628502</v>
      </c>
      <c r="C2384">
        <v>0.99490657113486403</v>
      </c>
      <c r="D2384">
        <v>0.96247313771722998</v>
      </c>
      <c r="E2384">
        <v>0.96640673633018703</v>
      </c>
      <c r="F2384">
        <v>1.0002918205623299</v>
      </c>
      <c r="G2384">
        <v>0.72100460428188395</v>
      </c>
      <c r="H2384">
        <v>0.47570714720290302</v>
      </c>
      <c r="I2384">
        <v>0.51415470893548798</v>
      </c>
      <c r="J2384">
        <v>0.45876890290929401</v>
      </c>
      <c r="K2384">
        <v>0.44356252030798099</v>
      </c>
      <c r="L2384">
        <v>3871.32058894188</v>
      </c>
      <c r="M2384">
        <v>68.029100075234894</v>
      </c>
      <c r="N2384">
        <v>59.411695904620899</v>
      </c>
      <c r="O2384">
        <v>56.857734404321398</v>
      </c>
      <c r="P2384">
        <v>-0.15805519191415601</v>
      </c>
      <c r="Q2384">
        <v>0.47159934489224897</v>
      </c>
      <c r="R2384">
        <v>0.99094392524873898</v>
      </c>
      <c r="S2384" t="s">
        <v>7124</v>
      </c>
      <c r="T2384" t="s">
        <v>9478</v>
      </c>
      <c r="U2384" t="s">
        <v>9478</v>
      </c>
      <c r="V2384" t="s">
        <v>9478</v>
      </c>
      <c r="W2384">
        <v>8</v>
      </c>
      <c r="X2384" t="s">
        <v>11862</v>
      </c>
      <c r="Y2384">
        <v>0.77009997730504554</v>
      </c>
      <c r="Z2384" t="str">
        <f>HYPERLINK("Melting_Curves/meltCurve_sp_Q7Z434_MAVS_HUMAN_.pdf", "Melting_Curves/meltCurve_sp_Q7Z434_MAVS_HUMAN_.pdf")</f>
        <v>Melting_Curves/meltCurve_sp_Q7Z434_MAVS_HUMAN_.pdf</v>
      </c>
      <c r="AA2384" t="s">
        <v>16558</v>
      </c>
      <c r="AB2384" t="s">
        <v>21218</v>
      </c>
    </row>
    <row r="2385" spans="1:28" x14ac:dyDescent="0.25">
      <c r="A2385" t="s">
        <v>2389</v>
      </c>
      <c r="B2385">
        <v>0.99904790336628502</v>
      </c>
      <c r="C2385">
        <v>1.0396350721421901</v>
      </c>
      <c r="D2385">
        <v>1.0217077450933101</v>
      </c>
      <c r="E2385">
        <v>0.88226525331957795</v>
      </c>
      <c r="F2385">
        <v>0.741035904588776</v>
      </c>
      <c r="G2385">
        <v>0.40902527231415498</v>
      </c>
      <c r="H2385">
        <v>0.31340565785866298</v>
      </c>
      <c r="I2385">
        <v>0.29711896721835701</v>
      </c>
      <c r="J2385">
        <v>0.31062081532261898</v>
      </c>
      <c r="K2385">
        <v>0.33092609334156398</v>
      </c>
      <c r="L2385">
        <v>1492.7934867673</v>
      </c>
      <c r="M2385">
        <v>27.786482883901801</v>
      </c>
      <c r="N2385">
        <v>55.588362906421501</v>
      </c>
      <c r="O2385">
        <v>53.447779672989903</v>
      </c>
      <c r="P2385">
        <v>-9.0573366971334696E-2</v>
      </c>
      <c r="Q2385">
        <v>0.30312841655132</v>
      </c>
      <c r="R2385">
        <v>0.99407664872682</v>
      </c>
      <c r="S2385" t="s">
        <v>7125</v>
      </c>
      <c r="T2385" t="s">
        <v>9478</v>
      </c>
      <c r="U2385" t="s">
        <v>9478</v>
      </c>
      <c r="V2385" t="s">
        <v>9478</v>
      </c>
      <c r="W2385">
        <v>18</v>
      </c>
      <c r="X2385" t="s">
        <v>11863</v>
      </c>
      <c r="Y2385">
        <v>0.62720395678134655</v>
      </c>
      <c r="Z2385" t="str">
        <f>HYPERLINK("Melting_Curves/meltCurve_sp_Q7Z460_2_CLAP1_HUMAN_.pdf", "Melting_Curves/meltCurve_sp_Q7Z460_2_CLAP1_HUMAN_.pdf")</f>
        <v>Melting_Curves/meltCurve_sp_Q7Z460_2_CLAP1_HUMAN_.pdf</v>
      </c>
      <c r="AA2385" t="s">
        <v>16559</v>
      </c>
      <c r="AB2385" t="s">
        <v>21219</v>
      </c>
    </row>
    <row r="2386" spans="1:28" x14ac:dyDescent="0.25">
      <c r="A2386" t="s">
        <v>2390</v>
      </c>
      <c r="B2386">
        <v>0.99904790336628502</v>
      </c>
      <c r="C2386">
        <v>1.05907721835632</v>
      </c>
      <c r="D2386">
        <v>1.0443284257116701</v>
      </c>
      <c r="E2386">
        <v>0.76602502972662401</v>
      </c>
      <c r="F2386">
        <v>0.56780085476924802</v>
      </c>
      <c r="G2386">
        <v>0.26064899893240701</v>
      </c>
      <c r="H2386">
        <v>0.18943418455121799</v>
      </c>
      <c r="I2386">
        <v>0.17060359059524299</v>
      </c>
      <c r="J2386">
        <v>0.161184670482238</v>
      </c>
      <c r="K2386">
        <v>0.148973187521211</v>
      </c>
      <c r="L2386">
        <v>1248.2247326469301</v>
      </c>
      <c r="M2386">
        <v>23.718392440106498</v>
      </c>
      <c r="N2386">
        <v>53.456094205611102</v>
      </c>
      <c r="O2386">
        <v>52.257049608373997</v>
      </c>
      <c r="P2386">
        <v>-9.6006613165383101E-2</v>
      </c>
      <c r="Q2386">
        <v>0.15391580916216099</v>
      </c>
      <c r="R2386">
        <v>0.99157807849864099</v>
      </c>
      <c r="S2386" t="s">
        <v>7126</v>
      </c>
      <c r="T2386" t="s">
        <v>9478</v>
      </c>
      <c r="U2386" t="s">
        <v>9478</v>
      </c>
      <c r="V2386" t="s">
        <v>9478</v>
      </c>
      <c r="W2386">
        <v>12</v>
      </c>
      <c r="X2386" t="s">
        <v>11864</v>
      </c>
      <c r="Y2386">
        <v>0.51860515849277877</v>
      </c>
      <c r="Z2386" t="str">
        <f>HYPERLINK("Melting_Curves/meltCurve_sp_Q7Z478_DHX29_HUMAN_.pdf", "Melting_Curves/meltCurve_sp_Q7Z478_DHX29_HUMAN_.pdf")</f>
        <v>Melting_Curves/meltCurve_sp_Q7Z478_DHX29_HUMAN_.pdf</v>
      </c>
      <c r="AA2386" t="s">
        <v>16560</v>
      </c>
      <c r="AB2386" t="s">
        <v>21220</v>
      </c>
    </row>
    <row r="2387" spans="1:28" x14ac:dyDescent="0.25">
      <c r="A2387" t="s">
        <v>2391</v>
      </c>
      <c r="B2387">
        <v>0.99904790336628502</v>
      </c>
      <c r="C2387">
        <v>1.0515627803860499</v>
      </c>
      <c r="D2387">
        <v>1.0851929964217799</v>
      </c>
      <c r="E2387">
        <v>0.83053432439488695</v>
      </c>
      <c r="F2387">
        <v>0.59487464318317795</v>
      </c>
      <c r="G2387">
        <v>0.35479436893638999</v>
      </c>
      <c r="H2387">
        <v>0.19100279532464101</v>
      </c>
      <c r="I2387">
        <v>0.15540893749525</v>
      </c>
      <c r="J2387">
        <v>0.152883065914834</v>
      </c>
      <c r="K2387">
        <v>0.108725129911605</v>
      </c>
      <c r="L2387">
        <v>1139.1169904037699</v>
      </c>
      <c r="M2387">
        <v>21.231519564368501</v>
      </c>
      <c r="N2387">
        <v>54.412446140528097</v>
      </c>
      <c r="O2387">
        <v>53.182989754438097</v>
      </c>
      <c r="P2387">
        <v>-8.6996337177902103E-2</v>
      </c>
      <c r="Q2387">
        <v>0.12835112839031501</v>
      </c>
      <c r="R2387">
        <v>0.98797236664166699</v>
      </c>
      <c r="S2387" t="s">
        <v>7127</v>
      </c>
      <c r="T2387" t="s">
        <v>9478</v>
      </c>
      <c r="U2387" t="s">
        <v>9478</v>
      </c>
      <c r="V2387" t="s">
        <v>9478</v>
      </c>
      <c r="W2387">
        <v>2</v>
      </c>
      <c r="X2387" t="s">
        <v>11865</v>
      </c>
      <c r="Y2387">
        <v>0.53578536694892009</v>
      </c>
      <c r="Z2387" t="str">
        <f>HYPERLINK("Melting_Curves/meltCurve_sp_Q7Z4G1_COMD6_HUMAN_.pdf", "Melting_Curves/meltCurve_sp_Q7Z4G1_COMD6_HUMAN_.pdf")</f>
        <v>Melting_Curves/meltCurve_sp_Q7Z4G1_COMD6_HUMAN_.pdf</v>
      </c>
      <c r="AA2387" t="s">
        <v>16561</v>
      </c>
      <c r="AB2387" t="s">
        <v>21221</v>
      </c>
    </row>
    <row r="2388" spans="1:28" x14ac:dyDescent="0.25">
      <c r="A2388" t="s">
        <v>2392</v>
      </c>
      <c r="B2388">
        <v>0.99904790336628502</v>
      </c>
      <c r="C2388">
        <v>0.98076021471947605</v>
      </c>
      <c r="D2388">
        <v>1.01886357497406</v>
      </c>
      <c r="E2388">
        <v>0.92166464193337305</v>
      </c>
      <c r="F2388">
        <v>0.72692594327521998</v>
      </c>
      <c r="G2388">
        <v>0.230858964727888</v>
      </c>
      <c r="H2388">
        <v>9.4516132649406101E-2</v>
      </c>
      <c r="I2388">
        <v>6.7324924982870904E-2</v>
      </c>
      <c r="J2388">
        <v>4.5453690437252003E-2</v>
      </c>
      <c r="K2388">
        <v>4.4081226731631E-2</v>
      </c>
      <c r="L2388">
        <v>1678.9241528953401</v>
      </c>
      <c r="M2388">
        <v>30.827383030037499</v>
      </c>
      <c r="N2388">
        <v>54.646335120096097</v>
      </c>
      <c r="O2388">
        <v>54.234464746581999</v>
      </c>
      <c r="P2388">
        <v>-0.135089629054089</v>
      </c>
      <c r="Q2388">
        <v>4.9355456959826599E-2</v>
      </c>
      <c r="R2388">
        <v>0.99898592652606599</v>
      </c>
      <c r="S2388" t="s">
        <v>7128</v>
      </c>
      <c r="T2388" t="s">
        <v>9478</v>
      </c>
      <c r="U2388" t="s">
        <v>9478</v>
      </c>
      <c r="V2388" t="s">
        <v>9478</v>
      </c>
      <c r="W2388">
        <v>4</v>
      </c>
      <c r="X2388" t="s">
        <v>11866</v>
      </c>
      <c r="Y2388">
        <v>0.51358944785818261</v>
      </c>
      <c r="Z2388" t="str">
        <f>HYPERLINK("Melting_Curves/meltCurve_sp_Q7Z4G4_2_TRM11_HUMAN_.pdf", "Melting_Curves/meltCurve_sp_Q7Z4G4_2_TRM11_HUMAN_.pdf")</f>
        <v>Melting_Curves/meltCurve_sp_Q7Z4G4_2_TRM11_HUMAN_.pdf</v>
      </c>
      <c r="AA2388" t="s">
        <v>16562</v>
      </c>
      <c r="AB2388" t="s">
        <v>21222</v>
      </c>
    </row>
    <row r="2389" spans="1:28" x14ac:dyDescent="0.25">
      <c r="A2389" t="s">
        <v>2393</v>
      </c>
      <c r="B2389">
        <v>0.99904790336628502</v>
      </c>
      <c r="C2389">
        <v>0.96258425563196304</v>
      </c>
      <c r="D2389">
        <v>0.78918950266690902</v>
      </c>
      <c r="E2389">
        <v>0.72117295398911196</v>
      </c>
      <c r="F2389">
        <v>0.55497525966476702</v>
      </c>
      <c r="G2389">
        <v>0.50065909195875602</v>
      </c>
      <c r="H2389">
        <v>0.40137339496615998</v>
      </c>
      <c r="I2389">
        <v>0.19291114830637901</v>
      </c>
      <c r="J2389">
        <v>6.9799467805598606E-2</v>
      </c>
      <c r="K2389">
        <v>7.5383230205689905E-2</v>
      </c>
      <c r="L2389">
        <v>509.62450115952299</v>
      </c>
      <c r="M2389">
        <v>9.2279531989139905</v>
      </c>
      <c r="N2389">
        <v>55.226168800831203</v>
      </c>
      <c r="O2389">
        <v>52.818393393232299</v>
      </c>
      <c r="P2389">
        <v>-4.3706585865873102E-2</v>
      </c>
      <c r="Q2389">
        <v>0</v>
      </c>
      <c r="R2389">
        <v>0.964436304023777</v>
      </c>
      <c r="S2389" t="s">
        <v>7129</v>
      </c>
      <c r="T2389" t="s">
        <v>9478</v>
      </c>
      <c r="U2389" t="s">
        <v>9478</v>
      </c>
      <c r="V2389" t="s">
        <v>9478</v>
      </c>
      <c r="W2389">
        <v>2</v>
      </c>
      <c r="X2389" t="s">
        <v>11867</v>
      </c>
      <c r="Y2389">
        <v>0.53286242951678719</v>
      </c>
      <c r="Z2389" t="str">
        <f>HYPERLINK("Melting_Curves/meltCurve_sp_Q7Z4H3_2_HDDC2_HUMAN_.pdf", "Melting_Curves/meltCurve_sp_Q7Z4H3_2_HDDC2_HUMAN_.pdf")</f>
        <v>Melting_Curves/meltCurve_sp_Q7Z4H3_2_HDDC2_HUMAN_.pdf</v>
      </c>
      <c r="AA2389" t="s">
        <v>16563</v>
      </c>
      <c r="AB2389" t="s">
        <v>21223</v>
      </c>
    </row>
    <row r="2390" spans="1:28" x14ac:dyDescent="0.25">
      <c r="A2390" t="s">
        <v>2394</v>
      </c>
      <c r="B2390">
        <v>0.99904790336628502</v>
      </c>
      <c r="C2390">
        <v>0.98604084035488404</v>
      </c>
      <c r="D2390">
        <v>1.00746384676649</v>
      </c>
      <c r="E2390">
        <v>0.843828713050082</v>
      </c>
      <c r="F2390">
        <v>0.231594709723869</v>
      </c>
      <c r="G2390">
        <v>0.121281746245874</v>
      </c>
      <c r="H2390">
        <v>5.51564101083305E-2</v>
      </c>
      <c r="I2390">
        <v>3.0754198633495801E-2</v>
      </c>
      <c r="J2390">
        <v>2.4701133173100201E-2</v>
      </c>
      <c r="K2390">
        <v>3.4645525353463498E-2</v>
      </c>
      <c r="L2390">
        <v>2654.1663879676698</v>
      </c>
      <c r="M2390">
        <v>51.485049106490699</v>
      </c>
      <c r="N2390">
        <v>51.659923336048102</v>
      </c>
      <c r="O2390">
        <v>51.474578826570102</v>
      </c>
      <c r="P2390">
        <v>-0.23732135622015299</v>
      </c>
      <c r="Q2390">
        <v>5.0908345432025798E-2</v>
      </c>
      <c r="R2390">
        <v>0.99696781811608304</v>
      </c>
      <c r="S2390" t="s">
        <v>7130</v>
      </c>
      <c r="T2390" t="s">
        <v>9478</v>
      </c>
      <c r="U2390" t="s">
        <v>9478</v>
      </c>
      <c r="V2390" t="s">
        <v>9478</v>
      </c>
      <c r="W2390">
        <v>8</v>
      </c>
      <c r="X2390" t="s">
        <v>11868</v>
      </c>
      <c r="Y2390">
        <v>0.41841231000853102</v>
      </c>
      <c r="Z2390" t="str">
        <f>HYPERLINK("Melting_Curves/meltCurve_sp_Q7Z4H8_KDEL2_HUMAN_.pdf", "Melting_Curves/meltCurve_sp_Q7Z4H8_KDEL2_HUMAN_.pdf")</f>
        <v>Melting_Curves/meltCurve_sp_Q7Z4H8_KDEL2_HUMAN_.pdf</v>
      </c>
      <c r="AA2390" t="s">
        <v>16564</v>
      </c>
      <c r="AB2390" t="s">
        <v>21224</v>
      </c>
    </row>
    <row r="2391" spans="1:28" x14ac:dyDescent="0.25">
      <c r="A2391" t="s">
        <v>2395</v>
      </c>
      <c r="B2391">
        <v>0.99904790336628502</v>
      </c>
      <c r="C2391">
        <v>1.03504806831286</v>
      </c>
      <c r="D2391">
        <v>1.0719442018585099</v>
      </c>
      <c r="E2391">
        <v>0.97242156613557895</v>
      </c>
      <c r="F2391">
        <v>0.97249220705677397</v>
      </c>
      <c r="G2391">
        <v>0.60905605337091895</v>
      </c>
      <c r="H2391">
        <v>0.3695288728344</v>
      </c>
      <c r="I2391">
        <v>0.26773752066711198</v>
      </c>
      <c r="J2391">
        <v>0.22569996544881801</v>
      </c>
      <c r="K2391">
        <v>0.16519088050105099</v>
      </c>
      <c r="L2391">
        <v>1485.1876240982499</v>
      </c>
      <c r="M2391">
        <v>25.8074866864943</v>
      </c>
      <c r="N2391">
        <v>58.662291532637497</v>
      </c>
      <c r="O2391">
        <v>57.2065078559094</v>
      </c>
      <c r="P2391">
        <v>-9.0942210120614597E-2</v>
      </c>
      <c r="Q2391">
        <v>0.19365652504699701</v>
      </c>
      <c r="R2391">
        <v>0.98979469998341996</v>
      </c>
      <c r="S2391" t="s">
        <v>7131</v>
      </c>
      <c r="T2391" t="s">
        <v>9478</v>
      </c>
      <c r="U2391" t="s">
        <v>9478</v>
      </c>
      <c r="V2391" t="s">
        <v>9478</v>
      </c>
      <c r="W2391">
        <v>16</v>
      </c>
      <c r="X2391" t="s">
        <v>11869</v>
      </c>
      <c r="Y2391">
        <v>0.67214541057787758</v>
      </c>
      <c r="Z2391" t="str">
        <f>HYPERLINK("Melting_Curves/meltCurve_sp_Q7Z4I7_3_LIMS2_HUMAN_.pdf", "Melting_Curves/meltCurve_sp_Q7Z4I7_3_LIMS2_HUMAN_.pdf")</f>
        <v>Melting_Curves/meltCurve_sp_Q7Z4I7_3_LIMS2_HUMAN_.pdf</v>
      </c>
      <c r="AA2391" t="s">
        <v>16565</v>
      </c>
      <c r="AB2391" t="s">
        <v>21225</v>
      </c>
    </row>
    <row r="2392" spans="1:28" x14ac:dyDescent="0.25">
      <c r="A2392" t="s">
        <v>2396</v>
      </c>
      <c r="B2392">
        <v>0.99904790336628502</v>
      </c>
      <c r="C2392">
        <v>0.95942035650408197</v>
      </c>
      <c r="D2392">
        <v>0.896312331079963</v>
      </c>
      <c r="E2392">
        <v>0.46879190946647997</v>
      </c>
      <c r="F2392">
        <v>0.20454117433984201</v>
      </c>
      <c r="G2392">
        <v>9.1882706431730798E-2</v>
      </c>
      <c r="H2392">
        <v>6.4191275187449104E-2</v>
      </c>
      <c r="I2392">
        <v>3.1370021775434298E-2</v>
      </c>
      <c r="J2392">
        <v>2.6284091831053201E-2</v>
      </c>
      <c r="K2392">
        <v>1.2781117615697999E-2</v>
      </c>
      <c r="L2392">
        <v>1204.57166428601</v>
      </c>
      <c r="M2392">
        <v>24.249655733412901</v>
      </c>
      <c r="N2392">
        <v>49.8120497541586</v>
      </c>
      <c r="O2392">
        <v>49.339655350521603</v>
      </c>
      <c r="P2392">
        <v>-0.118873077974621</v>
      </c>
      <c r="Q2392">
        <v>3.2552437887160598E-2</v>
      </c>
      <c r="R2392">
        <v>0.99866481623194203</v>
      </c>
      <c r="S2392" t="s">
        <v>7132</v>
      </c>
      <c r="T2392" t="s">
        <v>9478</v>
      </c>
      <c r="U2392" t="s">
        <v>9478</v>
      </c>
      <c r="V2392" t="s">
        <v>9478</v>
      </c>
      <c r="W2392">
        <v>4</v>
      </c>
      <c r="X2392" t="s">
        <v>11870</v>
      </c>
      <c r="Y2392">
        <v>0.35368224140676457</v>
      </c>
      <c r="Z2392" t="str">
        <f>HYPERLINK("Melting_Curves/meltCurve_sp_Q7Z4Q2_HEAT3_HUMAN_.pdf", "Melting_Curves/meltCurve_sp_Q7Z4Q2_HEAT3_HUMAN_.pdf")</f>
        <v>Melting_Curves/meltCurve_sp_Q7Z4Q2_HEAT3_HUMAN_.pdf</v>
      </c>
      <c r="AA2392" t="s">
        <v>16566</v>
      </c>
      <c r="AB2392" t="s">
        <v>21226</v>
      </c>
    </row>
    <row r="2393" spans="1:28" x14ac:dyDescent="0.25">
      <c r="A2393" t="s">
        <v>2397</v>
      </c>
      <c r="B2393">
        <v>0.99904790336628502</v>
      </c>
      <c r="C2393">
        <v>0.93095795037461904</v>
      </c>
      <c r="D2393">
        <v>0.85284106747626398</v>
      </c>
      <c r="E2393">
        <v>0.72191418326758106</v>
      </c>
      <c r="F2393">
        <v>0.560653030722565</v>
      </c>
      <c r="G2393">
        <v>0.39187638303288602</v>
      </c>
      <c r="H2393">
        <v>0.32124110930563099</v>
      </c>
      <c r="I2393">
        <v>0.224565163811661</v>
      </c>
      <c r="J2393">
        <v>0.22144640949963099</v>
      </c>
      <c r="K2393">
        <v>0.19993893354717501</v>
      </c>
      <c r="L2393">
        <v>601.15217849300097</v>
      </c>
      <c r="M2393">
        <v>11.3858984006909</v>
      </c>
      <c r="N2393">
        <v>54.454553333201403</v>
      </c>
      <c r="O2393">
        <v>51.247980133968497</v>
      </c>
      <c r="P2393">
        <v>-4.7426909031128901E-2</v>
      </c>
      <c r="Q2393">
        <v>0.14637714211106501</v>
      </c>
      <c r="R2393">
        <v>0.99732698576249601</v>
      </c>
      <c r="S2393" t="s">
        <v>7133</v>
      </c>
      <c r="T2393" t="s">
        <v>9478</v>
      </c>
      <c r="U2393" t="s">
        <v>9478</v>
      </c>
      <c r="V2393" t="s">
        <v>9478</v>
      </c>
      <c r="W2393">
        <v>9</v>
      </c>
      <c r="X2393" t="s">
        <v>11871</v>
      </c>
      <c r="Y2393">
        <v>0.53671230981082363</v>
      </c>
      <c r="Z2393" t="str">
        <f>HYPERLINK("Melting_Curves/meltCurve_sp_Q7Z4S6_3_KI21A_HUMAN_.pdf", "Melting_Curves/meltCurve_sp_Q7Z4S6_3_KI21A_HUMAN_.pdf")</f>
        <v>Melting_Curves/meltCurve_sp_Q7Z4S6_3_KI21A_HUMAN_.pdf</v>
      </c>
      <c r="AA2393" t="s">
        <v>16567</v>
      </c>
      <c r="AB2393" t="s">
        <v>21227</v>
      </c>
    </row>
    <row r="2394" spans="1:28" x14ac:dyDescent="0.25">
      <c r="A2394" t="s">
        <v>2398</v>
      </c>
      <c r="B2394">
        <v>0.99904790336628502</v>
      </c>
      <c r="C2394">
        <v>1.0766141066811099</v>
      </c>
      <c r="D2394">
        <v>1.0163766257337701</v>
      </c>
      <c r="E2394">
        <v>1.0334429513033101</v>
      </c>
      <c r="F2394">
        <v>1.1321264155933299</v>
      </c>
      <c r="G2394">
        <v>0.86381612330500801</v>
      </c>
      <c r="H2394">
        <v>0.89933879142260797</v>
      </c>
      <c r="I2394">
        <v>0.87075878745144097</v>
      </c>
      <c r="J2394">
        <v>0.940522741495606</v>
      </c>
      <c r="K2394">
        <v>0.92260061397448201</v>
      </c>
      <c r="L2394">
        <v>3994.8806579852799</v>
      </c>
      <c r="M2394">
        <v>72.116676729165405</v>
      </c>
      <c r="O2394">
        <v>55.352136071488196</v>
      </c>
      <c r="P2394">
        <v>-3.2850574413817203E-2</v>
      </c>
      <c r="Q2394">
        <v>0.89914404366937895</v>
      </c>
      <c r="R2394">
        <v>0.57885975608547302</v>
      </c>
      <c r="S2394" t="s">
        <v>7134</v>
      </c>
      <c r="T2394" t="s">
        <v>9478</v>
      </c>
      <c r="U2394" t="s">
        <v>9478</v>
      </c>
      <c r="V2394" t="s">
        <v>9478</v>
      </c>
      <c r="W2394">
        <v>12</v>
      </c>
      <c r="X2394" t="s">
        <v>11872</v>
      </c>
      <c r="Y2394">
        <v>0.95101701913637648</v>
      </c>
      <c r="Z2394" t="str">
        <f>HYPERLINK("Melting_Curves/meltCurve_sp_Q7Z4V5_HDGR2_HUMAN_.pdf", "Melting_Curves/meltCurve_sp_Q7Z4V5_HDGR2_HUMAN_.pdf")</f>
        <v>Melting_Curves/meltCurve_sp_Q7Z4V5_HDGR2_HUMAN_.pdf</v>
      </c>
      <c r="AA2394" t="s">
        <v>16568</v>
      </c>
      <c r="AB2394" t="s">
        <v>21228</v>
      </c>
    </row>
    <row r="2395" spans="1:28" x14ac:dyDescent="0.25">
      <c r="A2395" t="s">
        <v>2399</v>
      </c>
      <c r="B2395">
        <v>0.99904790336628502</v>
      </c>
      <c r="C2395">
        <v>0.96629202331076502</v>
      </c>
      <c r="D2395">
        <v>1.0121675955440499</v>
      </c>
      <c r="E2395">
        <v>0.90752020971929703</v>
      </c>
      <c r="F2395">
        <v>0.66881004304134195</v>
      </c>
      <c r="G2395">
        <v>0.25317866493552899</v>
      </c>
      <c r="H2395">
        <v>0.123600798530383</v>
      </c>
      <c r="I2395">
        <v>8.0995945061613797E-2</v>
      </c>
      <c r="J2395">
        <v>5.4631585641258001E-2</v>
      </c>
      <c r="K2395">
        <v>3.76407147343404E-2</v>
      </c>
      <c r="L2395">
        <v>1410.4536684458301</v>
      </c>
      <c r="M2395">
        <v>25.9983565561249</v>
      </c>
      <c r="N2395">
        <v>54.4853768050178</v>
      </c>
      <c r="O2395">
        <v>53.933730375214097</v>
      </c>
      <c r="P2395">
        <v>-0.11415347096115699</v>
      </c>
      <c r="Q2395">
        <v>5.2763093268491899E-2</v>
      </c>
      <c r="R2395">
        <v>0.99855133851622602</v>
      </c>
      <c r="S2395" t="s">
        <v>7135</v>
      </c>
      <c r="T2395" t="s">
        <v>9478</v>
      </c>
      <c r="U2395" t="s">
        <v>9478</v>
      </c>
      <c r="V2395" t="s">
        <v>9478</v>
      </c>
      <c r="W2395">
        <v>23</v>
      </c>
      <c r="X2395" t="s">
        <v>11873</v>
      </c>
      <c r="Y2395">
        <v>0.51091940014036641</v>
      </c>
      <c r="Z2395" t="str">
        <f>HYPERLINK("Melting_Curves/meltCurve_sp_Q7Z4W1_DCXR_HUMAN_.pdf", "Melting_Curves/meltCurve_sp_Q7Z4W1_DCXR_HUMAN_.pdf")</f>
        <v>Melting_Curves/meltCurve_sp_Q7Z4W1_DCXR_HUMAN_.pdf</v>
      </c>
      <c r="AA2395" t="s">
        <v>16569</v>
      </c>
      <c r="AB2395" t="s">
        <v>21229</v>
      </c>
    </row>
    <row r="2396" spans="1:28" x14ac:dyDescent="0.25">
      <c r="A2396" t="s">
        <v>2400</v>
      </c>
      <c r="B2396">
        <v>0.99904790336628502</v>
      </c>
      <c r="C2396">
        <v>0.93791070248615105</v>
      </c>
      <c r="D2396">
        <v>0.96748106203979001</v>
      </c>
      <c r="E2396">
        <v>0.82167847070510802</v>
      </c>
      <c r="F2396">
        <v>0.59477180762622395</v>
      </c>
      <c r="G2396">
        <v>0.345710361504519</v>
      </c>
      <c r="H2396">
        <v>0.27617709083296299</v>
      </c>
      <c r="I2396">
        <v>0.249343090379882</v>
      </c>
      <c r="J2396">
        <v>0.24049317557136801</v>
      </c>
      <c r="K2396">
        <v>0.25340427578506602</v>
      </c>
      <c r="L2396">
        <v>1173.4907825284899</v>
      </c>
      <c r="M2396">
        <v>22.299995444385502</v>
      </c>
      <c r="N2396">
        <v>54.204252627396301</v>
      </c>
      <c r="O2396">
        <v>52.205226239583197</v>
      </c>
      <c r="P2396">
        <v>-8.1255436481976001E-2</v>
      </c>
      <c r="Q2396">
        <v>0.239126533632987</v>
      </c>
      <c r="R2396">
        <v>0.99637086206085501</v>
      </c>
      <c r="S2396" t="s">
        <v>7136</v>
      </c>
      <c r="T2396" t="s">
        <v>9478</v>
      </c>
      <c r="U2396" t="s">
        <v>9478</v>
      </c>
      <c r="V2396" t="s">
        <v>9478</v>
      </c>
      <c r="W2396">
        <v>8</v>
      </c>
      <c r="X2396" t="s">
        <v>11874</v>
      </c>
      <c r="Y2396">
        <v>0.56791688602081758</v>
      </c>
      <c r="Z2396" t="str">
        <f>HYPERLINK("Melting_Curves/meltCurve_sp_Q7Z5K2_WAPL_HUMAN_.pdf", "Melting_Curves/meltCurve_sp_Q7Z5K2_WAPL_HUMAN_.pdf")</f>
        <v>Melting_Curves/meltCurve_sp_Q7Z5K2_WAPL_HUMAN_.pdf</v>
      </c>
      <c r="AA2396" t="s">
        <v>16570</v>
      </c>
      <c r="AB2396" t="s">
        <v>21230</v>
      </c>
    </row>
    <row r="2397" spans="1:28" x14ac:dyDescent="0.25">
      <c r="A2397" t="s">
        <v>2401</v>
      </c>
      <c r="B2397">
        <v>0.99904790336628502</v>
      </c>
      <c r="C2397">
        <v>0.92930764115893105</v>
      </c>
      <c r="D2397">
        <v>0.87277156344187401</v>
      </c>
      <c r="E2397">
        <v>0.83914037830136701</v>
      </c>
      <c r="F2397">
        <v>0.79023927811836603</v>
      </c>
      <c r="G2397">
        <v>0.59683489562051695</v>
      </c>
      <c r="H2397">
        <v>0.55736479465674105</v>
      </c>
      <c r="I2397">
        <v>0.46417302141880701</v>
      </c>
      <c r="J2397">
        <v>0.50543146609492695</v>
      </c>
      <c r="K2397">
        <v>0.55010596118419897</v>
      </c>
      <c r="L2397">
        <v>588.98854265176794</v>
      </c>
      <c r="M2397">
        <v>11.088583628561199</v>
      </c>
      <c r="N2397">
        <v>68.113973203257999</v>
      </c>
      <c r="O2397">
        <v>51.476885600390503</v>
      </c>
      <c r="P2397">
        <v>-2.9279129435257598E-2</v>
      </c>
      <c r="Q2397">
        <v>0.45648404472346399</v>
      </c>
      <c r="R2397">
        <v>0.95411684638334004</v>
      </c>
      <c r="S2397" t="s">
        <v>7137</v>
      </c>
      <c r="T2397" t="s">
        <v>9478</v>
      </c>
      <c r="U2397" t="s">
        <v>9478</v>
      </c>
      <c r="V2397" t="s">
        <v>9478</v>
      </c>
      <c r="W2397">
        <v>7</v>
      </c>
      <c r="X2397" t="s">
        <v>11875</v>
      </c>
      <c r="Y2397">
        <v>0.71077549851326893</v>
      </c>
      <c r="Z2397" t="str">
        <f>HYPERLINK("Melting_Curves/meltCurve_sp_Q7Z5L9_2_I2BP2_HUMAN_.pdf", "Melting_Curves/meltCurve_sp_Q7Z5L9_2_I2BP2_HUMAN_.pdf")</f>
        <v>Melting_Curves/meltCurve_sp_Q7Z5L9_2_I2BP2_HUMAN_.pdf</v>
      </c>
      <c r="AA2397" t="s">
        <v>16571</v>
      </c>
      <c r="AB2397" t="s">
        <v>21231</v>
      </c>
    </row>
    <row r="2398" spans="1:28" x14ac:dyDescent="0.25">
      <c r="A2398" t="s">
        <v>2402</v>
      </c>
      <c r="B2398">
        <v>0.99904790336628502</v>
      </c>
      <c r="C2398">
        <v>0.978234105097606</v>
      </c>
      <c r="D2398">
        <v>0.71849829798462705</v>
      </c>
      <c r="E2398">
        <v>0.33730703886839403</v>
      </c>
      <c r="F2398">
        <v>0.187662591960708</v>
      </c>
      <c r="G2398">
        <v>0.10131314605368801</v>
      </c>
      <c r="H2398">
        <v>6.5630756672112101E-2</v>
      </c>
      <c r="I2398">
        <v>4.4265078026754001E-2</v>
      </c>
      <c r="J2398">
        <v>3.3567230584028801E-2</v>
      </c>
      <c r="K2398">
        <v>2.80139050675214E-2</v>
      </c>
      <c r="L2398">
        <v>1003.58015213721</v>
      </c>
      <c r="M2398">
        <v>20.838431110352801</v>
      </c>
      <c r="N2398">
        <v>48.376048430838701</v>
      </c>
      <c r="O2398">
        <v>47.723129146531797</v>
      </c>
      <c r="P2398">
        <v>-0.104317278866062</v>
      </c>
      <c r="Q2398">
        <v>4.4417649893022403E-2</v>
      </c>
      <c r="R2398">
        <v>0.99695709513006103</v>
      </c>
      <c r="S2398" t="s">
        <v>7138</v>
      </c>
      <c r="T2398" t="s">
        <v>9478</v>
      </c>
      <c r="U2398" t="s">
        <v>9478</v>
      </c>
      <c r="V2398" t="s">
        <v>9478</v>
      </c>
      <c r="W2398">
        <v>10</v>
      </c>
      <c r="X2398" t="s">
        <v>11876</v>
      </c>
      <c r="Y2398">
        <v>0.31675222647180851</v>
      </c>
      <c r="Z2398" t="str">
        <f>HYPERLINK("Melting_Curves/meltCurve_sp_Q7Z5P4_DHB13_HUMAN_.pdf", "Melting_Curves/meltCurve_sp_Q7Z5P4_DHB13_HUMAN_.pdf")</f>
        <v>Melting_Curves/meltCurve_sp_Q7Z5P4_DHB13_HUMAN_.pdf</v>
      </c>
      <c r="AA2398" t="s">
        <v>16572</v>
      </c>
      <c r="AB2398" t="s">
        <v>21232</v>
      </c>
    </row>
    <row r="2399" spans="1:28" x14ac:dyDescent="0.25">
      <c r="A2399" t="s">
        <v>2403</v>
      </c>
      <c r="B2399">
        <v>0.99904790336628502</v>
      </c>
      <c r="C2399">
        <v>0.83534925556807704</v>
      </c>
      <c r="D2399">
        <v>0.82071314139987805</v>
      </c>
      <c r="E2399">
        <v>0.78196119616021398</v>
      </c>
      <c r="F2399">
        <v>0.75087980964874801</v>
      </c>
      <c r="G2399">
        <v>0.42073420136265299</v>
      </c>
      <c r="H2399">
        <v>8.7921436648705706E-2</v>
      </c>
      <c r="I2399">
        <v>1.4147459988136501E-2</v>
      </c>
      <c r="J2399">
        <v>1.0671566868729601E-2</v>
      </c>
      <c r="K2399">
        <v>1.7575205884114199E-2</v>
      </c>
      <c r="L2399">
        <v>969.89964167212804</v>
      </c>
      <c r="M2399">
        <v>17.577561130754599</v>
      </c>
      <c r="N2399">
        <v>55.178282710410897</v>
      </c>
      <c r="O2399">
        <v>54.478973494561899</v>
      </c>
      <c r="P2399">
        <v>-8.0666504885061802E-2</v>
      </c>
      <c r="Q2399">
        <v>0</v>
      </c>
      <c r="R2399">
        <v>0.95044230094832205</v>
      </c>
      <c r="S2399" t="s">
        <v>7139</v>
      </c>
      <c r="T2399" t="s">
        <v>9478</v>
      </c>
      <c r="U2399" t="s">
        <v>9478</v>
      </c>
      <c r="V2399" t="s">
        <v>9478</v>
      </c>
      <c r="W2399">
        <v>3</v>
      </c>
      <c r="X2399" t="s">
        <v>11877</v>
      </c>
      <c r="Y2399">
        <v>0.52178096017755282</v>
      </c>
      <c r="Z2399" t="str">
        <f>HYPERLINK("Melting_Curves/meltCurve_sp_Q7Z5Q1_7_CPEB2_HUMAN_.pdf", "Melting_Curves/meltCurve_sp_Q7Z5Q1_7_CPEB2_HUMAN_.pdf")</f>
        <v>Melting_Curves/meltCurve_sp_Q7Z5Q1_7_CPEB2_HUMAN_.pdf</v>
      </c>
      <c r="AA2399" t="s">
        <v>16573</v>
      </c>
      <c r="AB2399" t="s">
        <v>21233</v>
      </c>
    </row>
    <row r="2400" spans="1:28" x14ac:dyDescent="0.25">
      <c r="A2400" t="s">
        <v>2404</v>
      </c>
      <c r="B2400">
        <v>0.99904790336628502</v>
      </c>
      <c r="C2400">
        <v>1.05644802400817</v>
      </c>
      <c r="D2400">
        <v>0.98571689534302198</v>
      </c>
      <c r="E2400">
        <v>0.891233429301584</v>
      </c>
      <c r="F2400">
        <v>0.678521901972026</v>
      </c>
      <c r="G2400">
        <v>0.32065822851473502</v>
      </c>
      <c r="H2400">
        <v>0.239333864330599</v>
      </c>
      <c r="I2400">
        <v>0.17870686315497999</v>
      </c>
      <c r="J2400">
        <v>0.17176925958954001</v>
      </c>
      <c r="K2400">
        <v>0.16753674217899001</v>
      </c>
      <c r="L2400">
        <v>1365.98513497401</v>
      </c>
      <c r="M2400">
        <v>25.357217521780999</v>
      </c>
      <c r="N2400">
        <v>54.772078631196102</v>
      </c>
      <c r="O2400">
        <v>53.538001167136201</v>
      </c>
      <c r="P2400">
        <v>-9.8191725310089906E-2</v>
      </c>
      <c r="Q2400">
        <v>0.17074168657074601</v>
      </c>
      <c r="R2400">
        <v>0.99663212557500502</v>
      </c>
      <c r="S2400" t="s">
        <v>7140</v>
      </c>
      <c r="T2400" t="s">
        <v>9478</v>
      </c>
      <c r="U2400" t="s">
        <v>9478</v>
      </c>
      <c r="V2400" t="s">
        <v>9478</v>
      </c>
      <c r="W2400">
        <v>11</v>
      </c>
      <c r="X2400" t="s">
        <v>11878</v>
      </c>
      <c r="Y2400">
        <v>0.56160014952449155</v>
      </c>
      <c r="Z2400" t="str">
        <f>HYPERLINK("Melting_Curves/meltCurve_sp_Q7Z5R6_AB1IP_HUMAN_.pdf", "Melting_Curves/meltCurve_sp_Q7Z5R6_AB1IP_HUMAN_.pdf")</f>
        <v>Melting_Curves/meltCurve_sp_Q7Z5R6_AB1IP_HUMAN_.pdf</v>
      </c>
      <c r="AA2400" t="s">
        <v>16574</v>
      </c>
      <c r="AB2400" t="s">
        <v>21234</v>
      </c>
    </row>
    <row r="2401" spans="1:28" x14ac:dyDescent="0.25">
      <c r="A2401" t="s">
        <v>2405</v>
      </c>
      <c r="B2401">
        <v>0.99904790336628502</v>
      </c>
      <c r="C2401">
        <v>0.76525794734663</v>
      </c>
      <c r="D2401">
        <v>1.10913162727589</v>
      </c>
      <c r="E2401">
        <v>0.95862081713644898</v>
      </c>
      <c r="F2401">
        <v>1.0135419266905801</v>
      </c>
      <c r="G2401">
        <v>0.71653368190789701</v>
      </c>
      <c r="H2401">
        <v>0.63583585062687298</v>
      </c>
      <c r="I2401">
        <v>0.59169581489783796</v>
      </c>
      <c r="J2401">
        <v>0.58940075571609396</v>
      </c>
      <c r="K2401">
        <v>0.46934266065144797</v>
      </c>
      <c r="L2401">
        <v>2312.62301061481</v>
      </c>
      <c r="M2401">
        <v>40.983114446911003</v>
      </c>
      <c r="O2401">
        <v>56.294825329533303</v>
      </c>
      <c r="P2401">
        <v>-7.9609655706829596E-2</v>
      </c>
      <c r="Q2401">
        <v>0.56259027234810699</v>
      </c>
      <c r="R2401">
        <v>0.80787321574631599</v>
      </c>
      <c r="S2401" t="s">
        <v>7141</v>
      </c>
      <c r="T2401" t="s">
        <v>9478</v>
      </c>
      <c r="U2401" t="s">
        <v>9478</v>
      </c>
      <c r="V2401" t="s">
        <v>9478</v>
      </c>
      <c r="W2401">
        <v>4</v>
      </c>
      <c r="X2401" t="s">
        <v>11879</v>
      </c>
      <c r="Y2401">
        <v>0.80373910081041733</v>
      </c>
      <c r="Z2401" t="str">
        <f>HYPERLINK("Melting_Curves/meltCurve_sp_Q7Z6B0_2_CCD91_HUMAN_.pdf", "Melting_Curves/meltCurve_sp_Q7Z6B0_2_CCD91_HUMAN_.pdf")</f>
        <v>Melting_Curves/meltCurve_sp_Q7Z6B0_2_CCD91_HUMAN_.pdf</v>
      </c>
      <c r="AA2401" t="s">
        <v>16575</v>
      </c>
      <c r="AB2401" t="s">
        <v>21235</v>
      </c>
    </row>
    <row r="2402" spans="1:28" x14ac:dyDescent="0.25">
      <c r="A2402" t="s">
        <v>2406</v>
      </c>
      <c r="B2402">
        <v>0.99904790336628502</v>
      </c>
      <c r="C2402">
        <v>1.0368555539155799</v>
      </c>
      <c r="D2402">
        <v>1.0134169713299499</v>
      </c>
      <c r="E2402">
        <v>0.97866652511212104</v>
      </c>
      <c r="F2402">
        <v>1.08968136357414</v>
      </c>
      <c r="G2402">
        <v>0.81453931225384602</v>
      </c>
      <c r="H2402">
        <v>0.70241510578997901</v>
      </c>
      <c r="I2402">
        <v>0.70381840066027002</v>
      </c>
      <c r="J2402">
        <v>0.70473553904608799</v>
      </c>
      <c r="K2402">
        <v>0.69537563242961598</v>
      </c>
      <c r="L2402">
        <v>14221.735423395001</v>
      </c>
      <c r="M2402">
        <v>250</v>
      </c>
      <c r="O2402">
        <v>56.8833018170087</v>
      </c>
      <c r="P2402">
        <v>-0.32787943481001097</v>
      </c>
      <c r="Q2402">
        <v>0.70158616542867303</v>
      </c>
      <c r="R2402">
        <v>0.95822544560946499</v>
      </c>
      <c r="S2402" t="s">
        <v>7142</v>
      </c>
      <c r="T2402" t="s">
        <v>9478</v>
      </c>
      <c r="U2402" t="s">
        <v>9478</v>
      </c>
      <c r="V2402" t="s">
        <v>9478</v>
      </c>
      <c r="W2402">
        <v>4</v>
      </c>
      <c r="X2402" t="s">
        <v>11880</v>
      </c>
      <c r="Y2402">
        <v>0.86959252528072362</v>
      </c>
      <c r="Z2402" t="str">
        <f>HYPERLINK("Melting_Curves/meltCurve_sp_Q7Z6E9_4_RBBP6_HUMAN_.pdf", "Melting_Curves/meltCurve_sp_Q7Z6E9_4_RBBP6_HUMAN_.pdf")</f>
        <v>Melting_Curves/meltCurve_sp_Q7Z6E9_4_RBBP6_HUMAN_.pdf</v>
      </c>
      <c r="AA2402" t="s">
        <v>16576</v>
      </c>
      <c r="AB2402" t="s">
        <v>21236</v>
      </c>
    </row>
    <row r="2403" spans="1:28" x14ac:dyDescent="0.25">
      <c r="A2403" t="s">
        <v>2407</v>
      </c>
      <c r="B2403">
        <v>0.99904790336628502</v>
      </c>
      <c r="C2403">
        <v>1.0241364620142701</v>
      </c>
      <c r="D2403">
        <v>1.0264659225100601</v>
      </c>
      <c r="E2403">
        <v>0.80995881024193195</v>
      </c>
      <c r="F2403">
        <v>0.66474080881457698</v>
      </c>
      <c r="G2403">
        <v>0.38088524917838001</v>
      </c>
      <c r="H2403">
        <v>0.18835015392354201</v>
      </c>
      <c r="I2403">
        <v>0.12270636808216701</v>
      </c>
      <c r="J2403">
        <v>0.10302911904055299</v>
      </c>
      <c r="K2403">
        <v>9.7318130269280795E-2</v>
      </c>
      <c r="L2403">
        <v>976.12352984002598</v>
      </c>
      <c r="M2403">
        <v>17.8785367178474</v>
      </c>
      <c r="N2403">
        <v>55.067768379192202</v>
      </c>
      <c r="O2403">
        <v>53.928189066730098</v>
      </c>
      <c r="P2403">
        <v>-7.7017457282684901E-2</v>
      </c>
      <c r="Q2403">
        <v>7.0796080999808497E-2</v>
      </c>
      <c r="R2403">
        <v>0.99569966901375495</v>
      </c>
      <c r="S2403" t="s">
        <v>7143</v>
      </c>
      <c r="T2403" t="s">
        <v>9478</v>
      </c>
      <c r="U2403" t="s">
        <v>9478</v>
      </c>
      <c r="V2403" t="s">
        <v>9478</v>
      </c>
      <c r="W2403">
        <v>5</v>
      </c>
      <c r="X2403" t="s">
        <v>11881</v>
      </c>
      <c r="Y2403">
        <v>0.53766400245112078</v>
      </c>
      <c r="Z2403" t="str">
        <f>HYPERLINK("Melting_Curves/meltCurve_sp_Q7Z6K3_PTAR1_HUMAN_.pdf", "Melting_Curves/meltCurve_sp_Q7Z6K3_PTAR1_HUMAN_.pdf")</f>
        <v>Melting_Curves/meltCurve_sp_Q7Z6K3_PTAR1_HUMAN_.pdf</v>
      </c>
      <c r="AA2403" t="s">
        <v>16577</v>
      </c>
      <c r="AB2403" t="s">
        <v>21237</v>
      </c>
    </row>
    <row r="2404" spans="1:28" x14ac:dyDescent="0.25">
      <c r="A2404" t="s">
        <v>2408</v>
      </c>
      <c r="B2404">
        <v>0.99904790336628502</v>
      </c>
      <c r="C2404">
        <v>0.98509803318535905</v>
      </c>
      <c r="D2404">
        <v>0.93799279061181595</v>
      </c>
      <c r="E2404">
        <v>0.89422873742351805</v>
      </c>
      <c r="F2404">
        <v>0.81149110076108599</v>
      </c>
      <c r="G2404">
        <v>0.62498920116772005</v>
      </c>
      <c r="H2404">
        <v>0.38290569418628401</v>
      </c>
      <c r="I2404">
        <v>0.206404524364839</v>
      </c>
      <c r="J2404">
        <v>0.109461720482927</v>
      </c>
      <c r="K2404">
        <v>8.8599282894344003E-2</v>
      </c>
      <c r="L2404">
        <v>845.68052330790294</v>
      </c>
      <c r="M2404">
        <v>14.436320472232801</v>
      </c>
      <c r="N2404">
        <v>58.5800604775756</v>
      </c>
      <c r="O2404">
        <v>57.490413527380298</v>
      </c>
      <c r="P2404">
        <v>-6.2784445454865695E-2</v>
      </c>
      <c r="Q2404">
        <v>0</v>
      </c>
      <c r="R2404">
        <v>0.99569842048452994</v>
      </c>
      <c r="S2404" t="s">
        <v>7144</v>
      </c>
      <c r="T2404" t="s">
        <v>9478</v>
      </c>
      <c r="U2404" t="s">
        <v>9478</v>
      </c>
      <c r="V2404" t="s">
        <v>9478</v>
      </c>
      <c r="W2404">
        <v>13</v>
      </c>
      <c r="X2404" t="s">
        <v>11882</v>
      </c>
      <c r="Y2404">
        <v>0.63102611751716187</v>
      </c>
      <c r="Z2404" t="str">
        <f>HYPERLINK("Melting_Curves/meltCurve_sp_Q7Z6M1_RABEK_HUMAN_.pdf", "Melting_Curves/meltCurve_sp_Q7Z6M1_RABEK_HUMAN_.pdf")</f>
        <v>Melting_Curves/meltCurve_sp_Q7Z6M1_RABEK_HUMAN_.pdf</v>
      </c>
      <c r="AA2404" t="s">
        <v>16578</v>
      </c>
      <c r="AB2404" t="s">
        <v>21238</v>
      </c>
    </row>
    <row r="2405" spans="1:28" x14ac:dyDescent="0.25">
      <c r="A2405" t="s">
        <v>2409</v>
      </c>
      <c r="B2405">
        <v>0.99904790336628502</v>
      </c>
      <c r="C2405">
        <v>1.0136476842554401</v>
      </c>
      <c r="D2405">
        <v>0</v>
      </c>
      <c r="E2405">
        <v>0.37971389527254101</v>
      </c>
      <c r="F2405">
        <v>0.22137735027903099</v>
      </c>
      <c r="G2405">
        <v>0.12432276576935899</v>
      </c>
      <c r="H2405">
        <v>4.1191029833632001E-2</v>
      </c>
      <c r="I2405">
        <v>9.2189021455455405E-2</v>
      </c>
      <c r="J2405">
        <v>4.9285945181049798E-2</v>
      </c>
      <c r="K2405">
        <v>0</v>
      </c>
      <c r="L2405">
        <v>11054.146346249099</v>
      </c>
      <c r="M2405">
        <v>250</v>
      </c>
      <c r="N2405">
        <v>44.262173264548501</v>
      </c>
      <c r="O2405">
        <v>44.213768826355803</v>
      </c>
      <c r="P2405">
        <v>-1.2531382063204499</v>
      </c>
      <c r="Q2405">
        <v>0.11350485329771499</v>
      </c>
      <c r="R2405">
        <v>0.91504528245941497</v>
      </c>
      <c r="S2405" t="s">
        <v>7145</v>
      </c>
      <c r="T2405" t="s">
        <v>9478</v>
      </c>
      <c r="U2405" t="s">
        <v>9478</v>
      </c>
      <c r="V2405" t="s">
        <v>9478</v>
      </c>
      <c r="W2405">
        <v>3</v>
      </c>
      <c r="X2405" t="s">
        <v>11883</v>
      </c>
      <c r="Y2405">
        <v>0.23817306078806419</v>
      </c>
      <c r="Z2405" t="str">
        <f>HYPERLINK("Melting_Curves/meltCurve_sp_Q7Z6M4_MTER2_HUMAN_.pdf", "Melting_Curves/meltCurve_sp_Q7Z6M4_MTER2_HUMAN_.pdf")</f>
        <v>Melting_Curves/meltCurve_sp_Q7Z6M4_MTER2_HUMAN_.pdf</v>
      </c>
      <c r="AA2405" t="s">
        <v>16579</v>
      </c>
      <c r="AB2405" t="s">
        <v>21239</v>
      </c>
    </row>
    <row r="2406" spans="1:28" x14ac:dyDescent="0.25">
      <c r="A2406" t="s">
        <v>2410</v>
      </c>
      <c r="B2406">
        <v>0.99904790336628502</v>
      </c>
      <c r="C2406">
        <v>1.0518773528176799</v>
      </c>
      <c r="D2406">
        <v>1.02082931253513</v>
      </c>
      <c r="E2406">
        <v>0.79954271020809298</v>
      </c>
      <c r="F2406">
        <v>0.52913781993720599</v>
      </c>
      <c r="G2406">
        <v>0.25054117776776003</v>
      </c>
      <c r="H2406">
        <v>0.124722425387759</v>
      </c>
      <c r="I2406">
        <v>0.104516296410851</v>
      </c>
      <c r="J2406">
        <v>0.100284784105479</v>
      </c>
      <c r="K2406">
        <v>9.2020300223650806E-2</v>
      </c>
      <c r="L2406">
        <v>1241.7207791276301</v>
      </c>
      <c r="M2406">
        <v>23.481892460672299</v>
      </c>
      <c r="N2406">
        <v>53.344955510819503</v>
      </c>
      <c r="O2406">
        <v>52.500897902832101</v>
      </c>
      <c r="P2406">
        <v>-0.101469274950161</v>
      </c>
      <c r="Q2406">
        <v>9.2554214284994704E-2</v>
      </c>
      <c r="R2406">
        <v>0.99630651812348903</v>
      </c>
      <c r="S2406" t="s">
        <v>7146</v>
      </c>
      <c r="T2406" t="s">
        <v>9478</v>
      </c>
      <c r="U2406" t="s">
        <v>9478</v>
      </c>
      <c r="V2406" t="s">
        <v>9478</v>
      </c>
      <c r="W2406">
        <v>70</v>
      </c>
      <c r="X2406" t="s">
        <v>11884</v>
      </c>
      <c r="Y2406">
        <v>0.49153087841141091</v>
      </c>
      <c r="Z2406" t="str">
        <f>HYPERLINK("Melting_Curves/meltCurve_sp_Q7Z6Z7_2_HUWE1_HUMAN_.pdf", "Melting_Curves/meltCurve_sp_Q7Z6Z7_2_HUWE1_HUMAN_.pdf")</f>
        <v>Melting_Curves/meltCurve_sp_Q7Z6Z7_2_HUWE1_HUMAN_.pdf</v>
      </c>
      <c r="AA2406" t="s">
        <v>16580</v>
      </c>
      <c r="AB2406" t="s">
        <v>21240</v>
      </c>
    </row>
    <row r="2407" spans="1:28" x14ac:dyDescent="0.25">
      <c r="A2407" t="s">
        <v>2411</v>
      </c>
      <c r="B2407">
        <v>0.99904790336628502</v>
      </c>
      <c r="C2407">
        <v>1.0294014977432799</v>
      </c>
      <c r="D2407">
        <v>0.86199166886024003</v>
      </c>
      <c r="E2407">
        <v>5.5521311709619896</v>
      </c>
      <c r="F2407">
        <v>0.55832821898846696</v>
      </c>
      <c r="G2407">
        <v>0.50333443827686997</v>
      </c>
      <c r="H2407">
        <v>0.25806890433116098</v>
      </c>
      <c r="I2407">
        <v>0.28738094166793898</v>
      </c>
      <c r="J2407">
        <v>0.30546056243092501</v>
      </c>
      <c r="K2407">
        <v>0.160225357143821</v>
      </c>
      <c r="L2407">
        <v>2829.0213396098802</v>
      </c>
      <c r="M2407">
        <v>50.738032237814998</v>
      </c>
      <c r="N2407">
        <v>56.567878531737797</v>
      </c>
      <c r="O2407">
        <v>55.670999781930298</v>
      </c>
      <c r="P2407">
        <v>-0.168993826972485</v>
      </c>
      <c r="Q2407">
        <v>0.2583040894509</v>
      </c>
      <c r="R2407">
        <v>0.10559774088957399</v>
      </c>
      <c r="S2407" t="s">
        <v>7147</v>
      </c>
      <c r="T2407" t="s">
        <v>9478</v>
      </c>
      <c r="U2407" t="s">
        <v>9478</v>
      </c>
      <c r="V2407" t="s">
        <v>9478</v>
      </c>
      <c r="W2407">
        <v>5</v>
      </c>
      <c r="X2407" t="s">
        <v>11885</v>
      </c>
      <c r="Y2407">
        <v>0.64964741304871798</v>
      </c>
      <c r="Z2407" t="str">
        <f>HYPERLINK("Melting_Curves/meltCurve_sp_Q7Z794_K2C1B_HUMAN_.pdf", "Melting_Curves/meltCurve_sp_Q7Z794_K2C1B_HUMAN_.pdf")</f>
        <v>Melting_Curves/meltCurve_sp_Q7Z794_K2C1B_HUMAN_.pdf</v>
      </c>
      <c r="AA2407" t="s">
        <v>16581</v>
      </c>
      <c r="AB2407" t="s">
        <v>21241</v>
      </c>
    </row>
    <row r="2408" spans="1:28" x14ac:dyDescent="0.25">
      <c r="A2408" t="s">
        <v>2412</v>
      </c>
      <c r="B2408">
        <v>0.99904790336628502</v>
      </c>
      <c r="C2408">
        <v>1.1074621165151499</v>
      </c>
      <c r="D2408">
        <v>0.94034640519628898</v>
      </c>
      <c r="E2408">
        <v>0.85828257247315598</v>
      </c>
      <c r="F2408">
        <v>0.704835913023383</v>
      </c>
      <c r="G2408">
        <v>0.33941778701513198</v>
      </c>
      <c r="H2408">
        <v>0.10753027618373</v>
      </c>
      <c r="I2408">
        <v>0.123597221962259</v>
      </c>
      <c r="J2408">
        <v>3.2024559561209198E-2</v>
      </c>
      <c r="K2408">
        <v>0</v>
      </c>
      <c r="L2408">
        <v>1058.43013705472</v>
      </c>
      <c r="M2408">
        <v>19.211708371971</v>
      </c>
      <c r="N2408">
        <v>55.117519764753602</v>
      </c>
      <c r="O2408">
        <v>54.506490855560401</v>
      </c>
      <c r="P2408">
        <v>-8.7744630889815795E-2</v>
      </c>
      <c r="Q2408">
        <v>4.2597994909600598E-3</v>
      </c>
      <c r="R2408">
        <v>0.98912380104657904</v>
      </c>
      <c r="S2408" t="s">
        <v>7148</v>
      </c>
      <c r="T2408" t="s">
        <v>9478</v>
      </c>
      <c r="U2408" t="s">
        <v>9478</v>
      </c>
      <c r="V2408" t="s">
        <v>9478</v>
      </c>
      <c r="W2408">
        <v>1</v>
      </c>
      <c r="X2408" t="s">
        <v>11886</v>
      </c>
      <c r="Y2408">
        <v>0.51923928861659796</v>
      </c>
      <c r="Z2408" t="str">
        <f>HYPERLINK("Melting_Curves/meltCurve_sp_Q7Z7E8_2_UB2Q1_HUMAN_.pdf", "Melting_Curves/meltCurve_sp_Q7Z7E8_2_UB2Q1_HUMAN_.pdf")</f>
        <v>Melting_Curves/meltCurve_sp_Q7Z7E8_2_UB2Q1_HUMAN_.pdf</v>
      </c>
      <c r="AA2408" t="s">
        <v>16582</v>
      </c>
      <c r="AB2408" t="s">
        <v>21242</v>
      </c>
    </row>
    <row r="2409" spans="1:28" x14ac:dyDescent="0.25">
      <c r="A2409" t="s">
        <v>2413</v>
      </c>
      <c r="B2409">
        <v>0.99904790336628502</v>
      </c>
      <c r="C2409">
        <v>1.12017296079742</v>
      </c>
      <c r="D2409">
        <v>1.05047488573074</v>
      </c>
      <c r="E2409">
        <v>1.1010834803137799</v>
      </c>
      <c r="F2409">
        <v>1.1202778572250001</v>
      </c>
      <c r="G2409">
        <v>0.785249064107436</v>
      </c>
      <c r="H2409">
        <v>0.76947315798716398</v>
      </c>
      <c r="I2409">
        <v>0.69458234266096797</v>
      </c>
      <c r="J2409">
        <v>0.78002175431870002</v>
      </c>
      <c r="K2409">
        <v>0.87767334597958302</v>
      </c>
      <c r="L2409">
        <v>14033.520402903199</v>
      </c>
      <c r="M2409">
        <v>250</v>
      </c>
      <c r="O2409">
        <v>56.130487304840599</v>
      </c>
      <c r="P2409">
        <v>-0.24447820268258699</v>
      </c>
      <c r="Q2409">
        <v>0.78043710161458302</v>
      </c>
      <c r="R2409">
        <v>0.76390737881559401</v>
      </c>
      <c r="S2409" t="s">
        <v>7149</v>
      </c>
      <c r="T2409" t="s">
        <v>9478</v>
      </c>
      <c r="U2409" t="s">
        <v>9478</v>
      </c>
      <c r="V2409" t="s">
        <v>9478</v>
      </c>
      <c r="W2409">
        <v>2</v>
      </c>
      <c r="X2409" t="s">
        <v>11887</v>
      </c>
      <c r="Y2409">
        <v>0.89854025577822161</v>
      </c>
      <c r="Z2409" t="str">
        <f>HYPERLINK("Melting_Curves/meltCurve_sp_Q7Z7K0_COXM1_HUMAN_.pdf", "Melting_Curves/meltCurve_sp_Q7Z7K0_COXM1_HUMAN_.pdf")</f>
        <v>Melting_Curves/meltCurve_sp_Q7Z7K0_COXM1_HUMAN_.pdf</v>
      </c>
      <c r="AA2409" t="s">
        <v>16583</v>
      </c>
      <c r="AB2409" t="s">
        <v>21243</v>
      </c>
    </row>
    <row r="2410" spans="1:28" x14ac:dyDescent="0.25">
      <c r="A2410" t="s">
        <v>2414</v>
      </c>
      <c r="B2410">
        <v>0.99904790336628502</v>
      </c>
      <c r="C2410">
        <v>0.79614737508191902</v>
      </c>
      <c r="D2410">
        <v>0.80406886233318497</v>
      </c>
      <c r="E2410">
        <v>0.68920589027661605</v>
      </c>
      <c r="F2410">
        <v>0.59739918844470297</v>
      </c>
      <c r="G2410">
        <v>0.50025304559286499</v>
      </c>
      <c r="H2410">
        <v>0.29796642189786399</v>
      </c>
      <c r="I2410">
        <v>0.27635447009370701</v>
      </c>
      <c r="J2410">
        <v>0.33839540320429601</v>
      </c>
      <c r="K2410">
        <v>0.41649267023909797</v>
      </c>
      <c r="L2410">
        <v>477.94984805283701</v>
      </c>
      <c r="M2410">
        <v>9.4065857898304994</v>
      </c>
      <c r="N2410">
        <v>55.268621283868697</v>
      </c>
      <c r="O2410">
        <v>48.672516984330201</v>
      </c>
      <c r="P2410">
        <v>-3.54907338324294E-2</v>
      </c>
      <c r="Q2410">
        <v>0.26589173543114603</v>
      </c>
      <c r="R2410">
        <v>0.925896762954033</v>
      </c>
      <c r="S2410" t="s">
        <v>7150</v>
      </c>
      <c r="T2410" t="s">
        <v>9478</v>
      </c>
      <c r="U2410" t="s">
        <v>9478</v>
      </c>
      <c r="V2410" t="s">
        <v>9478</v>
      </c>
      <c r="W2410">
        <v>6</v>
      </c>
      <c r="X2410" t="s">
        <v>11888</v>
      </c>
      <c r="Y2410">
        <v>0.56387641933329635</v>
      </c>
      <c r="Z2410" t="str">
        <f>HYPERLINK("Melting_Curves/meltCurve_sp_Q7Z7K6_3_CENPV_HUMAN_.pdf", "Melting_Curves/meltCurve_sp_Q7Z7K6_3_CENPV_HUMAN_.pdf")</f>
        <v>Melting_Curves/meltCurve_sp_Q7Z7K6_3_CENPV_HUMAN_.pdf</v>
      </c>
      <c r="AA2410" t="s">
        <v>16584</v>
      </c>
      <c r="AB2410" t="s">
        <v>21244</v>
      </c>
    </row>
    <row r="2411" spans="1:28" x14ac:dyDescent="0.25">
      <c r="A2411" t="s">
        <v>2415</v>
      </c>
      <c r="B2411">
        <v>0.99904790336628502</v>
      </c>
      <c r="C2411">
        <v>0.85692066556580804</v>
      </c>
      <c r="D2411">
        <v>0.84040384248809297</v>
      </c>
      <c r="E2411">
        <v>0.85600676386016805</v>
      </c>
      <c r="F2411">
        <v>0.68636771204785496</v>
      </c>
      <c r="G2411">
        <v>0.41379875058204402</v>
      </c>
      <c r="H2411">
        <v>0.257967322732917</v>
      </c>
      <c r="I2411">
        <v>0.18855294501843201</v>
      </c>
      <c r="J2411">
        <v>0.104045876644365</v>
      </c>
      <c r="K2411">
        <v>2.80680398621913E-2</v>
      </c>
      <c r="L2411">
        <v>679.52631697686297</v>
      </c>
      <c r="M2411">
        <v>12.1886721713947</v>
      </c>
      <c r="N2411">
        <v>55.750654204990902</v>
      </c>
      <c r="O2411">
        <v>54.313642683944003</v>
      </c>
      <c r="P2411">
        <v>-5.6115907888766803E-2</v>
      </c>
      <c r="Q2411">
        <v>0</v>
      </c>
      <c r="R2411">
        <v>0.975586727053537</v>
      </c>
      <c r="S2411" t="s">
        <v>7151</v>
      </c>
      <c r="T2411" t="s">
        <v>9478</v>
      </c>
      <c r="U2411" t="s">
        <v>9478</v>
      </c>
      <c r="V2411" t="s">
        <v>9478</v>
      </c>
      <c r="W2411">
        <v>3</v>
      </c>
      <c r="X2411" t="s">
        <v>11889</v>
      </c>
      <c r="Y2411">
        <v>0.54605204730597434</v>
      </c>
      <c r="Z2411" t="str">
        <f>HYPERLINK("Melting_Curves/meltCurve_sp_Q7Z7L7_ZER1_HUMAN_.pdf", "Melting_Curves/meltCurve_sp_Q7Z7L7_ZER1_HUMAN_.pdf")</f>
        <v>Melting_Curves/meltCurve_sp_Q7Z7L7_ZER1_HUMAN_.pdf</v>
      </c>
      <c r="AA2411" t="s">
        <v>16585</v>
      </c>
      <c r="AB2411" t="s">
        <v>21245</v>
      </c>
    </row>
    <row r="2412" spans="1:28" x14ac:dyDescent="0.25">
      <c r="A2412" t="s">
        <v>2416</v>
      </c>
      <c r="B2412">
        <v>0.99904790336628502</v>
      </c>
      <c r="C2412">
        <v>0.84004553529271797</v>
      </c>
      <c r="D2412">
        <v>0.76784557505831397</v>
      </c>
      <c r="E2412">
        <v>0.889380031996862</v>
      </c>
      <c r="F2412">
        <v>1.07907661727098</v>
      </c>
      <c r="G2412">
        <v>0.88486181035063205</v>
      </c>
      <c r="H2412">
        <v>0.73394129647474404</v>
      </c>
      <c r="I2412">
        <v>0.62984141632424495</v>
      </c>
      <c r="J2412">
        <v>0.49923411867511402</v>
      </c>
      <c r="K2412">
        <v>0.58338102308858297</v>
      </c>
      <c r="L2412">
        <v>454.32333513339699</v>
      </c>
      <c r="M2412">
        <v>6.4139098917017803</v>
      </c>
      <c r="O2412">
        <v>64.888890374140104</v>
      </c>
      <c r="P2412">
        <v>-2.4774104832482099E-2</v>
      </c>
      <c r="Q2412">
        <v>0</v>
      </c>
      <c r="R2412">
        <v>0.625050948776668</v>
      </c>
      <c r="S2412" t="s">
        <v>7152</v>
      </c>
      <c r="T2412" t="s">
        <v>9478</v>
      </c>
      <c r="U2412" t="s">
        <v>9478</v>
      </c>
      <c r="V2412" t="s">
        <v>9478</v>
      </c>
      <c r="W2412">
        <v>33</v>
      </c>
      <c r="X2412" t="s">
        <v>11890</v>
      </c>
      <c r="Y2412">
        <v>0.82341234502080296</v>
      </c>
      <c r="Z2412" t="str">
        <f>HYPERLINK("Melting_Curves/meltCurve_sp_Q86SQ0_3_PHLB2_HUMAN_.pdf", "Melting_Curves/meltCurve_sp_Q86SQ0_3_PHLB2_HUMAN_.pdf")</f>
        <v>Melting_Curves/meltCurve_sp_Q86SQ0_3_PHLB2_HUMAN_.pdf</v>
      </c>
      <c r="AA2412" t="s">
        <v>16586</v>
      </c>
      <c r="AB2412" t="s">
        <v>21246</v>
      </c>
    </row>
    <row r="2413" spans="1:28" x14ac:dyDescent="0.25">
      <c r="A2413" t="s">
        <v>2417</v>
      </c>
      <c r="B2413">
        <v>0.99904790336628502</v>
      </c>
      <c r="C2413">
        <v>1.0476965755929399</v>
      </c>
      <c r="D2413">
        <v>1.0410716680950001</v>
      </c>
      <c r="E2413">
        <v>0.98175261550074999</v>
      </c>
      <c r="F2413">
        <v>0.95725517904796498</v>
      </c>
      <c r="G2413">
        <v>0.71052146539872796</v>
      </c>
      <c r="H2413">
        <v>0.66082698641941895</v>
      </c>
      <c r="I2413">
        <v>0.630263881351528</v>
      </c>
      <c r="J2413">
        <v>0.62826980278494704</v>
      </c>
      <c r="K2413">
        <v>0.58520818049638401</v>
      </c>
      <c r="L2413">
        <v>2202.4340206796901</v>
      </c>
      <c r="M2413">
        <v>39.698028893847201</v>
      </c>
      <c r="O2413">
        <v>55.339451923463798</v>
      </c>
      <c r="P2413">
        <v>-6.7884296897278595E-2</v>
      </c>
      <c r="Q2413">
        <v>0.62147519645925398</v>
      </c>
      <c r="R2413">
        <v>0.980872602028803</v>
      </c>
      <c r="S2413" t="s">
        <v>7153</v>
      </c>
      <c r="T2413" t="s">
        <v>9478</v>
      </c>
      <c r="U2413" t="s">
        <v>9478</v>
      </c>
      <c r="V2413" t="s">
        <v>9478</v>
      </c>
      <c r="W2413">
        <v>35</v>
      </c>
      <c r="X2413" t="s">
        <v>11891</v>
      </c>
      <c r="Y2413">
        <v>0.81825641759044665</v>
      </c>
      <c r="Z2413" t="str">
        <f>HYPERLINK("Melting_Curves/meltCurve_sp_Q86SQ0_PHLB2_HUMAN_.pdf", "Melting_Curves/meltCurve_sp_Q86SQ0_PHLB2_HUMAN_.pdf")</f>
        <v>Melting_Curves/meltCurve_sp_Q86SQ0_PHLB2_HUMAN_.pdf</v>
      </c>
      <c r="AA2413" t="s">
        <v>16586</v>
      </c>
      <c r="AB2413" t="s">
        <v>21247</v>
      </c>
    </row>
    <row r="2414" spans="1:28" x14ac:dyDescent="0.25">
      <c r="A2414" t="s">
        <v>2418</v>
      </c>
      <c r="B2414">
        <v>0.99904790336628502</v>
      </c>
      <c r="C2414">
        <v>1.1399083618783199</v>
      </c>
      <c r="D2414">
        <v>1.0911794421577801</v>
      </c>
      <c r="E2414">
        <v>0.96328990167499595</v>
      </c>
      <c r="F2414">
        <v>0.96520351044120101</v>
      </c>
      <c r="G2414">
        <v>0.67791646215012502</v>
      </c>
      <c r="H2414">
        <v>0.57132858027814404</v>
      </c>
      <c r="I2414">
        <v>0.52272383268336398</v>
      </c>
      <c r="J2414">
        <v>0.61000954938853402</v>
      </c>
      <c r="K2414">
        <v>0.55552825055778199</v>
      </c>
      <c r="L2414">
        <v>2567.84014966531</v>
      </c>
      <c r="M2414">
        <v>46.079644836982098</v>
      </c>
      <c r="O2414">
        <v>55.621477071249799</v>
      </c>
      <c r="P2414">
        <v>-9.0584863004370797E-2</v>
      </c>
      <c r="Q2414">
        <v>0.56263048779862401</v>
      </c>
      <c r="R2414">
        <v>0.93797826128552697</v>
      </c>
      <c r="S2414" t="s">
        <v>7154</v>
      </c>
      <c r="T2414" t="s">
        <v>9478</v>
      </c>
      <c r="U2414" t="s">
        <v>9478</v>
      </c>
      <c r="V2414" t="s">
        <v>9478</v>
      </c>
      <c r="W2414">
        <v>8</v>
      </c>
      <c r="X2414" t="s">
        <v>11892</v>
      </c>
      <c r="Y2414">
        <v>0.79316607822778318</v>
      </c>
      <c r="Z2414" t="str">
        <f>HYPERLINK("Melting_Curves/meltCurve_sp_Q86SX6_GLRX5_HUMAN_.pdf", "Melting_Curves/meltCurve_sp_Q86SX6_GLRX5_HUMAN_.pdf")</f>
        <v>Melting_Curves/meltCurve_sp_Q86SX6_GLRX5_HUMAN_.pdf</v>
      </c>
      <c r="AA2414" t="s">
        <v>16587</v>
      </c>
      <c r="AB2414" t="s">
        <v>21248</v>
      </c>
    </row>
    <row r="2415" spans="1:28" x14ac:dyDescent="0.25">
      <c r="A2415" t="s">
        <v>2419</v>
      </c>
      <c r="B2415">
        <v>0.99904790336628502</v>
      </c>
      <c r="C2415">
        <v>1.1439148644613299</v>
      </c>
      <c r="D2415">
        <v>1.23138571234422</v>
      </c>
      <c r="E2415">
        <v>0.93231626007287105</v>
      </c>
      <c r="F2415">
        <v>0.84553562997498799</v>
      </c>
      <c r="G2415">
        <v>0.53328877536201902</v>
      </c>
      <c r="H2415">
        <v>0.24766830271483301</v>
      </c>
      <c r="I2415">
        <v>5.4783767006076997E-2</v>
      </c>
      <c r="J2415">
        <v>3.0423290977216799E-2</v>
      </c>
      <c r="K2415">
        <v>3.00253878366138E-2</v>
      </c>
      <c r="L2415">
        <v>1259.0002929252601</v>
      </c>
      <c r="M2415">
        <v>21.944188553980698</v>
      </c>
      <c r="N2415">
        <v>57.372840067069497</v>
      </c>
      <c r="O2415">
        <v>56.902740290709303</v>
      </c>
      <c r="P2415">
        <v>-9.6413092126214697E-2</v>
      </c>
      <c r="Q2415">
        <v>0</v>
      </c>
      <c r="R2415">
        <v>0.96166627408386496</v>
      </c>
      <c r="S2415" t="s">
        <v>7155</v>
      </c>
      <c r="T2415" t="s">
        <v>9478</v>
      </c>
      <c r="U2415" t="s">
        <v>9478</v>
      </c>
      <c r="V2415" t="s">
        <v>9478</v>
      </c>
      <c r="W2415">
        <v>5</v>
      </c>
      <c r="X2415" t="s">
        <v>11893</v>
      </c>
      <c r="Y2415">
        <v>0.58977743747813782</v>
      </c>
      <c r="Z2415" t="str">
        <f>HYPERLINK("Melting_Curves/meltCurve_sp_Q86SZ2_TPC6B_HUMAN_.pdf", "Melting_Curves/meltCurve_sp_Q86SZ2_TPC6B_HUMAN_.pdf")</f>
        <v>Melting_Curves/meltCurve_sp_Q86SZ2_TPC6B_HUMAN_.pdf</v>
      </c>
      <c r="AA2415" t="s">
        <v>16588</v>
      </c>
      <c r="AB2415" t="s">
        <v>21249</v>
      </c>
    </row>
    <row r="2416" spans="1:28" x14ac:dyDescent="0.25">
      <c r="A2416" t="s">
        <v>2420</v>
      </c>
      <c r="B2416">
        <v>0.99904790336628502</v>
      </c>
      <c r="C2416">
        <v>0.96298285693444297</v>
      </c>
      <c r="D2416">
        <v>0.85561836960710003</v>
      </c>
      <c r="E2416">
        <v>0.65597689874019205</v>
      </c>
      <c r="F2416">
        <v>0.49852892473587801</v>
      </c>
      <c r="G2416">
        <v>0.388505220199933</v>
      </c>
      <c r="H2416">
        <v>0.28327006823473599</v>
      </c>
      <c r="I2416">
        <v>0.23726260875184099</v>
      </c>
      <c r="J2416">
        <v>0.28372301768681502</v>
      </c>
      <c r="K2416">
        <v>0.23467823004476601</v>
      </c>
      <c r="L2416">
        <v>733.57516697961296</v>
      </c>
      <c r="M2416">
        <v>14.430280074473799</v>
      </c>
      <c r="N2416">
        <v>53.091732860587499</v>
      </c>
      <c r="O2416">
        <v>49.889459336711198</v>
      </c>
      <c r="P2416">
        <v>-5.5745518435638103E-2</v>
      </c>
      <c r="Q2416">
        <v>0.229180074528919</v>
      </c>
      <c r="R2416">
        <v>0.996257879437348</v>
      </c>
      <c r="S2416" t="s">
        <v>7156</v>
      </c>
      <c r="T2416" t="s">
        <v>9478</v>
      </c>
      <c r="U2416" t="s">
        <v>9478</v>
      </c>
      <c r="V2416" t="s">
        <v>9478</v>
      </c>
      <c r="W2416">
        <v>6</v>
      </c>
      <c r="X2416" t="s">
        <v>11894</v>
      </c>
      <c r="Y2416">
        <v>0.52668307111620605</v>
      </c>
      <c r="Z2416" t="str">
        <f>HYPERLINK("Melting_Curves/meltCurve_sp_Q86TB9_4_PATL1_HUMAN_.pdf", "Melting_Curves/meltCurve_sp_Q86TB9_4_PATL1_HUMAN_.pdf")</f>
        <v>Melting_Curves/meltCurve_sp_Q86TB9_4_PATL1_HUMAN_.pdf</v>
      </c>
      <c r="AA2416" t="s">
        <v>16589</v>
      </c>
      <c r="AB2416" t="s">
        <v>21250</v>
      </c>
    </row>
    <row r="2417" spans="1:28" x14ac:dyDescent="0.25">
      <c r="A2417" t="s">
        <v>2421</v>
      </c>
      <c r="B2417">
        <v>0.99904790336628502</v>
      </c>
      <c r="C2417">
        <v>0.80303155014099403</v>
      </c>
      <c r="D2417">
        <v>0.86358551040262899</v>
      </c>
      <c r="E2417">
        <v>0.87585520244127801</v>
      </c>
      <c r="F2417">
        <v>0.66727372647474004</v>
      </c>
      <c r="G2417">
        <v>0.37610864229308599</v>
      </c>
      <c r="H2417">
        <v>0.136497805499807</v>
      </c>
      <c r="I2417">
        <v>6.9491341221205094E-2</v>
      </c>
      <c r="J2417">
        <v>5.6570437550523198E-2</v>
      </c>
      <c r="K2417">
        <v>4.4243770458336003E-2</v>
      </c>
      <c r="L2417">
        <v>888.97157976924302</v>
      </c>
      <c r="M2417">
        <v>16.152098497666898</v>
      </c>
      <c r="N2417">
        <v>55.037522852744203</v>
      </c>
      <c r="O2417">
        <v>54.214633752486797</v>
      </c>
      <c r="P2417">
        <v>-7.4487817363197803E-2</v>
      </c>
      <c r="Q2417">
        <v>0</v>
      </c>
      <c r="R2417">
        <v>0.96506554906905195</v>
      </c>
      <c r="S2417" t="s">
        <v>7157</v>
      </c>
      <c r="T2417" t="s">
        <v>9478</v>
      </c>
      <c r="U2417" t="s">
        <v>9478</v>
      </c>
      <c r="V2417" t="s">
        <v>9478</v>
      </c>
      <c r="W2417">
        <v>18</v>
      </c>
      <c r="X2417" t="s">
        <v>11895</v>
      </c>
      <c r="Y2417">
        <v>0.51895726329333103</v>
      </c>
      <c r="Z2417" t="str">
        <f>HYPERLINK("Melting_Curves/meltCurve_sp_Q86TI2_DPP9_HUMAN_.pdf", "Melting_Curves/meltCurve_sp_Q86TI2_DPP9_HUMAN_.pdf")</f>
        <v>Melting_Curves/meltCurve_sp_Q86TI2_DPP9_HUMAN_.pdf</v>
      </c>
      <c r="AA2417" t="s">
        <v>16590</v>
      </c>
      <c r="AB2417" t="s">
        <v>21251</v>
      </c>
    </row>
    <row r="2418" spans="1:28" x14ac:dyDescent="0.25">
      <c r="A2418" t="s">
        <v>2422</v>
      </c>
      <c r="B2418">
        <v>0.99904790336628502</v>
      </c>
      <c r="C2418">
        <v>0.96633352353866997</v>
      </c>
      <c r="D2418">
        <v>0.93444681434522003</v>
      </c>
      <c r="E2418">
        <v>0.65731252579649602</v>
      </c>
      <c r="F2418">
        <v>0.43304006414889501</v>
      </c>
      <c r="G2418">
        <v>0.19063907530379001</v>
      </c>
      <c r="H2418">
        <v>8.9401602541598901E-2</v>
      </c>
      <c r="I2418">
        <v>7.3618124494667203E-2</v>
      </c>
      <c r="J2418">
        <v>6.5591615534389594E-2</v>
      </c>
      <c r="K2418">
        <v>4.4281603080478002E-2</v>
      </c>
      <c r="L2418">
        <v>957.19586246101699</v>
      </c>
      <c r="M2418">
        <v>18.484067744008801</v>
      </c>
      <c r="N2418">
        <v>52.036134240395903</v>
      </c>
      <c r="O2418">
        <v>51.190211525214998</v>
      </c>
      <c r="P2418">
        <v>-8.6422031628805698E-2</v>
      </c>
      <c r="Q2418">
        <v>4.2685720405512002E-2</v>
      </c>
      <c r="R2418">
        <v>0.99920898142634895</v>
      </c>
      <c r="S2418" t="s">
        <v>7158</v>
      </c>
      <c r="T2418" t="s">
        <v>9478</v>
      </c>
      <c r="U2418" t="s">
        <v>9478</v>
      </c>
      <c r="V2418" t="s">
        <v>9478</v>
      </c>
      <c r="W2418">
        <v>7</v>
      </c>
      <c r="X2418" t="s">
        <v>11896</v>
      </c>
      <c r="Y2418">
        <v>0.43400423408131622</v>
      </c>
      <c r="Z2418" t="str">
        <f>HYPERLINK("Melting_Curves/meltCurve_sp_Q86TP1_PRUNE_HUMAN_.pdf", "Melting_Curves/meltCurve_sp_Q86TP1_PRUNE_HUMAN_.pdf")</f>
        <v>Melting_Curves/meltCurve_sp_Q86TP1_PRUNE_HUMAN_.pdf</v>
      </c>
      <c r="AA2418" t="s">
        <v>16591</v>
      </c>
      <c r="AB2418" t="s">
        <v>21252</v>
      </c>
    </row>
    <row r="2419" spans="1:28" x14ac:dyDescent="0.25">
      <c r="A2419" t="s">
        <v>2423</v>
      </c>
      <c r="B2419">
        <v>0.99904790336628502</v>
      </c>
      <c r="C2419">
        <v>0.83003287020757599</v>
      </c>
      <c r="D2419">
        <v>0.91855543526679795</v>
      </c>
      <c r="E2419">
        <v>0.57924644977638795</v>
      </c>
      <c r="F2419">
        <v>0.229172397432301</v>
      </c>
      <c r="G2419">
        <v>0.12827871308757199</v>
      </c>
      <c r="H2419">
        <v>9.2197987410694002E-2</v>
      </c>
      <c r="I2419">
        <v>6.1684325616149401E-2</v>
      </c>
      <c r="J2419">
        <v>6.2754363271635596E-2</v>
      </c>
      <c r="K2419">
        <v>5.2532441317767797E-2</v>
      </c>
      <c r="L2419">
        <v>1155.74343773495</v>
      </c>
      <c r="M2419">
        <v>23.0297131643642</v>
      </c>
      <c r="N2419">
        <v>50.458686075226403</v>
      </c>
      <c r="O2419">
        <v>49.811079666862298</v>
      </c>
      <c r="P2419">
        <v>-0.10879823047277699</v>
      </c>
      <c r="Q2419">
        <v>5.8736605755496503E-2</v>
      </c>
      <c r="R2419">
        <v>0.98075475799221901</v>
      </c>
      <c r="S2419" t="s">
        <v>7159</v>
      </c>
      <c r="T2419" t="s">
        <v>9478</v>
      </c>
      <c r="U2419" t="s">
        <v>9478</v>
      </c>
      <c r="V2419" t="s">
        <v>9478</v>
      </c>
      <c r="W2419">
        <v>12</v>
      </c>
      <c r="X2419" t="s">
        <v>11897</v>
      </c>
      <c r="Y2419">
        <v>0.38822002704217939</v>
      </c>
      <c r="Z2419" t="str">
        <f>HYPERLINK("Melting_Curves/meltCurve_sp_Q86TU7_SETD3_HUMAN_.pdf", "Melting_Curves/meltCurve_sp_Q86TU7_SETD3_HUMAN_.pdf")</f>
        <v>Melting_Curves/meltCurve_sp_Q86TU7_SETD3_HUMAN_.pdf</v>
      </c>
      <c r="AA2419" t="s">
        <v>16592</v>
      </c>
      <c r="AB2419" t="s">
        <v>21253</v>
      </c>
    </row>
    <row r="2420" spans="1:28" x14ac:dyDescent="0.25">
      <c r="A2420" t="s">
        <v>2424</v>
      </c>
      <c r="B2420">
        <v>0.99904790336628502</v>
      </c>
      <c r="C2420">
        <v>1.0435898616961501</v>
      </c>
      <c r="D2420">
        <v>0.97734658607124303</v>
      </c>
      <c r="E2420">
        <v>0.85838123567356095</v>
      </c>
      <c r="F2420">
        <v>0.48830849181008801</v>
      </c>
      <c r="G2420">
        <v>0.13756158043073699</v>
      </c>
      <c r="H2420">
        <v>7.5464028286471793E-2</v>
      </c>
      <c r="I2420">
        <v>4.8625860766639099E-2</v>
      </c>
      <c r="J2420">
        <v>3.8254023446085798E-2</v>
      </c>
      <c r="K2420">
        <v>3.3155491184851303E-2</v>
      </c>
      <c r="L2420">
        <v>1600.0426980090699</v>
      </c>
      <c r="M2420">
        <v>30.3075100164363</v>
      </c>
      <c r="N2420">
        <v>52.951321672915498</v>
      </c>
      <c r="O2420">
        <v>52.565358278271397</v>
      </c>
      <c r="P2420">
        <v>-0.13792190713278299</v>
      </c>
      <c r="Q2420">
        <v>4.3158727089430901E-2</v>
      </c>
      <c r="R2420">
        <v>0.998574855009569</v>
      </c>
      <c r="S2420" t="s">
        <v>7160</v>
      </c>
      <c r="T2420" t="s">
        <v>9478</v>
      </c>
      <c r="U2420" t="s">
        <v>9478</v>
      </c>
      <c r="V2420" t="s">
        <v>9478</v>
      </c>
      <c r="W2420">
        <v>25</v>
      </c>
      <c r="X2420" t="s">
        <v>11898</v>
      </c>
      <c r="Y2420">
        <v>0.45727119469140109</v>
      </c>
      <c r="Z2420" t="str">
        <f>HYPERLINK("Melting_Curves/meltCurve_sp_Q86TX2_ACOT1_HUMAN_.pdf", "Melting_Curves/meltCurve_sp_Q86TX2_ACOT1_HUMAN_.pdf")</f>
        <v>Melting_Curves/meltCurve_sp_Q86TX2_ACOT1_HUMAN_.pdf</v>
      </c>
      <c r="AA2420" t="s">
        <v>16593</v>
      </c>
      <c r="AB2420" t="s">
        <v>21254</v>
      </c>
    </row>
    <row r="2421" spans="1:28" x14ac:dyDescent="0.25">
      <c r="A2421" t="s">
        <v>2425</v>
      </c>
      <c r="B2421">
        <v>0.99904790336628502</v>
      </c>
      <c r="C2421">
        <v>0.92011960769452195</v>
      </c>
      <c r="D2421">
        <v>0.85956442427436297</v>
      </c>
      <c r="E2421">
        <v>0.81250621344570595</v>
      </c>
      <c r="F2421">
        <v>0.70899390484437796</v>
      </c>
      <c r="G2421">
        <v>0.55212098094413398</v>
      </c>
      <c r="H2421">
        <v>0.39899189153287201</v>
      </c>
      <c r="I2421">
        <v>0.41408937117716099</v>
      </c>
      <c r="J2421">
        <v>0.36867514589322098</v>
      </c>
      <c r="K2421">
        <v>0.30103223878122598</v>
      </c>
      <c r="L2421">
        <v>494.42858829580001</v>
      </c>
      <c r="M2421">
        <v>8.8911621041693891</v>
      </c>
      <c r="N2421">
        <v>59.020306138883797</v>
      </c>
      <c r="O2421">
        <v>53.011638931895597</v>
      </c>
      <c r="P2421">
        <v>-3.3531062462401402E-2</v>
      </c>
      <c r="Q2421">
        <v>0.200920864109493</v>
      </c>
      <c r="R2421">
        <v>0.98737924976657998</v>
      </c>
      <c r="S2421" t="s">
        <v>7161</v>
      </c>
      <c r="T2421" t="s">
        <v>9478</v>
      </c>
      <c r="U2421" t="s">
        <v>9478</v>
      </c>
      <c r="V2421" t="s">
        <v>9478</v>
      </c>
      <c r="W2421">
        <v>9</v>
      </c>
      <c r="X2421" t="s">
        <v>11899</v>
      </c>
      <c r="Y2421">
        <v>0.63518226534852706</v>
      </c>
      <c r="Z2421" t="str">
        <f>HYPERLINK("Melting_Curves/meltCurve_sp_Q86U17_SPA11_HUMAN_.pdf", "Melting_Curves/meltCurve_sp_Q86U17_SPA11_HUMAN_.pdf")</f>
        <v>Melting_Curves/meltCurve_sp_Q86U17_SPA11_HUMAN_.pdf</v>
      </c>
      <c r="AA2421" t="s">
        <v>16594</v>
      </c>
      <c r="AB2421" t="s">
        <v>21255</v>
      </c>
    </row>
    <row r="2422" spans="1:28" x14ac:dyDescent="0.25">
      <c r="A2422" t="s">
        <v>2426</v>
      </c>
      <c r="B2422">
        <v>0.99904790336628502</v>
      </c>
      <c r="C2422">
        <v>0.94724598082144795</v>
      </c>
      <c r="D2422">
        <v>0.93157486949670498</v>
      </c>
      <c r="E2422">
        <v>0.92736603476762702</v>
      </c>
      <c r="F2422">
        <v>0.90335350187313002</v>
      </c>
      <c r="G2422">
        <v>0.72498025108351904</v>
      </c>
      <c r="H2422">
        <v>0.59685132005067898</v>
      </c>
      <c r="I2422">
        <v>0.56720482683503803</v>
      </c>
      <c r="J2422">
        <v>0.55132406998837702</v>
      </c>
      <c r="K2422">
        <v>0.47383853072658599</v>
      </c>
      <c r="L2422">
        <v>719.49454135884503</v>
      </c>
      <c r="M2422">
        <v>12.475721608791501</v>
      </c>
      <c r="N2422">
        <v>68.901077587807194</v>
      </c>
      <c r="O2422">
        <v>56.249942115222403</v>
      </c>
      <c r="P2422">
        <v>-3.1359509148577998E-2</v>
      </c>
      <c r="Q2422">
        <v>0.43454816583955402</v>
      </c>
      <c r="R2422">
        <v>0.97670716181711204</v>
      </c>
      <c r="S2422" t="s">
        <v>7162</v>
      </c>
      <c r="T2422" t="s">
        <v>9478</v>
      </c>
      <c r="U2422" t="s">
        <v>9478</v>
      </c>
      <c r="V2422" t="s">
        <v>9478</v>
      </c>
      <c r="W2422">
        <v>6</v>
      </c>
      <c r="X2422" t="s">
        <v>11900</v>
      </c>
      <c r="Y2422">
        <v>0.77573757516594299</v>
      </c>
      <c r="Z2422" t="str">
        <f>HYPERLINK("Melting_Curves/meltCurve_sp_Q86U28_ISCA2_HUMAN_.pdf", "Melting_Curves/meltCurve_sp_Q86U28_ISCA2_HUMAN_.pdf")</f>
        <v>Melting_Curves/meltCurve_sp_Q86U28_ISCA2_HUMAN_.pdf</v>
      </c>
      <c r="AA2422" t="s">
        <v>16595</v>
      </c>
      <c r="AB2422" t="s">
        <v>21256</v>
      </c>
    </row>
    <row r="2423" spans="1:28" x14ac:dyDescent="0.25">
      <c r="A2423" t="s">
        <v>2427</v>
      </c>
      <c r="B2423">
        <v>0.99904790336628502</v>
      </c>
      <c r="C2423">
        <v>0.90550308499621102</v>
      </c>
      <c r="D2423">
        <v>0.92443107715750505</v>
      </c>
      <c r="E2423">
        <v>0.92472396650890398</v>
      </c>
      <c r="F2423">
        <v>0.85983828607257495</v>
      </c>
      <c r="G2423">
        <v>0.64562691486007295</v>
      </c>
      <c r="H2423">
        <v>0.459139203005621</v>
      </c>
      <c r="I2423">
        <v>0.347830504868337</v>
      </c>
      <c r="J2423">
        <v>0.32612829486822198</v>
      </c>
      <c r="K2423">
        <v>0.28441888334125198</v>
      </c>
      <c r="L2423">
        <v>847.57377827050004</v>
      </c>
      <c r="M2423">
        <v>14.6999190639507</v>
      </c>
      <c r="N2423">
        <v>60.0893868131947</v>
      </c>
      <c r="O2423">
        <v>56.622883377667399</v>
      </c>
      <c r="P2423">
        <v>-5.0361145073232701E-2</v>
      </c>
      <c r="Q2423">
        <v>0.224136827207983</v>
      </c>
      <c r="R2423">
        <v>0.982803990681967</v>
      </c>
      <c r="S2423" t="s">
        <v>7163</v>
      </c>
      <c r="T2423" t="s">
        <v>9478</v>
      </c>
      <c r="U2423" t="s">
        <v>9478</v>
      </c>
      <c r="V2423" t="s">
        <v>9478</v>
      </c>
      <c r="W2423">
        <v>4</v>
      </c>
      <c r="X2423" t="s">
        <v>11901</v>
      </c>
      <c r="Y2423">
        <v>0.69198642382494091</v>
      </c>
      <c r="Z2423" t="str">
        <f>HYPERLINK("Melting_Curves/meltCurve_sp_Q86U42_2_PABP2_HUMAN_.pdf", "Melting_Curves/meltCurve_sp_Q86U42_2_PABP2_HUMAN_.pdf")</f>
        <v>Melting_Curves/meltCurve_sp_Q86U42_2_PABP2_HUMAN_.pdf</v>
      </c>
      <c r="AA2423" t="s">
        <v>16596</v>
      </c>
      <c r="AB2423" t="s">
        <v>21257</v>
      </c>
    </row>
    <row r="2424" spans="1:28" x14ac:dyDescent="0.25">
      <c r="A2424" t="s">
        <v>2428</v>
      </c>
      <c r="B2424">
        <v>0.99904790336628502</v>
      </c>
      <c r="C2424">
        <v>1.0729535539963799</v>
      </c>
      <c r="D2424">
        <v>1.1410166637125201</v>
      </c>
      <c r="E2424">
        <v>0.94603461945333001</v>
      </c>
      <c r="F2424">
        <v>0.54273161843885298</v>
      </c>
      <c r="G2424">
        <v>0.21941332457948001</v>
      </c>
      <c r="H2424">
        <v>0.15635907783502001</v>
      </c>
      <c r="I2424">
        <v>0.13302439786381201</v>
      </c>
      <c r="J2424">
        <v>0.148052156468199</v>
      </c>
      <c r="K2424">
        <v>0.111540131805501</v>
      </c>
      <c r="L2424">
        <v>2203.24732599258</v>
      </c>
      <c r="M2424">
        <v>41.647502945706599</v>
      </c>
      <c r="N2424">
        <v>53.334933259139603</v>
      </c>
      <c r="O2424">
        <v>52.780737885678299</v>
      </c>
      <c r="P2424">
        <v>-0.16898868337442599</v>
      </c>
      <c r="Q2424">
        <v>0.14335020819333599</v>
      </c>
      <c r="R2424">
        <v>0.983876737952743</v>
      </c>
      <c r="S2424" t="s">
        <v>7164</v>
      </c>
      <c r="T2424" t="s">
        <v>9478</v>
      </c>
      <c r="U2424" t="s">
        <v>9478</v>
      </c>
      <c r="V2424" t="s">
        <v>9478</v>
      </c>
      <c r="W2424">
        <v>6</v>
      </c>
      <c r="X2424" t="s">
        <v>11902</v>
      </c>
      <c r="Y2424">
        <v>0.51466025116795155</v>
      </c>
      <c r="Z2424" t="str">
        <f>HYPERLINK("Melting_Curves/meltCurve_sp_Q86U44_MTA70_HUMAN_.pdf", "Melting_Curves/meltCurve_sp_Q86U44_MTA70_HUMAN_.pdf")</f>
        <v>Melting_Curves/meltCurve_sp_Q86U44_MTA70_HUMAN_.pdf</v>
      </c>
      <c r="AA2424" t="s">
        <v>16597</v>
      </c>
      <c r="AB2424" t="s">
        <v>21258</v>
      </c>
    </row>
    <row r="2425" spans="1:28" x14ac:dyDescent="0.25">
      <c r="A2425" t="s">
        <v>2429</v>
      </c>
      <c r="B2425">
        <v>0.99904790336628502</v>
      </c>
      <c r="C2425">
        <v>0.857593491290493</v>
      </c>
      <c r="D2425">
        <v>0.84563842640616604</v>
      </c>
      <c r="E2425">
        <v>0.75546186761633805</v>
      </c>
      <c r="F2425">
        <v>0.618475143872382</v>
      </c>
      <c r="G2425">
        <v>0.42043323817935002</v>
      </c>
      <c r="H2425">
        <v>0.31082741022294402</v>
      </c>
      <c r="I2425">
        <v>0.26817291585508202</v>
      </c>
      <c r="J2425">
        <v>0.43706182331201998</v>
      </c>
      <c r="K2425">
        <v>0.200710097543709</v>
      </c>
      <c r="L2425">
        <v>548.60560526084498</v>
      </c>
      <c r="M2425">
        <v>10.421117165842301</v>
      </c>
      <c r="N2425">
        <v>55.499149385768199</v>
      </c>
      <c r="O2425">
        <v>50.815871532590499</v>
      </c>
      <c r="P2425">
        <v>-4.0647062744652997E-2</v>
      </c>
      <c r="Q2425">
        <v>0.20751007077594599</v>
      </c>
      <c r="R2425">
        <v>0.94070452326007403</v>
      </c>
      <c r="S2425" t="s">
        <v>7165</v>
      </c>
      <c r="T2425" t="s">
        <v>9478</v>
      </c>
      <c r="U2425" t="s">
        <v>9478</v>
      </c>
      <c r="V2425" t="s">
        <v>9478</v>
      </c>
      <c r="W2425">
        <v>1</v>
      </c>
      <c r="X2425" t="s">
        <v>11903</v>
      </c>
      <c r="Y2425">
        <v>0.56856774640653795</v>
      </c>
      <c r="Z2425" t="str">
        <f>HYPERLINK("Melting_Curves/meltCurve_sp_Q86U70_3_LDB1_HUMAN_.pdf", "Melting_Curves/meltCurve_sp_Q86U70_3_LDB1_HUMAN_.pdf")</f>
        <v>Melting_Curves/meltCurve_sp_Q86U70_3_LDB1_HUMAN_.pdf</v>
      </c>
      <c r="AA2425" t="s">
        <v>16598</v>
      </c>
      <c r="AB2425" t="s">
        <v>21259</v>
      </c>
    </row>
    <row r="2426" spans="1:28" x14ac:dyDescent="0.25">
      <c r="A2426" t="s">
        <v>2430</v>
      </c>
      <c r="B2426">
        <v>0.99904790336628502</v>
      </c>
      <c r="C2426">
        <v>0.97994104704166896</v>
      </c>
      <c r="D2426">
        <v>0.88848982444902103</v>
      </c>
      <c r="E2426">
        <v>0.66509773417640805</v>
      </c>
      <c r="F2426">
        <v>0.40296454423695199</v>
      </c>
      <c r="G2426">
        <v>0.129368636940352</v>
      </c>
      <c r="H2426">
        <v>4.9703381491291498E-2</v>
      </c>
      <c r="I2426">
        <v>3.2294821641643698E-2</v>
      </c>
      <c r="J2426">
        <v>2.3825243584367401E-2</v>
      </c>
      <c r="K2426">
        <v>2.55899575029645E-2</v>
      </c>
      <c r="L2426">
        <v>983.38620067061595</v>
      </c>
      <c r="M2426">
        <v>19.023354178524201</v>
      </c>
      <c r="N2426">
        <v>51.729147349716101</v>
      </c>
      <c r="O2426">
        <v>51.132558511487098</v>
      </c>
      <c r="P2426">
        <v>-9.2410128840854103E-2</v>
      </c>
      <c r="Q2426">
        <v>6.4887924464658601E-3</v>
      </c>
      <c r="R2426">
        <v>0.99900003949039895</v>
      </c>
      <c r="S2426" t="s">
        <v>7166</v>
      </c>
      <c r="T2426" t="s">
        <v>9478</v>
      </c>
      <c r="U2426" t="s">
        <v>9478</v>
      </c>
      <c r="V2426" t="s">
        <v>9478</v>
      </c>
      <c r="W2426">
        <v>3</v>
      </c>
      <c r="X2426" t="s">
        <v>11904</v>
      </c>
      <c r="Y2426">
        <v>0.40880911166665879</v>
      </c>
      <c r="Z2426" t="str">
        <f>HYPERLINK("Melting_Curves/meltCurve_sp_Q86U90_YRDC_HUMAN_.pdf", "Melting_Curves/meltCurve_sp_Q86U90_YRDC_HUMAN_.pdf")</f>
        <v>Melting_Curves/meltCurve_sp_Q86U90_YRDC_HUMAN_.pdf</v>
      </c>
      <c r="AA2426" t="s">
        <v>16599</v>
      </c>
      <c r="AB2426" t="s">
        <v>21260</v>
      </c>
    </row>
    <row r="2427" spans="1:28" x14ac:dyDescent="0.25">
      <c r="A2427" t="s">
        <v>2431</v>
      </c>
      <c r="B2427">
        <v>0.99904790336628502</v>
      </c>
      <c r="C2427">
        <v>0.96472585254912402</v>
      </c>
      <c r="D2427">
        <v>0.98435811483748603</v>
      </c>
      <c r="E2427">
        <v>0.54253509832538604</v>
      </c>
      <c r="F2427">
        <v>0.21793527841875199</v>
      </c>
      <c r="G2427">
        <v>0.121748109749724</v>
      </c>
      <c r="H2427">
        <v>6.4616498895234395E-2</v>
      </c>
      <c r="I2427">
        <v>5.6047564829374501E-2</v>
      </c>
      <c r="J2427">
        <v>3.7797548132931201E-2</v>
      </c>
      <c r="K2427">
        <v>3.59366586517718E-2</v>
      </c>
      <c r="L2427">
        <v>1532.3446064248701</v>
      </c>
      <c r="M2427">
        <v>30.525339001083701</v>
      </c>
      <c r="N2427">
        <v>50.398114305266702</v>
      </c>
      <c r="O2427">
        <v>49.985122357284901</v>
      </c>
      <c r="P2427">
        <v>-0.14400446799421801</v>
      </c>
      <c r="Q2427">
        <v>5.6778456474546699E-2</v>
      </c>
      <c r="R2427">
        <v>0.99685501012828004</v>
      </c>
      <c r="S2427" t="s">
        <v>7167</v>
      </c>
      <c r="T2427" t="s">
        <v>9478</v>
      </c>
      <c r="U2427" t="s">
        <v>9478</v>
      </c>
      <c r="V2427" t="s">
        <v>9478</v>
      </c>
      <c r="W2427">
        <v>6</v>
      </c>
      <c r="X2427" t="s">
        <v>11905</v>
      </c>
      <c r="Y2427">
        <v>0.383096806884483</v>
      </c>
      <c r="Z2427" t="str">
        <f>HYPERLINK("Melting_Curves/meltCurve_sp_Q86UA1_PRP39_HUMAN_.pdf", "Melting_Curves/meltCurve_sp_Q86UA1_PRP39_HUMAN_.pdf")</f>
        <v>Melting_Curves/meltCurve_sp_Q86UA1_PRP39_HUMAN_.pdf</v>
      </c>
      <c r="AA2427" t="s">
        <v>16600</v>
      </c>
      <c r="AB2427" t="s">
        <v>21261</v>
      </c>
    </row>
    <row r="2428" spans="1:28" x14ac:dyDescent="0.25">
      <c r="A2428" t="s">
        <v>2432</v>
      </c>
      <c r="B2428">
        <v>0.99904790336628502</v>
      </c>
      <c r="C2428">
        <v>1.0210499470719301</v>
      </c>
      <c r="D2428">
        <v>0.95819853208208094</v>
      </c>
      <c r="E2428">
        <v>0.96335231307091895</v>
      </c>
      <c r="F2428">
        <v>0.98497476483942503</v>
      </c>
      <c r="G2428">
        <v>0.83934064841306499</v>
      </c>
      <c r="H2428">
        <v>0.76758746139456602</v>
      </c>
      <c r="I2428">
        <v>0.74465593909426397</v>
      </c>
      <c r="J2428">
        <v>0.82326868222034399</v>
      </c>
      <c r="K2428">
        <v>0.86925031171178202</v>
      </c>
      <c r="L2428">
        <v>3110.9341430534</v>
      </c>
      <c r="M2428">
        <v>56.111657181882499</v>
      </c>
      <c r="O2428">
        <v>55.371573529271899</v>
      </c>
      <c r="P2428">
        <v>-5.0305250050047101E-2</v>
      </c>
      <c r="Q2428">
        <v>0.80143313965434204</v>
      </c>
      <c r="R2428">
        <v>0.85688100186625105</v>
      </c>
      <c r="S2428" t="s">
        <v>7168</v>
      </c>
      <c r="T2428" t="s">
        <v>9478</v>
      </c>
      <c r="U2428" t="s">
        <v>9478</v>
      </c>
      <c r="V2428" t="s">
        <v>9478</v>
      </c>
      <c r="W2428">
        <v>24</v>
      </c>
      <c r="X2428" t="s">
        <v>11906</v>
      </c>
      <c r="Y2428">
        <v>0.90402618073329422</v>
      </c>
      <c r="Z2428" t="str">
        <f>HYPERLINK("Melting_Curves/meltCurve_sp_Q86UE4_LYRIC_HUMAN_.pdf", "Melting_Curves/meltCurve_sp_Q86UE4_LYRIC_HUMAN_.pdf")</f>
        <v>Melting_Curves/meltCurve_sp_Q86UE4_LYRIC_HUMAN_.pdf</v>
      </c>
      <c r="AA2428" t="s">
        <v>16601</v>
      </c>
      <c r="AB2428" t="s">
        <v>21262</v>
      </c>
    </row>
    <row r="2429" spans="1:28" x14ac:dyDescent="0.25">
      <c r="A2429" t="s">
        <v>2433</v>
      </c>
      <c r="B2429">
        <v>0.99904790336628502</v>
      </c>
      <c r="C2429">
        <v>1.0287011858175401</v>
      </c>
      <c r="D2429">
        <v>1.0525587649894901</v>
      </c>
      <c r="E2429">
        <v>0.934994206326351</v>
      </c>
      <c r="F2429">
        <v>0.64571118747688705</v>
      </c>
      <c r="G2429">
        <v>0.23030776635827299</v>
      </c>
      <c r="H2429">
        <v>0.14529285828303901</v>
      </c>
      <c r="I2429">
        <v>0.111592752113042</v>
      </c>
      <c r="J2429">
        <v>0.109098559141881</v>
      </c>
      <c r="K2429">
        <v>9.63331697807112E-2</v>
      </c>
      <c r="L2429">
        <v>1758.90678143997</v>
      </c>
      <c r="M2429">
        <v>32.744754034373003</v>
      </c>
      <c r="N2429">
        <v>54.125755773767601</v>
      </c>
      <c r="O2429">
        <v>53.516504478296604</v>
      </c>
      <c r="P2429">
        <v>-0.136162449142534</v>
      </c>
      <c r="Q2429">
        <v>0.109853382250481</v>
      </c>
      <c r="R2429">
        <v>0.99727710369004396</v>
      </c>
      <c r="S2429" t="s">
        <v>7169</v>
      </c>
      <c r="T2429" t="s">
        <v>9478</v>
      </c>
      <c r="U2429" t="s">
        <v>9478</v>
      </c>
      <c r="V2429" t="s">
        <v>9478</v>
      </c>
      <c r="W2429">
        <v>8</v>
      </c>
      <c r="X2429" t="s">
        <v>11907</v>
      </c>
      <c r="Y2429">
        <v>0.5217302454119741</v>
      </c>
      <c r="Z2429" t="str">
        <f>HYPERLINK("Melting_Curves/meltCurve_sp_Q86UK7_2_ZN598_HUMAN_.pdf", "Melting_Curves/meltCurve_sp_Q86UK7_2_ZN598_HUMAN_.pdf")</f>
        <v>Melting_Curves/meltCurve_sp_Q86UK7_2_ZN598_HUMAN_.pdf</v>
      </c>
      <c r="AA2429" t="s">
        <v>16602</v>
      </c>
      <c r="AB2429" t="s">
        <v>21263</v>
      </c>
    </row>
    <row r="2430" spans="1:28" x14ac:dyDescent="0.25">
      <c r="A2430" t="s">
        <v>2434</v>
      </c>
      <c r="B2430">
        <v>0.99904790336628502</v>
      </c>
      <c r="C2430">
        <v>1.0387041526743499</v>
      </c>
      <c r="D2430">
        <v>1.04452729719463</v>
      </c>
      <c r="E2430">
        <v>0.98957379570194903</v>
      </c>
      <c r="F2430">
        <v>0.89876675500990799</v>
      </c>
      <c r="G2430">
        <v>0.69224093816401</v>
      </c>
      <c r="H2430">
        <v>0.63164714691356005</v>
      </c>
      <c r="I2430">
        <v>0.63496234611588798</v>
      </c>
      <c r="J2430">
        <v>0.62259678994688095</v>
      </c>
      <c r="K2430">
        <v>0.50707956539944998</v>
      </c>
      <c r="L2430">
        <v>1502.6872923303999</v>
      </c>
      <c r="M2430">
        <v>27.237638932886</v>
      </c>
      <c r="O2430">
        <v>54.874697241387203</v>
      </c>
      <c r="P2430">
        <v>-5.1437045325257599E-2</v>
      </c>
      <c r="Q2430">
        <v>0.58549040312870004</v>
      </c>
      <c r="R2430">
        <v>0.96513877670910797</v>
      </c>
      <c r="S2430" t="s">
        <v>7170</v>
      </c>
      <c r="T2430" t="s">
        <v>9478</v>
      </c>
      <c r="U2430" t="s">
        <v>9478</v>
      </c>
      <c r="V2430" t="s">
        <v>9478</v>
      </c>
      <c r="W2430">
        <v>107</v>
      </c>
      <c r="X2430" t="s">
        <v>11908</v>
      </c>
      <c r="Y2430">
        <v>0.79837833438628369</v>
      </c>
      <c r="Z2430" t="str">
        <f>HYPERLINK("Melting_Curves/meltCurve_sp_Q86UP2_KTN1_HUMAN_.pdf", "Melting_Curves/meltCurve_sp_Q86UP2_KTN1_HUMAN_.pdf")</f>
        <v>Melting_Curves/meltCurve_sp_Q86UP2_KTN1_HUMAN_.pdf</v>
      </c>
      <c r="AA2430" t="s">
        <v>16603</v>
      </c>
      <c r="AB2430" t="s">
        <v>21264</v>
      </c>
    </row>
    <row r="2431" spans="1:28" x14ac:dyDescent="0.25">
      <c r="A2431" t="s">
        <v>2435</v>
      </c>
      <c r="B2431">
        <v>0.99904790336628502</v>
      </c>
      <c r="C2431">
        <v>1.00268194734431</v>
      </c>
      <c r="D2431">
        <v>0.82561106638304105</v>
      </c>
      <c r="E2431">
        <v>0.589177894917569</v>
      </c>
      <c r="F2431">
        <v>0.44600766822453097</v>
      </c>
      <c r="G2431">
        <v>0.28430674589232102</v>
      </c>
      <c r="H2431">
        <v>0.23628837125803301</v>
      </c>
      <c r="I2431">
        <v>0.25419066116551797</v>
      </c>
      <c r="J2431">
        <v>0.20692370896520099</v>
      </c>
      <c r="K2431">
        <v>0.19228020920111599</v>
      </c>
      <c r="L2431">
        <v>838.25963461869298</v>
      </c>
      <c r="M2431">
        <v>16.770666689588399</v>
      </c>
      <c r="N2431">
        <v>51.594154169152098</v>
      </c>
      <c r="O2431">
        <v>49.289216882068203</v>
      </c>
      <c r="P2431">
        <v>-6.7733395131002697E-2</v>
      </c>
      <c r="Q2431">
        <v>0.20377443878472101</v>
      </c>
      <c r="R2431">
        <v>0.99473406464649405</v>
      </c>
      <c r="S2431" t="s">
        <v>7171</v>
      </c>
      <c r="T2431" t="s">
        <v>9478</v>
      </c>
      <c r="U2431" t="s">
        <v>9478</v>
      </c>
      <c r="V2431" t="s">
        <v>9478</v>
      </c>
      <c r="W2431">
        <v>2</v>
      </c>
      <c r="X2431" t="s">
        <v>11909</v>
      </c>
      <c r="Y2431">
        <v>0.4842619946920011</v>
      </c>
      <c r="Z2431" t="str">
        <f>HYPERLINK("Melting_Curves/meltCurve_sp_Q86US8_EST1A_HUMAN_.pdf", "Melting_Curves/meltCurve_sp_Q86US8_EST1A_HUMAN_.pdf")</f>
        <v>Melting_Curves/meltCurve_sp_Q86US8_EST1A_HUMAN_.pdf</v>
      </c>
      <c r="AA2431" t="s">
        <v>16604</v>
      </c>
      <c r="AB2431" t="s">
        <v>21265</v>
      </c>
    </row>
    <row r="2432" spans="1:28" x14ac:dyDescent="0.25">
      <c r="A2432" t="s">
        <v>2436</v>
      </c>
      <c r="B2432">
        <v>0.99904790336628502</v>
      </c>
      <c r="C2432">
        <v>1.2827858082761201</v>
      </c>
      <c r="D2432">
        <v>1.1680422308354601</v>
      </c>
      <c r="E2432">
        <v>0.80205435868778896</v>
      </c>
      <c r="F2432">
        <v>0.64822637539490002</v>
      </c>
      <c r="G2432">
        <v>0.56180127457982298</v>
      </c>
      <c r="H2432">
        <v>0.46116162145524497</v>
      </c>
      <c r="I2432">
        <v>0.36774568107259897</v>
      </c>
      <c r="J2432">
        <v>0.350441515220203</v>
      </c>
      <c r="K2432">
        <v>0.54644032409972099</v>
      </c>
      <c r="L2432">
        <v>1423.6640037601201</v>
      </c>
      <c r="M2432">
        <v>27.391896145488499</v>
      </c>
      <c r="N2432">
        <v>56.432455444644702</v>
      </c>
      <c r="O2432">
        <v>51.699251491406798</v>
      </c>
      <c r="P2432">
        <v>-7.38358900038278E-2</v>
      </c>
      <c r="Q2432">
        <v>0.442575861465064</v>
      </c>
      <c r="R2432">
        <v>0.84969704475825902</v>
      </c>
      <c r="S2432" t="s">
        <v>7172</v>
      </c>
      <c r="T2432" t="s">
        <v>9478</v>
      </c>
      <c r="U2432" t="s">
        <v>9478</v>
      </c>
      <c r="V2432" t="s">
        <v>9478</v>
      </c>
      <c r="W2432">
        <v>5</v>
      </c>
      <c r="X2432" t="s">
        <v>11910</v>
      </c>
      <c r="Y2432">
        <v>0.66932036523688843</v>
      </c>
      <c r="Z2432" t="str">
        <f>HYPERLINK("Melting_Curves/meltCurve_sp_Q86UU0_4_BCL9L_HUMAN_.pdf", "Melting_Curves/meltCurve_sp_Q86UU0_4_BCL9L_HUMAN_.pdf")</f>
        <v>Melting_Curves/meltCurve_sp_Q86UU0_4_BCL9L_HUMAN_.pdf</v>
      </c>
      <c r="AA2432" t="s">
        <v>16605</v>
      </c>
      <c r="AB2432" t="s">
        <v>21266</v>
      </c>
    </row>
    <row r="2433" spans="1:28" x14ac:dyDescent="0.25">
      <c r="A2433" t="s">
        <v>2437</v>
      </c>
      <c r="B2433">
        <v>0.99904790336628502</v>
      </c>
      <c r="C2433">
        <v>0.891267270941145</v>
      </c>
      <c r="D2433">
        <v>0.88471882994351903</v>
      </c>
      <c r="E2433">
        <v>0.60176493259948605</v>
      </c>
      <c r="F2433">
        <v>0.19898693435025999</v>
      </c>
      <c r="G2433">
        <v>0.113092315105827</v>
      </c>
      <c r="H2433">
        <v>3.2370001205242298E-2</v>
      </c>
      <c r="I2433">
        <v>3.1090705776990499E-2</v>
      </c>
      <c r="J2433">
        <v>1.1230496710403401E-2</v>
      </c>
      <c r="K2433">
        <v>1.3979190809066899E-2</v>
      </c>
      <c r="L2433">
        <v>1143.7775041725299</v>
      </c>
      <c r="M2433">
        <v>22.691691296342299</v>
      </c>
      <c r="N2433">
        <v>50.473046122758099</v>
      </c>
      <c r="O2433">
        <v>50.018557211690101</v>
      </c>
      <c r="P2433">
        <v>-0.111713071911987</v>
      </c>
      <c r="Q2433">
        <v>1.5037499163851199E-2</v>
      </c>
      <c r="R2433">
        <v>0.99006886674504901</v>
      </c>
      <c r="S2433" t="s">
        <v>7173</v>
      </c>
      <c r="T2433" t="s">
        <v>9478</v>
      </c>
      <c r="U2433" t="s">
        <v>9478</v>
      </c>
      <c r="V2433" t="s">
        <v>9478</v>
      </c>
      <c r="W2433">
        <v>1</v>
      </c>
      <c r="X2433" t="s">
        <v>11911</v>
      </c>
      <c r="Y2433">
        <v>0.36737096045936318</v>
      </c>
      <c r="Z2433" t="str">
        <f>HYPERLINK("Melting_Curves/meltCurve_sp_Q86UV5_2_UBP48_HUMAN_.pdf", "Melting_Curves/meltCurve_sp_Q86UV5_2_UBP48_HUMAN_.pdf")</f>
        <v>Melting_Curves/meltCurve_sp_Q86UV5_2_UBP48_HUMAN_.pdf</v>
      </c>
      <c r="AA2433" t="s">
        <v>16606</v>
      </c>
      <c r="AB2433" t="s">
        <v>21267</v>
      </c>
    </row>
    <row r="2434" spans="1:28" x14ac:dyDescent="0.25">
      <c r="A2434" t="s">
        <v>2438</v>
      </c>
      <c r="B2434">
        <v>0.99904790336628502</v>
      </c>
      <c r="C2434">
        <v>1.17952754573621</v>
      </c>
      <c r="D2434">
        <v>0.85055852928114095</v>
      </c>
      <c r="E2434">
        <v>0.37771368597291599</v>
      </c>
      <c r="F2434">
        <v>0.21440516084826999</v>
      </c>
      <c r="G2434">
        <v>0.106631682381678</v>
      </c>
      <c r="H2434">
        <v>5.0249725807805998E-2</v>
      </c>
      <c r="I2434">
        <v>3.01480226903489E-2</v>
      </c>
      <c r="J2434">
        <v>6.6285022205784701E-3</v>
      </c>
      <c r="K2434">
        <v>1.2764182618857501E-2</v>
      </c>
      <c r="L2434">
        <v>1316.07787551959</v>
      </c>
      <c r="M2434">
        <v>26.770514628943499</v>
      </c>
      <c r="N2434">
        <v>49.314875717598603</v>
      </c>
      <c r="O2434">
        <v>48.8896047485255</v>
      </c>
      <c r="P2434">
        <v>-0.13142501204527501</v>
      </c>
      <c r="Q2434">
        <v>3.9951066593924799E-2</v>
      </c>
      <c r="R2434">
        <v>0.974160646635302</v>
      </c>
      <c r="S2434" t="s">
        <v>7174</v>
      </c>
      <c r="T2434" t="s">
        <v>9478</v>
      </c>
      <c r="U2434" t="s">
        <v>9478</v>
      </c>
      <c r="V2434" t="s">
        <v>9478</v>
      </c>
      <c r="W2434">
        <v>1</v>
      </c>
      <c r="X2434" t="s">
        <v>11912</v>
      </c>
      <c r="Y2434">
        <v>0.34053427102085132</v>
      </c>
      <c r="Z2434" t="str">
        <f>HYPERLINK("Melting_Curves/meltCurve_sp_Q86UX6_2_ST32C_HUMAN_.pdf", "Melting_Curves/meltCurve_sp_Q86UX6_2_ST32C_HUMAN_.pdf")</f>
        <v>Melting_Curves/meltCurve_sp_Q86UX6_2_ST32C_HUMAN_.pdf</v>
      </c>
      <c r="AA2434" t="s">
        <v>16607</v>
      </c>
      <c r="AB2434" t="s">
        <v>21268</v>
      </c>
    </row>
    <row r="2435" spans="1:28" x14ac:dyDescent="0.25">
      <c r="A2435" t="s">
        <v>2439</v>
      </c>
      <c r="B2435">
        <v>0.99904790336628502</v>
      </c>
      <c r="C2435">
        <v>1.05111251250583</v>
      </c>
      <c r="D2435">
        <v>1.00399796491902</v>
      </c>
      <c r="E2435">
        <v>0.92710659973949805</v>
      </c>
      <c r="F2435">
        <v>0.63498155147398405</v>
      </c>
      <c r="G2435">
        <v>0.32777290378816698</v>
      </c>
      <c r="H2435">
        <v>0.16997517535656501</v>
      </c>
      <c r="I2435">
        <v>0.11784455848016701</v>
      </c>
      <c r="J2435">
        <v>6.4718846204755695E-2</v>
      </c>
      <c r="K2435">
        <v>4.1867527829682699E-2</v>
      </c>
      <c r="L2435">
        <v>1185.52977794913</v>
      </c>
      <c r="M2435">
        <v>21.7469602099399</v>
      </c>
      <c r="N2435">
        <v>54.84254065276</v>
      </c>
      <c r="O2435">
        <v>54.060068122517897</v>
      </c>
      <c r="P2435">
        <v>-9.4441508091983206E-2</v>
      </c>
      <c r="Q2435">
        <v>6.0945835138538997E-2</v>
      </c>
      <c r="R2435">
        <v>0.99499910087607102</v>
      </c>
      <c r="S2435" t="s">
        <v>7175</v>
      </c>
      <c r="T2435" t="s">
        <v>9478</v>
      </c>
      <c r="U2435" t="s">
        <v>9478</v>
      </c>
      <c r="V2435" t="s">
        <v>9478</v>
      </c>
      <c r="W2435">
        <v>4</v>
      </c>
      <c r="X2435" t="s">
        <v>11913</v>
      </c>
      <c r="Y2435">
        <v>0.5263387751504085</v>
      </c>
      <c r="Z2435" t="str">
        <f>HYPERLINK("Melting_Curves/meltCurve_sp_Q86UX7_2_URP2_HUMAN_.pdf", "Melting_Curves/meltCurve_sp_Q86UX7_2_URP2_HUMAN_.pdf")</f>
        <v>Melting_Curves/meltCurve_sp_Q86UX7_2_URP2_HUMAN_.pdf</v>
      </c>
      <c r="AA2435" t="s">
        <v>16608</v>
      </c>
      <c r="AB2435" t="s">
        <v>21269</v>
      </c>
    </row>
    <row r="2436" spans="1:28" x14ac:dyDescent="0.25">
      <c r="A2436" t="s">
        <v>2440</v>
      </c>
      <c r="B2436">
        <v>0.99904790336628502</v>
      </c>
      <c r="C2436">
        <v>1.02675100032357</v>
      </c>
      <c r="D2436">
        <v>1.0556516439789601</v>
      </c>
      <c r="E2436">
        <v>0.90311131442117498</v>
      </c>
      <c r="F2436">
        <v>0.75011456785738695</v>
      </c>
      <c r="G2436">
        <v>0.402012419161692</v>
      </c>
      <c r="H2436">
        <v>0.17695802638939401</v>
      </c>
      <c r="I2436">
        <v>0.10858709210765601</v>
      </c>
      <c r="J2436">
        <v>6.4470069434977795E-2</v>
      </c>
      <c r="K2436">
        <v>5.2821983626614999E-2</v>
      </c>
      <c r="L2436">
        <v>1169.5469697076201</v>
      </c>
      <c r="M2436">
        <v>21.025672463062101</v>
      </c>
      <c r="N2436">
        <v>55.868191251181997</v>
      </c>
      <c r="O2436">
        <v>55.128869943434601</v>
      </c>
      <c r="P2436">
        <v>-9.1175603534404404E-2</v>
      </c>
      <c r="Q2436">
        <v>4.3783480204386903E-2</v>
      </c>
      <c r="R2436">
        <v>0.99663872800465303</v>
      </c>
      <c r="S2436" t="s">
        <v>7176</v>
      </c>
      <c r="T2436" t="s">
        <v>9478</v>
      </c>
      <c r="U2436" t="s">
        <v>9478</v>
      </c>
      <c r="V2436" t="s">
        <v>9478</v>
      </c>
      <c r="W2436">
        <v>6</v>
      </c>
      <c r="X2436" t="s">
        <v>11914</v>
      </c>
      <c r="Y2436">
        <v>0.55342293029038037</v>
      </c>
      <c r="Z2436" t="str">
        <f>HYPERLINK("Melting_Curves/meltCurve_sp_Q86UY8_2_NT5D3_HUMAN_.pdf", "Melting_Curves/meltCurve_sp_Q86UY8_2_NT5D3_HUMAN_.pdf")</f>
        <v>Melting_Curves/meltCurve_sp_Q86UY8_2_NT5D3_HUMAN_.pdf</v>
      </c>
      <c r="AA2436" t="s">
        <v>16609</v>
      </c>
      <c r="AB2436" t="s">
        <v>21270</v>
      </c>
    </row>
    <row r="2437" spans="1:28" x14ac:dyDescent="0.25">
      <c r="A2437" t="s">
        <v>2441</v>
      </c>
      <c r="B2437">
        <v>0.99904790336628502</v>
      </c>
      <c r="C2437">
        <v>0.89452465511386303</v>
      </c>
      <c r="D2437">
        <v>0.92862960708743303</v>
      </c>
      <c r="E2437">
        <v>0.82203367915862702</v>
      </c>
      <c r="F2437">
        <v>0.82089800548523295</v>
      </c>
      <c r="G2437">
        <v>0.74816392321041403</v>
      </c>
      <c r="H2437">
        <v>0.63019398442658403</v>
      </c>
      <c r="I2437">
        <v>0.53871704639675699</v>
      </c>
      <c r="J2437">
        <v>0.60865501716298498</v>
      </c>
      <c r="K2437">
        <v>0.51525353004147101</v>
      </c>
      <c r="L2437">
        <v>358.83572357866802</v>
      </c>
      <c r="M2437">
        <v>5.8948703128696502</v>
      </c>
      <c r="O2437">
        <v>54.969131910436701</v>
      </c>
      <c r="P2437">
        <v>-1.8869879626839899E-2</v>
      </c>
      <c r="Q2437">
        <v>0.29857938947475499</v>
      </c>
      <c r="R2437">
        <v>0.95076807697363597</v>
      </c>
      <c r="S2437" t="s">
        <v>7177</v>
      </c>
      <c r="T2437" t="s">
        <v>9478</v>
      </c>
      <c r="U2437" t="s">
        <v>9478</v>
      </c>
      <c r="V2437" t="s">
        <v>9478</v>
      </c>
      <c r="W2437">
        <v>5</v>
      </c>
      <c r="X2437" t="s">
        <v>11915</v>
      </c>
      <c r="Y2437">
        <v>0.75355771690680728</v>
      </c>
      <c r="Z2437" t="str">
        <f>HYPERLINK("Melting_Curves/meltCurve_sp_Q86V48_2_LUZP1_HUMAN_.pdf", "Melting_Curves/meltCurve_sp_Q86V48_2_LUZP1_HUMAN_.pdf")</f>
        <v>Melting_Curves/meltCurve_sp_Q86V48_2_LUZP1_HUMAN_.pdf</v>
      </c>
      <c r="AA2437" t="s">
        <v>16610</v>
      </c>
      <c r="AB2437" t="s">
        <v>21271</v>
      </c>
    </row>
    <row r="2438" spans="1:28" x14ac:dyDescent="0.25">
      <c r="A2438" t="s">
        <v>2442</v>
      </c>
      <c r="B2438">
        <v>0.99904790336628502</v>
      </c>
      <c r="C2438">
        <v>0.89346059761283902</v>
      </c>
      <c r="D2438">
        <v>0.87907320921088505</v>
      </c>
      <c r="E2438">
        <v>0.75009325332986099</v>
      </c>
      <c r="F2438">
        <v>0.71101581361792698</v>
      </c>
      <c r="G2438">
        <v>0.55701379435198595</v>
      </c>
      <c r="H2438">
        <v>0.447517771407274</v>
      </c>
      <c r="I2438">
        <v>0.414718000315274</v>
      </c>
      <c r="J2438">
        <v>0.387741905907452</v>
      </c>
      <c r="K2438">
        <v>0.29490348081434697</v>
      </c>
      <c r="L2438">
        <v>413.56629145727902</v>
      </c>
      <c r="M2438">
        <v>7.2730360252032202</v>
      </c>
      <c r="N2438">
        <v>59.609573160080402</v>
      </c>
      <c r="O2438">
        <v>53.036826501739</v>
      </c>
      <c r="P2438">
        <v>-2.9449334704051901E-2</v>
      </c>
      <c r="Q2438">
        <v>0.14237340353779801</v>
      </c>
      <c r="R2438">
        <v>0.98935553566400902</v>
      </c>
      <c r="S2438" t="s">
        <v>7178</v>
      </c>
      <c r="T2438" t="s">
        <v>9478</v>
      </c>
      <c r="U2438" t="s">
        <v>9478</v>
      </c>
      <c r="V2438" t="s">
        <v>9478</v>
      </c>
      <c r="W2438">
        <v>7</v>
      </c>
      <c r="X2438" t="s">
        <v>11916</v>
      </c>
      <c r="Y2438">
        <v>0.63370774482699466</v>
      </c>
      <c r="Z2438" t="str">
        <f>HYPERLINK("Melting_Curves/meltCurve_sp_Q86V81_THOC4_HUMAN_.pdf", "Melting_Curves/meltCurve_sp_Q86V81_THOC4_HUMAN_.pdf")</f>
        <v>Melting_Curves/meltCurve_sp_Q86V81_THOC4_HUMAN_.pdf</v>
      </c>
      <c r="AA2438" t="s">
        <v>16611</v>
      </c>
      <c r="AB2438" t="s">
        <v>21272</v>
      </c>
    </row>
    <row r="2439" spans="1:28" x14ac:dyDescent="0.25">
      <c r="A2439" t="s">
        <v>2443</v>
      </c>
      <c r="B2439">
        <v>0.99904790336628502</v>
      </c>
      <c r="C2439">
        <v>1.0164132895600999</v>
      </c>
      <c r="D2439">
        <v>0.96026078872311604</v>
      </c>
      <c r="E2439">
        <v>0.94304330023155603</v>
      </c>
      <c r="F2439">
        <v>0.97141301855194395</v>
      </c>
      <c r="G2439">
        <v>0.71531968187211903</v>
      </c>
      <c r="H2439">
        <v>0.69423880604709498</v>
      </c>
      <c r="I2439">
        <v>0.63084852215418996</v>
      </c>
      <c r="J2439">
        <v>0.67478474707420799</v>
      </c>
      <c r="K2439">
        <v>0.67085239436801103</v>
      </c>
      <c r="L2439">
        <v>2897.5105479971298</v>
      </c>
      <c r="M2439">
        <v>52.513298537152899</v>
      </c>
      <c r="O2439">
        <v>55.096836245806102</v>
      </c>
      <c r="P2439">
        <v>-7.9492649497561102E-2</v>
      </c>
      <c r="Q2439">
        <v>0.666386049744083</v>
      </c>
      <c r="R2439">
        <v>0.97001762123127799</v>
      </c>
      <c r="S2439" t="s">
        <v>7179</v>
      </c>
      <c r="T2439" t="s">
        <v>9478</v>
      </c>
      <c r="U2439" t="s">
        <v>9478</v>
      </c>
      <c r="V2439" t="s">
        <v>9478</v>
      </c>
      <c r="W2439">
        <v>9</v>
      </c>
      <c r="X2439" t="s">
        <v>11917</v>
      </c>
      <c r="Y2439">
        <v>0.83589344692402123</v>
      </c>
      <c r="Z2439" t="str">
        <f>HYPERLINK("Melting_Curves/meltCurve_sp_Q86VM9_ZCH18_HUMAN_.pdf", "Melting_Curves/meltCurve_sp_Q86VM9_ZCH18_HUMAN_.pdf")</f>
        <v>Melting_Curves/meltCurve_sp_Q86VM9_ZCH18_HUMAN_.pdf</v>
      </c>
      <c r="AA2439" t="s">
        <v>16612</v>
      </c>
      <c r="AB2439" t="s">
        <v>21273</v>
      </c>
    </row>
    <row r="2440" spans="1:28" x14ac:dyDescent="0.25">
      <c r="A2440" t="s">
        <v>2444</v>
      </c>
      <c r="B2440">
        <v>0.99904790336628502</v>
      </c>
      <c r="C2440">
        <v>0.96684697152756305</v>
      </c>
      <c r="D2440">
        <v>0.97259556572961803</v>
      </c>
      <c r="E2440">
        <v>0.92264214523726396</v>
      </c>
      <c r="F2440">
        <v>0.65323016395267197</v>
      </c>
      <c r="G2440">
        <v>0.266553319453738</v>
      </c>
      <c r="H2440">
        <v>0.17711373532725799</v>
      </c>
      <c r="I2440">
        <v>0.13659686276804001</v>
      </c>
      <c r="J2440">
        <v>0.128934025305876</v>
      </c>
      <c r="K2440">
        <v>0.13839839432385401</v>
      </c>
      <c r="L2440">
        <v>1588.8315423374199</v>
      </c>
      <c r="M2440">
        <v>29.5667937101517</v>
      </c>
      <c r="N2440">
        <v>54.317614992594798</v>
      </c>
      <c r="O2440">
        <v>53.493004618512799</v>
      </c>
      <c r="P2440">
        <v>-0.119460457416179</v>
      </c>
      <c r="Q2440">
        <v>0.13548224963494301</v>
      </c>
      <c r="R2440">
        <v>0.99859769482391303</v>
      </c>
      <c r="S2440" t="s">
        <v>7180</v>
      </c>
      <c r="T2440" t="s">
        <v>9478</v>
      </c>
      <c r="U2440" t="s">
        <v>9478</v>
      </c>
      <c r="V2440" t="s">
        <v>9478</v>
      </c>
      <c r="W2440">
        <v>11</v>
      </c>
      <c r="X2440" t="s">
        <v>11918</v>
      </c>
      <c r="Y2440">
        <v>0.53716828385364168</v>
      </c>
      <c r="Z2440" t="str">
        <f>HYPERLINK("Melting_Curves/meltCurve_sp_Q86VN1_2_VPS36_HUMAN_.pdf", "Melting_Curves/meltCurve_sp_Q86VN1_2_VPS36_HUMAN_.pdf")</f>
        <v>Melting_Curves/meltCurve_sp_Q86VN1_2_VPS36_HUMAN_.pdf</v>
      </c>
      <c r="AA2440" t="s">
        <v>16613</v>
      </c>
      <c r="AB2440" t="s">
        <v>21274</v>
      </c>
    </row>
    <row r="2441" spans="1:28" x14ac:dyDescent="0.25">
      <c r="A2441" t="s">
        <v>2445</v>
      </c>
      <c r="B2441">
        <v>0.99904790336628502</v>
      </c>
      <c r="C2441">
        <v>1.0214603860914999</v>
      </c>
      <c r="D2441">
        <v>1.09227761251719</v>
      </c>
      <c r="E2441">
        <v>1.06861974984871</v>
      </c>
      <c r="F2441">
        <v>1.0004049008773599</v>
      </c>
      <c r="G2441">
        <v>0.83909479283410104</v>
      </c>
      <c r="H2441">
        <v>0.34987824364085002</v>
      </c>
      <c r="I2441">
        <v>7.6269542517540007E-2</v>
      </c>
      <c r="J2441">
        <v>4.0982318783238499E-2</v>
      </c>
      <c r="K2441">
        <v>3.5529550735578598E-2</v>
      </c>
      <c r="L2441">
        <v>2140.32148546691</v>
      </c>
      <c r="M2441">
        <v>35.827906238527397</v>
      </c>
      <c r="N2441">
        <v>59.801647186008204</v>
      </c>
      <c r="O2441">
        <v>59.553758244454002</v>
      </c>
      <c r="P2441">
        <v>-0.14762964538373899</v>
      </c>
      <c r="Q2441">
        <v>1.8433114561195001E-2</v>
      </c>
      <c r="R2441">
        <v>0.99230620212680698</v>
      </c>
      <c r="S2441" t="s">
        <v>7181</v>
      </c>
      <c r="T2441" t="s">
        <v>9478</v>
      </c>
      <c r="U2441" t="s">
        <v>9478</v>
      </c>
      <c r="V2441" t="s">
        <v>9478</v>
      </c>
      <c r="W2441">
        <v>57</v>
      </c>
      <c r="X2441" t="s">
        <v>11919</v>
      </c>
      <c r="Y2441">
        <v>0.66891467821283246</v>
      </c>
      <c r="Z2441" t="str">
        <f>HYPERLINK("Melting_Curves/meltCurve_sp_Q86VP6_CAND1_HUMAN_.pdf", "Melting_Curves/meltCurve_sp_Q86VP6_CAND1_HUMAN_.pdf")</f>
        <v>Melting_Curves/meltCurve_sp_Q86VP6_CAND1_HUMAN_.pdf</v>
      </c>
      <c r="AA2441" t="s">
        <v>16614</v>
      </c>
      <c r="AB2441" t="s">
        <v>21275</v>
      </c>
    </row>
    <row r="2442" spans="1:28" x14ac:dyDescent="0.25">
      <c r="A2442" t="s">
        <v>2446</v>
      </c>
      <c r="B2442">
        <v>0.99904790336628502</v>
      </c>
      <c r="C2442">
        <v>0.92902877080695101</v>
      </c>
      <c r="D2442">
        <v>1.0211660790141399</v>
      </c>
      <c r="E2442">
        <v>0.95839511844479297</v>
      </c>
      <c r="F2442">
        <v>0.68401375959438004</v>
      </c>
      <c r="G2442">
        <v>0.57157811095518296</v>
      </c>
      <c r="H2442">
        <v>0.35075694989046602</v>
      </c>
      <c r="I2442">
        <v>0.23050223296009001</v>
      </c>
      <c r="J2442">
        <v>0.112399108138322</v>
      </c>
      <c r="K2442">
        <v>8.8760236662040498E-2</v>
      </c>
      <c r="L2442">
        <v>770.34358951676097</v>
      </c>
      <c r="M2442">
        <v>13.315538708727599</v>
      </c>
      <c r="N2442">
        <v>57.852979648261297</v>
      </c>
      <c r="O2442">
        <v>56.594849257651802</v>
      </c>
      <c r="P2442">
        <v>-5.8829034533067599E-2</v>
      </c>
      <c r="Q2442">
        <v>0</v>
      </c>
      <c r="R2442">
        <v>0.98390573941604997</v>
      </c>
      <c r="S2442" t="s">
        <v>7182</v>
      </c>
      <c r="T2442" t="s">
        <v>9478</v>
      </c>
      <c r="U2442" t="s">
        <v>9478</v>
      </c>
      <c r="V2442" t="s">
        <v>9478</v>
      </c>
      <c r="W2442">
        <v>10</v>
      </c>
      <c r="X2442" t="s">
        <v>11920</v>
      </c>
      <c r="Y2442">
        <v>0.60899028358629503</v>
      </c>
      <c r="Z2442" t="str">
        <f>HYPERLINK("Melting_Curves/meltCurve_sp_Q86VQ6_TRXR3_HUMAN_.pdf", "Melting_Curves/meltCurve_sp_Q86VQ6_TRXR3_HUMAN_.pdf")</f>
        <v>Melting_Curves/meltCurve_sp_Q86VQ6_TRXR3_HUMAN_.pdf</v>
      </c>
      <c r="AA2442" t="s">
        <v>16615</v>
      </c>
      <c r="AB2442" t="s">
        <v>21276</v>
      </c>
    </row>
    <row r="2443" spans="1:28" x14ac:dyDescent="0.25">
      <c r="A2443" t="s">
        <v>2447</v>
      </c>
      <c r="B2443">
        <v>0.99904790336628502</v>
      </c>
      <c r="C2443">
        <v>1.01140687040679</v>
      </c>
      <c r="D2443">
        <v>0.88644923038681001</v>
      </c>
      <c r="E2443">
        <v>0.76592557061005795</v>
      </c>
      <c r="F2443">
        <v>0.69008101589903603</v>
      </c>
      <c r="G2443">
        <v>0.51013667474602398</v>
      </c>
      <c r="H2443">
        <v>0.27060895896644099</v>
      </c>
      <c r="I2443">
        <v>0.25444756731770202</v>
      </c>
      <c r="J2443">
        <v>0.12775686170088901</v>
      </c>
      <c r="K2443">
        <v>0.225891919036144</v>
      </c>
      <c r="L2443">
        <v>653.977241975835</v>
      </c>
      <c r="M2443">
        <v>11.8163814785241</v>
      </c>
      <c r="N2443">
        <v>56.298105191832498</v>
      </c>
      <c r="O2443">
        <v>53.831225570167199</v>
      </c>
      <c r="P2443">
        <v>-4.9914792344468398E-2</v>
      </c>
      <c r="Q2443">
        <v>9.0656635839417798E-2</v>
      </c>
      <c r="R2443">
        <v>0.98287750710121902</v>
      </c>
      <c r="S2443" t="s">
        <v>7183</v>
      </c>
      <c r="T2443" t="s">
        <v>9478</v>
      </c>
      <c r="U2443" t="s">
        <v>9478</v>
      </c>
      <c r="V2443" t="s">
        <v>9478</v>
      </c>
      <c r="W2443">
        <v>2</v>
      </c>
      <c r="X2443" t="s">
        <v>11921</v>
      </c>
      <c r="Y2443">
        <v>0.57637705398753514</v>
      </c>
      <c r="Z2443" t="str">
        <f>HYPERLINK("Melting_Curves/meltCurve_sp_Q86VR2_F134C_HUMAN_.pdf", "Melting_Curves/meltCurve_sp_Q86VR2_F134C_HUMAN_.pdf")</f>
        <v>Melting_Curves/meltCurve_sp_Q86VR2_F134C_HUMAN_.pdf</v>
      </c>
      <c r="AA2443" t="s">
        <v>16616</v>
      </c>
      <c r="AB2443" t="s">
        <v>21277</v>
      </c>
    </row>
    <row r="2444" spans="1:28" x14ac:dyDescent="0.25">
      <c r="A2444" t="s">
        <v>2448</v>
      </c>
      <c r="B2444">
        <v>0.99904790336628502</v>
      </c>
      <c r="C2444">
        <v>1.00408194302063</v>
      </c>
      <c r="D2444">
        <v>1.0407800938988201</v>
      </c>
      <c r="E2444">
        <v>0.92777172906803496</v>
      </c>
      <c r="F2444">
        <v>0.81845173280780403</v>
      </c>
      <c r="G2444">
        <v>0.53098428019736399</v>
      </c>
      <c r="H2444">
        <v>0.40419396987470002</v>
      </c>
      <c r="I2444">
        <v>0.30812792714062898</v>
      </c>
      <c r="J2444">
        <v>0.28545054453862001</v>
      </c>
      <c r="K2444">
        <v>0.242130464975222</v>
      </c>
      <c r="L2444">
        <v>1092.62294956859</v>
      </c>
      <c r="M2444">
        <v>19.534715392385799</v>
      </c>
      <c r="N2444">
        <v>57.978778475554101</v>
      </c>
      <c r="O2444">
        <v>55.356126250131297</v>
      </c>
      <c r="P2444">
        <v>-6.62503386335202E-2</v>
      </c>
      <c r="Q2444">
        <v>0.24908430306325699</v>
      </c>
      <c r="R2444">
        <v>0.99501105817600199</v>
      </c>
      <c r="S2444" t="s">
        <v>7184</v>
      </c>
      <c r="T2444" t="s">
        <v>9478</v>
      </c>
      <c r="U2444" t="s">
        <v>9478</v>
      </c>
      <c r="V2444" t="s">
        <v>9478</v>
      </c>
      <c r="W2444">
        <v>26</v>
      </c>
      <c r="X2444" t="s">
        <v>11922</v>
      </c>
      <c r="Y2444">
        <v>0.65789262513814406</v>
      </c>
      <c r="Z2444" t="str">
        <f>HYPERLINK("Melting_Curves/meltCurve_sp_Q86VS8_HOOK3_HUMAN_.pdf", "Melting_Curves/meltCurve_sp_Q86VS8_HOOK3_HUMAN_.pdf")</f>
        <v>Melting_Curves/meltCurve_sp_Q86VS8_HOOK3_HUMAN_.pdf</v>
      </c>
      <c r="AA2444" t="s">
        <v>16617</v>
      </c>
      <c r="AB2444" t="s">
        <v>21278</v>
      </c>
    </row>
    <row r="2445" spans="1:28" x14ac:dyDescent="0.25">
      <c r="A2445" t="s">
        <v>2449</v>
      </c>
      <c r="B2445">
        <v>0.99904790336628502</v>
      </c>
      <c r="C2445">
        <v>1.0866174507905599</v>
      </c>
      <c r="D2445">
        <v>1.01941446791576</v>
      </c>
      <c r="E2445">
        <v>1.0428887548785299</v>
      </c>
      <c r="F2445">
        <v>0.485002916318518</v>
      </c>
      <c r="G2445">
        <v>0.597382325612136</v>
      </c>
      <c r="H2445">
        <v>0.10810818296855899</v>
      </c>
      <c r="I2445">
        <v>6.3340675515501405E-2</v>
      </c>
      <c r="J2445">
        <v>7.1017782042346198E-2</v>
      </c>
      <c r="K2445">
        <v>4.3322268492258502E-2</v>
      </c>
      <c r="L2445">
        <v>971.35593132671704</v>
      </c>
      <c r="M2445">
        <v>17.382741680888302</v>
      </c>
      <c r="N2445">
        <v>55.8804587051685</v>
      </c>
      <c r="O2445">
        <v>55.156635633893799</v>
      </c>
      <c r="P2445">
        <v>-7.8792521535681601E-2</v>
      </c>
      <c r="Q2445">
        <v>0</v>
      </c>
      <c r="R2445">
        <v>0.92985087523055598</v>
      </c>
      <c r="S2445" t="s">
        <v>7185</v>
      </c>
      <c r="T2445" t="s">
        <v>9478</v>
      </c>
      <c r="U2445" t="s">
        <v>9478</v>
      </c>
      <c r="V2445" t="s">
        <v>9478</v>
      </c>
      <c r="W2445">
        <v>2</v>
      </c>
      <c r="X2445" t="s">
        <v>11923</v>
      </c>
      <c r="Y2445">
        <v>0.5448034971090997</v>
      </c>
      <c r="Z2445" t="str">
        <f>HYPERLINK("Melting_Curves/meltCurve_sp_Q86VX2_2_COMD7_HUMAN_.pdf", "Melting_Curves/meltCurve_sp_Q86VX2_2_COMD7_HUMAN_.pdf")</f>
        <v>Melting_Curves/meltCurve_sp_Q86VX2_2_COMD7_HUMAN_.pdf</v>
      </c>
      <c r="AA2445" t="s">
        <v>16618</v>
      </c>
      <c r="AB2445" t="s">
        <v>21279</v>
      </c>
    </row>
    <row r="2446" spans="1:28" x14ac:dyDescent="0.25">
      <c r="A2446" t="s">
        <v>2450</v>
      </c>
      <c r="B2446">
        <v>0.99904790336628502</v>
      </c>
      <c r="C2446">
        <v>0.97372314829629403</v>
      </c>
      <c r="D2446">
        <v>0.98546819619704595</v>
      </c>
      <c r="E2446">
        <v>0.91295582419001897</v>
      </c>
      <c r="F2446">
        <v>0.73531866107885202</v>
      </c>
      <c r="G2446">
        <v>0.32043143719428602</v>
      </c>
      <c r="H2446">
        <v>6.5517288238207697E-2</v>
      </c>
      <c r="I2446">
        <v>3.70782669176088E-2</v>
      </c>
      <c r="J2446">
        <v>0</v>
      </c>
      <c r="K2446">
        <v>0</v>
      </c>
      <c r="L2446">
        <v>1363.0598577015701</v>
      </c>
      <c r="M2446">
        <v>24.710896754122601</v>
      </c>
      <c r="N2446">
        <v>55.160275315157797</v>
      </c>
      <c r="O2446">
        <v>54.802836419771197</v>
      </c>
      <c r="P2446">
        <v>-0.11272794601335601</v>
      </c>
      <c r="Q2446">
        <v>0</v>
      </c>
      <c r="R2446">
        <v>0.99912062295658699</v>
      </c>
      <c r="S2446" t="s">
        <v>7186</v>
      </c>
      <c r="T2446" t="s">
        <v>9478</v>
      </c>
      <c r="U2446" t="s">
        <v>9478</v>
      </c>
      <c r="V2446" t="s">
        <v>9478</v>
      </c>
      <c r="W2446">
        <v>1</v>
      </c>
      <c r="X2446" t="s">
        <v>11924</v>
      </c>
      <c r="Y2446">
        <v>0.51477626068877835</v>
      </c>
      <c r="Z2446" t="str">
        <f>HYPERLINK("Melting_Curves/meltCurve_sp_Q86W50_MET16_HUMAN_.pdf", "Melting_Curves/meltCurve_sp_Q86W50_MET16_HUMAN_.pdf")</f>
        <v>Melting_Curves/meltCurve_sp_Q86W50_MET16_HUMAN_.pdf</v>
      </c>
      <c r="AA2446" t="s">
        <v>16619</v>
      </c>
      <c r="AB2446" t="s">
        <v>21280</v>
      </c>
    </row>
    <row r="2447" spans="1:28" x14ac:dyDescent="0.25">
      <c r="A2447" t="s">
        <v>2451</v>
      </c>
      <c r="B2447">
        <v>0.99904790336628502</v>
      </c>
      <c r="C2447">
        <v>0.91963956642255595</v>
      </c>
      <c r="D2447">
        <v>0.81518139236998499</v>
      </c>
      <c r="E2447">
        <v>0.67379783863493403</v>
      </c>
      <c r="F2447">
        <v>0.57961028508226098</v>
      </c>
      <c r="G2447">
        <v>0.41606282065800898</v>
      </c>
      <c r="H2447">
        <v>0.37990073650167899</v>
      </c>
      <c r="I2447">
        <v>0.32906379046723899</v>
      </c>
      <c r="J2447">
        <v>0.342958430192078</v>
      </c>
      <c r="K2447">
        <v>0.33348699610190602</v>
      </c>
      <c r="L2447">
        <v>608.90861991091197</v>
      </c>
      <c r="M2447">
        <v>12.0580410872559</v>
      </c>
      <c r="N2447">
        <v>54.616970440475598</v>
      </c>
      <c r="O2447">
        <v>49.169394344829001</v>
      </c>
      <c r="P2447">
        <v>-4.3011843781558298E-2</v>
      </c>
      <c r="Q2447">
        <v>0.29860375574951098</v>
      </c>
      <c r="R2447">
        <v>0.99468412243848803</v>
      </c>
      <c r="S2447" t="s">
        <v>7187</v>
      </c>
      <c r="T2447" t="s">
        <v>9478</v>
      </c>
      <c r="U2447" t="s">
        <v>9478</v>
      </c>
      <c r="V2447" t="s">
        <v>9478</v>
      </c>
      <c r="W2447">
        <v>18</v>
      </c>
      <c r="X2447" t="s">
        <v>11925</v>
      </c>
      <c r="Y2447">
        <v>0.56745462774150002</v>
      </c>
      <c r="Z2447" t="str">
        <f>HYPERLINK("Melting_Curves/meltCurve_sp_Q86W92_4_LIPB1_HUMAN_.pdf", "Melting_Curves/meltCurve_sp_Q86W92_4_LIPB1_HUMAN_.pdf")</f>
        <v>Melting_Curves/meltCurve_sp_Q86W92_4_LIPB1_HUMAN_.pdf</v>
      </c>
      <c r="AA2447" t="s">
        <v>16620</v>
      </c>
      <c r="AB2447" t="s">
        <v>21281</v>
      </c>
    </row>
    <row r="2448" spans="1:28" x14ac:dyDescent="0.25">
      <c r="A2448" t="s">
        <v>2452</v>
      </c>
      <c r="B2448">
        <v>0.99904790336628502</v>
      </c>
      <c r="C2448">
        <v>0.98714866062790096</v>
      </c>
      <c r="D2448">
        <v>0.97213202769111395</v>
      </c>
      <c r="E2448">
        <v>0.92402685460362399</v>
      </c>
      <c r="F2448">
        <v>0.804041306741901</v>
      </c>
      <c r="G2448">
        <v>0.16578012629255601</v>
      </c>
      <c r="H2448">
        <v>6.4539122363940896E-2</v>
      </c>
      <c r="I2448">
        <v>4.0985805820707703E-2</v>
      </c>
      <c r="J2448">
        <v>3.3340904989359002E-2</v>
      </c>
      <c r="K2448">
        <v>2.9335305113978499E-2</v>
      </c>
      <c r="L2448">
        <v>2307.1427524895298</v>
      </c>
      <c r="M2448">
        <v>42.249088867078697</v>
      </c>
      <c r="N2448">
        <v>54.706780544826302</v>
      </c>
      <c r="O2448">
        <v>54.4861897323145</v>
      </c>
      <c r="P2448">
        <v>-0.18674083542136999</v>
      </c>
      <c r="Q2448">
        <v>3.6686479027176498E-2</v>
      </c>
      <c r="R2448">
        <v>0.99752605414303397</v>
      </c>
      <c r="S2448" t="s">
        <v>7188</v>
      </c>
      <c r="T2448" t="s">
        <v>9478</v>
      </c>
      <c r="U2448" t="s">
        <v>9478</v>
      </c>
      <c r="V2448" t="s">
        <v>9478</v>
      </c>
      <c r="W2448">
        <v>14</v>
      </c>
      <c r="X2448" t="s">
        <v>11926</v>
      </c>
      <c r="Y2448">
        <v>0.50900994385823883</v>
      </c>
      <c r="Z2448" t="str">
        <f>HYPERLINK("Melting_Curves/meltCurve_sp_Q86WA6_BPHL_HUMAN_.pdf", "Melting_Curves/meltCurve_sp_Q86WA6_BPHL_HUMAN_.pdf")</f>
        <v>Melting_Curves/meltCurve_sp_Q86WA6_BPHL_HUMAN_.pdf</v>
      </c>
      <c r="AA2448" t="s">
        <v>16621</v>
      </c>
      <c r="AB2448" t="s">
        <v>21282</v>
      </c>
    </row>
    <row r="2449" spans="1:28" x14ac:dyDescent="0.25">
      <c r="A2449" t="s">
        <v>2453</v>
      </c>
      <c r="B2449">
        <v>0.99904790336628502</v>
      </c>
      <c r="C2449">
        <v>0.98994469699439502</v>
      </c>
      <c r="D2449">
        <v>0.80066055119624602</v>
      </c>
      <c r="E2449">
        <v>0.38546128211645397</v>
      </c>
      <c r="F2449">
        <v>0.23522090165797799</v>
      </c>
      <c r="G2449">
        <v>0.16817821488864501</v>
      </c>
      <c r="H2449">
        <v>9.0294769092702801E-2</v>
      </c>
      <c r="I2449">
        <v>8.5475527892664604E-2</v>
      </c>
      <c r="J2449">
        <v>6.1263383025813301E-2</v>
      </c>
      <c r="K2449">
        <v>4.9709234512013499E-2</v>
      </c>
      <c r="L2449">
        <v>1048.16082653327</v>
      </c>
      <c r="M2449">
        <v>21.5181251101484</v>
      </c>
      <c r="N2449">
        <v>49.101333415518603</v>
      </c>
      <c r="O2449">
        <v>48.295764313135699</v>
      </c>
      <c r="P2449">
        <v>-0.10262492919192601</v>
      </c>
      <c r="Q2449">
        <v>7.8687676171751805E-2</v>
      </c>
      <c r="R2449">
        <v>0.99522120159014404</v>
      </c>
      <c r="S2449" t="s">
        <v>7189</v>
      </c>
      <c r="T2449" t="s">
        <v>9478</v>
      </c>
      <c r="U2449" t="s">
        <v>9478</v>
      </c>
      <c r="V2449" t="s">
        <v>9478</v>
      </c>
      <c r="W2449">
        <v>7</v>
      </c>
      <c r="X2449" t="s">
        <v>11927</v>
      </c>
      <c r="Y2449">
        <v>0.35732345086881678</v>
      </c>
      <c r="Z2449" t="str">
        <f>HYPERLINK("Melting_Curves/meltCurve_sp_Q86WA8_LONP2_HUMAN_.pdf", "Melting_Curves/meltCurve_sp_Q86WA8_LONP2_HUMAN_.pdf")</f>
        <v>Melting_Curves/meltCurve_sp_Q86WA8_LONP2_HUMAN_.pdf</v>
      </c>
      <c r="AA2449" t="s">
        <v>16622</v>
      </c>
      <c r="AB2449" t="s">
        <v>21283</v>
      </c>
    </row>
    <row r="2450" spans="1:28" x14ac:dyDescent="0.25">
      <c r="A2450" t="s">
        <v>2454</v>
      </c>
      <c r="B2450">
        <v>0.99904790336628502</v>
      </c>
      <c r="C2450">
        <v>0.95861139100891002</v>
      </c>
      <c r="D2450">
        <v>0.96063401667614201</v>
      </c>
      <c r="E2450">
        <v>0.71020559936417804</v>
      </c>
      <c r="F2450">
        <v>0.37717749221737501</v>
      </c>
      <c r="G2450">
        <v>0.194898920775784</v>
      </c>
      <c r="H2450">
        <v>0.12957312301606499</v>
      </c>
      <c r="I2450">
        <v>0.11640331055208</v>
      </c>
      <c r="J2450">
        <v>7.7390840191258303E-2</v>
      </c>
      <c r="K2450">
        <v>8.1997033417077494E-2</v>
      </c>
      <c r="L2450">
        <v>1231.1839559420901</v>
      </c>
      <c r="M2450">
        <v>23.920744323396701</v>
      </c>
      <c r="N2450">
        <v>51.924839221312503</v>
      </c>
      <c r="O2450">
        <v>51.113645903570202</v>
      </c>
      <c r="P2450">
        <v>-0.105925664767462</v>
      </c>
      <c r="Q2450">
        <v>9.4650354802768399E-2</v>
      </c>
      <c r="R2450">
        <v>0.997839509452488</v>
      </c>
      <c r="S2450" t="s">
        <v>7190</v>
      </c>
      <c r="T2450" t="s">
        <v>9478</v>
      </c>
      <c r="U2450" t="s">
        <v>9478</v>
      </c>
      <c r="V2450" t="s">
        <v>9478</v>
      </c>
      <c r="W2450">
        <v>3</v>
      </c>
      <c r="X2450" t="s">
        <v>11928</v>
      </c>
      <c r="Y2450">
        <v>0.44972943025076872</v>
      </c>
      <c r="Z2450" t="str">
        <f>HYPERLINK("Melting_Curves/meltCurve_sp_Q86WB0_3_NIPA_HUMAN_.pdf", "Melting_Curves/meltCurve_sp_Q86WB0_3_NIPA_HUMAN_.pdf")</f>
        <v>Melting_Curves/meltCurve_sp_Q86WB0_3_NIPA_HUMAN_.pdf</v>
      </c>
      <c r="AA2450" t="s">
        <v>16623</v>
      </c>
      <c r="AB2450" t="s">
        <v>21284</v>
      </c>
    </row>
    <row r="2451" spans="1:28" x14ac:dyDescent="0.25">
      <c r="A2451" t="s">
        <v>2455</v>
      </c>
      <c r="B2451">
        <v>0.99904790336628502</v>
      </c>
      <c r="C2451">
        <v>1.1645579670016999</v>
      </c>
      <c r="D2451">
        <v>1.08296512126727</v>
      </c>
      <c r="E2451">
        <v>0.98649913562470504</v>
      </c>
      <c r="F2451">
        <v>0.86726410545759103</v>
      </c>
      <c r="G2451">
        <v>0.69347614650404299</v>
      </c>
      <c r="H2451">
        <v>0.53259740316496096</v>
      </c>
      <c r="I2451">
        <v>0.534162212775803</v>
      </c>
      <c r="J2451">
        <v>0.48556726540516398</v>
      </c>
      <c r="K2451">
        <v>0.450958639913832</v>
      </c>
      <c r="L2451">
        <v>1274.2447791331899</v>
      </c>
      <c r="M2451">
        <v>22.7230660180239</v>
      </c>
      <c r="N2451">
        <v>64.079513329788995</v>
      </c>
      <c r="O2451">
        <v>55.648254607387699</v>
      </c>
      <c r="P2451">
        <v>-5.4031815969269897E-2</v>
      </c>
      <c r="Q2451">
        <v>0.470719805774924</v>
      </c>
      <c r="R2451">
        <v>0.94344250207527103</v>
      </c>
      <c r="S2451" t="s">
        <v>7191</v>
      </c>
      <c r="T2451" t="s">
        <v>9478</v>
      </c>
      <c r="U2451" t="s">
        <v>9478</v>
      </c>
      <c r="V2451" t="s">
        <v>9478</v>
      </c>
      <c r="W2451">
        <v>1</v>
      </c>
      <c r="X2451" t="s">
        <v>11929</v>
      </c>
      <c r="Y2451">
        <v>0.76001630972532619</v>
      </c>
      <c r="Z2451" t="str">
        <f>HYPERLINK("Melting_Curves/meltCurve_sp_Q86WP2_4_GPBP1_HUMAN_.pdf", "Melting_Curves/meltCurve_sp_Q86WP2_4_GPBP1_HUMAN_.pdf")</f>
        <v>Melting_Curves/meltCurve_sp_Q86WP2_4_GPBP1_HUMAN_.pdf</v>
      </c>
      <c r="AA2451" t="s">
        <v>16624</v>
      </c>
      <c r="AB2451" t="s">
        <v>21285</v>
      </c>
    </row>
    <row r="2452" spans="1:28" x14ac:dyDescent="0.25">
      <c r="A2452" t="s">
        <v>2456</v>
      </c>
      <c r="B2452">
        <v>0.99904790336628502</v>
      </c>
      <c r="C2452">
        <v>1.02276887754708</v>
      </c>
      <c r="D2452">
        <v>0.85220189692038295</v>
      </c>
      <c r="E2452">
        <v>0.83439546376623797</v>
      </c>
      <c r="F2452">
        <v>0.37386825087577702</v>
      </c>
      <c r="G2452">
        <v>0.20208780229297599</v>
      </c>
      <c r="H2452">
        <v>0.12565291937057499</v>
      </c>
      <c r="I2452">
        <v>0.10043315429881999</v>
      </c>
      <c r="J2452">
        <v>2.3560258928839499E-2</v>
      </c>
      <c r="K2452">
        <v>0</v>
      </c>
      <c r="L2452">
        <v>1142.55668638518</v>
      </c>
      <c r="M2452">
        <v>21.8585583883727</v>
      </c>
      <c r="N2452">
        <v>52.491586613464698</v>
      </c>
      <c r="O2452">
        <v>51.838847528761796</v>
      </c>
      <c r="P2452">
        <v>-0.1007810740737</v>
      </c>
      <c r="Q2452">
        <v>4.3988791706195102E-2</v>
      </c>
      <c r="R2452">
        <v>0.979780422006161</v>
      </c>
      <c r="S2452" t="s">
        <v>7192</v>
      </c>
      <c r="T2452" t="s">
        <v>9478</v>
      </c>
      <c r="U2452" t="s">
        <v>9478</v>
      </c>
      <c r="V2452" t="s">
        <v>9478</v>
      </c>
      <c r="W2452">
        <v>2</v>
      </c>
      <c r="X2452" t="s">
        <v>11930</v>
      </c>
      <c r="Y2452">
        <v>0.44626856271306048</v>
      </c>
      <c r="Z2452" t="str">
        <f>HYPERLINK("Melting_Curves/meltCurve_sp_Q86WQ0_NR2CA_HUMAN_.pdf", "Melting_Curves/meltCurve_sp_Q86WQ0_NR2CA_HUMAN_.pdf")</f>
        <v>Melting_Curves/meltCurve_sp_Q86WQ0_NR2CA_HUMAN_.pdf</v>
      </c>
      <c r="AA2452" t="s">
        <v>16625</v>
      </c>
      <c r="AB2452" t="s">
        <v>21286</v>
      </c>
    </row>
    <row r="2453" spans="1:28" x14ac:dyDescent="0.25">
      <c r="A2453" t="s">
        <v>2457</v>
      </c>
      <c r="B2453">
        <v>0.99904790336628502</v>
      </c>
      <c r="C2453">
        <v>0.94996842265345305</v>
      </c>
      <c r="D2453">
        <v>0.92207925383825096</v>
      </c>
      <c r="E2453">
        <v>0.85529255057543896</v>
      </c>
      <c r="F2453">
        <v>0.51085349345634401</v>
      </c>
      <c r="G2453">
        <v>0.16217138340895901</v>
      </c>
      <c r="H2453">
        <v>0.104316885537843</v>
      </c>
      <c r="I2453">
        <v>8.08944875944025E-2</v>
      </c>
      <c r="J2453">
        <v>7.1134613214303297E-2</v>
      </c>
      <c r="K2453">
        <v>6.3126691871204302E-2</v>
      </c>
      <c r="L2453">
        <v>1483.8162167538801</v>
      </c>
      <c r="M2453">
        <v>28.097613741352301</v>
      </c>
      <c r="N2453">
        <v>53.092691806202097</v>
      </c>
      <c r="O2453">
        <v>52.544004350709898</v>
      </c>
      <c r="P2453">
        <v>-0.12437881295144999</v>
      </c>
      <c r="Q2453">
        <v>6.9628393443631906E-2</v>
      </c>
      <c r="R2453">
        <v>0.995519932609783</v>
      </c>
      <c r="S2453" t="s">
        <v>7193</v>
      </c>
      <c r="T2453" t="s">
        <v>9478</v>
      </c>
      <c r="U2453" t="s">
        <v>9478</v>
      </c>
      <c r="V2453" t="s">
        <v>9478</v>
      </c>
      <c r="W2453">
        <v>10</v>
      </c>
      <c r="X2453" t="s">
        <v>11931</v>
      </c>
      <c r="Y2453">
        <v>0.47371498154361469</v>
      </c>
      <c r="Z2453" t="str">
        <f>HYPERLINK("Melting_Curves/meltCurve_sp_Q86WR0_CCD25_HUMAN_.pdf", "Melting_Curves/meltCurve_sp_Q86WR0_CCD25_HUMAN_.pdf")</f>
        <v>Melting_Curves/meltCurve_sp_Q86WR0_CCD25_HUMAN_.pdf</v>
      </c>
      <c r="AA2453" t="s">
        <v>16626</v>
      </c>
      <c r="AB2453" t="s">
        <v>21287</v>
      </c>
    </row>
    <row r="2454" spans="1:28" x14ac:dyDescent="0.25">
      <c r="A2454" t="s">
        <v>2458</v>
      </c>
      <c r="B2454">
        <v>0.99904790336628502</v>
      </c>
      <c r="C2454">
        <v>1.04364763495764</v>
      </c>
      <c r="D2454">
        <v>1.0070494525398801</v>
      </c>
      <c r="E2454">
        <v>0.928373723383359</v>
      </c>
      <c r="F2454">
        <v>0.91817701423609499</v>
      </c>
      <c r="G2454">
        <v>0.74182333545102297</v>
      </c>
      <c r="H2454">
        <v>0.68267163326972202</v>
      </c>
      <c r="I2454">
        <v>0.66759823518190198</v>
      </c>
      <c r="J2454">
        <v>0.71428584686644003</v>
      </c>
      <c r="K2454">
        <v>0.75141852191736902</v>
      </c>
      <c r="L2454">
        <v>1700.3118034558599</v>
      </c>
      <c r="M2454">
        <v>31.466698921693201</v>
      </c>
      <c r="O2454">
        <v>53.818445331813798</v>
      </c>
      <c r="P2454">
        <v>-4.3715364794305801E-2</v>
      </c>
      <c r="Q2454">
        <v>0.70093077829323502</v>
      </c>
      <c r="R2454">
        <v>0.950553340151441</v>
      </c>
      <c r="S2454" t="s">
        <v>7194</v>
      </c>
      <c r="T2454" t="s">
        <v>9478</v>
      </c>
      <c r="U2454" t="s">
        <v>9478</v>
      </c>
      <c r="V2454" t="s">
        <v>9478</v>
      </c>
      <c r="W2454">
        <v>5</v>
      </c>
      <c r="X2454" t="s">
        <v>11932</v>
      </c>
      <c r="Y2454">
        <v>0.84263982188565578</v>
      </c>
      <c r="Z2454" t="str">
        <f>HYPERLINK("Melting_Curves/meltCurve_sp_Q86WR7_PRSR2_HUMAN_.pdf", "Melting_Curves/meltCurve_sp_Q86WR7_PRSR2_HUMAN_.pdf")</f>
        <v>Melting_Curves/meltCurve_sp_Q86WR7_PRSR2_HUMAN_.pdf</v>
      </c>
      <c r="AA2454" t="s">
        <v>16627</v>
      </c>
      <c r="AB2454" t="s">
        <v>21288</v>
      </c>
    </row>
    <row r="2455" spans="1:28" x14ac:dyDescent="0.25">
      <c r="A2455" t="s">
        <v>2459</v>
      </c>
      <c r="B2455">
        <v>0.99904790336628502</v>
      </c>
      <c r="C2455">
        <v>0.97194047443689202</v>
      </c>
      <c r="D2455">
        <v>1.0498667530635399</v>
      </c>
      <c r="E2455">
        <v>0.99607447019457795</v>
      </c>
      <c r="F2455">
        <v>0.91358575084309102</v>
      </c>
      <c r="G2455">
        <v>0.80981161404652502</v>
      </c>
      <c r="H2455">
        <v>0.60064167291541903</v>
      </c>
      <c r="I2455">
        <v>0.383898975159564</v>
      </c>
      <c r="J2455">
        <v>0.19381805176428701</v>
      </c>
      <c r="K2455">
        <v>0.109576774486946</v>
      </c>
      <c r="L2455">
        <v>1086.12952229998</v>
      </c>
      <c r="M2455">
        <v>17.497662814616401</v>
      </c>
      <c r="N2455">
        <v>62.072835172902202</v>
      </c>
      <c r="O2455">
        <v>61.279083691881503</v>
      </c>
      <c r="P2455">
        <v>-7.1389057617263704E-2</v>
      </c>
      <c r="Q2455">
        <v>0</v>
      </c>
      <c r="R2455">
        <v>0.99411085062762705</v>
      </c>
      <c r="S2455" t="s">
        <v>7195</v>
      </c>
      <c r="T2455" t="s">
        <v>9478</v>
      </c>
      <c r="U2455" t="s">
        <v>9478</v>
      </c>
      <c r="V2455" t="s">
        <v>9478</v>
      </c>
      <c r="W2455">
        <v>28</v>
      </c>
      <c r="X2455" t="s">
        <v>11933</v>
      </c>
      <c r="Y2455">
        <v>0.73640758899963821</v>
      </c>
      <c r="Z2455" t="str">
        <f>HYPERLINK("Melting_Curves/meltCurve_sp_Q86WU2_2_LDHD_HUMAN_.pdf", "Melting_Curves/meltCurve_sp_Q86WU2_2_LDHD_HUMAN_.pdf")</f>
        <v>Melting_Curves/meltCurve_sp_Q86WU2_2_LDHD_HUMAN_.pdf</v>
      </c>
      <c r="AA2455" t="s">
        <v>16628</v>
      </c>
      <c r="AB2455" t="s">
        <v>21289</v>
      </c>
    </row>
    <row r="2456" spans="1:28" x14ac:dyDescent="0.25">
      <c r="A2456" t="s">
        <v>2460</v>
      </c>
      <c r="B2456">
        <v>0.99904790336628502</v>
      </c>
      <c r="C2456">
        <v>1.1705996507343399</v>
      </c>
      <c r="D2456">
        <v>1.0272851303916599</v>
      </c>
      <c r="E2456">
        <v>0.65491119008466703</v>
      </c>
      <c r="F2456">
        <v>0.19608350845540601</v>
      </c>
      <c r="G2456">
        <v>0.11024313823639</v>
      </c>
      <c r="H2456">
        <v>8.7144781361338602E-2</v>
      </c>
      <c r="I2456">
        <v>8.3840557075024802E-2</v>
      </c>
      <c r="J2456">
        <v>4.1587611687259302E-2</v>
      </c>
      <c r="K2456">
        <v>3.9951230821981501E-2</v>
      </c>
      <c r="L2456">
        <v>2161.16218632243</v>
      </c>
      <c r="M2456">
        <v>42.671883886781202</v>
      </c>
      <c r="N2456">
        <v>50.828741248102098</v>
      </c>
      <c r="O2456">
        <v>50.535211676004302</v>
      </c>
      <c r="P2456">
        <v>-0.19609160467190101</v>
      </c>
      <c r="Q2456">
        <v>7.1096854958699093E-2</v>
      </c>
      <c r="R2456">
        <v>0.98275384904438601</v>
      </c>
      <c r="S2456" t="s">
        <v>7196</v>
      </c>
      <c r="T2456" t="s">
        <v>9478</v>
      </c>
      <c r="U2456" t="s">
        <v>9478</v>
      </c>
      <c r="V2456" t="s">
        <v>9478</v>
      </c>
      <c r="W2456">
        <v>3</v>
      </c>
      <c r="X2456" t="s">
        <v>11934</v>
      </c>
      <c r="Y2456">
        <v>0.40358988989022271</v>
      </c>
      <c r="Z2456" t="str">
        <f>HYPERLINK("Melting_Curves/meltCurve_sp_Q86X10_3_RLGPB_HUMAN_.pdf", "Melting_Curves/meltCurve_sp_Q86X10_3_RLGPB_HUMAN_.pdf")</f>
        <v>Melting_Curves/meltCurve_sp_Q86X10_3_RLGPB_HUMAN_.pdf</v>
      </c>
      <c r="AA2456" t="s">
        <v>16629</v>
      </c>
      <c r="AB2456" t="s">
        <v>21290</v>
      </c>
    </row>
    <row r="2457" spans="1:28" x14ac:dyDescent="0.25">
      <c r="A2457" t="s">
        <v>2461</v>
      </c>
      <c r="B2457">
        <v>0.99904790336628502</v>
      </c>
      <c r="C2457">
        <v>1.0428680292469099</v>
      </c>
      <c r="D2457">
        <v>0.99942199434383605</v>
      </c>
      <c r="E2457">
        <v>0.89775667710885798</v>
      </c>
      <c r="F2457">
        <v>0.57179207335520399</v>
      </c>
      <c r="G2457">
        <v>0.220108503469644</v>
      </c>
      <c r="H2457">
        <v>0.15749890642792899</v>
      </c>
      <c r="I2457">
        <v>0.14478944140724401</v>
      </c>
      <c r="J2457">
        <v>0.128462604858222</v>
      </c>
      <c r="K2457">
        <v>9.8391712790703995E-2</v>
      </c>
      <c r="L2457">
        <v>1670.31926732076</v>
      </c>
      <c r="M2457">
        <v>31.454801184270298</v>
      </c>
      <c r="N2457">
        <v>53.602241367169697</v>
      </c>
      <c r="O2457">
        <v>52.888958813826598</v>
      </c>
      <c r="P2457">
        <v>-0.129779295744722</v>
      </c>
      <c r="Q2457">
        <v>0.12714699823030101</v>
      </c>
      <c r="R2457">
        <v>0.99791770345650299</v>
      </c>
      <c r="S2457" t="s">
        <v>7197</v>
      </c>
      <c r="T2457" t="s">
        <v>9478</v>
      </c>
      <c r="U2457" t="s">
        <v>9478</v>
      </c>
      <c r="V2457" t="s">
        <v>9478</v>
      </c>
      <c r="W2457">
        <v>5</v>
      </c>
      <c r="X2457" t="s">
        <v>11935</v>
      </c>
      <c r="Y2457">
        <v>0.51352214665453522</v>
      </c>
      <c r="Z2457" t="str">
        <f>HYPERLINK("Melting_Curves/meltCurve_sp_Q86X27_RGPS2_HUMAN_.pdf", "Melting_Curves/meltCurve_sp_Q86X27_RGPS2_HUMAN_.pdf")</f>
        <v>Melting_Curves/meltCurve_sp_Q86X27_RGPS2_HUMAN_.pdf</v>
      </c>
      <c r="AA2457" t="s">
        <v>16630</v>
      </c>
      <c r="AB2457" t="s">
        <v>21291</v>
      </c>
    </row>
    <row r="2458" spans="1:28" x14ac:dyDescent="0.25">
      <c r="A2458" t="s">
        <v>2462</v>
      </c>
      <c r="B2458">
        <v>0.99904790336628502</v>
      </c>
      <c r="C2458">
        <v>1.00433894808894</v>
      </c>
      <c r="D2458">
        <v>1.0268941348770899</v>
      </c>
      <c r="E2458">
        <v>0.88631461937838596</v>
      </c>
      <c r="F2458">
        <v>0.63699196690072801</v>
      </c>
      <c r="G2458">
        <v>0.26548490143415299</v>
      </c>
      <c r="H2458">
        <v>7.2083863412275601E-2</v>
      </c>
      <c r="I2458">
        <v>4.3635159432512199E-2</v>
      </c>
      <c r="J2458">
        <v>3.03070806473969E-2</v>
      </c>
      <c r="K2458">
        <v>2.97243461300787E-2</v>
      </c>
      <c r="L2458">
        <v>1309.5279533005701</v>
      </c>
      <c r="M2458">
        <v>24.142117093405801</v>
      </c>
      <c r="N2458">
        <v>54.3368608381192</v>
      </c>
      <c r="O2458">
        <v>53.874405857141198</v>
      </c>
      <c r="P2458">
        <v>-0.109730621657851</v>
      </c>
      <c r="Q2458">
        <v>2.0536475453904302E-2</v>
      </c>
      <c r="R2458">
        <v>0.99891056068225603</v>
      </c>
      <c r="S2458" t="s">
        <v>7198</v>
      </c>
      <c r="T2458" t="s">
        <v>9478</v>
      </c>
      <c r="U2458" t="s">
        <v>9478</v>
      </c>
      <c r="V2458" t="s">
        <v>9478</v>
      </c>
      <c r="W2458">
        <v>11</v>
      </c>
      <c r="X2458" t="s">
        <v>11936</v>
      </c>
      <c r="Y2458">
        <v>0.49518928567782738</v>
      </c>
      <c r="Z2458" t="str">
        <f>HYPERLINK("Melting_Curves/meltCurve_sp_Q86X55_1_CARM1_HUMAN_.pdf", "Melting_Curves/meltCurve_sp_Q86X55_1_CARM1_HUMAN_.pdf")</f>
        <v>Melting_Curves/meltCurve_sp_Q86X55_1_CARM1_HUMAN_.pdf</v>
      </c>
      <c r="AA2458" t="s">
        <v>16631</v>
      </c>
      <c r="AB2458" t="s">
        <v>21292</v>
      </c>
    </row>
    <row r="2459" spans="1:28" x14ac:dyDescent="0.25">
      <c r="A2459" t="s">
        <v>2463</v>
      </c>
      <c r="B2459">
        <v>0.99904790336628502</v>
      </c>
      <c r="C2459">
        <v>0.91112475280135996</v>
      </c>
      <c r="D2459">
        <v>0.92360627792015304</v>
      </c>
      <c r="E2459">
        <v>0.90006584242416099</v>
      </c>
      <c r="F2459">
        <v>0.7597674890742</v>
      </c>
      <c r="G2459">
        <v>0.60776703834806101</v>
      </c>
      <c r="H2459">
        <v>0.43724280797912601</v>
      </c>
      <c r="I2459">
        <v>0.39631474114883197</v>
      </c>
      <c r="J2459">
        <v>0.24505161318928501</v>
      </c>
      <c r="K2459">
        <v>8.6738762400661099E-2</v>
      </c>
      <c r="L2459">
        <v>610.663940150352</v>
      </c>
      <c r="M2459">
        <v>10.2665455197147</v>
      </c>
      <c r="N2459">
        <v>59.480937553142702</v>
      </c>
      <c r="O2459">
        <v>57.356776683969301</v>
      </c>
      <c r="P2459">
        <v>-4.4768296504432599E-2</v>
      </c>
      <c r="Q2459">
        <v>0</v>
      </c>
      <c r="R2459">
        <v>0.97871326433142503</v>
      </c>
      <c r="S2459" t="s">
        <v>7199</v>
      </c>
      <c r="T2459" t="s">
        <v>9478</v>
      </c>
      <c r="U2459" t="s">
        <v>9478</v>
      </c>
      <c r="V2459" t="s">
        <v>9478</v>
      </c>
      <c r="W2459">
        <v>15</v>
      </c>
      <c r="X2459" t="s">
        <v>11937</v>
      </c>
      <c r="Y2459">
        <v>0.65021229002389647</v>
      </c>
      <c r="Z2459" t="str">
        <f>HYPERLINK("Melting_Curves/meltCurve_sp_Q86X76_2_NIT1_HUMAN_.pdf", "Melting_Curves/meltCurve_sp_Q86X76_2_NIT1_HUMAN_.pdf")</f>
        <v>Melting_Curves/meltCurve_sp_Q86X76_2_NIT1_HUMAN_.pdf</v>
      </c>
      <c r="AA2459" t="s">
        <v>16632</v>
      </c>
      <c r="AB2459" t="s">
        <v>21293</v>
      </c>
    </row>
    <row r="2460" spans="1:28" x14ac:dyDescent="0.25">
      <c r="A2460" t="s">
        <v>2464</v>
      </c>
      <c r="B2460">
        <v>0.99904790336628502</v>
      </c>
      <c r="C2460">
        <v>1.0660487188932</v>
      </c>
      <c r="D2460">
        <v>0.99601591536174305</v>
      </c>
      <c r="E2460">
        <v>0.74982980832538404</v>
      </c>
      <c r="F2460">
        <v>0.26614661507897103</v>
      </c>
      <c r="G2460">
        <v>0.13497982120629801</v>
      </c>
      <c r="H2460">
        <v>8.2833213965058397E-2</v>
      </c>
      <c r="I2460">
        <v>9.2803893155786701E-2</v>
      </c>
      <c r="J2460">
        <v>5.8529149573592502E-2</v>
      </c>
      <c r="K2460">
        <v>5.29119698039879E-2</v>
      </c>
      <c r="L2460">
        <v>2020.77576737667</v>
      </c>
      <c r="M2460">
        <v>39.444130168460603</v>
      </c>
      <c r="N2460">
        <v>51.457004284122597</v>
      </c>
      <c r="O2460">
        <v>51.100214945958001</v>
      </c>
      <c r="P2460">
        <v>-0.17764828003699201</v>
      </c>
      <c r="Q2460">
        <v>7.9422856350859494E-2</v>
      </c>
      <c r="R2460">
        <v>0.99585581422567004</v>
      </c>
      <c r="S2460" t="s">
        <v>7200</v>
      </c>
      <c r="T2460" t="s">
        <v>9478</v>
      </c>
      <c r="U2460" t="s">
        <v>9478</v>
      </c>
      <c r="V2460" t="s">
        <v>9478</v>
      </c>
      <c r="W2460">
        <v>3</v>
      </c>
      <c r="X2460" t="s">
        <v>11938</v>
      </c>
      <c r="Y2460">
        <v>0.42741944539466092</v>
      </c>
      <c r="Z2460" t="str">
        <f>HYPERLINK("Melting_Curves/meltCurve_sp_Q86X83_COMD2_HUMAN_.pdf", "Melting_Curves/meltCurve_sp_Q86X83_COMD2_HUMAN_.pdf")</f>
        <v>Melting_Curves/meltCurve_sp_Q86X83_COMD2_HUMAN_.pdf</v>
      </c>
      <c r="AA2460" t="s">
        <v>16633</v>
      </c>
      <c r="AB2460" t="s">
        <v>21294</v>
      </c>
    </row>
    <row r="2461" spans="1:28" x14ac:dyDescent="0.25">
      <c r="A2461" t="s">
        <v>2465</v>
      </c>
      <c r="B2461">
        <v>0.99904790336628502</v>
      </c>
      <c r="C2461">
        <v>0.97875225082936701</v>
      </c>
      <c r="D2461">
        <v>1.0118547456664799</v>
      </c>
      <c r="E2461">
        <v>0.94910788603695795</v>
      </c>
      <c r="F2461">
        <v>0.91014648026352896</v>
      </c>
      <c r="G2461">
        <v>0.73203919510607496</v>
      </c>
      <c r="H2461">
        <v>0.59583953058869898</v>
      </c>
      <c r="I2461">
        <v>0.52732704788571505</v>
      </c>
      <c r="J2461">
        <v>0.50266104034428205</v>
      </c>
      <c r="K2461">
        <v>0.36872474714825698</v>
      </c>
      <c r="L2461">
        <v>781.76087139173001</v>
      </c>
      <c r="M2461">
        <v>13.146619809733799</v>
      </c>
      <c r="N2461">
        <v>64.706654560028994</v>
      </c>
      <c r="O2461">
        <v>58.139382703542402</v>
      </c>
      <c r="P2461">
        <v>-3.8015523945102402E-2</v>
      </c>
      <c r="Q2461">
        <v>0.32763694685168698</v>
      </c>
      <c r="R2461">
        <v>0.98764133130128695</v>
      </c>
      <c r="S2461" t="s">
        <v>7201</v>
      </c>
      <c r="T2461" t="s">
        <v>9478</v>
      </c>
      <c r="U2461" t="s">
        <v>9478</v>
      </c>
      <c r="V2461" t="s">
        <v>9478</v>
      </c>
      <c r="W2461">
        <v>15</v>
      </c>
      <c r="X2461" t="s">
        <v>11939</v>
      </c>
      <c r="Y2461">
        <v>0.76875585173172734</v>
      </c>
      <c r="Z2461" t="str">
        <f>HYPERLINK("Melting_Curves/meltCurve_sp_Q86XE5_HOGA1_HUMAN_.pdf", "Melting_Curves/meltCurve_sp_Q86XE5_HOGA1_HUMAN_.pdf")</f>
        <v>Melting_Curves/meltCurve_sp_Q86XE5_HOGA1_HUMAN_.pdf</v>
      </c>
      <c r="AA2461" t="s">
        <v>16634</v>
      </c>
      <c r="AB2461" t="s">
        <v>21295</v>
      </c>
    </row>
    <row r="2462" spans="1:28" x14ac:dyDescent="0.25">
      <c r="A2462" t="s">
        <v>2466</v>
      </c>
      <c r="B2462">
        <v>0.99904790336628502</v>
      </c>
      <c r="C2462">
        <v>0.95684620292003597</v>
      </c>
      <c r="D2462">
        <v>0.97930888049169196</v>
      </c>
      <c r="E2462">
        <v>0.71578699436858095</v>
      </c>
      <c r="F2462">
        <v>0.35833734983740201</v>
      </c>
      <c r="G2462">
        <v>0.24859172297677301</v>
      </c>
      <c r="H2462">
        <v>0.186615090915216</v>
      </c>
      <c r="I2462">
        <v>0.160853687436364</v>
      </c>
      <c r="J2462">
        <v>0.148198834166269</v>
      </c>
      <c r="K2462">
        <v>0.152894062925896</v>
      </c>
      <c r="L2462">
        <v>1488.7900217260101</v>
      </c>
      <c r="M2462">
        <v>29.1594890141102</v>
      </c>
      <c r="N2462">
        <v>51.777170197727898</v>
      </c>
      <c r="O2462">
        <v>50.818470984982298</v>
      </c>
      <c r="P2462">
        <v>-0.119530758451803</v>
      </c>
      <c r="Q2462">
        <v>0.166744510930596</v>
      </c>
      <c r="R2462">
        <v>0.99609405693415398</v>
      </c>
      <c r="S2462" t="s">
        <v>7202</v>
      </c>
      <c r="T2462" t="s">
        <v>9478</v>
      </c>
      <c r="U2462" t="s">
        <v>9478</v>
      </c>
      <c r="V2462" t="s">
        <v>9478</v>
      </c>
      <c r="W2462">
        <v>20</v>
      </c>
      <c r="X2462" t="s">
        <v>11940</v>
      </c>
      <c r="Y2462">
        <v>0.47939958129576948</v>
      </c>
      <c r="Z2462" t="str">
        <f>HYPERLINK("Melting_Curves/meltCurve_sp_Q86XP3_DDX42_HUMAN_.pdf", "Melting_Curves/meltCurve_sp_Q86XP3_DDX42_HUMAN_.pdf")</f>
        <v>Melting_Curves/meltCurve_sp_Q86XP3_DDX42_HUMAN_.pdf</v>
      </c>
      <c r="AA2462" t="s">
        <v>16635</v>
      </c>
      <c r="AB2462" t="s">
        <v>21296</v>
      </c>
    </row>
    <row r="2463" spans="1:28" x14ac:dyDescent="0.25">
      <c r="A2463" t="s">
        <v>2467</v>
      </c>
      <c r="B2463">
        <v>0.99904790336628502</v>
      </c>
      <c r="C2463">
        <v>0.91182055880426405</v>
      </c>
      <c r="D2463">
        <v>0.87403640744459099</v>
      </c>
      <c r="E2463">
        <v>0.53459575513862601</v>
      </c>
      <c r="F2463">
        <v>0.29408683364745503</v>
      </c>
      <c r="G2463">
        <v>0.163869892084926</v>
      </c>
      <c r="H2463">
        <v>8.8436807213266203E-2</v>
      </c>
      <c r="I2463">
        <v>8.5546523691972298E-2</v>
      </c>
      <c r="J2463">
        <v>3.8409056758627103E-2</v>
      </c>
      <c r="K2463">
        <v>0</v>
      </c>
      <c r="L2463">
        <v>866.43145047532596</v>
      </c>
      <c r="M2463">
        <v>17.225139839697299</v>
      </c>
      <c r="N2463">
        <v>50.489943329515199</v>
      </c>
      <c r="O2463">
        <v>49.637138358519799</v>
      </c>
      <c r="P2463">
        <v>-8.4044031774785394E-2</v>
      </c>
      <c r="Q2463">
        <v>3.1308833978658503E-2</v>
      </c>
      <c r="R2463">
        <v>0.99537401035950102</v>
      </c>
      <c r="S2463" t="s">
        <v>7203</v>
      </c>
      <c r="T2463" t="s">
        <v>9478</v>
      </c>
      <c r="U2463" t="s">
        <v>9478</v>
      </c>
      <c r="V2463" t="s">
        <v>9478</v>
      </c>
      <c r="W2463">
        <v>1</v>
      </c>
      <c r="X2463" t="s">
        <v>11941</v>
      </c>
      <c r="Y2463">
        <v>0.38176361954633781</v>
      </c>
      <c r="Z2463" t="str">
        <f>HYPERLINK("Melting_Curves/meltCurve_sp_Q86Y07_4_VRK2_HUMAN_.pdf", "Melting_Curves/meltCurve_sp_Q86Y07_4_VRK2_HUMAN_.pdf")</f>
        <v>Melting_Curves/meltCurve_sp_Q86Y07_4_VRK2_HUMAN_.pdf</v>
      </c>
      <c r="AA2463" t="s">
        <v>16636</v>
      </c>
      <c r="AB2463" t="s">
        <v>21297</v>
      </c>
    </row>
    <row r="2464" spans="1:28" x14ac:dyDescent="0.25">
      <c r="A2464" t="s">
        <v>2468</v>
      </c>
      <c r="B2464">
        <v>0.99904790336628502</v>
      </c>
      <c r="C2464">
        <v>0.98250061190438398</v>
      </c>
      <c r="D2464">
        <v>0.95307213001616697</v>
      </c>
      <c r="E2464">
        <v>0.87926321522954198</v>
      </c>
      <c r="F2464">
        <v>0.88144454708473996</v>
      </c>
      <c r="G2464">
        <v>0.70528540638298798</v>
      </c>
      <c r="H2464">
        <v>0.48630458530605603</v>
      </c>
      <c r="I2464">
        <v>0.45813100513809302</v>
      </c>
      <c r="J2464">
        <v>0.464110982234748</v>
      </c>
      <c r="K2464">
        <v>0.41887469408969202</v>
      </c>
      <c r="L2464">
        <v>898.69991547212703</v>
      </c>
      <c r="M2464">
        <v>15.880135428495599</v>
      </c>
      <c r="N2464">
        <v>62.449055149712102</v>
      </c>
      <c r="O2464">
        <v>55.718072506595</v>
      </c>
      <c r="P2464">
        <v>-4.3665134500043903E-2</v>
      </c>
      <c r="Q2464">
        <v>0.38722411867962397</v>
      </c>
      <c r="R2464">
        <v>0.98184665186965303</v>
      </c>
      <c r="S2464" t="s">
        <v>7204</v>
      </c>
      <c r="T2464" t="s">
        <v>9478</v>
      </c>
      <c r="U2464" t="s">
        <v>9478</v>
      </c>
      <c r="V2464" t="s">
        <v>9478</v>
      </c>
      <c r="W2464">
        <v>5</v>
      </c>
      <c r="X2464" t="s">
        <v>11942</v>
      </c>
      <c r="Y2464">
        <v>0.73591950299769793</v>
      </c>
      <c r="Z2464" t="str">
        <f>HYPERLINK("Melting_Curves/meltCurve_sp_Q86Y82_STX12_HUMAN_.pdf", "Melting_Curves/meltCurve_sp_Q86Y82_STX12_HUMAN_.pdf")</f>
        <v>Melting_Curves/meltCurve_sp_Q86Y82_STX12_HUMAN_.pdf</v>
      </c>
      <c r="AA2464" t="s">
        <v>16637</v>
      </c>
      <c r="AB2464" t="s">
        <v>21298</v>
      </c>
    </row>
    <row r="2465" spans="1:28" x14ac:dyDescent="0.25">
      <c r="A2465" t="s">
        <v>2469</v>
      </c>
      <c r="B2465">
        <v>0.99904790336628502</v>
      </c>
      <c r="C2465">
        <v>1.0128199649891301</v>
      </c>
      <c r="D2465">
        <v>1.1002983927983401</v>
      </c>
      <c r="E2465">
        <v>0.84780548953116697</v>
      </c>
      <c r="F2465">
        <v>0.33376593085635198</v>
      </c>
      <c r="G2465">
        <v>0.202352026406423</v>
      </c>
      <c r="H2465">
        <v>0.10084379866616899</v>
      </c>
      <c r="I2465">
        <v>5.3156854790600797E-2</v>
      </c>
      <c r="J2465">
        <v>3.42690713559963E-2</v>
      </c>
      <c r="K2465">
        <v>2.7845757821279501E-2</v>
      </c>
      <c r="L2465">
        <v>2080.4519618306399</v>
      </c>
      <c r="M2465">
        <v>40.073475092059702</v>
      </c>
      <c r="N2465">
        <v>52.126418458218403</v>
      </c>
      <c r="O2465">
        <v>51.787157975550699</v>
      </c>
      <c r="P2465">
        <v>-0.17900218101648699</v>
      </c>
      <c r="Q2465">
        <v>7.4700184470151101E-2</v>
      </c>
      <c r="R2465">
        <v>0.98557095068918799</v>
      </c>
      <c r="S2465" t="s">
        <v>7205</v>
      </c>
      <c r="T2465" t="s">
        <v>9478</v>
      </c>
      <c r="U2465" t="s">
        <v>9478</v>
      </c>
      <c r="V2465" t="s">
        <v>9478</v>
      </c>
      <c r="W2465">
        <v>19</v>
      </c>
      <c r="X2465" t="s">
        <v>11943</v>
      </c>
      <c r="Y2465">
        <v>0.44553414133795127</v>
      </c>
      <c r="Z2465" t="str">
        <f>HYPERLINK("Melting_Curves/meltCurve_sp_Q86YB7_ECHD2_HUMAN_.pdf", "Melting_Curves/meltCurve_sp_Q86YB7_ECHD2_HUMAN_.pdf")</f>
        <v>Melting_Curves/meltCurve_sp_Q86YB7_ECHD2_HUMAN_.pdf</v>
      </c>
      <c r="AA2465" t="s">
        <v>16638</v>
      </c>
      <c r="AB2465" t="s">
        <v>21299</v>
      </c>
    </row>
    <row r="2466" spans="1:28" x14ac:dyDescent="0.25">
      <c r="A2466" t="s">
        <v>2470</v>
      </c>
      <c r="B2466">
        <v>0.99904790336628502</v>
      </c>
      <c r="C2466">
        <v>0.81874735933398102</v>
      </c>
      <c r="D2466">
        <v>0.83665899707311098</v>
      </c>
      <c r="E2466">
        <v>0.69883063010000102</v>
      </c>
      <c r="F2466">
        <v>0.417348140541417</v>
      </c>
      <c r="G2466">
        <v>0.24234571333289801</v>
      </c>
      <c r="H2466">
        <v>8.7983917442203297E-2</v>
      </c>
      <c r="I2466">
        <v>3.6256311060329602E-2</v>
      </c>
      <c r="J2466">
        <v>3.1951628574657498E-2</v>
      </c>
      <c r="K2466">
        <v>2.9007752921694999E-2</v>
      </c>
      <c r="L2466">
        <v>706.16900015557997</v>
      </c>
      <c r="M2466">
        <v>13.592661769882101</v>
      </c>
      <c r="N2466">
        <v>51.952215200295001</v>
      </c>
      <c r="O2466">
        <v>50.866444288665399</v>
      </c>
      <c r="P2466">
        <v>-6.6815561875637003E-2</v>
      </c>
      <c r="Q2466">
        <v>0</v>
      </c>
      <c r="R2466">
        <v>0.98186809025449795</v>
      </c>
      <c r="S2466" t="s">
        <v>7206</v>
      </c>
      <c r="T2466" t="s">
        <v>9478</v>
      </c>
      <c r="U2466" t="s">
        <v>9478</v>
      </c>
      <c r="V2466" t="s">
        <v>9478</v>
      </c>
      <c r="W2466">
        <v>5</v>
      </c>
      <c r="X2466" t="s">
        <v>11944</v>
      </c>
      <c r="Y2466">
        <v>0.42432169317619478</v>
      </c>
      <c r="Z2466" t="str">
        <f>HYPERLINK("Melting_Curves/meltCurve_sp_Q86YB8_ERO1B_HUMAN_.pdf", "Melting_Curves/meltCurve_sp_Q86YB8_ERO1B_HUMAN_.pdf")</f>
        <v>Melting_Curves/meltCurve_sp_Q86YB8_ERO1B_HUMAN_.pdf</v>
      </c>
      <c r="AA2466" t="s">
        <v>16639</v>
      </c>
      <c r="AB2466" t="s">
        <v>21300</v>
      </c>
    </row>
    <row r="2467" spans="1:28" x14ac:dyDescent="0.25">
      <c r="A2467" t="s">
        <v>2471</v>
      </c>
      <c r="B2467">
        <v>0.99904790336628502</v>
      </c>
      <c r="C2467">
        <v>0.93145734203097397</v>
      </c>
      <c r="D2467">
        <v>0.93083722718336603</v>
      </c>
      <c r="E2467">
        <v>0.83478166587917702</v>
      </c>
      <c r="F2467">
        <v>0.66874332636008804</v>
      </c>
      <c r="G2467">
        <v>0.457515529780264</v>
      </c>
      <c r="H2467">
        <v>0.193076817914275</v>
      </c>
      <c r="I2467">
        <v>8.9796044411750597E-2</v>
      </c>
      <c r="J2467">
        <v>7.0007767988670103E-2</v>
      </c>
      <c r="K2467">
        <v>6.4376862600757603E-2</v>
      </c>
      <c r="L2467">
        <v>815.60988875955604</v>
      </c>
      <c r="M2467">
        <v>14.6642006740444</v>
      </c>
      <c r="N2467">
        <v>55.619116707754301</v>
      </c>
      <c r="O2467">
        <v>54.615509604136101</v>
      </c>
      <c r="P2467">
        <v>-6.7132130586217004E-2</v>
      </c>
      <c r="Q2467">
        <v>0</v>
      </c>
      <c r="R2467">
        <v>0.99418385008693</v>
      </c>
      <c r="S2467" t="s">
        <v>7207</v>
      </c>
      <c r="T2467" t="s">
        <v>9478</v>
      </c>
      <c r="U2467" t="s">
        <v>9478</v>
      </c>
      <c r="V2467" t="s">
        <v>9478</v>
      </c>
      <c r="W2467">
        <v>8</v>
      </c>
      <c r="X2467" t="s">
        <v>11945</v>
      </c>
      <c r="Y2467">
        <v>0.53939136449504643</v>
      </c>
      <c r="Z2467" t="str">
        <f>HYPERLINK("Melting_Curves/meltCurve_sp_Q86YH6_DLP1_HUMAN_.pdf", "Melting_Curves/meltCurve_sp_Q86YH6_DLP1_HUMAN_.pdf")</f>
        <v>Melting_Curves/meltCurve_sp_Q86YH6_DLP1_HUMAN_.pdf</v>
      </c>
      <c r="AA2467" t="s">
        <v>16640</v>
      </c>
      <c r="AB2467" t="s">
        <v>21301</v>
      </c>
    </row>
    <row r="2468" spans="1:28" x14ac:dyDescent="0.25">
      <c r="A2468" t="s">
        <v>2472</v>
      </c>
      <c r="B2468">
        <v>0.99904790336628502</v>
      </c>
      <c r="C2468">
        <v>1.00379078721205</v>
      </c>
      <c r="D2468">
        <v>0.92143480464276695</v>
      </c>
      <c r="E2468">
        <v>0.79263520085885797</v>
      </c>
      <c r="F2468">
        <v>0.716955038305093</v>
      </c>
      <c r="G2468">
        <v>0.51894058860444103</v>
      </c>
      <c r="H2468">
        <v>0.184327880110114</v>
      </c>
      <c r="I2468">
        <v>0.10763223900588299</v>
      </c>
      <c r="J2468">
        <v>6.1402473268141702E-2</v>
      </c>
      <c r="K2468">
        <v>4.9160795515064297E-2</v>
      </c>
      <c r="L2468">
        <v>830.22656462154498</v>
      </c>
      <c r="M2468">
        <v>14.8091151336231</v>
      </c>
      <c r="N2468">
        <v>56.061860614163798</v>
      </c>
      <c r="O2468">
        <v>55.069365715345498</v>
      </c>
      <c r="P2468">
        <v>-6.7236492996281996E-2</v>
      </c>
      <c r="Q2468">
        <v>0</v>
      </c>
      <c r="R2468">
        <v>0.98882327994057695</v>
      </c>
      <c r="S2468" t="s">
        <v>7208</v>
      </c>
      <c r="T2468" t="s">
        <v>9478</v>
      </c>
      <c r="U2468" t="s">
        <v>9478</v>
      </c>
      <c r="V2468" t="s">
        <v>9478</v>
      </c>
      <c r="W2468">
        <v>9</v>
      </c>
      <c r="X2468" t="s">
        <v>11946</v>
      </c>
      <c r="Y2468">
        <v>0.55321679203903185</v>
      </c>
      <c r="Z2468" t="str">
        <f>HYPERLINK("Melting_Curves/meltCurve_sp_Q86YJ6_4_THNS2_HUMAN_.pdf", "Melting_Curves/meltCurve_sp_Q86YJ6_4_THNS2_HUMAN_.pdf")</f>
        <v>Melting_Curves/meltCurve_sp_Q86YJ6_4_THNS2_HUMAN_.pdf</v>
      </c>
      <c r="AA2468" t="s">
        <v>16641</v>
      </c>
      <c r="AB2468" t="s">
        <v>21302</v>
      </c>
    </row>
    <row r="2469" spans="1:28" x14ac:dyDescent="0.25">
      <c r="A2469" t="s">
        <v>2473</v>
      </c>
      <c r="B2469">
        <v>0.99904790336628502</v>
      </c>
      <c r="C2469">
        <v>0.86119789516204803</v>
      </c>
      <c r="D2469">
        <v>0.59819603692732404</v>
      </c>
      <c r="E2469">
        <v>0.39286680431362497</v>
      </c>
      <c r="F2469">
        <v>0.37974290642550601</v>
      </c>
      <c r="G2469">
        <v>0.318117189972556</v>
      </c>
      <c r="H2469">
        <v>0.264538891562206</v>
      </c>
      <c r="I2469">
        <v>0.296960927906051</v>
      </c>
      <c r="J2469">
        <v>0.21782994212359699</v>
      </c>
      <c r="K2469">
        <v>0.18424905186719101</v>
      </c>
      <c r="L2469">
        <v>796.07765470439597</v>
      </c>
      <c r="M2469">
        <v>17.2420815422165</v>
      </c>
      <c r="N2469">
        <v>48.117686600891098</v>
      </c>
      <c r="O2469">
        <v>45.562982962212097</v>
      </c>
      <c r="P2469">
        <v>-7.0851164695231603E-2</v>
      </c>
      <c r="Q2469">
        <v>0.25113410533392</v>
      </c>
      <c r="R2469">
        <v>0.97595381804749803</v>
      </c>
      <c r="S2469" t="s">
        <v>7209</v>
      </c>
      <c r="T2469" t="s">
        <v>9478</v>
      </c>
      <c r="U2469" t="s">
        <v>9478</v>
      </c>
      <c r="V2469" t="s">
        <v>9478</v>
      </c>
      <c r="W2469">
        <v>1</v>
      </c>
      <c r="X2469" t="s">
        <v>11947</v>
      </c>
      <c r="Y2469">
        <v>0.42113967156491572</v>
      </c>
      <c r="Z2469" t="str">
        <f>HYPERLINK("Melting_Curves/meltCurve_sp_Q86YL5_TDRP_HUMAN_.pdf", "Melting_Curves/meltCurve_sp_Q86YL5_TDRP_HUMAN_.pdf")</f>
        <v>Melting_Curves/meltCurve_sp_Q86YL5_TDRP_HUMAN_.pdf</v>
      </c>
      <c r="AA2469" t="s">
        <v>16642</v>
      </c>
      <c r="AB2469" t="s">
        <v>21303</v>
      </c>
    </row>
    <row r="2470" spans="1:28" x14ac:dyDescent="0.25">
      <c r="A2470" t="s">
        <v>2474</v>
      </c>
      <c r="B2470">
        <v>0.99904790336628502</v>
      </c>
      <c r="C2470">
        <v>1.06895180973912</v>
      </c>
      <c r="D2470">
        <v>1.03269513817775</v>
      </c>
      <c r="E2470">
        <v>0.86165019442538504</v>
      </c>
      <c r="F2470">
        <v>0.70747641644063697</v>
      </c>
      <c r="G2470">
        <v>0.51456118866204203</v>
      </c>
      <c r="H2470">
        <v>0.46787928423200997</v>
      </c>
      <c r="I2470">
        <v>0.44792402046781599</v>
      </c>
      <c r="J2470">
        <v>0.54984355041830202</v>
      </c>
      <c r="K2470">
        <v>0.54601268533672598</v>
      </c>
      <c r="L2470">
        <v>1585.68569845256</v>
      </c>
      <c r="M2470">
        <v>30.457911716253701</v>
      </c>
      <c r="N2470">
        <v>66.152189225111101</v>
      </c>
      <c r="O2470">
        <v>51.8386339006193</v>
      </c>
      <c r="P2470">
        <v>-7.3556254479309496E-2</v>
      </c>
      <c r="Q2470">
        <v>0.49923893312984602</v>
      </c>
      <c r="R2470">
        <v>0.96930799555080105</v>
      </c>
      <c r="S2470" t="s">
        <v>7210</v>
      </c>
      <c r="T2470" t="s">
        <v>9478</v>
      </c>
      <c r="U2470" t="s">
        <v>9478</v>
      </c>
      <c r="V2470" t="s">
        <v>9478</v>
      </c>
      <c r="W2470">
        <v>10</v>
      </c>
      <c r="X2470" t="s">
        <v>11948</v>
      </c>
      <c r="Y2470">
        <v>0.7036783601482185</v>
      </c>
      <c r="Z2470" t="str">
        <f>HYPERLINK("Melting_Curves/meltCurve_sp_Q86YP4_2_P66A_HUMAN_.pdf", "Melting_Curves/meltCurve_sp_Q86YP4_2_P66A_HUMAN_.pdf")</f>
        <v>Melting_Curves/meltCurve_sp_Q86YP4_2_P66A_HUMAN_.pdf</v>
      </c>
      <c r="AA2470" t="s">
        <v>16643</v>
      </c>
      <c r="AB2470" t="s">
        <v>21304</v>
      </c>
    </row>
    <row r="2471" spans="1:28" x14ac:dyDescent="0.25">
      <c r="A2471" t="s">
        <v>2475</v>
      </c>
      <c r="B2471">
        <v>0.99904790336628502</v>
      </c>
      <c r="C2471">
        <v>0.87832897254763898</v>
      </c>
      <c r="D2471">
        <v>0.72115965991411601</v>
      </c>
      <c r="E2471">
        <v>0.42227935038319497</v>
      </c>
      <c r="F2471">
        <v>0.23142811745210601</v>
      </c>
      <c r="G2471">
        <v>0.114649453935862</v>
      </c>
      <c r="H2471">
        <v>6.9477613304792005E-2</v>
      </c>
      <c r="I2471">
        <v>4.7766489735310801E-2</v>
      </c>
      <c r="J2471">
        <v>3.6340023453528499E-2</v>
      </c>
      <c r="K2471">
        <v>4.5864248173900501E-2</v>
      </c>
      <c r="L2471">
        <v>770.10771123787299</v>
      </c>
      <c r="M2471">
        <v>15.8276200058363</v>
      </c>
      <c r="N2471">
        <v>48.842951421677299</v>
      </c>
      <c r="O2471">
        <v>47.899077325461398</v>
      </c>
      <c r="P2471">
        <v>-8.0186944214616293E-2</v>
      </c>
      <c r="Q2471">
        <v>2.9400955498257001E-2</v>
      </c>
      <c r="R2471">
        <v>0.99885788984345103</v>
      </c>
      <c r="S2471" t="s">
        <v>7211</v>
      </c>
      <c r="T2471" t="s">
        <v>9478</v>
      </c>
      <c r="U2471" t="s">
        <v>9478</v>
      </c>
      <c r="V2471" t="s">
        <v>9478</v>
      </c>
      <c r="W2471">
        <v>4</v>
      </c>
      <c r="X2471" t="s">
        <v>11949</v>
      </c>
      <c r="Y2471">
        <v>0.33132709955720457</v>
      </c>
      <c r="Z2471" t="str">
        <f>HYPERLINK("Melting_Curves/meltCurve_sp_Q86YS6_RAB43_HUMAN_.pdf", "Melting_Curves/meltCurve_sp_Q86YS6_RAB43_HUMAN_.pdf")</f>
        <v>Melting_Curves/meltCurve_sp_Q86YS6_RAB43_HUMAN_.pdf</v>
      </c>
      <c r="AA2471" t="s">
        <v>16644</v>
      </c>
      <c r="AB2471" t="s">
        <v>21305</v>
      </c>
    </row>
    <row r="2472" spans="1:28" x14ac:dyDescent="0.25">
      <c r="A2472" t="s">
        <v>2476</v>
      </c>
      <c r="B2472">
        <v>0.99904790336628502</v>
      </c>
      <c r="C2472">
        <v>0.99358574324042503</v>
      </c>
      <c r="D2472">
        <v>0.96580107606590604</v>
      </c>
      <c r="E2472">
        <v>0.63874634612459702</v>
      </c>
      <c r="F2472">
        <v>0.47140496138256299</v>
      </c>
      <c r="G2472">
        <v>0.30753827903565401</v>
      </c>
      <c r="H2472">
        <v>0.16629091991366399</v>
      </c>
      <c r="I2472">
        <v>0.109726391329249</v>
      </c>
      <c r="J2472">
        <v>8.9120400134323402E-2</v>
      </c>
      <c r="K2472">
        <v>8.4462423297092498E-2</v>
      </c>
      <c r="L2472">
        <v>830.75587597695505</v>
      </c>
      <c r="M2472">
        <v>15.925910256864899</v>
      </c>
      <c r="N2472">
        <v>52.696334980945103</v>
      </c>
      <c r="O2472">
        <v>51.3621227711266</v>
      </c>
      <c r="P2472">
        <v>-7.1761569354242605E-2</v>
      </c>
      <c r="Q2472">
        <v>7.4330582038334495E-2</v>
      </c>
      <c r="R2472">
        <v>0.99302584316191</v>
      </c>
      <c r="S2472" t="s">
        <v>7212</v>
      </c>
      <c r="T2472" t="s">
        <v>9478</v>
      </c>
      <c r="U2472" t="s">
        <v>9478</v>
      </c>
      <c r="V2472" t="s">
        <v>9478</v>
      </c>
      <c r="W2472">
        <v>3</v>
      </c>
      <c r="X2472" t="s">
        <v>11950</v>
      </c>
      <c r="Y2472">
        <v>0.46841641345983182</v>
      </c>
      <c r="Z2472" t="str">
        <f>HYPERLINK("Melting_Curves/meltCurve_sp_Q86YS7_C2CD5_HUMAN_.pdf", "Melting_Curves/meltCurve_sp_Q86YS7_C2CD5_HUMAN_.pdf")</f>
        <v>Melting_Curves/meltCurve_sp_Q86YS7_C2CD5_HUMAN_.pdf</v>
      </c>
      <c r="AA2472" t="s">
        <v>16645</v>
      </c>
      <c r="AB2472" t="s">
        <v>21306</v>
      </c>
    </row>
    <row r="2473" spans="1:28" x14ac:dyDescent="0.25">
      <c r="A2473" t="s">
        <v>2477</v>
      </c>
      <c r="B2473">
        <v>0.99904790336628502</v>
      </c>
      <c r="C2473">
        <v>0.80415134191402604</v>
      </c>
      <c r="D2473">
        <v>0.72874063043378201</v>
      </c>
      <c r="E2473">
        <v>0.55663068984832997</v>
      </c>
      <c r="F2473">
        <v>0.51705206853159202</v>
      </c>
      <c r="G2473">
        <v>0.282035404502126</v>
      </c>
      <c r="H2473">
        <v>0.22020535203006</v>
      </c>
      <c r="I2473">
        <v>0.19591033746133499</v>
      </c>
      <c r="J2473">
        <v>0.15155811325434099</v>
      </c>
      <c r="K2473">
        <v>0.12527384220795301</v>
      </c>
      <c r="L2473">
        <v>452.59296459950798</v>
      </c>
      <c r="M2473">
        <v>8.8379318952593202</v>
      </c>
      <c r="N2473">
        <v>51.752117574002398</v>
      </c>
      <c r="O2473">
        <v>48.791688353367803</v>
      </c>
      <c r="P2473">
        <v>-4.3316646902925998E-2</v>
      </c>
      <c r="Q2473">
        <v>4.41883586571645E-2</v>
      </c>
      <c r="R2473">
        <v>0.98327342577730503</v>
      </c>
      <c r="S2473" t="s">
        <v>7213</v>
      </c>
      <c r="T2473" t="s">
        <v>9478</v>
      </c>
      <c r="U2473" t="s">
        <v>9478</v>
      </c>
      <c r="V2473" t="s">
        <v>9478</v>
      </c>
      <c r="W2473">
        <v>5</v>
      </c>
      <c r="X2473" t="s">
        <v>11951</v>
      </c>
      <c r="Y2473">
        <v>0.44628684315356698</v>
      </c>
      <c r="Z2473" t="str">
        <f>HYPERLINK("Melting_Curves/meltCurve_sp_Q8IU81_I2BP1_HUMAN_.pdf", "Melting_Curves/meltCurve_sp_Q8IU81_I2BP1_HUMAN_.pdf")</f>
        <v>Melting_Curves/meltCurve_sp_Q8IU81_I2BP1_HUMAN_.pdf</v>
      </c>
      <c r="AA2473" t="s">
        <v>16646</v>
      </c>
      <c r="AB2473" t="s">
        <v>21307</v>
      </c>
    </row>
    <row r="2474" spans="1:28" x14ac:dyDescent="0.25">
      <c r="A2474" t="s">
        <v>2478</v>
      </c>
      <c r="B2474">
        <v>0.99904790336628502</v>
      </c>
      <c r="C2474">
        <v>1.0608276006303199</v>
      </c>
      <c r="D2474">
        <v>0.99796099148668704</v>
      </c>
      <c r="E2474">
        <v>0.79723810630274194</v>
      </c>
      <c r="F2474">
        <v>0.43769298986886301</v>
      </c>
      <c r="G2474">
        <v>0.13216769284010199</v>
      </c>
      <c r="H2474">
        <v>7.5646804645238305E-2</v>
      </c>
      <c r="I2474">
        <v>5.9694794372695099E-2</v>
      </c>
      <c r="J2474">
        <v>3.4426745108931699E-2</v>
      </c>
      <c r="K2474">
        <v>2.5189648192963699E-2</v>
      </c>
      <c r="L2474">
        <v>1477.6157337002401</v>
      </c>
      <c r="M2474">
        <v>28.222247792664</v>
      </c>
      <c r="N2474">
        <v>52.5215208183334</v>
      </c>
      <c r="O2474">
        <v>52.095663515385297</v>
      </c>
      <c r="P2474">
        <v>-0.129686804937899</v>
      </c>
      <c r="Q2474">
        <v>4.2448524793805502E-2</v>
      </c>
      <c r="R2474">
        <v>0.99725323456840298</v>
      </c>
      <c r="S2474" t="s">
        <v>7214</v>
      </c>
      <c r="T2474" t="s">
        <v>9478</v>
      </c>
      <c r="U2474" t="s">
        <v>9478</v>
      </c>
      <c r="V2474" t="s">
        <v>9478</v>
      </c>
      <c r="W2474">
        <v>6</v>
      </c>
      <c r="X2474" t="s">
        <v>11952</v>
      </c>
      <c r="Y2474">
        <v>0.4437822541952014</v>
      </c>
      <c r="Z2474" t="str">
        <f>HYPERLINK("Melting_Curves/meltCurve_sp_Q8IUC4_RHPN2_HUMAN_.pdf", "Melting_Curves/meltCurve_sp_Q8IUC4_RHPN2_HUMAN_.pdf")</f>
        <v>Melting_Curves/meltCurve_sp_Q8IUC4_RHPN2_HUMAN_.pdf</v>
      </c>
      <c r="AA2474" t="s">
        <v>16647</v>
      </c>
      <c r="AB2474" t="s">
        <v>21308</v>
      </c>
    </row>
    <row r="2475" spans="1:28" x14ac:dyDescent="0.25">
      <c r="A2475" t="s">
        <v>2479</v>
      </c>
      <c r="B2475">
        <v>0.99904790336628502</v>
      </c>
      <c r="C2475">
        <v>1.0293581647867101</v>
      </c>
      <c r="D2475">
        <v>1.0469308415202201</v>
      </c>
      <c r="E2475">
        <v>0.94263418786488495</v>
      </c>
      <c r="F2475">
        <v>0.871149839893957</v>
      </c>
      <c r="G2475">
        <v>0.605880541664923</v>
      </c>
      <c r="H2475">
        <v>0.52735293879071699</v>
      </c>
      <c r="I2475">
        <v>0.50337741128259605</v>
      </c>
      <c r="J2475">
        <v>0.50694171334965898</v>
      </c>
      <c r="K2475">
        <v>0.41507788133624401</v>
      </c>
      <c r="L2475">
        <v>1402.7521347304501</v>
      </c>
      <c r="M2475">
        <v>25.485761962544299</v>
      </c>
      <c r="N2475">
        <v>61.809920903962698</v>
      </c>
      <c r="O2475">
        <v>54.705098650939398</v>
      </c>
      <c r="P2475">
        <v>-6.18079191389206E-2</v>
      </c>
      <c r="Q2475">
        <v>0.46932468543952</v>
      </c>
      <c r="R2475">
        <v>0.98393806873923695</v>
      </c>
      <c r="S2475" t="s">
        <v>7215</v>
      </c>
      <c r="T2475" t="s">
        <v>9478</v>
      </c>
      <c r="U2475" t="s">
        <v>9478</v>
      </c>
      <c r="V2475" t="s">
        <v>9478</v>
      </c>
      <c r="W2475">
        <v>48</v>
      </c>
      <c r="X2475" t="s">
        <v>11953</v>
      </c>
      <c r="Y2475">
        <v>0.74012663180257166</v>
      </c>
      <c r="Z2475" t="str">
        <f>HYPERLINK("Melting_Curves/meltCurve_sp_Q8IUD2_RB6I2_HUMAN_.pdf", "Melting_Curves/meltCurve_sp_Q8IUD2_RB6I2_HUMAN_.pdf")</f>
        <v>Melting_Curves/meltCurve_sp_Q8IUD2_RB6I2_HUMAN_.pdf</v>
      </c>
      <c r="AA2475" t="s">
        <v>16648</v>
      </c>
      <c r="AB2475" t="s">
        <v>21309</v>
      </c>
    </row>
    <row r="2476" spans="1:28" x14ac:dyDescent="0.25">
      <c r="A2476" t="s">
        <v>2480</v>
      </c>
      <c r="B2476">
        <v>0.99904790336628502</v>
      </c>
      <c r="C2476">
        <v>0.79462198936051798</v>
      </c>
      <c r="D2476">
        <v>0.75490244021349195</v>
      </c>
      <c r="E2476">
        <v>0.618815509696511</v>
      </c>
      <c r="F2476">
        <v>0.62647548260805597</v>
      </c>
      <c r="G2476">
        <v>0.33165899545678501</v>
      </c>
      <c r="H2476">
        <v>0.33227341218413797</v>
      </c>
      <c r="I2476">
        <v>0</v>
      </c>
      <c r="J2476">
        <v>0.364730678407443</v>
      </c>
      <c r="K2476">
        <v>0.36067930512928598</v>
      </c>
      <c r="L2476">
        <v>502.93825659514198</v>
      </c>
      <c r="M2476">
        <v>9.9905400115528504</v>
      </c>
      <c r="N2476">
        <v>52.9790646082783</v>
      </c>
      <c r="O2476">
        <v>48.449146523758799</v>
      </c>
      <c r="P2476">
        <v>-4.1470801682587002E-2</v>
      </c>
      <c r="Q2476">
        <v>0.195941522662713</v>
      </c>
      <c r="R2476">
        <v>0.82532705915287496</v>
      </c>
      <c r="S2476" t="s">
        <v>7216</v>
      </c>
      <c r="T2476" t="s">
        <v>9478</v>
      </c>
      <c r="U2476" t="s">
        <v>9478</v>
      </c>
      <c r="V2476" t="s">
        <v>9478</v>
      </c>
      <c r="W2476">
        <v>2</v>
      </c>
      <c r="X2476" t="s">
        <v>11954</v>
      </c>
      <c r="Y2476">
        <v>0.50850699353562057</v>
      </c>
      <c r="Z2476" t="str">
        <f>HYPERLINK("Melting_Curves/meltCurve_sp_Q8IUF8_2_MINA_HUMAN_.pdf", "Melting_Curves/meltCurve_sp_Q8IUF8_2_MINA_HUMAN_.pdf")</f>
        <v>Melting_Curves/meltCurve_sp_Q8IUF8_2_MINA_HUMAN_.pdf</v>
      </c>
      <c r="AA2476" t="s">
        <v>16649</v>
      </c>
      <c r="AB2476" t="s">
        <v>21310</v>
      </c>
    </row>
    <row r="2477" spans="1:28" x14ac:dyDescent="0.25">
      <c r="A2477" t="s">
        <v>2481</v>
      </c>
      <c r="B2477">
        <v>0.99904790336628502</v>
      </c>
      <c r="C2477">
        <v>1.0810080762848999</v>
      </c>
      <c r="D2477">
        <v>1.0392684872654601</v>
      </c>
      <c r="E2477">
        <v>0.70035208916024705</v>
      </c>
      <c r="F2477">
        <v>0.293462337667178</v>
      </c>
      <c r="G2477">
        <v>0.103607101012801</v>
      </c>
      <c r="H2477">
        <v>6.6678280324454997E-2</v>
      </c>
      <c r="I2477">
        <v>5.6356896420725201E-2</v>
      </c>
      <c r="J2477">
        <v>4.1856398437222497E-2</v>
      </c>
      <c r="K2477">
        <v>3.7934592436637597E-2</v>
      </c>
      <c r="L2477">
        <v>1717.57359412919</v>
      </c>
      <c r="M2477">
        <v>33.515151626944899</v>
      </c>
      <c r="N2477">
        <v>51.422637932509602</v>
      </c>
      <c r="O2477">
        <v>51.066255376418198</v>
      </c>
      <c r="P2477">
        <v>-0.155236001862252</v>
      </c>
      <c r="Q2477">
        <v>5.3886055095810098E-2</v>
      </c>
      <c r="R2477">
        <v>0.993989728328464</v>
      </c>
      <c r="S2477" t="s">
        <v>7217</v>
      </c>
      <c r="T2477" t="s">
        <v>9478</v>
      </c>
      <c r="U2477" t="s">
        <v>9478</v>
      </c>
      <c r="V2477" t="s">
        <v>9478</v>
      </c>
      <c r="W2477">
        <v>2</v>
      </c>
      <c r="X2477" t="s">
        <v>11955</v>
      </c>
      <c r="Y2477">
        <v>0.41338886517658607</v>
      </c>
      <c r="Z2477" t="str">
        <f>HYPERLINK("Melting_Curves/meltCurve_sp_Q8IUR0_TPPC5_HUMAN_.pdf", "Melting_Curves/meltCurve_sp_Q8IUR0_TPPC5_HUMAN_.pdf")</f>
        <v>Melting_Curves/meltCurve_sp_Q8IUR0_TPPC5_HUMAN_.pdf</v>
      </c>
      <c r="AA2477" t="s">
        <v>16650</v>
      </c>
      <c r="AB2477" t="s">
        <v>21311</v>
      </c>
    </row>
    <row r="2478" spans="1:28" x14ac:dyDescent="0.25">
      <c r="A2478" t="s">
        <v>2482</v>
      </c>
      <c r="B2478">
        <v>0.99904790336628502</v>
      </c>
      <c r="C2478">
        <v>0.92423105159696695</v>
      </c>
      <c r="D2478">
        <v>0.94961240978390504</v>
      </c>
      <c r="E2478">
        <v>0.92130519048535897</v>
      </c>
      <c r="F2478">
        <v>0.83237633764636398</v>
      </c>
      <c r="G2478">
        <v>0.73217623348423599</v>
      </c>
      <c r="H2478">
        <v>0.46181247707685702</v>
      </c>
      <c r="I2478">
        <v>0.21202092814988299</v>
      </c>
      <c r="J2478">
        <v>0.103019188564362</v>
      </c>
      <c r="K2478">
        <v>6.8927690140129005E-2</v>
      </c>
      <c r="L2478">
        <v>1007.7372269623201</v>
      </c>
      <c r="M2478">
        <v>16.860916863296101</v>
      </c>
      <c r="N2478">
        <v>59.767641159905999</v>
      </c>
      <c r="O2478">
        <v>58.945903528288802</v>
      </c>
      <c r="P2478">
        <v>-7.1514691476832801E-2</v>
      </c>
      <c r="Q2478">
        <v>0</v>
      </c>
      <c r="R2478">
        <v>0.98440266834213797</v>
      </c>
      <c r="S2478" t="s">
        <v>7218</v>
      </c>
      <c r="T2478" t="s">
        <v>9478</v>
      </c>
      <c r="U2478" t="s">
        <v>9478</v>
      </c>
      <c r="V2478" t="s">
        <v>9478</v>
      </c>
      <c r="W2478">
        <v>14</v>
      </c>
      <c r="X2478" t="s">
        <v>11956</v>
      </c>
      <c r="Y2478">
        <v>0.66758722518317959</v>
      </c>
      <c r="Z2478" t="str">
        <f>HYPERLINK("Melting_Curves/meltCurve_sp_Q8IUZ5_AT2L2_HUMAN_.pdf", "Melting_Curves/meltCurve_sp_Q8IUZ5_AT2L2_HUMAN_.pdf")</f>
        <v>Melting_Curves/meltCurve_sp_Q8IUZ5_AT2L2_HUMAN_.pdf</v>
      </c>
      <c r="AA2478" t="s">
        <v>16651</v>
      </c>
      <c r="AB2478" t="s">
        <v>21312</v>
      </c>
    </row>
    <row r="2479" spans="1:28" x14ac:dyDescent="0.25">
      <c r="A2479" t="s">
        <v>2483</v>
      </c>
      <c r="B2479">
        <v>0.99904790336628502</v>
      </c>
      <c r="C2479">
        <v>1.6600592435830099</v>
      </c>
      <c r="D2479">
        <v>1.46049710856972</v>
      </c>
      <c r="E2479">
        <v>1.1011536519251099</v>
      </c>
      <c r="F2479">
        <v>1.0671786700821499</v>
      </c>
      <c r="G2479">
        <v>0.67964703649507496</v>
      </c>
      <c r="H2479">
        <v>0.49325251290064798</v>
      </c>
      <c r="I2479">
        <v>0.43816929273306698</v>
      </c>
      <c r="J2479">
        <v>0.36210934024104902</v>
      </c>
      <c r="K2479">
        <v>0.383583728855586</v>
      </c>
      <c r="L2479">
        <v>3221.5394866187398</v>
      </c>
      <c r="M2479">
        <v>56.634438399480402</v>
      </c>
      <c r="N2479">
        <v>58.712638382245501</v>
      </c>
      <c r="O2479">
        <v>56.812256494458502</v>
      </c>
      <c r="P2479">
        <v>-0.14594393554320301</v>
      </c>
      <c r="Q2479">
        <v>0.41439164624108299</v>
      </c>
      <c r="R2479">
        <v>0.65345406185534105</v>
      </c>
      <c r="S2479" t="s">
        <v>7219</v>
      </c>
      <c r="T2479" t="s">
        <v>9478</v>
      </c>
      <c r="U2479" t="s">
        <v>9478</v>
      </c>
      <c r="V2479" t="s">
        <v>9478</v>
      </c>
      <c r="W2479">
        <v>1</v>
      </c>
      <c r="X2479" t="s">
        <v>11957</v>
      </c>
      <c r="Y2479">
        <v>0.74509653919557273</v>
      </c>
      <c r="Z2479" t="str">
        <f>HYPERLINK("Melting_Curves/meltCurve_sp_Q8IV03_LUR1L_HUMAN_.pdf", "Melting_Curves/meltCurve_sp_Q8IV03_LUR1L_HUMAN_.pdf")</f>
        <v>Melting_Curves/meltCurve_sp_Q8IV03_LUR1L_HUMAN_.pdf</v>
      </c>
      <c r="AA2479" t="s">
        <v>16652</v>
      </c>
      <c r="AB2479" t="s">
        <v>21313</v>
      </c>
    </row>
    <row r="2480" spans="1:28" x14ac:dyDescent="0.25">
      <c r="A2480" t="s">
        <v>2484</v>
      </c>
      <c r="B2480">
        <v>0.99904790336628502</v>
      </c>
      <c r="C2480">
        <v>0.90057266331443298</v>
      </c>
      <c r="D2480">
        <v>0.883385884418742</v>
      </c>
      <c r="E2480">
        <v>0.63640060965418499</v>
      </c>
      <c r="F2480">
        <v>0.30802052860312301</v>
      </c>
      <c r="G2480">
        <v>0.14478287799897099</v>
      </c>
      <c r="H2480">
        <v>7.0343372495903597E-2</v>
      </c>
      <c r="I2480">
        <v>4.4743988369403701E-2</v>
      </c>
      <c r="J2480">
        <v>3.3039351261178601E-2</v>
      </c>
      <c r="K2480">
        <v>2.3055083760542199E-2</v>
      </c>
      <c r="L2480">
        <v>946.77393195729201</v>
      </c>
      <c r="M2480">
        <v>18.570910114437901</v>
      </c>
      <c r="N2480">
        <v>51.093793495786599</v>
      </c>
      <c r="O2480">
        <v>50.401443411744602</v>
      </c>
      <c r="P2480">
        <v>-9.0277857963331307E-2</v>
      </c>
      <c r="Q2480">
        <v>1.99865002801193E-2</v>
      </c>
      <c r="R2480">
        <v>0.99474061449004703</v>
      </c>
      <c r="S2480" t="s">
        <v>7220</v>
      </c>
      <c r="T2480" t="s">
        <v>9478</v>
      </c>
      <c r="U2480" t="s">
        <v>9478</v>
      </c>
      <c r="V2480" t="s">
        <v>9478</v>
      </c>
      <c r="W2480">
        <v>6</v>
      </c>
      <c r="X2480" t="s">
        <v>11958</v>
      </c>
      <c r="Y2480">
        <v>0.39432786645469292</v>
      </c>
      <c r="Z2480" t="str">
        <f>HYPERLINK("Melting_Curves/meltCurve_sp_Q8IV08_PLD3_HUMAN_.pdf", "Melting_Curves/meltCurve_sp_Q8IV08_PLD3_HUMAN_.pdf")</f>
        <v>Melting_Curves/meltCurve_sp_Q8IV08_PLD3_HUMAN_.pdf</v>
      </c>
      <c r="AA2480" t="s">
        <v>16653</v>
      </c>
      <c r="AB2480" t="s">
        <v>21314</v>
      </c>
    </row>
    <row r="2481" spans="1:28" x14ac:dyDescent="0.25">
      <c r="A2481" t="s">
        <v>2485</v>
      </c>
      <c r="B2481">
        <v>0.99904790336628502</v>
      </c>
      <c r="C2481">
        <v>1.1147103352915899</v>
      </c>
      <c r="D2481">
        <v>1.0352013815991701</v>
      </c>
      <c r="E2481">
        <v>1.02425716611137</v>
      </c>
      <c r="F2481">
        <v>0.75770566011896501</v>
      </c>
      <c r="G2481">
        <v>0.46440540201400998</v>
      </c>
      <c r="H2481">
        <v>1.0850356366364401E-2</v>
      </c>
      <c r="I2481">
        <v>0.261552435550512</v>
      </c>
      <c r="J2481">
        <v>0.211598220841761</v>
      </c>
      <c r="K2481">
        <v>0.195969611460107</v>
      </c>
      <c r="L2481">
        <v>1733.8219957879501</v>
      </c>
      <c r="M2481">
        <v>31.468579248964801</v>
      </c>
      <c r="N2481">
        <v>55.839069929671197</v>
      </c>
      <c r="O2481">
        <v>54.875860468156901</v>
      </c>
      <c r="P2481">
        <v>-0.118862757317303</v>
      </c>
      <c r="Q2481">
        <v>0.17089857961953001</v>
      </c>
      <c r="R2481">
        <v>0.95365509116428404</v>
      </c>
      <c r="S2481" t="s">
        <v>7221</v>
      </c>
      <c r="T2481" t="s">
        <v>9478</v>
      </c>
      <c r="U2481" t="s">
        <v>9478</v>
      </c>
      <c r="V2481" t="s">
        <v>9478</v>
      </c>
      <c r="W2481">
        <v>1</v>
      </c>
      <c r="X2481" t="s">
        <v>11959</v>
      </c>
      <c r="Y2481">
        <v>0.59315482049293589</v>
      </c>
      <c r="Z2481" t="str">
        <f>HYPERLINK("Melting_Curves/meltCurve_sp_Q8IV20_LACC1_HUMAN_.pdf", "Melting_Curves/meltCurve_sp_Q8IV20_LACC1_HUMAN_.pdf")</f>
        <v>Melting_Curves/meltCurve_sp_Q8IV20_LACC1_HUMAN_.pdf</v>
      </c>
      <c r="AA2481" t="s">
        <v>16654</v>
      </c>
      <c r="AB2481" t="s">
        <v>21315</v>
      </c>
    </row>
    <row r="2482" spans="1:28" x14ac:dyDescent="0.25">
      <c r="A2482" t="s">
        <v>2486</v>
      </c>
      <c r="B2482">
        <v>0.99904790336628502</v>
      </c>
      <c r="C2482">
        <v>0.99973551379554304</v>
      </c>
      <c r="D2482">
        <v>0.98226114850296697</v>
      </c>
      <c r="E2482">
        <v>0.76543389234781101</v>
      </c>
      <c r="F2482">
        <v>0.23957363323695</v>
      </c>
      <c r="G2482">
        <v>7.9335877018590698E-2</v>
      </c>
      <c r="H2482">
        <v>3.56397536261093E-2</v>
      </c>
      <c r="I2482">
        <v>1.6185844854473001E-2</v>
      </c>
      <c r="J2482">
        <v>1.7234381183569101E-2</v>
      </c>
      <c r="K2482">
        <v>1.6138270879079802E-2</v>
      </c>
      <c r="L2482">
        <v>2072.5808954735398</v>
      </c>
      <c r="M2482">
        <v>40.333563535155498</v>
      </c>
      <c r="N2482">
        <v>51.458734316900703</v>
      </c>
      <c r="O2482">
        <v>51.260177436960497</v>
      </c>
      <c r="P2482">
        <v>-0.191261267951258</v>
      </c>
      <c r="Q2482">
        <v>2.7701416719570798E-2</v>
      </c>
      <c r="R2482">
        <v>0.99908105503903999</v>
      </c>
      <c r="S2482" t="s">
        <v>7222</v>
      </c>
      <c r="T2482" t="s">
        <v>9478</v>
      </c>
      <c r="U2482" t="s">
        <v>9478</v>
      </c>
      <c r="V2482" t="s">
        <v>9478</v>
      </c>
      <c r="W2482">
        <v>6</v>
      </c>
      <c r="X2482" t="s">
        <v>11960</v>
      </c>
      <c r="Y2482">
        <v>0.40011704611930099</v>
      </c>
      <c r="Z2482" t="str">
        <f>HYPERLINK("Melting_Curves/meltCurve_sp_Q8IV38_ANKY2_HUMAN_.pdf", "Melting_Curves/meltCurve_sp_Q8IV38_ANKY2_HUMAN_.pdf")</f>
        <v>Melting_Curves/meltCurve_sp_Q8IV38_ANKY2_HUMAN_.pdf</v>
      </c>
      <c r="AA2482" t="s">
        <v>16655</v>
      </c>
      <c r="AB2482" t="s">
        <v>21316</v>
      </c>
    </row>
    <row r="2483" spans="1:28" x14ac:dyDescent="0.25">
      <c r="A2483" t="s">
        <v>2487</v>
      </c>
      <c r="B2483">
        <v>0.99904790336628502</v>
      </c>
      <c r="C2483">
        <v>1.01828810959862</v>
      </c>
      <c r="D2483">
        <v>1.0167881857919401</v>
      </c>
      <c r="E2483">
        <v>0.92025175364613299</v>
      </c>
      <c r="F2483">
        <v>0.80323803339004596</v>
      </c>
      <c r="G2483">
        <v>0.45862550947162101</v>
      </c>
      <c r="H2483">
        <v>0.20188091424964399</v>
      </c>
      <c r="I2483">
        <v>0.126960143469635</v>
      </c>
      <c r="J2483">
        <v>9.5139631415593395E-2</v>
      </c>
      <c r="K2483">
        <v>9.0294921327033303E-2</v>
      </c>
      <c r="L2483">
        <v>1233.30603296242</v>
      </c>
      <c r="M2483">
        <v>21.989818503452799</v>
      </c>
      <c r="N2483">
        <v>56.4852661197462</v>
      </c>
      <c r="O2483">
        <v>55.627673242761801</v>
      </c>
      <c r="P2483">
        <v>-9.17034663539677E-2</v>
      </c>
      <c r="Q2483">
        <v>7.20912274200501E-2</v>
      </c>
      <c r="R2483">
        <v>0.99905178879623802</v>
      </c>
      <c r="S2483" t="s">
        <v>7223</v>
      </c>
      <c r="T2483" t="s">
        <v>9478</v>
      </c>
      <c r="U2483" t="s">
        <v>9478</v>
      </c>
      <c r="V2483" t="s">
        <v>9478</v>
      </c>
      <c r="W2483">
        <v>9</v>
      </c>
      <c r="X2483" t="s">
        <v>11961</v>
      </c>
      <c r="Y2483">
        <v>0.58002620524427395</v>
      </c>
      <c r="Z2483" t="str">
        <f>HYPERLINK("Melting_Curves/meltCurve_sp_Q8IVD9_NUDC3_HUMAN_.pdf", "Melting_Curves/meltCurve_sp_Q8IVD9_NUDC3_HUMAN_.pdf")</f>
        <v>Melting_Curves/meltCurve_sp_Q8IVD9_NUDC3_HUMAN_.pdf</v>
      </c>
      <c r="AA2483" t="s">
        <v>16656</v>
      </c>
      <c r="AB2483" t="s">
        <v>21317</v>
      </c>
    </row>
    <row r="2484" spans="1:28" x14ac:dyDescent="0.25">
      <c r="A2484" t="s">
        <v>2488</v>
      </c>
      <c r="B2484">
        <v>0.99904790336628502</v>
      </c>
      <c r="C2484">
        <v>0.96110080320524705</v>
      </c>
      <c r="D2484">
        <v>0.82629075100731397</v>
      </c>
      <c r="E2484">
        <v>0.39319424190211499</v>
      </c>
      <c r="F2484">
        <v>0.145301115735194</v>
      </c>
      <c r="G2484">
        <v>8.6176320619297198E-2</v>
      </c>
      <c r="H2484">
        <v>5.5335877079217902E-2</v>
      </c>
      <c r="I2484">
        <v>4.2059790217316199E-2</v>
      </c>
      <c r="J2484">
        <v>3.6602669316813802E-2</v>
      </c>
      <c r="K2484">
        <v>2.5853942965641499E-2</v>
      </c>
      <c r="L2484">
        <v>1193.0599718812</v>
      </c>
      <c r="M2484">
        <v>24.427111479882399</v>
      </c>
      <c r="N2484">
        <v>49.003819347306198</v>
      </c>
      <c r="O2484">
        <v>48.517832051411602</v>
      </c>
      <c r="P2484">
        <v>-0.120980784026833</v>
      </c>
      <c r="Q2484">
        <v>3.8832294587200201E-2</v>
      </c>
      <c r="R2484">
        <v>0.999321371722527</v>
      </c>
      <c r="S2484" t="s">
        <v>7224</v>
      </c>
      <c r="T2484" t="s">
        <v>9478</v>
      </c>
      <c r="U2484" t="s">
        <v>9478</v>
      </c>
      <c r="V2484" t="s">
        <v>9478</v>
      </c>
      <c r="W2484">
        <v>14</v>
      </c>
      <c r="X2484" t="s">
        <v>11962</v>
      </c>
      <c r="Y2484">
        <v>0.33103620041776072</v>
      </c>
      <c r="Z2484" t="str">
        <f>HYPERLINK("Melting_Curves/meltCurve_sp_Q8IVH4_MMAA_HUMAN_.pdf", "Melting_Curves/meltCurve_sp_Q8IVH4_MMAA_HUMAN_.pdf")</f>
        <v>Melting_Curves/meltCurve_sp_Q8IVH4_MMAA_HUMAN_.pdf</v>
      </c>
      <c r="AA2484" t="s">
        <v>16657</v>
      </c>
      <c r="AB2484" t="s">
        <v>21318</v>
      </c>
    </row>
    <row r="2485" spans="1:28" x14ac:dyDescent="0.25">
      <c r="A2485" t="s">
        <v>2489</v>
      </c>
      <c r="B2485">
        <v>0.99904790336628502</v>
      </c>
      <c r="C2485">
        <v>0.99638964420501797</v>
      </c>
      <c r="D2485">
        <v>0.97824538107306303</v>
      </c>
      <c r="E2485">
        <v>0.89880912947825498</v>
      </c>
      <c r="F2485">
        <v>0.91417936892606499</v>
      </c>
      <c r="G2485">
        <v>0.66516043572293404</v>
      </c>
      <c r="H2485">
        <v>0.61376232316544699</v>
      </c>
      <c r="I2485">
        <v>0.63122837632652695</v>
      </c>
      <c r="J2485">
        <v>0.68796448326719795</v>
      </c>
      <c r="K2485">
        <v>0.68652322343859895</v>
      </c>
      <c r="L2485">
        <v>2179.0848242182301</v>
      </c>
      <c r="M2485">
        <v>40.364894986500701</v>
      </c>
      <c r="O2485">
        <v>53.852659564938797</v>
      </c>
      <c r="P2485">
        <v>-6.5535463002032696E-2</v>
      </c>
      <c r="Q2485">
        <v>0.650265218904995</v>
      </c>
      <c r="R2485">
        <v>0.94123026866089299</v>
      </c>
      <c r="S2485" t="s">
        <v>7225</v>
      </c>
      <c r="T2485" t="s">
        <v>9478</v>
      </c>
      <c r="U2485" t="s">
        <v>9478</v>
      </c>
      <c r="V2485" t="s">
        <v>9478</v>
      </c>
      <c r="W2485">
        <v>10</v>
      </c>
      <c r="X2485" t="s">
        <v>11963</v>
      </c>
      <c r="Y2485">
        <v>0.81457486645775767</v>
      </c>
      <c r="Z2485" t="str">
        <f>HYPERLINK("Melting_Curves/meltCurve_sp_Q8IVM0_2_CCD50_HUMAN_.pdf", "Melting_Curves/meltCurve_sp_Q8IVM0_2_CCD50_HUMAN_.pdf")</f>
        <v>Melting_Curves/meltCurve_sp_Q8IVM0_2_CCD50_HUMAN_.pdf</v>
      </c>
      <c r="AA2485" t="s">
        <v>16658</v>
      </c>
      <c r="AB2485" t="s">
        <v>21319</v>
      </c>
    </row>
    <row r="2486" spans="1:28" x14ac:dyDescent="0.25">
      <c r="A2486" t="s">
        <v>2490</v>
      </c>
      <c r="B2486">
        <v>0.99904790336628502</v>
      </c>
      <c r="C2486">
        <v>0.74320774283344204</v>
      </c>
      <c r="D2486">
        <v>0.89846401621954197</v>
      </c>
      <c r="E2486">
        <v>0.89548626679452203</v>
      </c>
      <c r="F2486">
        <v>0.853739707523265</v>
      </c>
      <c r="G2486">
        <v>0.78898376394749603</v>
      </c>
      <c r="H2486">
        <v>0.70165507286351503</v>
      </c>
      <c r="I2486">
        <v>0.61711000149262496</v>
      </c>
      <c r="J2486">
        <v>0.52407756563672103</v>
      </c>
      <c r="K2486">
        <v>0.47889355161868002</v>
      </c>
      <c r="L2486">
        <v>311.21607411924498</v>
      </c>
      <c r="M2486">
        <v>4.4019783390905696</v>
      </c>
      <c r="O2486">
        <v>59.722873288608199</v>
      </c>
      <c r="P2486">
        <v>-1.8600061644905599E-2</v>
      </c>
      <c r="Q2486">
        <v>0</v>
      </c>
      <c r="R2486">
        <v>0.80658962608640306</v>
      </c>
      <c r="S2486" t="s">
        <v>7226</v>
      </c>
      <c r="T2486" t="s">
        <v>9478</v>
      </c>
      <c r="U2486" t="s">
        <v>9478</v>
      </c>
      <c r="V2486" t="s">
        <v>9478</v>
      </c>
      <c r="W2486">
        <v>9</v>
      </c>
      <c r="X2486" t="s">
        <v>11964</v>
      </c>
      <c r="Y2486">
        <v>0.76491411446859403</v>
      </c>
      <c r="Z2486" t="str">
        <f>HYPERLINK("Melting_Curves/meltCurve_sp_Q8IVM0_CCD50_HUMAN_.pdf", "Melting_Curves/meltCurve_sp_Q8IVM0_CCD50_HUMAN_.pdf")</f>
        <v>Melting_Curves/meltCurve_sp_Q8IVM0_CCD50_HUMAN_.pdf</v>
      </c>
      <c r="AA2486" t="s">
        <v>16658</v>
      </c>
      <c r="AB2486" t="s">
        <v>21320</v>
      </c>
    </row>
    <row r="2487" spans="1:28" x14ac:dyDescent="0.25">
      <c r="A2487" t="s">
        <v>2491</v>
      </c>
      <c r="B2487">
        <v>0.99904790336628502</v>
      </c>
      <c r="C2487">
        <v>1.0035788430002099</v>
      </c>
      <c r="D2487">
        <v>0.94837422725723797</v>
      </c>
      <c r="E2487">
        <v>0.90952384076400306</v>
      </c>
      <c r="F2487">
        <v>0.84266370484251196</v>
      </c>
      <c r="G2487">
        <v>0.64600043683441399</v>
      </c>
      <c r="H2487">
        <v>0.408491262130527</v>
      </c>
      <c r="I2487">
        <v>0.34146748197239202</v>
      </c>
      <c r="J2487">
        <v>0.26434932822395701</v>
      </c>
      <c r="K2487">
        <v>0.14431683046560301</v>
      </c>
      <c r="L2487">
        <v>724.79584644195904</v>
      </c>
      <c r="M2487">
        <v>12.1859625226221</v>
      </c>
      <c r="N2487">
        <v>59.849237006319598</v>
      </c>
      <c r="O2487">
        <v>57.944206958790097</v>
      </c>
      <c r="P2487">
        <v>-5.0673618963617703E-2</v>
      </c>
      <c r="Q2487">
        <v>3.6407346115999502E-2</v>
      </c>
      <c r="R2487">
        <v>0.99538094343158701</v>
      </c>
      <c r="S2487" t="s">
        <v>7227</v>
      </c>
      <c r="T2487" t="s">
        <v>9478</v>
      </c>
      <c r="U2487" t="s">
        <v>9478</v>
      </c>
      <c r="V2487" t="s">
        <v>9478</v>
      </c>
      <c r="W2487">
        <v>8</v>
      </c>
      <c r="X2487" t="s">
        <v>11965</v>
      </c>
      <c r="Y2487">
        <v>0.667537360515011</v>
      </c>
      <c r="Z2487" t="str">
        <f>HYPERLINK("Melting_Curves/meltCurve_sp_Q8IVS2_FABD_HUMAN_.pdf", "Melting_Curves/meltCurve_sp_Q8IVS2_FABD_HUMAN_.pdf")</f>
        <v>Melting_Curves/meltCurve_sp_Q8IVS2_FABD_HUMAN_.pdf</v>
      </c>
      <c r="AA2487" t="s">
        <v>16659</v>
      </c>
      <c r="AB2487" t="s">
        <v>21321</v>
      </c>
    </row>
    <row r="2488" spans="1:28" x14ac:dyDescent="0.25">
      <c r="A2488" t="s">
        <v>2492</v>
      </c>
      <c r="B2488">
        <v>0.99904790336628502</v>
      </c>
      <c r="C2488">
        <v>0.61564194718545695</v>
      </c>
      <c r="D2488">
        <v>0.32487987417201297</v>
      </c>
      <c r="E2488">
        <v>0.15514705274452201</v>
      </c>
      <c r="F2488">
        <v>8.6446932408556498E-2</v>
      </c>
      <c r="G2488">
        <v>5.16398222112106E-2</v>
      </c>
      <c r="H2488">
        <v>2.3749259012074701E-2</v>
      </c>
      <c r="I2488">
        <v>1.14850458474675E-2</v>
      </c>
      <c r="J2488">
        <v>1.1484985926381201E-2</v>
      </c>
      <c r="K2488">
        <v>7.6496984653642696E-3</v>
      </c>
      <c r="L2488">
        <v>932.03365510009996</v>
      </c>
      <c r="M2488">
        <v>21.073280036182702</v>
      </c>
      <c r="N2488">
        <v>44.358841550732599</v>
      </c>
      <c r="O2488">
        <v>43.835722848093603</v>
      </c>
      <c r="P2488">
        <v>-0.116570523334913</v>
      </c>
      <c r="Q2488">
        <v>3.00859428880456E-2</v>
      </c>
      <c r="R2488">
        <v>0.98394466153040205</v>
      </c>
      <c r="S2488" t="s">
        <v>7228</v>
      </c>
      <c r="T2488" t="s">
        <v>9478</v>
      </c>
      <c r="U2488" t="s">
        <v>9478</v>
      </c>
      <c r="V2488" t="s">
        <v>9478</v>
      </c>
      <c r="W2488">
        <v>6</v>
      </c>
      <c r="X2488" t="s">
        <v>11966</v>
      </c>
      <c r="Y2488">
        <v>0.18288596947869801</v>
      </c>
      <c r="Z2488" t="str">
        <f>HYPERLINK("Melting_Curves/meltCurve_sp_Q8IVS8_GLCTK_HUMAN_.pdf", "Melting_Curves/meltCurve_sp_Q8IVS8_GLCTK_HUMAN_.pdf")</f>
        <v>Melting_Curves/meltCurve_sp_Q8IVS8_GLCTK_HUMAN_.pdf</v>
      </c>
      <c r="AA2488" t="s">
        <v>16660</v>
      </c>
      <c r="AB2488" t="s">
        <v>21322</v>
      </c>
    </row>
    <row r="2489" spans="1:28" x14ac:dyDescent="0.25">
      <c r="A2489" t="s">
        <v>2493</v>
      </c>
      <c r="B2489">
        <v>0.99904790336628502</v>
      </c>
      <c r="C2489">
        <v>0.96725025570354894</v>
      </c>
      <c r="D2489">
        <v>1.03652963674399</v>
      </c>
      <c r="E2489">
        <v>1.0160815162996899</v>
      </c>
      <c r="F2489">
        <v>0.96712182248140699</v>
      </c>
      <c r="G2489">
        <v>0.74972684646194998</v>
      </c>
      <c r="H2489">
        <v>0.61728429063564105</v>
      </c>
      <c r="I2489">
        <v>0.57555046006069199</v>
      </c>
      <c r="J2489">
        <v>0.52777501117675996</v>
      </c>
      <c r="K2489">
        <v>0.36817321471319298</v>
      </c>
      <c r="L2489">
        <v>930.45425121577898</v>
      </c>
      <c r="M2489">
        <v>15.542204712138201</v>
      </c>
      <c r="N2489">
        <v>65.4933864428303</v>
      </c>
      <c r="O2489">
        <v>58.901486444957499</v>
      </c>
      <c r="P2489">
        <v>-4.1663864461910699E-2</v>
      </c>
      <c r="Q2489">
        <v>0.36846851320853602</v>
      </c>
      <c r="R2489">
        <v>0.96666233333743501</v>
      </c>
      <c r="S2489" t="s">
        <v>7229</v>
      </c>
      <c r="T2489" t="s">
        <v>9478</v>
      </c>
      <c r="U2489" t="s">
        <v>9478</v>
      </c>
      <c r="V2489" t="s">
        <v>9478</v>
      </c>
      <c r="W2489">
        <v>18</v>
      </c>
      <c r="X2489" t="s">
        <v>11967</v>
      </c>
      <c r="Y2489">
        <v>0.79158507274490131</v>
      </c>
      <c r="Z2489" t="str">
        <f>HYPERLINK("Melting_Curves/meltCurve_sp_Q8IW45_NNRD_HUMAN_.pdf", "Melting_Curves/meltCurve_sp_Q8IW45_NNRD_HUMAN_.pdf")</f>
        <v>Melting_Curves/meltCurve_sp_Q8IW45_NNRD_HUMAN_.pdf</v>
      </c>
      <c r="AA2489" t="s">
        <v>16661</v>
      </c>
      <c r="AB2489" t="s">
        <v>21323</v>
      </c>
    </row>
    <row r="2490" spans="1:28" x14ac:dyDescent="0.25">
      <c r="A2490" t="s">
        <v>2494</v>
      </c>
      <c r="B2490">
        <v>0.99904790336628502</v>
      </c>
      <c r="C2490">
        <v>1.06512140245382</v>
      </c>
      <c r="D2490">
        <v>1.02449879132766</v>
      </c>
      <c r="E2490">
        <v>0.95455113646453404</v>
      </c>
      <c r="F2490">
        <v>0.85884024536486203</v>
      </c>
      <c r="G2490">
        <v>0.60078414174365102</v>
      </c>
      <c r="H2490">
        <v>0.35761483355295198</v>
      </c>
      <c r="I2490">
        <v>0.121237986880481</v>
      </c>
      <c r="J2490">
        <v>0.16503443468062401</v>
      </c>
      <c r="K2490">
        <v>3.7279365972398601E-2</v>
      </c>
      <c r="L2490">
        <v>1052.1747350901401</v>
      </c>
      <c r="M2490">
        <v>18.035230638823599</v>
      </c>
      <c r="N2490">
        <v>58.447485119505103</v>
      </c>
      <c r="O2490">
        <v>57.6368962563349</v>
      </c>
      <c r="P2490">
        <v>-7.6955183721985801E-2</v>
      </c>
      <c r="Q2490">
        <v>1.6316263294010001E-2</v>
      </c>
      <c r="R2490">
        <v>0.99033183145793502</v>
      </c>
      <c r="S2490" t="s">
        <v>7230</v>
      </c>
      <c r="T2490" t="s">
        <v>9478</v>
      </c>
      <c r="U2490" t="s">
        <v>9478</v>
      </c>
      <c r="V2490" t="s">
        <v>9478</v>
      </c>
      <c r="W2490">
        <v>1</v>
      </c>
      <c r="X2490" t="s">
        <v>11968</v>
      </c>
      <c r="Y2490">
        <v>0.62928432177878346</v>
      </c>
      <c r="Z2490" t="str">
        <f>HYPERLINK("Melting_Curves/meltCurve_sp_Q8IWB7_WDFY1_HUMAN_.pdf", "Melting_Curves/meltCurve_sp_Q8IWB7_WDFY1_HUMAN_.pdf")</f>
        <v>Melting_Curves/meltCurve_sp_Q8IWB7_WDFY1_HUMAN_.pdf</v>
      </c>
      <c r="AA2490" t="s">
        <v>16662</v>
      </c>
      <c r="AB2490" t="s">
        <v>21324</v>
      </c>
    </row>
    <row r="2491" spans="1:28" x14ac:dyDescent="0.25">
      <c r="A2491" t="s">
        <v>2495</v>
      </c>
      <c r="B2491">
        <v>0.99904790336628502</v>
      </c>
      <c r="C2491">
        <v>1.01632307477173</v>
      </c>
      <c r="D2491">
        <v>0.89907789330582799</v>
      </c>
      <c r="E2491">
        <v>0.85545417691990999</v>
      </c>
      <c r="F2491">
        <v>0.965873734437242</v>
      </c>
      <c r="G2491">
        <v>0.719396874703498</v>
      </c>
      <c r="H2491">
        <v>0.68731176257154003</v>
      </c>
      <c r="I2491">
        <v>0.63249760589403703</v>
      </c>
      <c r="J2491">
        <v>0.70006345643480306</v>
      </c>
      <c r="K2491">
        <v>0.75485382156615999</v>
      </c>
      <c r="L2491">
        <v>760.55462904128399</v>
      </c>
      <c r="M2491">
        <v>14.276687343684699</v>
      </c>
      <c r="O2491">
        <v>52.259980986870303</v>
      </c>
      <c r="P2491">
        <v>-2.2408122153464299E-2</v>
      </c>
      <c r="Q2491">
        <v>0.671939443755463</v>
      </c>
      <c r="R2491">
        <v>0.79829047133118203</v>
      </c>
      <c r="S2491" t="s">
        <v>7231</v>
      </c>
      <c r="T2491" t="s">
        <v>9478</v>
      </c>
      <c r="U2491" t="s">
        <v>9478</v>
      </c>
      <c r="V2491" t="s">
        <v>9478</v>
      </c>
      <c r="W2491">
        <v>4</v>
      </c>
      <c r="X2491" t="s">
        <v>11969</v>
      </c>
      <c r="Y2491">
        <v>0.8245256242866279</v>
      </c>
      <c r="Z2491" t="str">
        <f>HYPERLINK("Melting_Curves/meltCurve_sp_Q8IWB9_TEX2_HUMAN_.pdf", "Melting_Curves/meltCurve_sp_Q8IWB9_TEX2_HUMAN_.pdf")</f>
        <v>Melting_Curves/meltCurve_sp_Q8IWB9_TEX2_HUMAN_.pdf</v>
      </c>
      <c r="AA2491" t="s">
        <v>16663</v>
      </c>
      <c r="AB2491" t="s">
        <v>21325</v>
      </c>
    </row>
    <row r="2492" spans="1:28" x14ac:dyDescent="0.25">
      <c r="A2492" t="s">
        <v>2496</v>
      </c>
      <c r="B2492">
        <v>0.99904790336628502</v>
      </c>
      <c r="C2492">
        <v>0.98207044374480501</v>
      </c>
      <c r="D2492">
        <v>0.91954717079081905</v>
      </c>
      <c r="E2492">
        <v>0.89329966065520305</v>
      </c>
      <c r="F2492">
        <v>0.77527342535572896</v>
      </c>
      <c r="G2492">
        <v>0.47650995879160402</v>
      </c>
      <c r="H2492">
        <v>0.21005094328159701</v>
      </c>
      <c r="I2492">
        <v>0.105719204702488</v>
      </c>
      <c r="J2492">
        <v>9.0105047243576403E-2</v>
      </c>
      <c r="K2492">
        <v>6.5719708532910801E-2</v>
      </c>
      <c r="L2492">
        <v>994.59411239280098</v>
      </c>
      <c r="M2492">
        <v>17.6428807550984</v>
      </c>
      <c r="N2492">
        <v>56.5177779727304</v>
      </c>
      <c r="O2492">
        <v>55.664392258396497</v>
      </c>
      <c r="P2492">
        <v>-7.7499208566769007E-2</v>
      </c>
      <c r="Q2492">
        <v>2.1992844576730002E-2</v>
      </c>
      <c r="R2492">
        <v>0.99605887996136599</v>
      </c>
      <c r="S2492" t="s">
        <v>7232</v>
      </c>
      <c r="T2492" t="s">
        <v>9478</v>
      </c>
      <c r="U2492" t="s">
        <v>9478</v>
      </c>
      <c r="V2492" t="s">
        <v>9478</v>
      </c>
      <c r="W2492">
        <v>13</v>
      </c>
      <c r="X2492" t="s">
        <v>11970</v>
      </c>
      <c r="Y2492">
        <v>0.57016407496453303</v>
      </c>
      <c r="Z2492" t="str">
        <f>HYPERLINK("Melting_Curves/meltCurve_sp_Q8IWE2_NXP20_HUMAN_.pdf", "Melting_Curves/meltCurve_sp_Q8IWE2_NXP20_HUMAN_.pdf")</f>
        <v>Melting_Curves/meltCurve_sp_Q8IWE2_NXP20_HUMAN_.pdf</v>
      </c>
      <c r="AA2492" t="s">
        <v>16664</v>
      </c>
      <c r="AB2492" t="s">
        <v>21326</v>
      </c>
    </row>
    <row r="2493" spans="1:28" x14ac:dyDescent="0.25">
      <c r="A2493" t="s">
        <v>2497</v>
      </c>
      <c r="B2493">
        <v>0.99904790336628502</v>
      </c>
      <c r="C2493">
        <v>1.0021745503144901</v>
      </c>
      <c r="D2493">
        <v>0.99489614775685498</v>
      </c>
      <c r="E2493">
        <v>0.87237277938579005</v>
      </c>
      <c r="F2493">
        <v>0.70071803655657205</v>
      </c>
      <c r="G2493">
        <v>0.459671905868343</v>
      </c>
      <c r="H2493">
        <v>0.37394635108749702</v>
      </c>
      <c r="I2493">
        <v>0.35834037459149298</v>
      </c>
      <c r="J2493">
        <v>0.35332763646383603</v>
      </c>
      <c r="K2493">
        <v>0.30597095147970499</v>
      </c>
      <c r="L2493">
        <v>1168.8906168794599</v>
      </c>
      <c r="M2493">
        <v>21.864296529675698</v>
      </c>
      <c r="N2493">
        <v>56.217242409647397</v>
      </c>
      <c r="O2493">
        <v>53.019969793844901</v>
      </c>
      <c r="P2493">
        <v>-6.9196334146279001E-2</v>
      </c>
      <c r="Q2493">
        <v>0.32882294469747902</v>
      </c>
      <c r="R2493">
        <v>0.99823302561370697</v>
      </c>
      <c r="S2493" t="s">
        <v>7233</v>
      </c>
      <c r="T2493" t="s">
        <v>9478</v>
      </c>
      <c r="U2493" t="s">
        <v>9478</v>
      </c>
      <c r="V2493" t="s">
        <v>9478</v>
      </c>
      <c r="W2493">
        <v>38</v>
      </c>
      <c r="X2493" t="s">
        <v>11971</v>
      </c>
      <c r="Y2493">
        <v>0.63787539233890556</v>
      </c>
      <c r="Z2493" t="str">
        <f>HYPERLINK("Melting_Curves/meltCurve_sp_Q8IWJ2_GCC2_HUMAN_.pdf", "Melting_Curves/meltCurve_sp_Q8IWJ2_GCC2_HUMAN_.pdf")</f>
        <v>Melting_Curves/meltCurve_sp_Q8IWJ2_GCC2_HUMAN_.pdf</v>
      </c>
      <c r="AA2493" t="s">
        <v>16665</v>
      </c>
      <c r="AB2493" t="s">
        <v>21327</v>
      </c>
    </row>
    <row r="2494" spans="1:28" x14ac:dyDescent="0.25">
      <c r="A2494" t="s">
        <v>2498</v>
      </c>
      <c r="B2494">
        <v>0.99904790336628502</v>
      </c>
      <c r="C2494">
        <v>0.94768488562139297</v>
      </c>
      <c r="D2494">
        <v>0.92433790220905099</v>
      </c>
      <c r="E2494">
        <v>0.92807291582206097</v>
      </c>
      <c r="F2494">
        <v>0.90818762997215297</v>
      </c>
      <c r="G2494">
        <v>0.774017318329983</v>
      </c>
      <c r="H2494">
        <v>0.50507400684009895</v>
      </c>
      <c r="I2494">
        <v>0.37299241976065101</v>
      </c>
      <c r="J2494">
        <v>0.31953423152080901</v>
      </c>
      <c r="K2494">
        <v>0.29432732223890201</v>
      </c>
      <c r="L2494">
        <v>1039.6035171951301</v>
      </c>
      <c r="M2494">
        <v>17.5699330355874</v>
      </c>
      <c r="N2494">
        <v>61.345066168909703</v>
      </c>
      <c r="O2494">
        <v>58.418933882205799</v>
      </c>
      <c r="P2494">
        <v>-5.7758828300114098E-2</v>
      </c>
      <c r="Q2494">
        <v>0.23186365128769501</v>
      </c>
      <c r="R2494">
        <v>0.98493953661710498</v>
      </c>
      <c r="S2494" t="s">
        <v>7234</v>
      </c>
      <c r="T2494" t="s">
        <v>9478</v>
      </c>
      <c r="U2494" t="s">
        <v>9478</v>
      </c>
      <c r="V2494" t="s">
        <v>9478</v>
      </c>
      <c r="W2494">
        <v>18</v>
      </c>
      <c r="X2494" t="s">
        <v>11972</v>
      </c>
      <c r="Y2494">
        <v>0.73058343432067141</v>
      </c>
      <c r="Z2494" t="str">
        <f>HYPERLINK("Melting_Curves/meltCurve_sp_Q8IWL3_HSC20_HUMAN_.pdf", "Melting_Curves/meltCurve_sp_Q8IWL3_HSC20_HUMAN_.pdf")</f>
        <v>Melting_Curves/meltCurve_sp_Q8IWL3_HSC20_HUMAN_.pdf</v>
      </c>
      <c r="AA2494" t="s">
        <v>16666</v>
      </c>
      <c r="AB2494" t="s">
        <v>21328</v>
      </c>
    </row>
    <row r="2495" spans="1:28" x14ac:dyDescent="0.25">
      <c r="A2495" t="s">
        <v>2499</v>
      </c>
      <c r="B2495">
        <v>0.99904790336628502</v>
      </c>
      <c r="C2495">
        <v>1.1908442589716599</v>
      </c>
      <c r="D2495">
        <v>1.1501134777297599</v>
      </c>
      <c r="E2495">
        <v>0.99198993262136503</v>
      </c>
      <c r="F2495">
        <v>0.63458216237932696</v>
      </c>
      <c r="G2495">
        <v>0.12650682610767799</v>
      </c>
      <c r="H2495">
        <v>0.24206725050981401</v>
      </c>
      <c r="I2495">
        <v>9.0093544665761902E-2</v>
      </c>
      <c r="J2495">
        <v>0.113245075731645</v>
      </c>
      <c r="K2495">
        <v>0.17345277979662599</v>
      </c>
      <c r="L2495">
        <v>9196.5515018534697</v>
      </c>
      <c r="M2495">
        <v>173.23568754332501</v>
      </c>
      <c r="N2495">
        <v>53.195645509163299</v>
      </c>
      <c r="O2495">
        <v>53.079858763093597</v>
      </c>
      <c r="P2495">
        <v>-0.69428918968328701</v>
      </c>
      <c r="Q2495">
        <v>0.14907203875220701</v>
      </c>
      <c r="R2495">
        <v>0.96302398740933104</v>
      </c>
      <c r="S2495" t="s">
        <v>7235</v>
      </c>
      <c r="T2495" t="s">
        <v>9478</v>
      </c>
      <c r="U2495" t="s">
        <v>9478</v>
      </c>
      <c r="V2495" t="s">
        <v>9478</v>
      </c>
      <c r="W2495">
        <v>1</v>
      </c>
      <c r="X2495" t="s">
        <v>11973</v>
      </c>
      <c r="Y2495">
        <v>0.52043845026651936</v>
      </c>
      <c r="Z2495" t="str">
        <f>HYPERLINK("Melting_Curves/meltCurve_sp_Q8IWR0_Z3H7A_HUMAN_.pdf", "Melting_Curves/meltCurve_sp_Q8IWR0_Z3H7A_HUMAN_.pdf")</f>
        <v>Melting_Curves/meltCurve_sp_Q8IWR0_Z3H7A_HUMAN_.pdf</v>
      </c>
      <c r="AA2495" t="s">
        <v>16667</v>
      </c>
      <c r="AB2495" t="s">
        <v>21329</v>
      </c>
    </row>
    <row r="2496" spans="1:28" x14ac:dyDescent="0.25">
      <c r="A2496" t="s">
        <v>2500</v>
      </c>
      <c r="B2496">
        <v>0.99904790336628502</v>
      </c>
      <c r="C2496">
        <v>1.06982152788892</v>
      </c>
      <c r="D2496">
        <v>1.0502787674746901</v>
      </c>
      <c r="E2496">
        <v>0.98808789172470302</v>
      </c>
      <c r="F2496">
        <v>0.79111256994479195</v>
      </c>
      <c r="G2496">
        <v>0.65424212735279497</v>
      </c>
      <c r="H2496">
        <v>0.57170512583873401</v>
      </c>
      <c r="I2496">
        <v>0.49253563532921202</v>
      </c>
      <c r="J2496">
        <v>0.482110977427812</v>
      </c>
      <c r="K2496">
        <v>0.485422357161579</v>
      </c>
      <c r="L2496">
        <v>1192.1736949507001</v>
      </c>
      <c r="M2496">
        <v>21.727563594047201</v>
      </c>
      <c r="N2496">
        <v>65.3815216967661</v>
      </c>
      <c r="O2496">
        <v>54.410737467188703</v>
      </c>
      <c r="P2496">
        <v>-5.1434039340480402E-2</v>
      </c>
      <c r="Q2496">
        <v>0.48480217548907101</v>
      </c>
      <c r="R2496">
        <v>0.97491762973498997</v>
      </c>
      <c r="S2496" t="s">
        <v>7236</v>
      </c>
      <c r="T2496" t="s">
        <v>9478</v>
      </c>
      <c r="U2496" t="s">
        <v>9478</v>
      </c>
      <c r="V2496" t="s">
        <v>9478</v>
      </c>
      <c r="W2496">
        <v>6</v>
      </c>
      <c r="X2496" t="s">
        <v>11974</v>
      </c>
      <c r="Y2496">
        <v>0.74619994541410273</v>
      </c>
      <c r="Z2496" t="str">
        <f>HYPERLINK("Melting_Curves/meltCurve_sp_Q8IWU2_LMTK2_HUMAN_.pdf", "Melting_Curves/meltCurve_sp_Q8IWU2_LMTK2_HUMAN_.pdf")</f>
        <v>Melting_Curves/meltCurve_sp_Q8IWU2_LMTK2_HUMAN_.pdf</v>
      </c>
      <c r="AA2496" t="s">
        <v>16668</v>
      </c>
      <c r="AB2496" t="s">
        <v>21330</v>
      </c>
    </row>
    <row r="2497" spans="1:28" x14ac:dyDescent="0.25">
      <c r="A2497" t="s">
        <v>2501</v>
      </c>
      <c r="B2497">
        <v>0.99904790336628502</v>
      </c>
      <c r="C2497">
        <v>0.90677684321593699</v>
      </c>
      <c r="D2497">
        <v>0.90929311920540301</v>
      </c>
      <c r="E2497">
        <v>0.55271443501613304</v>
      </c>
      <c r="F2497">
        <v>0.35179834181891001</v>
      </c>
      <c r="G2497">
        <v>0.17633926623412899</v>
      </c>
      <c r="H2497">
        <v>7.3180737721759204E-2</v>
      </c>
      <c r="I2497">
        <v>4.2221092785259699E-2</v>
      </c>
      <c r="J2497">
        <v>3.9133111192407199E-2</v>
      </c>
      <c r="K2497">
        <v>2.67957326731285E-2</v>
      </c>
      <c r="L2497">
        <v>855.50813468232002</v>
      </c>
      <c r="M2497">
        <v>16.8219316258884</v>
      </c>
      <c r="N2497">
        <v>50.980732202943599</v>
      </c>
      <c r="O2497">
        <v>50.154322052801596</v>
      </c>
      <c r="P2497">
        <v>-8.2175091273531495E-2</v>
      </c>
      <c r="Q2497">
        <v>2.00482168751463E-2</v>
      </c>
      <c r="R2497">
        <v>0.99547396440543601</v>
      </c>
      <c r="S2497" t="s">
        <v>7237</v>
      </c>
      <c r="T2497" t="s">
        <v>9478</v>
      </c>
      <c r="U2497" t="s">
        <v>9478</v>
      </c>
      <c r="V2497" t="s">
        <v>9478</v>
      </c>
      <c r="W2497">
        <v>11</v>
      </c>
      <c r="X2497" t="s">
        <v>11975</v>
      </c>
      <c r="Y2497">
        <v>0.39335653541356053</v>
      </c>
      <c r="Z2497" t="str">
        <f>HYPERLINK("Melting_Curves/meltCurve_sp_Q8IWV7_UBR1_HUMAN_.pdf", "Melting_Curves/meltCurve_sp_Q8IWV7_UBR1_HUMAN_.pdf")</f>
        <v>Melting_Curves/meltCurve_sp_Q8IWV7_UBR1_HUMAN_.pdf</v>
      </c>
      <c r="AA2497" t="s">
        <v>16669</v>
      </c>
      <c r="AB2497" t="s">
        <v>21331</v>
      </c>
    </row>
    <row r="2498" spans="1:28" x14ac:dyDescent="0.25">
      <c r="A2498" t="s">
        <v>2502</v>
      </c>
      <c r="B2498">
        <v>0.99904790336628502</v>
      </c>
      <c r="C2498">
        <v>1.33036653874734</v>
      </c>
      <c r="D2498">
        <v>1.0452713190254901</v>
      </c>
      <c r="E2498">
        <v>0.61774352696193502</v>
      </c>
      <c r="F2498">
        <v>0.25740107682284002</v>
      </c>
      <c r="G2498">
        <v>0.16422068536071199</v>
      </c>
      <c r="H2498">
        <v>9.0286068494367405E-2</v>
      </c>
      <c r="I2498">
        <v>5.8451140816789801E-2</v>
      </c>
      <c r="J2498">
        <v>8.52009795349849E-2</v>
      </c>
      <c r="K2498">
        <v>7.8361222163787395E-2</v>
      </c>
      <c r="L2498">
        <v>1825.66391096289</v>
      </c>
      <c r="M2498">
        <v>36.090143510501697</v>
      </c>
      <c r="N2498">
        <v>50.876626872862801</v>
      </c>
      <c r="O2498">
        <v>50.4316583747298</v>
      </c>
      <c r="P2498">
        <v>-0.16225323079906601</v>
      </c>
      <c r="Q2498">
        <v>9.3084906653523106E-2</v>
      </c>
      <c r="R2498">
        <v>0.94338572706556201</v>
      </c>
      <c r="S2498" t="s">
        <v>7238</v>
      </c>
      <c r="T2498" t="s">
        <v>9478</v>
      </c>
      <c r="U2498" t="s">
        <v>9478</v>
      </c>
      <c r="V2498" t="s">
        <v>9478</v>
      </c>
      <c r="W2498">
        <v>6</v>
      </c>
      <c r="X2498" t="s">
        <v>11976</v>
      </c>
      <c r="Y2498">
        <v>0.4170140739632025</v>
      </c>
      <c r="Z2498" t="str">
        <f>HYPERLINK("Melting_Curves/meltCurve_sp_Q8IWV8_4_UBR2_HUMAN_.pdf", "Melting_Curves/meltCurve_sp_Q8IWV8_4_UBR2_HUMAN_.pdf")</f>
        <v>Melting_Curves/meltCurve_sp_Q8IWV8_4_UBR2_HUMAN_.pdf</v>
      </c>
      <c r="AA2498" t="s">
        <v>16670</v>
      </c>
      <c r="AB2498" t="s">
        <v>21332</v>
      </c>
    </row>
    <row r="2499" spans="1:28" x14ac:dyDescent="0.25">
      <c r="A2499" t="s">
        <v>2503</v>
      </c>
      <c r="B2499">
        <v>0.99904790336628502</v>
      </c>
      <c r="C2499">
        <v>0.97299379228380201</v>
      </c>
      <c r="D2499">
        <v>0.90665008073118003</v>
      </c>
      <c r="E2499">
        <v>0.86268063669247397</v>
      </c>
      <c r="F2499">
        <v>0.93357999760625399</v>
      </c>
      <c r="G2499">
        <v>0.642148089932845</v>
      </c>
      <c r="H2499">
        <v>0.52318117555649601</v>
      </c>
      <c r="I2499">
        <v>0.49115286947023601</v>
      </c>
      <c r="J2499">
        <v>0.48143381505564298</v>
      </c>
      <c r="K2499">
        <v>0.42079146855207</v>
      </c>
      <c r="L2499">
        <v>813.48541871906104</v>
      </c>
      <c r="M2499">
        <v>14.403222195067301</v>
      </c>
      <c r="N2499">
        <v>63.330845458401498</v>
      </c>
      <c r="O2499">
        <v>55.424147510280903</v>
      </c>
      <c r="P2499">
        <v>-3.9327046807786099E-2</v>
      </c>
      <c r="Q2499">
        <v>0.39474378595181397</v>
      </c>
      <c r="R2499">
        <v>0.95433229293241795</v>
      </c>
      <c r="S2499" t="s">
        <v>7239</v>
      </c>
      <c r="T2499" t="s">
        <v>9478</v>
      </c>
      <c r="U2499" t="s">
        <v>9478</v>
      </c>
      <c r="V2499" t="s">
        <v>9478</v>
      </c>
      <c r="W2499">
        <v>10</v>
      </c>
      <c r="X2499" t="s">
        <v>11977</v>
      </c>
      <c r="Y2499">
        <v>0.73771796153562286</v>
      </c>
      <c r="Z2499" t="str">
        <f>HYPERLINK("Melting_Curves/meltCurve_sp_Q8IWW6_2_RHG12_HUMAN_.pdf", "Melting_Curves/meltCurve_sp_Q8IWW6_2_RHG12_HUMAN_.pdf")</f>
        <v>Melting_Curves/meltCurve_sp_Q8IWW6_2_RHG12_HUMAN_.pdf</v>
      </c>
      <c r="AA2499" t="s">
        <v>16671</v>
      </c>
      <c r="AB2499" t="s">
        <v>21333</v>
      </c>
    </row>
    <row r="2500" spans="1:28" x14ac:dyDescent="0.25">
      <c r="A2500" t="s">
        <v>2504</v>
      </c>
      <c r="B2500">
        <v>0.99904790336628502</v>
      </c>
      <c r="C2500">
        <v>0.98604662771884799</v>
      </c>
      <c r="D2500">
        <v>1.01686501195035</v>
      </c>
      <c r="E2500">
        <v>1.01408105169987</v>
      </c>
      <c r="F2500">
        <v>0.88338329988648501</v>
      </c>
      <c r="G2500">
        <v>0.79480382569407304</v>
      </c>
      <c r="H2500">
        <v>0.57442020710416097</v>
      </c>
      <c r="I2500">
        <v>0.467516883689929</v>
      </c>
      <c r="J2500">
        <v>0.407231657074002</v>
      </c>
      <c r="K2500">
        <v>0.26413330938628998</v>
      </c>
      <c r="L2500">
        <v>843.57107891206601</v>
      </c>
      <c r="M2500">
        <v>13.749334188000001</v>
      </c>
      <c r="N2500">
        <v>63.178298247444097</v>
      </c>
      <c r="O2500">
        <v>60.099407755128802</v>
      </c>
      <c r="P2500">
        <v>-4.7828609642496897E-2</v>
      </c>
      <c r="Q2500">
        <v>0.16386846259117699</v>
      </c>
      <c r="R2500">
        <v>0.98972516071528505</v>
      </c>
      <c r="S2500" t="s">
        <v>7240</v>
      </c>
      <c r="T2500" t="s">
        <v>9478</v>
      </c>
      <c r="U2500" t="s">
        <v>9478</v>
      </c>
      <c r="V2500" t="s">
        <v>9478</v>
      </c>
      <c r="W2500">
        <v>25</v>
      </c>
      <c r="X2500" t="s">
        <v>11978</v>
      </c>
      <c r="Y2500">
        <v>0.75763041898336436</v>
      </c>
      <c r="Z2500" t="str">
        <f>HYPERLINK("Melting_Curves/meltCurve_sp_Q8IWW8_HOT_HUMAN_.pdf", "Melting_Curves/meltCurve_sp_Q8IWW8_HOT_HUMAN_.pdf")</f>
        <v>Melting_Curves/meltCurve_sp_Q8IWW8_HOT_HUMAN_.pdf</v>
      </c>
      <c r="AA2500" t="s">
        <v>16672</v>
      </c>
      <c r="AB2500" t="s">
        <v>21334</v>
      </c>
    </row>
    <row r="2501" spans="1:28" x14ac:dyDescent="0.25">
      <c r="A2501" t="s">
        <v>2505</v>
      </c>
      <c r="B2501">
        <v>0.99904790336628502</v>
      </c>
      <c r="C2501">
        <v>1.11976421110566</v>
      </c>
      <c r="D2501">
        <v>1.1336936978526699</v>
      </c>
      <c r="E2501">
        <v>0.98258263677840196</v>
      </c>
      <c r="F2501">
        <v>0.72140585748199304</v>
      </c>
      <c r="G2501">
        <v>0.51862562338726803</v>
      </c>
      <c r="H2501">
        <v>0.403138444940846</v>
      </c>
      <c r="I2501">
        <v>0.351995239933381</v>
      </c>
      <c r="J2501">
        <v>0.38239561452198101</v>
      </c>
      <c r="K2501">
        <v>0.339578670309929</v>
      </c>
      <c r="L2501">
        <v>1510.86464831836</v>
      </c>
      <c r="M2501">
        <v>27.964893602093301</v>
      </c>
      <c r="N2501">
        <v>56.667743150068198</v>
      </c>
      <c r="O2501">
        <v>53.753196582520602</v>
      </c>
      <c r="P2501">
        <v>-8.2699912620750493E-2</v>
      </c>
      <c r="Q2501">
        <v>0.36415346237130097</v>
      </c>
      <c r="R2501">
        <v>0.96008660502833998</v>
      </c>
      <c r="S2501" t="s">
        <v>7241</v>
      </c>
      <c r="T2501" t="s">
        <v>9478</v>
      </c>
      <c r="U2501" t="s">
        <v>9478</v>
      </c>
      <c r="V2501" t="s">
        <v>9478</v>
      </c>
      <c r="W2501">
        <v>4</v>
      </c>
      <c r="X2501" t="s">
        <v>11979</v>
      </c>
      <c r="Y2501">
        <v>0.66623639295860881</v>
      </c>
      <c r="Z2501" t="str">
        <f>HYPERLINK("Melting_Curves/meltCurve_sp_Q8IWX8_CHERP_HUMAN_.pdf", "Melting_Curves/meltCurve_sp_Q8IWX8_CHERP_HUMAN_.pdf")</f>
        <v>Melting_Curves/meltCurve_sp_Q8IWX8_CHERP_HUMAN_.pdf</v>
      </c>
      <c r="AA2501" t="s">
        <v>16673</v>
      </c>
      <c r="AB2501" t="s">
        <v>21335</v>
      </c>
    </row>
    <row r="2502" spans="1:28" x14ac:dyDescent="0.25">
      <c r="A2502" t="s">
        <v>2506</v>
      </c>
      <c r="B2502">
        <v>0.99904790336628502</v>
      </c>
      <c r="C2502">
        <v>0.94662461699404699</v>
      </c>
      <c r="D2502">
        <v>0.77551671075738604</v>
      </c>
      <c r="E2502">
        <v>0.54462749812780598</v>
      </c>
      <c r="F2502">
        <v>0.26400819898999001</v>
      </c>
      <c r="G2502">
        <v>0.13384482182654101</v>
      </c>
      <c r="H2502">
        <v>7.9337603371594304E-2</v>
      </c>
      <c r="I2502">
        <v>7.21593014356261E-2</v>
      </c>
      <c r="J2502">
        <v>4.5463765168082697E-2</v>
      </c>
      <c r="K2502">
        <v>4.0661493130593897E-2</v>
      </c>
      <c r="L2502">
        <v>835.14239686605902</v>
      </c>
      <c r="M2502">
        <v>16.763920614869299</v>
      </c>
      <c r="N2502">
        <v>50.035318061450198</v>
      </c>
      <c r="O2502">
        <v>49.125149418933297</v>
      </c>
      <c r="P2502">
        <v>-8.2320192896793098E-2</v>
      </c>
      <c r="Q2502">
        <v>3.5135707158579603E-2</v>
      </c>
      <c r="R2502">
        <v>0.99697265625376397</v>
      </c>
      <c r="S2502" t="s">
        <v>7242</v>
      </c>
      <c r="T2502" t="s">
        <v>9478</v>
      </c>
      <c r="U2502" t="s">
        <v>9478</v>
      </c>
      <c r="V2502" t="s">
        <v>9478</v>
      </c>
      <c r="W2502">
        <v>9</v>
      </c>
      <c r="X2502" t="s">
        <v>11980</v>
      </c>
      <c r="Y2502">
        <v>0.36977436493501081</v>
      </c>
      <c r="Z2502" t="str">
        <f>HYPERLINK("Melting_Curves/meltCurve_sp_Q8IWZ3_ANKH1_HUMAN_.pdf", "Melting_Curves/meltCurve_sp_Q8IWZ3_ANKH1_HUMAN_.pdf")</f>
        <v>Melting_Curves/meltCurve_sp_Q8IWZ3_ANKH1_HUMAN_.pdf</v>
      </c>
      <c r="AA2502" t="s">
        <v>16674</v>
      </c>
      <c r="AB2502" t="s">
        <v>21336</v>
      </c>
    </row>
    <row r="2503" spans="1:28" x14ac:dyDescent="0.25">
      <c r="A2503" t="s">
        <v>2507</v>
      </c>
      <c r="B2503">
        <v>0.99904790336628502</v>
      </c>
      <c r="C2503">
        <v>0.98854301596261396</v>
      </c>
      <c r="D2503">
        <v>0.85887971281916897</v>
      </c>
      <c r="E2503">
        <v>0.60414065813529705</v>
      </c>
      <c r="F2503">
        <v>0.46384358219721</v>
      </c>
      <c r="G2503">
        <v>0.34969189873758699</v>
      </c>
      <c r="H2503">
        <v>0.28894152291821501</v>
      </c>
      <c r="I2503">
        <v>0.260880822256298</v>
      </c>
      <c r="J2503">
        <v>0.26529728663991398</v>
      </c>
      <c r="K2503">
        <v>0.24623261346119599</v>
      </c>
      <c r="L2503">
        <v>858.87731159043801</v>
      </c>
      <c r="M2503">
        <v>17.1965154883659</v>
      </c>
      <c r="N2503">
        <v>52.0807518951489</v>
      </c>
      <c r="O2503">
        <v>49.284121580096802</v>
      </c>
      <c r="P2503">
        <v>-6.5165063438066897E-2</v>
      </c>
      <c r="Q2503">
        <v>0.253008383008196</v>
      </c>
      <c r="R2503">
        <v>0.99768600089567305</v>
      </c>
      <c r="S2503" t="s">
        <v>7243</v>
      </c>
      <c r="T2503" t="s">
        <v>9478</v>
      </c>
      <c r="U2503" t="s">
        <v>9478</v>
      </c>
      <c r="V2503" t="s">
        <v>9478</v>
      </c>
      <c r="W2503">
        <v>13</v>
      </c>
      <c r="X2503" t="s">
        <v>11981</v>
      </c>
      <c r="Y2503">
        <v>0.51452994473220104</v>
      </c>
      <c r="Z2503" t="str">
        <f>HYPERLINK("Melting_Curves/meltCurve_sp_Q8IWZ8_SUGP1_HUMAN_.pdf", "Melting_Curves/meltCurve_sp_Q8IWZ8_SUGP1_HUMAN_.pdf")</f>
        <v>Melting_Curves/meltCurve_sp_Q8IWZ8_SUGP1_HUMAN_.pdf</v>
      </c>
      <c r="AA2503" t="s">
        <v>16675</v>
      </c>
      <c r="AB2503" t="s">
        <v>21337</v>
      </c>
    </row>
    <row r="2504" spans="1:28" x14ac:dyDescent="0.25">
      <c r="A2504" t="s">
        <v>2508</v>
      </c>
      <c r="B2504">
        <v>0.99904790336628502</v>
      </c>
      <c r="C2504">
        <v>1.00050216806934</v>
      </c>
      <c r="D2504">
        <v>1.0273888064559999</v>
      </c>
      <c r="E2504">
        <v>0.88609682572285797</v>
      </c>
      <c r="F2504">
        <v>0.56054507681430699</v>
      </c>
      <c r="G2504">
        <v>0.202447521582903</v>
      </c>
      <c r="H2504">
        <v>0.10512181013621701</v>
      </c>
      <c r="I2504">
        <v>5.40728017303665E-2</v>
      </c>
      <c r="J2504">
        <v>3.10685832695025E-2</v>
      </c>
      <c r="K2504">
        <v>2.8931037262053198E-2</v>
      </c>
      <c r="L2504">
        <v>1433.9719242671499</v>
      </c>
      <c r="M2504">
        <v>26.819400390965601</v>
      </c>
      <c r="N2504">
        <v>53.6438243081368</v>
      </c>
      <c r="O2504">
        <v>53.173096401482603</v>
      </c>
      <c r="P2504">
        <v>-0.120782125627048</v>
      </c>
      <c r="Q2504">
        <v>4.2141996982451697E-2</v>
      </c>
      <c r="R2504">
        <v>0.99809596051497695</v>
      </c>
      <c r="S2504" t="s">
        <v>7244</v>
      </c>
      <c r="T2504" t="s">
        <v>9478</v>
      </c>
      <c r="U2504" t="s">
        <v>9478</v>
      </c>
      <c r="V2504" t="s">
        <v>9478</v>
      </c>
      <c r="W2504">
        <v>3</v>
      </c>
      <c r="X2504" t="s">
        <v>11982</v>
      </c>
      <c r="Y2504">
        <v>0.47990063093301649</v>
      </c>
      <c r="Z2504" t="str">
        <f>HYPERLINK("Melting_Curves/meltCurve_sp_Q8IX04_6_UEVLD_HUMAN_.pdf", "Melting_Curves/meltCurve_sp_Q8IX04_6_UEVLD_HUMAN_.pdf")</f>
        <v>Melting_Curves/meltCurve_sp_Q8IX04_6_UEVLD_HUMAN_.pdf</v>
      </c>
      <c r="AA2504" t="s">
        <v>16676</v>
      </c>
      <c r="AB2504" t="s">
        <v>21338</v>
      </c>
    </row>
    <row r="2505" spans="1:28" x14ac:dyDescent="0.25">
      <c r="A2505" t="s">
        <v>2509</v>
      </c>
      <c r="B2505">
        <v>0.99904790336628502</v>
      </c>
      <c r="C2505">
        <v>1.07693089306538</v>
      </c>
      <c r="D2505">
        <v>0.99490770495245495</v>
      </c>
      <c r="E2505">
        <v>0.69189512069448</v>
      </c>
      <c r="F2505">
        <v>0.415525169732954</v>
      </c>
      <c r="G2505">
        <v>0.240732608093019</v>
      </c>
      <c r="H2505">
        <v>0.15905755623142601</v>
      </c>
      <c r="I2505">
        <v>9.3797879521339195E-2</v>
      </c>
      <c r="J2505">
        <v>8.5045880546348401E-2</v>
      </c>
      <c r="K2505">
        <v>4.4609779437749401E-2</v>
      </c>
      <c r="L2505">
        <v>1105.9309419946901</v>
      </c>
      <c r="M2505">
        <v>21.335253437316901</v>
      </c>
      <c r="N2505">
        <v>52.290865798396098</v>
      </c>
      <c r="O2505">
        <v>51.386916056796601</v>
      </c>
      <c r="P2505">
        <v>-9.50061271155071E-2</v>
      </c>
      <c r="Q2505">
        <v>8.4717234041483E-2</v>
      </c>
      <c r="R2505">
        <v>0.98970597908976599</v>
      </c>
      <c r="S2505" t="s">
        <v>7245</v>
      </c>
      <c r="T2505" t="s">
        <v>9478</v>
      </c>
      <c r="U2505" t="s">
        <v>9478</v>
      </c>
      <c r="V2505" t="s">
        <v>9478</v>
      </c>
      <c r="W2505">
        <v>5</v>
      </c>
      <c r="X2505" t="s">
        <v>11983</v>
      </c>
      <c r="Y2505">
        <v>0.45708450342864598</v>
      </c>
      <c r="Z2505" t="str">
        <f>HYPERLINK("Melting_Curves/meltCurve_sp_Q8IX12_2_CCAR1_HUMAN_.pdf", "Melting_Curves/meltCurve_sp_Q8IX12_2_CCAR1_HUMAN_.pdf")</f>
        <v>Melting_Curves/meltCurve_sp_Q8IX12_2_CCAR1_HUMAN_.pdf</v>
      </c>
      <c r="AA2505" t="s">
        <v>16677</v>
      </c>
      <c r="AB2505" t="s">
        <v>21339</v>
      </c>
    </row>
    <row r="2506" spans="1:28" x14ac:dyDescent="0.25">
      <c r="A2506" t="s">
        <v>2510</v>
      </c>
      <c r="B2506">
        <v>0.99904790336628502</v>
      </c>
      <c r="C2506">
        <v>0.99683276106749497</v>
      </c>
      <c r="D2506">
        <v>0.978090456800356</v>
      </c>
      <c r="E2506">
        <v>0.51107064647920797</v>
      </c>
      <c r="F2506">
        <v>0.26909612452482501</v>
      </c>
      <c r="G2506">
        <v>0.13386682260581001</v>
      </c>
      <c r="H2506">
        <v>7.4237840290662604E-2</v>
      </c>
      <c r="I2506">
        <v>5.7231153421460103E-2</v>
      </c>
      <c r="J2506">
        <v>2.9395190323768201E-2</v>
      </c>
      <c r="K2506">
        <v>2.38572262357814E-2</v>
      </c>
      <c r="L2506">
        <v>1297.79041497393</v>
      </c>
      <c r="M2506">
        <v>25.847315900640801</v>
      </c>
      <c r="N2506">
        <v>50.427476472888301</v>
      </c>
      <c r="O2506">
        <v>49.912216636120803</v>
      </c>
      <c r="P2506">
        <v>-0.122633434648936</v>
      </c>
      <c r="Q2506">
        <v>5.2770577691495103E-2</v>
      </c>
      <c r="R2506">
        <v>0.99455724123484701</v>
      </c>
      <c r="S2506" t="s">
        <v>7246</v>
      </c>
      <c r="T2506" t="s">
        <v>9478</v>
      </c>
      <c r="U2506" t="s">
        <v>9478</v>
      </c>
      <c r="V2506" t="s">
        <v>9478</v>
      </c>
      <c r="W2506">
        <v>6</v>
      </c>
      <c r="X2506" t="s">
        <v>11984</v>
      </c>
      <c r="Y2506">
        <v>0.38307648584663379</v>
      </c>
      <c r="Z2506" t="str">
        <f>HYPERLINK("Melting_Curves/meltCurve_sp_Q8IXH7_4_NELFD_HUMAN_.pdf", "Melting_Curves/meltCurve_sp_Q8IXH7_4_NELFD_HUMAN_.pdf")</f>
        <v>Melting_Curves/meltCurve_sp_Q8IXH7_4_NELFD_HUMAN_.pdf</v>
      </c>
      <c r="AA2506" t="s">
        <v>16678</v>
      </c>
      <c r="AB2506" t="s">
        <v>21340</v>
      </c>
    </row>
    <row r="2507" spans="1:28" x14ac:dyDescent="0.25">
      <c r="A2507" t="s">
        <v>2511</v>
      </c>
      <c r="B2507">
        <v>0.99904790336628502</v>
      </c>
      <c r="C2507">
        <v>0.97637441016665105</v>
      </c>
      <c r="D2507">
        <v>1.02647839892157</v>
      </c>
      <c r="E2507">
        <v>0.90634762810727398</v>
      </c>
      <c r="F2507">
        <v>0.423722175964239</v>
      </c>
      <c r="G2507">
        <v>9.1120478718510506E-2</v>
      </c>
      <c r="H2507">
        <v>4.1381164889833899E-2</v>
      </c>
      <c r="I2507">
        <v>3.5559856979099899E-2</v>
      </c>
      <c r="J2507">
        <v>1.23940172076732E-2</v>
      </c>
      <c r="K2507">
        <v>1.85996617136766E-2</v>
      </c>
      <c r="L2507">
        <v>2192.6406073431499</v>
      </c>
      <c r="M2507">
        <v>41.721874567421999</v>
      </c>
      <c r="N2507">
        <v>52.634504506859301</v>
      </c>
      <c r="O2507">
        <v>52.433438813112303</v>
      </c>
      <c r="P2507">
        <v>-0.19275960444701501</v>
      </c>
      <c r="Q2507">
        <v>3.1008914182498699E-2</v>
      </c>
      <c r="R2507">
        <v>0.99862835947739204</v>
      </c>
      <c r="S2507" t="s">
        <v>7247</v>
      </c>
      <c r="T2507" t="s">
        <v>9478</v>
      </c>
      <c r="U2507" t="s">
        <v>9478</v>
      </c>
      <c r="V2507" t="s">
        <v>9478</v>
      </c>
      <c r="W2507">
        <v>3</v>
      </c>
      <c r="X2507" t="s">
        <v>11985</v>
      </c>
      <c r="Y2507">
        <v>0.43972279831004668</v>
      </c>
      <c r="Z2507" t="str">
        <f>HYPERLINK("Melting_Curves/meltCurve_sp_Q8IXJ6_2_SIR2_HUMAN_.pdf", "Melting_Curves/meltCurve_sp_Q8IXJ6_2_SIR2_HUMAN_.pdf")</f>
        <v>Melting_Curves/meltCurve_sp_Q8IXJ6_2_SIR2_HUMAN_.pdf</v>
      </c>
      <c r="AA2507" t="s">
        <v>16679</v>
      </c>
      <c r="AB2507" t="s">
        <v>21341</v>
      </c>
    </row>
    <row r="2508" spans="1:28" x14ac:dyDescent="0.25">
      <c r="A2508" t="s">
        <v>2512</v>
      </c>
      <c r="B2508">
        <v>0.99904790336628502</v>
      </c>
      <c r="C2508">
        <v>1.0419447683864</v>
      </c>
      <c r="D2508">
        <v>0.88961018736929598</v>
      </c>
      <c r="E2508">
        <v>0.82714234303073497</v>
      </c>
      <c r="F2508">
        <v>0.80171736807310601</v>
      </c>
      <c r="G2508">
        <v>0.48345778755835001</v>
      </c>
      <c r="H2508">
        <v>0.397649730542811</v>
      </c>
      <c r="I2508">
        <v>0.29696007740437702</v>
      </c>
      <c r="J2508">
        <v>0.27844654994100598</v>
      </c>
      <c r="K2508">
        <v>0.23622757629665</v>
      </c>
      <c r="L2508">
        <v>748.62353423754803</v>
      </c>
      <c r="M2508">
        <v>13.4405179358728</v>
      </c>
      <c r="N2508">
        <v>57.740951753514103</v>
      </c>
      <c r="O2508">
        <v>54.509354105947502</v>
      </c>
      <c r="P2508">
        <v>-4.9990983457274402E-2</v>
      </c>
      <c r="Q2508">
        <v>0.18915223817270299</v>
      </c>
      <c r="R2508">
        <v>0.98152192214185896</v>
      </c>
      <c r="S2508" t="s">
        <v>7248</v>
      </c>
      <c r="T2508" t="s">
        <v>9478</v>
      </c>
      <c r="U2508" t="s">
        <v>9478</v>
      </c>
      <c r="V2508" t="s">
        <v>9478</v>
      </c>
      <c r="W2508">
        <v>4</v>
      </c>
      <c r="X2508" t="s">
        <v>11986</v>
      </c>
      <c r="Y2508">
        <v>0.62964525984735109</v>
      </c>
      <c r="Z2508" t="str">
        <f>HYPERLINK("Melting_Curves/meltCurve_sp_Q8IXK0_2_PHC2_HUMAN_.pdf", "Melting_Curves/meltCurve_sp_Q8IXK0_2_PHC2_HUMAN_.pdf")</f>
        <v>Melting_Curves/meltCurve_sp_Q8IXK0_2_PHC2_HUMAN_.pdf</v>
      </c>
      <c r="AA2508" t="s">
        <v>16680</v>
      </c>
      <c r="AB2508" t="s">
        <v>21342</v>
      </c>
    </row>
    <row r="2509" spans="1:28" x14ac:dyDescent="0.25">
      <c r="A2509" t="s">
        <v>2513</v>
      </c>
      <c r="B2509">
        <v>0.99904790336628502</v>
      </c>
      <c r="C2509">
        <v>0.96052249841951498</v>
      </c>
      <c r="D2509">
        <v>0.92407380461672495</v>
      </c>
      <c r="E2509">
        <v>0.88639462419302195</v>
      </c>
      <c r="F2509">
        <v>0.93640541205095795</v>
      </c>
      <c r="G2509">
        <v>0.73543518760702298</v>
      </c>
      <c r="H2509">
        <v>0.69956417591194298</v>
      </c>
      <c r="I2509">
        <v>0.66925936288751797</v>
      </c>
      <c r="J2509">
        <v>0.73885993638520597</v>
      </c>
      <c r="K2509">
        <v>0.78351836000182395</v>
      </c>
      <c r="L2509">
        <v>782.419105360039</v>
      </c>
      <c r="M2509">
        <v>14.880953646726899</v>
      </c>
      <c r="O2509">
        <v>51.656450580377197</v>
      </c>
      <c r="P2509">
        <v>-2.1063884112096299E-2</v>
      </c>
      <c r="Q2509">
        <v>0.707553128022121</v>
      </c>
      <c r="R2509">
        <v>0.820088971467137</v>
      </c>
      <c r="S2509" t="s">
        <v>7249</v>
      </c>
      <c r="T2509" t="s">
        <v>9478</v>
      </c>
      <c r="U2509" t="s">
        <v>9478</v>
      </c>
      <c r="V2509" t="s">
        <v>9478</v>
      </c>
      <c r="W2509">
        <v>12</v>
      </c>
      <c r="X2509" t="s">
        <v>11987</v>
      </c>
      <c r="Y2509">
        <v>0.83664696525996007</v>
      </c>
      <c r="Z2509" t="str">
        <f>HYPERLINK("Melting_Curves/meltCurve_sp_Q8IXQ4_K1704_HUMAN_.pdf", "Melting_Curves/meltCurve_sp_Q8IXQ4_K1704_HUMAN_.pdf")</f>
        <v>Melting_Curves/meltCurve_sp_Q8IXQ4_K1704_HUMAN_.pdf</v>
      </c>
      <c r="AA2509" t="s">
        <v>16681</v>
      </c>
      <c r="AB2509" t="s">
        <v>21343</v>
      </c>
    </row>
    <row r="2510" spans="1:28" x14ac:dyDescent="0.25">
      <c r="A2510" t="s">
        <v>2514</v>
      </c>
      <c r="B2510">
        <v>0.99904790336628502</v>
      </c>
      <c r="C2510">
        <v>0.98497662507380301</v>
      </c>
      <c r="D2510">
        <v>0.93014192474994195</v>
      </c>
      <c r="E2510">
        <v>0.41165546340873399</v>
      </c>
      <c r="F2510">
        <v>0.18893702734178999</v>
      </c>
      <c r="G2510">
        <v>0.116540954068155</v>
      </c>
      <c r="H2510">
        <v>7.3585748869176307E-2</v>
      </c>
      <c r="I2510">
        <v>5.3124067695846003E-2</v>
      </c>
      <c r="J2510">
        <v>4.0222385602951799E-2</v>
      </c>
      <c r="K2510">
        <v>2.96969281219907E-2</v>
      </c>
      <c r="L2510">
        <v>1472.91342147819</v>
      </c>
      <c r="M2510">
        <v>29.868194571413898</v>
      </c>
      <c r="N2510">
        <v>49.526917260991198</v>
      </c>
      <c r="O2510">
        <v>49.094302175066602</v>
      </c>
      <c r="P2510">
        <v>-0.14292416916177</v>
      </c>
      <c r="Q2510">
        <v>6.0309346638952398E-2</v>
      </c>
      <c r="R2510">
        <v>0.99683741028768003</v>
      </c>
      <c r="S2510" t="s">
        <v>7250</v>
      </c>
      <c r="T2510" t="s">
        <v>9478</v>
      </c>
      <c r="U2510" t="s">
        <v>9478</v>
      </c>
      <c r="V2510" t="s">
        <v>9478</v>
      </c>
      <c r="W2510">
        <v>11</v>
      </c>
      <c r="X2510" t="s">
        <v>11988</v>
      </c>
      <c r="Y2510">
        <v>0.35784655790405129</v>
      </c>
      <c r="Z2510" t="str">
        <f>HYPERLINK("Melting_Curves/meltCurve_sp_Q8IXQ6_2_PARP9_HUMAN_.pdf", "Melting_Curves/meltCurve_sp_Q8IXQ6_2_PARP9_HUMAN_.pdf")</f>
        <v>Melting_Curves/meltCurve_sp_Q8IXQ6_2_PARP9_HUMAN_.pdf</v>
      </c>
      <c r="AA2510" t="s">
        <v>16682</v>
      </c>
      <c r="AB2510" t="s">
        <v>21344</v>
      </c>
    </row>
    <row r="2511" spans="1:28" x14ac:dyDescent="0.25">
      <c r="A2511" t="s">
        <v>2515</v>
      </c>
      <c r="B2511">
        <v>0.99904790336628502</v>
      </c>
      <c r="C2511">
        <v>1.0555309494232701</v>
      </c>
      <c r="D2511">
        <v>0.92552279310975705</v>
      </c>
      <c r="E2511">
        <v>0.79985631284006697</v>
      </c>
      <c r="F2511">
        <v>0.81602312091213802</v>
      </c>
      <c r="G2511">
        <v>0.48363936901553101</v>
      </c>
      <c r="H2511">
        <v>0.46160936693497001</v>
      </c>
      <c r="I2511">
        <v>0.50391521858946697</v>
      </c>
      <c r="J2511">
        <v>0.229289620191793</v>
      </c>
      <c r="K2511">
        <v>0.38632785005555398</v>
      </c>
      <c r="L2511">
        <v>746.93785470354101</v>
      </c>
      <c r="M2511">
        <v>13.646306155710899</v>
      </c>
      <c r="N2511">
        <v>58.898355994571098</v>
      </c>
      <c r="O2511">
        <v>53.600231038461303</v>
      </c>
      <c r="P2511">
        <v>-4.3961322065736899E-2</v>
      </c>
      <c r="Q2511">
        <v>0.30941208973076001</v>
      </c>
      <c r="R2511">
        <v>0.92714666029172299</v>
      </c>
      <c r="S2511" t="s">
        <v>7251</v>
      </c>
      <c r="T2511" t="s">
        <v>9478</v>
      </c>
      <c r="U2511" t="s">
        <v>9478</v>
      </c>
      <c r="V2511" t="s">
        <v>9478</v>
      </c>
      <c r="W2511">
        <v>1</v>
      </c>
      <c r="X2511" t="s">
        <v>11989</v>
      </c>
      <c r="Y2511">
        <v>0.66357703346151486</v>
      </c>
      <c r="Z2511" t="str">
        <f>HYPERLINK("Melting_Curves/meltCurve_sp_Q8IXW5_2_RPAP2_HUMAN_.pdf", "Melting_Curves/meltCurve_sp_Q8IXW5_2_RPAP2_HUMAN_.pdf")</f>
        <v>Melting_Curves/meltCurve_sp_Q8IXW5_2_RPAP2_HUMAN_.pdf</v>
      </c>
      <c r="AA2511" t="s">
        <v>16683</v>
      </c>
      <c r="AB2511" t="s">
        <v>21345</v>
      </c>
    </row>
    <row r="2512" spans="1:28" x14ac:dyDescent="0.25">
      <c r="A2512" t="s">
        <v>2516</v>
      </c>
      <c r="B2512">
        <v>0.99904790336628502</v>
      </c>
      <c r="C2512">
        <v>0.98204962085152403</v>
      </c>
      <c r="D2512">
        <v>1.17491562698226</v>
      </c>
      <c r="E2512">
        <v>0.85330073703356701</v>
      </c>
      <c r="F2512">
        <v>0.78447738477717999</v>
      </c>
      <c r="G2512">
        <v>0.71623811967452999</v>
      </c>
      <c r="H2512">
        <v>0.68189151945305204</v>
      </c>
      <c r="I2512">
        <v>0.78100460752003598</v>
      </c>
      <c r="J2512">
        <v>0.89673713813230704</v>
      </c>
      <c r="K2512">
        <v>0.98702630893411702</v>
      </c>
      <c r="L2512">
        <v>12441.361721723701</v>
      </c>
      <c r="M2512">
        <v>250</v>
      </c>
      <c r="O2512">
        <v>49.762262250569002</v>
      </c>
      <c r="P2512">
        <v>-0.241277411251692</v>
      </c>
      <c r="Q2512">
        <v>0.80789584328930697</v>
      </c>
      <c r="R2512">
        <v>0.53780905139755897</v>
      </c>
      <c r="S2512" t="s">
        <v>7252</v>
      </c>
      <c r="T2512" t="s">
        <v>9478</v>
      </c>
      <c r="U2512" t="s">
        <v>9478</v>
      </c>
      <c r="V2512" t="s">
        <v>9478</v>
      </c>
      <c r="W2512">
        <v>1</v>
      </c>
      <c r="X2512" t="s">
        <v>11990</v>
      </c>
      <c r="Y2512">
        <v>0.87044538583937714</v>
      </c>
      <c r="Z2512" t="str">
        <f>HYPERLINK("Melting_Curves/meltCurve_sp_Q8IY33_4_MILK2_HUMAN_.pdf", "Melting_Curves/meltCurve_sp_Q8IY33_4_MILK2_HUMAN_.pdf")</f>
        <v>Melting_Curves/meltCurve_sp_Q8IY33_4_MILK2_HUMAN_.pdf</v>
      </c>
      <c r="AA2512" t="s">
        <v>16684</v>
      </c>
      <c r="AB2512" t="s">
        <v>21346</v>
      </c>
    </row>
    <row r="2513" spans="1:28" x14ac:dyDescent="0.25">
      <c r="A2513" t="s">
        <v>2517</v>
      </c>
      <c r="B2513">
        <v>0.99904790336628502</v>
      </c>
      <c r="C2513">
        <v>1.40745219521483</v>
      </c>
      <c r="D2513">
        <v>1.3510088142088299</v>
      </c>
      <c r="E2513">
        <v>1.14063810304846</v>
      </c>
      <c r="F2513">
        <v>0.84271867049247695</v>
      </c>
      <c r="G2513">
        <v>0.61196927626352404</v>
      </c>
      <c r="H2513">
        <v>0.45717818728194898</v>
      </c>
      <c r="I2513">
        <v>0.344788436183532</v>
      </c>
      <c r="J2513">
        <v>0.239537136458742</v>
      </c>
      <c r="K2513">
        <v>0.166766182455693</v>
      </c>
      <c r="L2513">
        <v>1179.7993789713701</v>
      </c>
      <c r="M2513">
        <v>20.3165490948399</v>
      </c>
      <c r="N2513">
        <v>59.482209934895501</v>
      </c>
      <c r="O2513">
        <v>57.517027039996599</v>
      </c>
      <c r="P2513">
        <v>-7.14207125814115E-2</v>
      </c>
      <c r="Q2513">
        <v>0.19124429660678299</v>
      </c>
      <c r="R2513">
        <v>0.82255533729298902</v>
      </c>
      <c r="S2513" t="s">
        <v>7253</v>
      </c>
      <c r="T2513" t="s">
        <v>9478</v>
      </c>
      <c r="U2513" t="s">
        <v>9478</v>
      </c>
      <c r="V2513" t="s">
        <v>9478</v>
      </c>
      <c r="W2513">
        <v>5</v>
      </c>
      <c r="X2513" t="s">
        <v>11991</v>
      </c>
      <c r="Y2513">
        <v>0.68737345462596877</v>
      </c>
      <c r="Z2513" t="str">
        <f>HYPERLINK("Melting_Curves/meltCurve_sp_Q8IY81_SPB1_HUMAN_.pdf", "Melting_Curves/meltCurve_sp_Q8IY81_SPB1_HUMAN_.pdf")</f>
        <v>Melting_Curves/meltCurve_sp_Q8IY81_SPB1_HUMAN_.pdf</v>
      </c>
      <c r="AA2513" t="s">
        <v>16685</v>
      </c>
      <c r="AB2513" t="s">
        <v>21347</v>
      </c>
    </row>
    <row r="2514" spans="1:28" x14ac:dyDescent="0.25">
      <c r="A2514" t="s">
        <v>2518</v>
      </c>
      <c r="B2514">
        <v>0.99904790336628502</v>
      </c>
      <c r="C2514">
        <v>0.97591534614023201</v>
      </c>
      <c r="D2514">
        <v>0.87879263433031496</v>
      </c>
      <c r="E2514">
        <v>0.89425835198343695</v>
      </c>
      <c r="F2514">
        <v>0.814277267800388</v>
      </c>
      <c r="G2514">
        <v>0.43198384929908801</v>
      </c>
      <c r="H2514">
        <v>0.124082804919378</v>
      </c>
      <c r="I2514">
        <v>7.1533465573088303E-2</v>
      </c>
      <c r="J2514">
        <v>4.8727909650596403E-2</v>
      </c>
      <c r="K2514">
        <v>4.0888271781054697E-2</v>
      </c>
      <c r="L2514">
        <v>1236.8460226326399</v>
      </c>
      <c r="M2514">
        <v>22.051039784445098</v>
      </c>
      <c r="N2514">
        <v>56.162942636983097</v>
      </c>
      <c r="O2514">
        <v>55.634961561530602</v>
      </c>
      <c r="P2514">
        <v>-9.7694180832187005E-2</v>
      </c>
      <c r="Q2514">
        <v>1.40888004034359E-2</v>
      </c>
      <c r="R2514">
        <v>0.98912819794157403</v>
      </c>
      <c r="S2514" t="s">
        <v>7254</v>
      </c>
      <c r="T2514" t="s">
        <v>9478</v>
      </c>
      <c r="U2514" t="s">
        <v>9478</v>
      </c>
      <c r="V2514" t="s">
        <v>9478</v>
      </c>
      <c r="W2514">
        <v>4</v>
      </c>
      <c r="X2514" t="s">
        <v>11992</v>
      </c>
      <c r="Y2514">
        <v>0.5538854575841623</v>
      </c>
      <c r="Z2514" t="str">
        <f>HYPERLINK("Melting_Curves/meltCurve_sp_Q8IYB5_3_SMAP1_HUMAN_.pdf", "Melting_Curves/meltCurve_sp_Q8IYB5_3_SMAP1_HUMAN_.pdf")</f>
        <v>Melting_Curves/meltCurve_sp_Q8IYB5_3_SMAP1_HUMAN_.pdf</v>
      </c>
      <c r="AA2514" t="s">
        <v>16686</v>
      </c>
      <c r="AB2514" t="s">
        <v>21348</v>
      </c>
    </row>
    <row r="2515" spans="1:28" x14ac:dyDescent="0.25">
      <c r="A2515" t="s">
        <v>2519</v>
      </c>
      <c r="B2515">
        <v>0.99904790336628502</v>
      </c>
      <c r="C2515">
        <v>0.90578784676671797</v>
      </c>
      <c r="D2515">
        <v>0.95349755403788405</v>
      </c>
      <c r="E2515">
        <v>0.81514354736481098</v>
      </c>
      <c r="F2515">
        <v>0.577916073201169</v>
      </c>
      <c r="G2515">
        <v>0.26507807774132303</v>
      </c>
      <c r="H2515">
        <v>0.13360785556403099</v>
      </c>
      <c r="I2515">
        <v>8.9340584178059901E-2</v>
      </c>
      <c r="J2515">
        <v>9.0957041986160198E-2</v>
      </c>
      <c r="K2515">
        <v>9.0728920985124403E-2</v>
      </c>
      <c r="L2515">
        <v>1074.9271321185699</v>
      </c>
      <c r="M2515">
        <v>20.1342194338703</v>
      </c>
      <c r="N2515">
        <v>53.788789052654202</v>
      </c>
      <c r="O2515">
        <v>52.8697906284971</v>
      </c>
      <c r="P2515">
        <v>-8.8579192399546605E-2</v>
      </c>
      <c r="Q2515">
        <v>6.9640708003228302E-2</v>
      </c>
      <c r="R2515">
        <v>0.99411947859928795</v>
      </c>
      <c r="S2515" t="s">
        <v>7255</v>
      </c>
      <c r="T2515" t="s">
        <v>9478</v>
      </c>
      <c r="U2515" t="s">
        <v>9478</v>
      </c>
      <c r="V2515" t="s">
        <v>9478</v>
      </c>
      <c r="W2515">
        <v>9</v>
      </c>
      <c r="X2515" t="s">
        <v>11993</v>
      </c>
      <c r="Y2515">
        <v>0.49743701551449948</v>
      </c>
      <c r="Z2515" t="str">
        <f>HYPERLINK("Melting_Curves/meltCurve_sp_Q8IYB7_DI3L2_HUMAN_.pdf", "Melting_Curves/meltCurve_sp_Q8IYB7_DI3L2_HUMAN_.pdf")</f>
        <v>Melting_Curves/meltCurve_sp_Q8IYB7_DI3L2_HUMAN_.pdf</v>
      </c>
      <c r="AA2515" t="s">
        <v>16687</v>
      </c>
      <c r="AB2515" t="s">
        <v>21349</v>
      </c>
    </row>
    <row r="2516" spans="1:28" x14ac:dyDescent="0.25">
      <c r="A2516" t="s">
        <v>2520</v>
      </c>
      <c r="B2516">
        <v>0.99904790336628502</v>
      </c>
      <c r="C2516">
        <v>0.92778955547381403</v>
      </c>
      <c r="D2516">
        <v>0.93280112420014805</v>
      </c>
      <c r="E2516">
        <v>0.89407350346474601</v>
      </c>
      <c r="F2516">
        <v>0.77384282701865403</v>
      </c>
      <c r="G2516">
        <v>0.35980658814760502</v>
      </c>
      <c r="H2516">
        <v>0.255798466741125</v>
      </c>
      <c r="I2516">
        <v>0.22401581234744899</v>
      </c>
      <c r="J2516">
        <v>0.222157276030722</v>
      </c>
      <c r="K2516">
        <v>0.213859193683507</v>
      </c>
      <c r="L2516">
        <v>1491.53730932383</v>
      </c>
      <c r="M2516">
        <v>27.434273378175298</v>
      </c>
      <c r="N2516">
        <v>55.480931186766803</v>
      </c>
      <c r="O2516">
        <v>54.081252458481501</v>
      </c>
      <c r="P2516">
        <v>-9.9977143962551002E-2</v>
      </c>
      <c r="Q2516">
        <v>0.211666552155891</v>
      </c>
      <c r="R2516">
        <v>0.98868315594900502</v>
      </c>
      <c r="S2516" t="s">
        <v>7256</v>
      </c>
      <c r="T2516" t="s">
        <v>9478</v>
      </c>
      <c r="U2516" t="s">
        <v>9478</v>
      </c>
      <c r="V2516" t="s">
        <v>9478</v>
      </c>
      <c r="W2516">
        <v>19</v>
      </c>
      <c r="X2516" t="s">
        <v>11994</v>
      </c>
      <c r="Y2516">
        <v>0.59537375966386541</v>
      </c>
      <c r="Z2516" t="str">
        <f>HYPERLINK("Melting_Curves/meltCurve_sp_Q8IYB8_SUV3_HUMAN_.pdf", "Melting_Curves/meltCurve_sp_Q8IYB8_SUV3_HUMAN_.pdf")</f>
        <v>Melting_Curves/meltCurve_sp_Q8IYB8_SUV3_HUMAN_.pdf</v>
      </c>
      <c r="AA2516" t="s">
        <v>16688</v>
      </c>
      <c r="AB2516" t="s">
        <v>21350</v>
      </c>
    </row>
    <row r="2517" spans="1:28" x14ac:dyDescent="0.25">
      <c r="A2517" t="s">
        <v>2521</v>
      </c>
      <c r="B2517">
        <v>0.99904790336628502</v>
      </c>
      <c r="C2517">
        <v>0.93989968752960695</v>
      </c>
      <c r="D2517">
        <v>0.84140570426543604</v>
      </c>
      <c r="E2517">
        <v>0.55815722311757499</v>
      </c>
      <c r="F2517">
        <v>0.30499222142784099</v>
      </c>
      <c r="G2517">
        <v>0.16184600627419901</v>
      </c>
      <c r="H2517">
        <v>7.2849044798578497E-2</v>
      </c>
      <c r="I2517">
        <v>4.90715838490609E-2</v>
      </c>
      <c r="J2517">
        <v>4.3946826598344001E-2</v>
      </c>
      <c r="K2517">
        <v>3.5586291237923402E-2</v>
      </c>
      <c r="L2517">
        <v>857.066148759763</v>
      </c>
      <c r="M2517">
        <v>17.0032440393191</v>
      </c>
      <c r="N2517">
        <v>50.575689394610599</v>
      </c>
      <c r="O2517">
        <v>49.724319188560898</v>
      </c>
      <c r="P2517">
        <v>-8.3122734266626502E-2</v>
      </c>
      <c r="Q2517">
        <v>2.7723135103515099E-2</v>
      </c>
      <c r="R2517">
        <v>0.99933204074413196</v>
      </c>
      <c r="S2517" t="s">
        <v>7257</v>
      </c>
      <c r="T2517" t="s">
        <v>9478</v>
      </c>
      <c r="U2517" t="s">
        <v>9478</v>
      </c>
      <c r="V2517" t="s">
        <v>9478</v>
      </c>
      <c r="W2517">
        <v>12</v>
      </c>
      <c r="X2517" t="s">
        <v>11995</v>
      </c>
      <c r="Y2517">
        <v>0.3832965172446024</v>
      </c>
      <c r="Z2517" t="str">
        <f>HYPERLINK("Melting_Curves/meltCurve_sp_Q8IYD1_ERF3B_HUMAN_.pdf", "Melting_Curves/meltCurve_sp_Q8IYD1_ERF3B_HUMAN_.pdf")</f>
        <v>Melting_Curves/meltCurve_sp_Q8IYD1_ERF3B_HUMAN_.pdf</v>
      </c>
      <c r="AA2517" t="s">
        <v>16689</v>
      </c>
      <c r="AB2517" t="s">
        <v>21351</v>
      </c>
    </row>
    <row r="2518" spans="1:28" x14ac:dyDescent="0.25">
      <c r="A2518" t="s">
        <v>2522</v>
      </c>
      <c r="B2518">
        <v>0.99904790336628502</v>
      </c>
      <c r="C2518">
        <v>1.01192110251158</v>
      </c>
      <c r="D2518">
        <v>0.96897791381619702</v>
      </c>
      <c r="E2518">
        <v>0.59704216213713701</v>
      </c>
      <c r="F2518">
        <v>0.26162290601673499</v>
      </c>
      <c r="G2518">
        <v>0.114994556828224</v>
      </c>
      <c r="H2518">
        <v>6.8548876235578995E-2</v>
      </c>
      <c r="I2518">
        <v>4.62801479040141E-2</v>
      </c>
      <c r="J2518">
        <v>3.7453761449734502E-2</v>
      </c>
      <c r="K2518">
        <v>2.9709801168769801E-2</v>
      </c>
      <c r="L2518">
        <v>1400.8747273438801</v>
      </c>
      <c r="M2518">
        <v>27.664082689671101</v>
      </c>
      <c r="N2518">
        <v>50.822365235406103</v>
      </c>
      <c r="O2518">
        <v>50.376358614108398</v>
      </c>
      <c r="P2518">
        <v>-0.13075946207358899</v>
      </c>
      <c r="Q2518">
        <v>4.7555312317753E-2</v>
      </c>
      <c r="R2518">
        <v>0.99863275251389705</v>
      </c>
      <c r="S2518" t="s">
        <v>7258</v>
      </c>
      <c r="T2518" t="s">
        <v>9478</v>
      </c>
      <c r="U2518" t="s">
        <v>9478</v>
      </c>
      <c r="V2518" t="s">
        <v>9478</v>
      </c>
      <c r="W2518">
        <v>11</v>
      </c>
      <c r="X2518" t="s">
        <v>11996</v>
      </c>
      <c r="Y2518">
        <v>0.39232044422136592</v>
      </c>
      <c r="Z2518" t="str">
        <f>HYPERLINK("Melting_Curves/meltCurve_sp_Q8IYI6_EXOC8_HUMAN_.pdf", "Melting_Curves/meltCurve_sp_Q8IYI6_EXOC8_HUMAN_.pdf")</f>
        <v>Melting_Curves/meltCurve_sp_Q8IYI6_EXOC8_HUMAN_.pdf</v>
      </c>
      <c r="AA2518" t="s">
        <v>16690</v>
      </c>
      <c r="AB2518" t="s">
        <v>21352</v>
      </c>
    </row>
    <row r="2519" spans="1:28" x14ac:dyDescent="0.25">
      <c r="A2519" t="s">
        <v>2523</v>
      </c>
      <c r="B2519">
        <v>0.99904790336628502</v>
      </c>
      <c r="C2519">
        <v>0.94947090603503703</v>
      </c>
      <c r="D2519">
        <v>0.93311393532966203</v>
      </c>
      <c r="E2519">
        <v>0.96598231455121297</v>
      </c>
      <c r="F2519">
        <v>1.1771237979254601</v>
      </c>
      <c r="G2519">
        <v>0.84142088865402198</v>
      </c>
      <c r="H2519">
        <v>0.81987301675686597</v>
      </c>
      <c r="I2519">
        <v>0.88313703569247004</v>
      </c>
      <c r="J2519">
        <v>0.95459837138663295</v>
      </c>
      <c r="K2519">
        <v>1.06849381134889</v>
      </c>
      <c r="L2519">
        <v>337.52046013017502</v>
      </c>
      <c r="M2519">
        <v>7.16175023452488</v>
      </c>
      <c r="O2519">
        <v>43.868833164549997</v>
      </c>
      <c r="P2519">
        <v>-2.5027687923035399E-3</v>
      </c>
      <c r="Q2519">
        <v>0.93878217203262104</v>
      </c>
      <c r="R2519">
        <v>1.6681102518722901E-2</v>
      </c>
      <c r="S2519" t="s">
        <v>7259</v>
      </c>
      <c r="T2519" t="s">
        <v>9478</v>
      </c>
      <c r="U2519" t="s">
        <v>9478</v>
      </c>
      <c r="V2519" t="s">
        <v>9478</v>
      </c>
      <c r="W2519">
        <v>2</v>
      </c>
      <c r="X2519" t="s">
        <v>11997</v>
      </c>
      <c r="Y2519">
        <v>0.95886259336054991</v>
      </c>
      <c r="Z2519" t="str">
        <f>HYPERLINK("Melting_Curves/meltCurve_sp_Q8IYL3_CA174_HUMAN_.pdf", "Melting_Curves/meltCurve_sp_Q8IYL3_CA174_HUMAN_.pdf")</f>
        <v>Melting_Curves/meltCurve_sp_Q8IYL3_CA174_HUMAN_.pdf</v>
      </c>
      <c r="AA2519" t="s">
        <v>16691</v>
      </c>
      <c r="AB2519" t="s">
        <v>21353</v>
      </c>
    </row>
    <row r="2520" spans="1:28" x14ac:dyDescent="0.25">
      <c r="A2520" t="s">
        <v>2524</v>
      </c>
      <c r="B2520">
        <v>0.99904790336628502</v>
      </c>
      <c r="C2520">
        <v>0.93128587701781596</v>
      </c>
      <c r="D2520">
        <v>0.81467540908319203</v>
      </c>
      <c r="E2520">
        <v>0.65493340761699503</v>
      </c>
      <c r="F2520">
        <v>0.46914848165721801</v>
      </c>
      <c r="G2520">
        <v>0.273114226258031</v>
      </c>
      <c r="H2520">
        <v>0.18414898350233599</v>
      </c>
      <c r="I2520">
        <v>0.15221355230752001</v>
      </c>
      <c r="J2520">
        <v>0.113325152291259</v>
      </c>
      <c r="K2520">
        <v>6.6736220466109095E-2</v>
      </c>
      <c r="L2520">
        <v>626.53315543554595</v>
      </c>
      <c r="M2520">
        <v>12.0413198319931</v>
      </c>
      <c r="N2520">
        <v>52.424379474955899</v>
      </c>
      <c r="O2520">
        <v>50.659195374802103</v>
      </c>
      <c r="P2520">
        <v>-5.6875637986234497E-2</v>
      </c>
      <c r="Q2520">
        <v>4.3098642025526698E-2</v>
      </c>
      <c r="R2520">
        <v>0.99787234985476003</v>
      </c>
      <c r="S2520" t="s">
        <v>7260</v>
      </c>
      <c r="T2520" t="s">
        <v>9478</v>
      </c>
      <c r="U2520" t="s">
        <v>9478</v>
      </c>
      <c r="V2520" t="s">
        <v>9478</v>
      </c>
      <c r="W2520">
        <v>29</v>
      </c>
      <c r="X2520" t="s">
        <v>11998</v>
      </c>
      <c r="Y2520">
        <v>0.45597103597844962</v>
      </c>
      <c r="Z2520" t="str">
        <f>HYPERLINK("Melting_Curves/meltCurve_sp_Q8IYQ7_THNS1_HUMAN_.pdf", "Melting_Curves/meltCurve_sp_Q8IYQ7_THNS1_HUMAN_.pdf")</f>
        <v>Melting_Curves/meltCurve_sp_Q8IYQ7_THNS1_HUMAN_.pdf</v>
      </c>
      <c r="AA2520" t="s">
        <v>16692</v>
      </c>
      <c r="AB2520" t="s">
        <v>21354</v>
      </c>
    </row>
    <row r="2521" spans="1:28" x14ac:dyDescent="0.25">
      <c r="A2521" t="s">
        <v>2525</v>
      </c>
      <c r="B2521">
        <v>0.99904790336628502</v>
      </c>
      <c r="C2521">
        <v>1.0440259125309701</v>
      </c>
      <c r="D2521">
        <v>1.01947548065743</v>
      </c>
      <c r="E2521">
        <v>0.91116010508665901</v>
      </c>
      <c r="F2521">
        <v>0.67616293065153699</v>
      </c>
      <c r="G2521">
        <v>0.33856677371053601</v>
      </c>
      <c r="H2521">
        <v>0.15782737484214199</v>
      </c>
      <c r="I2521">
        <v>0.115722831557421</v>
      </c>
      <c r="J2521">
        <v>8.78676614501437E-2</v>
      </c>
      <c r="K2521">
        <v>5.2141074682798001E-2</v>
      </c>
      <c r="L2521">
        <v>1222.9286318248501</v>
      </c>
      <c r="M2521">
        <v>22.3675128608213</v>
      </c>
      <c r="N2521">
        <v>55.034206695448802</v>
      </c>
      <c r="O2521">
        <v>54.242932857674198</v>
      </c>
      <c r="P2521">
        <v>-9.6077717617261693E-2</v>
      </c>
      <c r="Q2521">
        <v>6.8036170370512003E-2</v>
      </c>
      <c r="R2521">
        <v>0.99733682459501705</v>
      </c>
      <c r="S2521" t="s">
        <v>7261</v>
      </c>
      <c r="T2521" t="s">
        <v>9478</v>
      </c>
      <c r="U2521" t="s">
        <v>9478</v>
      </c>
      <c r="V2521" t="s">
        <v>9478</v>
      </c>
      <c r="W2521">
        <v>6</v>
      </c>
      <c r="X2521" t="s">
        <v>11999</v>
      </c>
      <c r="Y2521">
        <v>0.5343536861945164</v>
      </c>
      <c r="Z2521" t="str">
        <f>HYPERLINK("Melting_Curves/meltCurve_sp_Q8IYS1_P20D2_HUMAN_.pdf", "Melting_Curves/meltCurve_sp_Q8IYS1_P20D2_HUMAN_.pdf")</f>
        <v>Melting_Curves/meltCurve_sp_Q8IYS1_P20D2_HUMAN_.pdf</v>
      </c>
      <c r="AA2521" t="s">
        <v>16693</v>
      </c>
      <c r="AB2521" t="s">
        <v>21355</v>
      </c>
    </row>
    <row r="2522" spans="1:28" x14ac:dyDescent="0.25">
      <c r="A2522" t="s">
        <v>2526</v>
      </c>
      <c r="B2522">
        <v>0.99904790336628502</v>
      </c>
      <c r="C2522">
        <v>0.950467209042691</v>
      </c>
      <c r="D2522">
        <v>0.71436663131613998</v>
      </c>
      <c r="E2522">
        <v>0.50039361298224705</v>
      </c>
      <c r="F2522">
        <v>0.36610103618123102</v>
      </c>
      <c r="G2522">
        <v>0.32259451880562801</v>
      </c>
      <c r="H2522">
        <v>0.22666022288884499</v>
      </c>
      <c r="I2522">
        <v>0.15283836827455199</v>
      </c>
      <c r="J2522">
        <v>0.15334776522186599</v>
      </c>
      <c r="K2522">
        <v>3.8406439372348E-2</v>
      </c>
      <c r="L2522">
        <v>591.21933593062295</v>
      </c>
      <c r="M2522">
        <v>11.865821925311201</v>
      </c>
      <c r="N2522">
        <v>50.681471892129402</v>
      </c>
      <c r="O2522">
        <v>48.473442397922099</v>
      </c>
      <c r="P2522">
        <v>-5.5654205415843497E-2</v>
      </c>
      <c r="Q2522">
        <v>9.0809759354484099E-2</v>
      </c>
      <c r="R2522">
        <v>0.97785854081497603</v>
      </c>
      <c r="S2522" t="s">
        <v>7262</v>
      </c>
      <c r="T2522" t="s">
        <v>9478</v>
      </c>
      <c r="U2522" t="s">
        <v>9478</v>
      </c>
      <c r="V2522" t="s">
        <v>9478</v>
      </c>
      <c r="W2522">
        <v>2</v>
      </c>
      <c r="X2522" t="s">
        <v>12000</v>
      </c>
      <c r="Y2522">
        <v>0.42094850343873369</v>
      </c>
      <c r="Z2522" t="str">
        <f>HYPERLINK("Melting_Curves/meltCurve_sp_Q8IYT2_FTSJ1_HUMAN_.pdf", "Melting_Curves/meltCurve_sp_Q8IYT2_FTSJ1_HUMAN_.pdf")</f>
        <v>Melting_Curves/meltCurve_sp_Q8IYT2_FTSJ1_HUMAN_.pdf</v>
      </c>
      <c r="AA2522" t="s">
        <v>16694</v>
      </c>
      <c r="AB2522" t="s">
        <v>21356</v>
      </c>
    </row>
    <row r="2523" spans="1:28" x14ac:dyDescent="0.25">
      <c r="A2523" t="s">
        <v>2527</v>
      </c>
      <c r="B2523">
        <v>0.99904790336628502</v>
      </c>
      <c r="C2523">
        <v>1.4615626689705901</v>
      </c>
      <c r="D2523">
        <v>1.45558255751677</v>
      </c>
      <c r="E2523">
        <v>1.18689743920781</v>
      </c>
      <c r="F2523">
        <v>0.96836083164143605</v>
      </c>
      <c r="G2523">
        <v>0.49295104651631899</v>
      </c>
      <c r="H2523">
        <v>0.366133642799365</v>
      </c>
      <c r="I2523">
        <v>0.32397136569764801</v>
      </c>
      <c r="J2523">
        <v>0.41922810733362098</v>
      </c>
      <c r="K2523">
        <v>0.25128989392852602</v>
      </c>
      <c r="L2523">
        <v>3307.57383538869</v>
      </c>
      <c r="M2523">
        <v>59.212404036646603</v>
      </c>
      <c r="N2523">
        <v>56.947937009276799</v>
      </c>
      <c r="O2523">
        <v>55.795868378485999</v>
      </c>
      <c r="P2523">
        <v>-0.175431231533654</v>
      </c>
      <c r="Q2523">
        <v>0.33876465162215202</v>
      </c>
      <c r="R2523">
        <v>0.76924708462875202</v>
      </c>
      <c r="S2523" t="s">
        <v>7263</v>
      </c>
      <c r="T2523" t="s">
        <v>9478</v>
      </c>
      <c r="U2523" t="s">
        <v>9478</v>
      </c>
      <c r="V2523" t="s">
        <v>9478</v>
      </c>
      <c r="W2523">
        <v>5</v>
      </c>
      <c r="X2523" t="s">
        <v>12001</v>
      </c>
      <c r="Y2523">
        <v>0.68948582908458034</v>
      </c>
      <c r="Z2523" t="str">
        <f>HYPERLINK("Melting_Curves/meltCurve_sp_Q8IZ07_AN13A_HUMAN_.pdf", "Melting_Curves/meltCurve_sp_Q8IZ07_AN13A_HUMAN_.pdf")</f>
        <v>Melting_Curves/meltCurve_sp_Q8IZ07_AN13A_HUMAN_.pdf</v>
      </c>
      <c r="AA2523" t="s">
        <v>16695</v>
      </c>
      <c r="AB2523" t="s">
        <v>21357</v>
      </c>
    </row>
    <row r="2524" spans="1:28" x14ac:dyDescent="0.25">
      <c r="A2524" t="s">
        <v>2528</v>
      </c>
      <c r="B2524">
        <v>0.99904790336628502</v>
      </c>
      <c r="C2524">
        <v>1.01115826447294</v>
      </c>
      <c r="D2524">
        <v>0.97143758468582597</v>
      </c>
      <c r="E2524">
        <v>0.65761680156200197</v>
      </c>
      <c r="F2524">
        <v>0.57536161570468702</v>
      </c>
      <c r="G2524">
        <v>0.42514755491679601</v>
      </c>
      <c r="H2524">
        <v>0.39471051229463799</v>
      </c>
      <c r="I2524">
        <v>0.32576441591324401</v>
      </c>
      <c r="J2524">
        <v>0.390896813415474</v>
      </c>
      <c r="K2524">
        <v>0.37765132067064899</v>
      </c>
      <c r="L2524">
        <v>1084.91377449999</v>
      </c>
      <c r="M2524">
        <v>21.5317223044906</v>
      </c>
      <c r="N2524">
        <v>53.763158895178499</v>
      </c>
      <c r="O2524">
        <v>49.958182676194397</v>
      </c>
      <c r="P2524">
        <v>-6.7811441098701603E-2</v>
      </c>
      <c r="Q2524">
        <v>0.37066734251479999</v>
      </c>
      <c r="R2524">
        <v>0.98542728574261595</v>
      </c>
      <c r="S2524" t="s">
        <v>7264</v>
      </c>
      <c r="T2524" t="s">
        <v>9478</v>
      </c>
      <c r="U2524" t="s">
        <v>9478</v>
      </c>
      <c r="V2524" t="s">
        <v>9478</v>
      </c>
      <c r="W2524">
        <v>3</v>
      </c>
      <c r="X2524" t="s">
        <v>12002</v>
      </c>
      <c r="Y2524">
        <v>0.59614314949146119</v>
      </c>
      <c r="Z2524" t="str">
        <f>HYPERLINK("Melting_Curves/meltCurve_sp_Q8IZ21_3_PHAR4_HUMAN_.pdf", "Melting_Curves/meltCurve_sp_Q8IZ21_3_PHAR4_HUMAN_.pdf")</f>
        <v>Melting_Curves/meltCurve_sp_Q8IZ21_3_PHAR4_HUMAN_.pdf</v>
      </c>
      <c r="AA2524" t="s">
        <v>16696</v>
      </c>
      <c r="AB2524" t="s">
        <v>21358</v>
      </c>
    </row>
    <row r="2525" spans="1:28" x14ac:dyDescent="0.25">
      <c r="A2525" t="s">
        <v>2529</v>
      </c>
      <c r="B2525">
        <v>0.99904790336628502</v>
      </c>
      <c r="C2525">
        <v>0.89720094339966505</v>
      </c>
      <c r="D2525">
        <v>0.86384909011375699</v>
      </c>
      <c r="E2525">
        <v>0.80968265799294303</v>
      </c>
      <c r="F2525">
        <v>0.67888426884397102</v>
      </c>
      <c r="G2525">
        <v>0.51963765065068801</v>
      </c>
      <c r="H2525">
        <v>0.29696189916358701</v>
      </c>
      <c r="I2525">
        <v>0.114766856694574</v>
      </c>
      <c r="J2525">
        <v>5.5119153467011503E-2</v>
      </c>
      <c r="K2525">
        <v>4.1058494798506803E-2</v>
      </c>
      <c r="L2525">
        <v>710.34625429013602</v>
      </c>
      <c r="M2525">
        <v>12.665934251594001</v>
      </c>
      <c r="N2525">
        <v>56.083228077214301</v>
      </c>
      <c r="O2525">
        <v>54.740337562164697</v>
      </c>
      <c r="P2525">
        <v>-5.78568562304956E-2</v>
      </c>
      <c r="Q2525">
        <v>0</v>
      </c>
      <c r="R2525">
        <v>0.978639017966205</v>
      </c>
      <c r="S2525" t="s">
        <v>7265</v>
      </c>
      <c r="T2525" t="s">
        <v>9478</v>
      </c>
      <c r="U2525" t="s">
        <v>9478</v>
      </c>
      <c r="V2525" t="s">
        <v>9478</v>
      </c>
      <c r="W2525">
        <v>6</v>
      </c>
      <c r="X2525" t="s">
        <v>12003</v>
      </c>
      <c r="Y2525">
        <v>0.55576601363366884</v>
      </c>
      <c r="Z2525" t="str">
        <f>HYPERLINK("Melting_Curves/meltCurve_sp_Q8IZ69_TRM2A_HUMAN_.pdf", "Melting_Curves/meltCurve_sp_Q8IZ69_TRM2A_HUMAN_.pdf")</f>
        <v>Melting_Curves/meltCurve_sp_Q8IZ69_TRM2A_HUMAN_.pdf</v>
      </c>
      <c r="AA2525" t="s">
        <v>16697</v>
      </c>
      <c r="AB2525" t="s">
        <v>21359</v>
      </c>
    </row>
    <row r="2526" spans="1:28" x14ac:dyDescent="0.25">
      <c r="A2526" t="s">
        <v>2530</v>
      </c>
      <c r="B2526">
        <v>0.99904790336628502</v>
      </c>
      <c r="C2526">
        <v>1.1252009518939099</v>
      </c>
      <c r="D2526">
        <v>1.12156828351556</v>
      </c>
      <c r="E2526">
        <v>1.07124357997743</v>
      </c>
      <c r="F2526">
        <v>0.93753734593455196</v>
      </c>
      <c r="G2526">
        <v>0.82137213876009796</v>
      </c>
      <c r="H2526">
        <v>0.57341729227244598</v>
      </c>
      <c r="I2526">
        <v>0.37676726993435</v>
      </c>
      <c r="J2526">
        <v>0.106980825867712</v>
      </c>
      <c r="K2526">
        <v>8.7317250366911098E-2</v>
      </c>
      <c r="L2526">
        <v>1273.18614469772</v>
      </c>
      <c r="M2526">
        <v>20.602788473044502</v>
      </c>
      <c r="N2526">
        <v>61.796795291774799</v>
      </c>
      <c r="O2526">
        <v>61.223438674262503</v>
      </c>
      <c r="P2526">
        <v>-8.4131937462415901E-2</v>
      </c>
      <c r="Q2526">
        <v>0</v>
      </c>
      <c r="R2526">
        <v>0.97020524022087395</v>
      </c>
      <c r="S2526" t="s">
        <v>7266</v>
      </c>
      <c r="T2526" t="s">
        <v>9478</v>
      </c>
      <c r="U2526" t="s">
        <v>9478</v>
      </c>
      <c r="V2526" t="s">
        <v>9478</v>
      </c>
      <c r="W2526">
        <v>13</v>
      </c>
      <c r="X2526" t="s">
        <v>12004</v>
      </c>
      <c r="Y2526">
        <v>0.73059731372614534</v>
      </c>
      <c r="Z2526" t="str">
        <f>HYPERLINK("Melting_Curves/meltCurve_sp_Q8IZ83_A16A1_HUMAN_.pdf", "Melting_Curves/meltCurve_sp_Q8IZ83_A16A1_HUMAN_.pdf")</f>
        <v>Melting_Curves/meltCurve_sp_Q8IZ83_A16A1_HUMAN_.pdf</v>
      </c>
      <c r="AA2526" t="s">
        <v>16698</v>
      </c>
      <c r="AB2526" t="s">
        <v>21360</v>
      </c>
    </row>
    <row r="2527" spans="1:28" x14ac:dyDescent="0.25">
      <c r="A2527" t="s">
        <v>2531</v>
      </c>
      <c r="B2527">
        <v>0.99904790336628502</v>
      </c>
      <c r="C2527">
        <v>1.03623868529338</v>
      </c>
      <c r="D2527">
        <v>0.93945625874684302</v>
      </c>
      <c r="E2527">
        <v>0.79371480404810202</v>
      </c>
      <c r="F2527">
        <v>0.85571610930810604</v>
      </c>
      <c r="G2527">
        <v>0.600772422051157</v>
      </c>
      <c r="H2527">
        <v>0.63498699779482104</v>
      </c>
      <c r="I2527">
        <v>0.43995925498250898</v>
      </c>
      <c r="J2527">
        <v>0.609259125774814</v>
      </c>
      <c r="K2527">
        <v>0.71630242077240602</v>
      </c>
      <c r="L2527">
        <v>918.56560255691898</v>
      </c>
      <c r="M2527">
        <v>17.729464333461401</v>
      </c>
      <c r="O2527">
        <v>51.164465601781103</v>
      </c>
      <c r="P2527">
        <v>-3.5848063976738599E-2</v>
      </c>
      <c r="Q2527">
        <v>0.58621401238540805</v>
      </c>
      <c r="R2527">
        <v>0.81856647193308296</v>
      </c>
      <c r="S2527" t="s">
        <v>7267</v>
      </c>
      <c r="T2527" t="s">
        <v>9478</v>
      </c>
      <c r="U2527" t="s">
        <v>9478</v>
      </c>
      <c r="V2527" t="s">
        <v>9478</v>
      </c>
      <c r="W2527">
        <v>3</v>
      </c>
      <c r="X2527" t="s">
        <v>12005</v>
      </c>
      <c r="Y2527">
        <v>0.75619471543744843</v>
      </c>
      <c r="Z2527" t="str">
        <f>HYPERLINK("Melting_Curves/meltCurve_sp_Q8IZD4_DCP1B_HUMAN_.pdf", "Melting_Curves/meltCurve_sp_Q8IZD4_DCP1B_HUMAN_.pdf")</f>
        <v>Melting_Curves/meltCurve_sp_Q8IZD4_DCP1B_HUMAN_.pdf</v>
      </c>
      <c r="AA2527" t="s">
        <v>16699</v>
      </c>
      <c r="AB2527" t="s">
        <v>21361</v>
      </c>
    </row>
    <row r="2528" spans="1:28" x14ac:dyDescent="0.25">
      <c r="A2528" t="s">
        <v>2532</v>
      </c>
      <c r="B2528">
        <v>0.99904790336628502</v>
      </c>
      <c r="C2528">
        <v>0.87082801754847805</v>
      </c>
      <c r="D2528">
        <v>0.87810441472554002</v>
      </c>
      <c r="E2528">
        <v>0.49607101253588798</v>
      </c>
      <c r="F2528">
        <v>0.27558280567524202</v>
      </c>
      <c r="G2528">
        <v>0.18371463867204901</v>
      </c>
      <c r="H2528">
        <v>0.16370206301222401</v>
      </c>
      <c r="I2528">
        <v>0.10271563111612</v>
      </c>
      <c r="J2528">
        <v>0.120633685968723</v>
      </c>
      <c r="K2528">
        <v>0.12233539245582301</v>
      </c>
      <c r="L2528">
        <v>993.273453288116</v>
      </c>
      <c r="M2528">
        <v>20.1342100086156</v>
      </c>
      <c r="N2528">
        <v>50.002400584358803</v>
      </c>
      <c r="O2528">
        <v>48.853711252095003</v>
      </c>
      <c r="P2528">
        <v>-9.0858229135367299E-2</v>
      </c>
      <c r="Q2528">
        <v>0.118193172205699</v>
      </c>
      <c r="R2528">
        <v>0.99016079961957304</v>
      </c>
      <c r="S2528" t="s">
        <v>7268</v>
      </c>
      <c r="T2528" t="s">
        <v>9478</v>
      </c>
      <c r="U2528" t="s">
        <v>9478</v>
      </c>
      <c r="V2528" t="s">
        <v>9478</v>
      </c>
      <c r="W2528">
        <v>4</v>
      </c>
      <c r="X2528" t="s">
        <v>12006</v>
      </c>
      <c r="Y2528">
        <v>0.40466696944807029</v>
      </c>
      <c r="Z2528" t="str">
        <f>HYPERLINK("Melting_Curves/meltCurve_sp_Q8IZH2_2_XRN1_HUMAN_.pdf", "Melting_Curves/meltCurve_sp_Q8IZH2_2_XRN1_HUMAN_.pdf")</f>
        <v>Melting_Curves/meltCurve_sp_Q8IZH2_2_XRN1_HUMAN_.pdf</v>
      </c>
      <c r="AA2528" t="s">
        <v>16700</v>
      </c>
      <c r="AB2528" t="s">
        <v>21362</v>
      </c>
    </row>
    <row r="2529" spans="1:28" x14ac:dyDescent="0.25">
      <c r="A2529" t="s">
        <v>2533</v>
      </c>
      <c r="B2529">
        <v>0.99904790336628502</v>
      </c>
      <c r="C2529">
        <v>0.99730543960194395</v>
      </c>
      <c r="D2529">
        <v>1.03280528972582</v>
      </c>
      <c r="E2529">
        <v>0.91333690451858296</v>
      </c>
      <c r="F2529">
        <v>0.72999041642417895</v>
      </c>
      <c r="G2529">
        <v>0.42304705584218699</v>
      </c>
      <c r="H2529">
        <v>0.31089333304375699</v>
      </c>
      <c r="I2529">
        <v>0.27101073258289599</v>
      </c>
      <c r="J2529">
        <v>0.41086239253963802</v>
      </c>
      <c r="K2529">
        <v>0.27296958944621802</v>
      </c>
      <c r="L2529">
        <v>1575.2089488762299</v>
      </c>
      <c r="M2529">
        <v>29.3162571449759</v>
      </c>
      <c r="N2529">
        <v>55.569993644017202</v>
      </c>
      <c r="O2529">
        <v>53.483433249199301</v>
      </c>
      <c r="P2529">
        <v>-9.4495130760867393E-2</v>
      </c>
      <c r="Q2529">
        <v>0.31043206785356797</v>
      </c>
      <c r="R2529">
        <v>0.98416946538856798</v>
      </c>
      <c r="S2529" t="s">
        <v>7269</v>
      </c>
      <c r="T2529" t="s">
        <v>9478</v>
      </c>
      <c r="U2529" t="s">
        <v>9478</v>
      </c>
      <c r="V2529" t="s">
        <v>9478</v>
      </c>
      <c r="W2529">
        <v>8</v>
      </c>
      <c r="X2529" t="s">
        <v>12007</v>
      </c>
      <c r="Y2529">
        <v>0.63078166027033766</v>
      </c>
      <c r="Z2529" t="str">
        <f>HYPERLINK("Melting_Curves/meltCurve_sp_Q8IZP0_10_ABI1_HUMAN_.pdf", "Melting_Curves/meltCurve_sp_Q8IZP0_10_ABI1_HUMAN_.pdf")</f>
        <v>Melting_Curves/meltCurve_sp_Q8IZP0_10_ABI1_HUMAN_.pdf</v>
      </c>
      <c r="AA2529" t="s">
        <v>16701</v>
      </c>
      <c r="AB2529" t="s">
        <v>21363</v>
      </c>
    </row>
    <row r="2530" spans="1:28" x14ac:dyDescent="0.25">
      <c r="A2530" t="s">
        <v>2534</v>
      </c>
      <c r="B2530">
        <v>0.99904790336628502</v>
      </c>
      <c r="C2530">
        <v>1.0379203763627201</v>
      </c>
      <c r="D2530">
        <v>0.72421452557546895</v>
      </c>
      <c r="E2530">
        <v>0.34163112234545701</v>
      </c>
      <c r="F2530">
        <v>0.183470127570773</v>
      </c>
      <c r="G2530">
        <v>0.10318847558470701</v>
      </c>
      <c r="H2530">
        <v>5.0484564686141299E-2</v>
      </c>
      <c r="I2530">
        <v>5.2663064532293899E-2</v>
      </c>
      <c r="J2530">
        <v>2.9224092122837601E-2</v>
      </c>
      <c r="K2530">
        <v>1.7601456167174599E-2</v>
      </c>
      <c r="L2530">
        <v>1074.1974934664399</v>
      </c>
      <c r="M2530">
        <v>22.245411044515699</v>
      </c>
      <c r="N2530">
        <v>48.487065026939902</v>
      </c>
      <c r="O2530">
        <v>47.903355455576197</v>
      </c>
      <c r="P2530">
        <v>-0.11104319543311</v>
      </c>
      <c r="Q2530">
        <v>4.3537039877743898E-2</v>
      </c>
      <c r="R2530">
        <v>0.99166260537781403</v>
      </c>
      <c r="S2530" t="s">
        <v>7270</v>
      </c>
      <c r="T2530" t="s">
        <v>9478</v>
      </c>
      <c r="U2530" t="s">
        <v>9478</v>
      </c>
      <c r="V2530" t="s">
        <v>9478</v>
      </c>
      <c r="W2530">
        <v>3</v>
      </c>
      <c r="X2530" t="s">
        <v>12008</v>
      </c>
      <c r="Y2530">
        <v>0.31860106019755979</v>
      </c>
      <c r="Z2530" t="str">
        <f>HYPERLINK("Melting_Curves/meltCurve_sp_Q8IZV5_RDH10_HUMAN_.pdf", "Melting_Curves/meltCurve_sp_Q8IZV5_RDH10_HUMAN_.pdf")</f>
        <v>Melting_Curves/meltCurve_sp_Q8IZV5_RDH10_HUMAN_.pdf</v>
      </c>
      <c r="AA2530" t="s">
        <v>16702</v>
      </c>
      <c r="AB2530" t="s">
        <v>21364</v>
      </c>
    </row>
    <row r="2531" spans="1:28" x14ac:dyDescent="0.25">
      <c r="A2531" t="s">
        <v>2535</v>
      </c>
      <c r="B2531">
        <v>0.99904790336628502</v>
      </c>
      <c r="C2531">
        <v>1.0101628882120499</v>
      </c>
      <c r="D2531">
        <v>1.0358001877707701</v>
      </c>
      <c r="E2531">
        <v>1.0210358135392701</v>
      </c>
      <c r="F2531">
        <v>0.82789268008863504</v>
      </c>
      <c r="G2531">
        <v>0.54892414096305997</v>
      </c>
      <c r="H2531">
        <v>0.241615410606801</v>
      </c>
      <c r="I2531">
        <v>0.18316469984071801</v>
      </c>
      <c r="J2531">
        <v>0.16893086827860701</v>
      </c>
      <c r="K2531">
        <v>0.16735364775216099</v>
      </c>
      <c r="L2531">
        <v>1459.73253724712</v>
      </c>
      <c r="M2531">
        <v>25.846452828961802</v>
      </c>
      <c r="N2531">
        <v>57.274458785335597</v>
      </c>
      <c r="O2531">
        <v>56.1422509651753</v>
      </c>
      <c r="P2531">
        <v>-9.7703801403026397E-2</v>
      </c>
      <c r="Q2531">
        <v>0.151102398032433</v>
      </c>
      <c r="R2531">
        <v>0.99524951833529096</v>
      </c>
      <c r="S2531" t="s">
        <v>7271</v>
      </c>
      <c r="T2531" t="s">
        <v>9478</v>
      </c>
      <c r="U2531" t="s">
        <v>9478</v>
      </c>
      <c r="V2531" t="s">
        <v>9478</v>
      </c>
      <c r="W2531">
        <v>1</v>
      </c>
      <c r="X2531" t="s">
        <v>12009</v>
      </c>
      <c r="Y2531">
        <v>0.62467477874728017</v>
      </c>
      <c r="Z2531" t="str">
        <f>HYPERLINK("Melting_Curves/meltCurve_sp_Q8N0T1_CH059_HUMAN_.pdf", "Melting_Curves/meltCurve_sp_Q8N0T1_CH059_HUMAN_.pdf")</f>
        <v>Melting_Curves/meltCurve_sp_Q8N0T1_CH059_HUMAN_.pdf</v>
      </c>
      <c r="AA2531" t="s">
        <v>16703</v>
      </c>
      <c r="AB2531" t="s">
        <v>21365</v>
      </c>
    </row>
    <row r="2532" spans="1:28" x14ac:dyDescent="0.25">
      <c r="A2532" t="s">
        <v>2536</v>
      </c>
      <c r="B2532">
        <v>0.99904790336628502</v>
      </c>
      <c r="C2532">
        <v>0.97001930741244602</v>
      </c>
      <c r="D2532">
        <v>0.977272402794509</v>
      </c>
      <c r="E2532">
        <v>0.96372848914308296</v>
      </c>
      <c r="F2532">
        <v>0.89513159201685399</v>
      </c>
      <c r="G2532">
        <v>0.56419587300538898</v>
      </c>
      <c r="H2532">
        <v>0.209297290526616</v>
      </c>
      <c r="I2532">
        <v>0.11676136254615101</v>
      </c>
      <c r="J2532">
        <v>5.9771705338090599E-2</v>
      </c>
      <c r="K2532">
        <v>3.9630493738467401E-2</v>
      </c>
      <c r="L2532">
        <v>1409.55623930146</v>
      </c>
      <c r="M2532">
        <v>24.5388800545877</v>
      </c>
      <c r="N2532">
        <v>57.597611989497402</v>
      </c>
      <c r="O2532">
        <v>57.064348927488098</v>
      </c>
      <c r="P2532">
        <v>-0.104053450743452</v>
      </c>
      <c r="Q2532">
        <v>3.2122665136744499E-2</v>
      </c>
      <c r="R2532">
        <v>0.99894689038569795</v>
      </c>
      <c r="S2532" t="s">
        <v>7272</v>
      </c>
      <c r="T2532" t="s">
        <v>9478</v>
      </c>
      <c r="U2532" t="s">
        <v>9478</v>
      </c>
      <c r="V2532" t="s">
        <v>9478</v>
      </c>
      <c r="W2532">
        <v>7</v>
      </c>
      <c r="X2532" t="s">
        <v>12010</v>
      </c>
      <c r="Y2532">
        <v>0.60368286137853888</v>
      </c>
      <c r="Z2532" t="str">
        <f>HYPERLINK("Melting_Curves/meltCurve_sp_Q8N0U4_F185A_HUMAN_.pdf", "Melting_Curves/meltCurve_sp_Q8N0U4_F185A_HUMAN_.pdf")</f>
        <v>Melting_Curves/meltCurve_sp_Q8N0U4_F185A_HUMAN_.pdf</v>
      </c>
      <c r="AA2532" t="s">
        <v>16704</v>
      </c>
      <c r="AB2532" t="s">
        <v>21366</v>
      </c>
    </row>
    <row r="2533" spans="1:28" x14ac:dyDescent="0.25">
      <c r="A2533" t="s">
        <v>2537</v>
      </c>
      <c r="B2533">
        <v>0.99904790336628502</v>
      </c>
      <c r="C2533">
        <v>1.02650189453745</v>
      </c>
      <c r="D2533">
        <v>1.0061416549728099</v>
      </c>
      <c r="E2533">
        <v>0.92325788791524899</v>
      </c>
      <c r="F2533">
        <v>0.68674794795671001</v>
      </c>
      <c r="G2533">
        <v>0.38972837239866798</v>
      </c>
      <c r="H2533">
        <v>0.121894791837551</v>
      </c>
      <c r="I2533">
        <v>5.9286742363928203E-2</v>
      </c>
      <c r="J2533">
        <v>4.17264748375352E-2</v>
      </c>
      <c r="K2533">
        <v>3.9937439539449303E-2</v>
      </c>
      <c r="L2533">
        <v>1155.2304767150099</v>
      </c>
      <c r="M2533">
        <v>20.883157786079</v>
      </c>
      <c r="N2533">
        <v>55.402623816446997</v>
      </c>
      <c r="O2533">
        <v>54.819012334289603</v>
      </c>
      <c r="P2533">
        <v>-9.3758051003736104E-2</v>
      </c>
      <c r="Q2533">
        <v>1.55547400885675E-2</v>
      </c>
      <c r="R2533">
        <v>0.99772327565360497</v>
      </c>
      <c r="S2533" t="s">
        <v>7273</v>
      </c>
      <c r="T2533" t="s">
        <v>9478</v>
      </c>
      <c r="U2533" t="s">
        <v>9478</v>
      </c>
      <c r="V2533" t="s">
        <v>9478</v>
      </c>
      <c r="W2533">
        <v>13</v>
      </c>
      <c r="X2533" t="s">
        <v>12011</v>
      </c>
      <c r="Y2533">
        <v>0.5304202169854052</v>
      </c>
      <c r="Z2533" t="str">
        <f>HYPERLINK("Melting_Curves/meltCurve_sp_Q8N0W3_FUK_HUMAN_.pdf", "Melting_Curves/meltCurve_sp_Q8N0W3_FUK_HUMAN_.pdf")</f>
        <v>Melting_Curves/meltCurve_sp_Q8N0W3_FUK_HUMAN_.pdf</v>
      </c>
      <c r="AA2533" t="s">
        <v>16705</v>
      </c>
      <c r="AB2533" t="s">
        <v>21367</v>
      </c>
    </row>
    <row r="2534" spans="1:28" x14ac:dyDescent="0.25">
      <c r="A2534" t="s">
        <v>2538</v>
      </c>
      <c r="B2534">
        <v>0.99904790336628502</v>
      </c>
      <c r="C2534">
        <v>1.0173959577452401</v>
      </c>
      <c r="D2534">
        <v>1.08975923498704</v>
      </c>
      <c r="E2534">
        <v>1.0244455276500799</v>
      </c>
      <c r="F2534">
        <v>0.77662220421211703</v>
      </c>
      <c r="G2534">
        <v>0.16480331532946199</v>
      </c>
      <c r="H2534">
        <v>7.2406875298733894E-2</v>
      </c>
      <c r="I2534">
        <v>4.5857964878847503E-2</v>
      </c>
      <c r="J2534">
        <v>3.6738067149757497E-2</v>
      </c>
      <c r="K2534">
        <v>2.93550167321916E-2</v>
      </c>
      <c r="L2534">
        <v>2419.8404822808502</v>
      </c>
      <c r="M2534">
        <v>44.4240320569779</v>
      </c>
      <c r="N2534">
        <v>54.585133397911697</v>
      </c>
      <c r="O2534">
        <v>54.3613961255924</v>
      </c>
      <c r="P2534">
        <v>-0.195271550885384</v>
      </c>
      <c r="Q2534">
        <v>4.4191286719745697E-2</v>
      </c>
      <c r="R2534">
        <v>0.99490572735226501</v>
      </c>
      <c r="S2534" t="s">
        <v>7274</v>
      </c>
      <c r="T2534" t="s">
        <v>9478</v>
      </c>
      <c r="U2534" t="s">
        <v>9478</v>
      </c>
      <c r="V2534" t="s">
        <v>9478</v>
      </c>
      <c r="W2534">
        <v>24</v>
      </c>
      <c r="X2534" t="s">
        <v>12012</v>
      </c>
      <c r="Y2534">
        <v>0.50816526987560751</v>
      </c>
      <c r="Z2534" t="str">
        <f>HYPERLINK("Melting_Curves/meltCurve_sp_Q8N0X4_CLYBL_HUMAN_.pdf", "Melting_Curves/meltCurve_sp_Q8N0X4_CLYBL_HUMAN_.pdf")</f>
        <v>Melting_Curves/meltCurve_sp_Q8N0X4_CLYBL_HUMAN_.pdf</v>
      </c>
      <c r="AA2534" t="s">
        <v>16706</v>
      </c>
      <c r="AB2534" t="s">
        <v>21368</v>
      </c>
    </row>
    <row r="2535" spans="1:28" x14ac:dyDescent="0.25">
      <c r="A2535" t="s">
        <v>2539</v>
      </c>
      <c r="B2535">
        <v>0.99904790336628502</v>
      </c>
      <c r="C2535">
        <v>1.03024746875113</v>
      </c>
      <c r="D2535">
        <v>0.98298379135971004</v>
      </c>
      <c r="E2535">
        <v>0.93754999723338495</v>
      </c>
      <c r="F2535">
        <v>0.77845687711493206</v>
      </c>
      <c r="G2535">
        <v>0.53402377695565495</v>
      </c>
      <c r="H2535">
        <v>0.42293290224044899</v>
      </c>
      <c r="I2535">
        <v>0.361413972438833</v>
      </c>
      <c r="J2535">
        <v>0.35710262595555697</v>
      </c>
      <c r="K2535">
        <v>0.29538388393568799</v>
      </c>
      <c r="L2535">
        <v>1101.64001763191</v>
      </c>
      <c r="M2535">
        <v>20.0111479986364</v>
      </c>
      <c r="N2535">
        <v>57.985560294522699</v>
      </c>
      <c r="O2535">
        <v>54.510393736671197</v>
      </c>
      <c r="P2535">
        <v>-6.2560020693480101E-2</v>
      </c>
      <c r="Q2535">
        <v>0.31836776688269403</v>
      </c>
      <c r="R2535">
        <v>0.99586663863467295</v>
      </c>
      <c r="S2535" t="s">
        <v>7275</v>
      </c>
      <c r="T2535" t="s">
        <v>9478</v>
      </c>
      <c r="U2535" t="s">
        <v>9478</v>
      </c>
      <c r="V2535" t="s">
        <v>9478</v>
      </c>
      <c r="W2535">
        <v>3</v>
      </c>
      <c r="X2535" t="s">
        <v>12013</v>
      </c>
      <c r="Y2535">
        <v>0.66940568449148186</v>
      </c>
      <c r="Z2535" t="str">
        <f>HYPERLINK("Melting_Curves/meltCurve_sp_Q8N0X7_SPG20_HUMAN_.pdf", "Melting_Curves/meltCurve_sp_Q8N0X7_SPG20_HUMAN_.pdf")</f>
        <v>Melting_Curves/meltCurve_sp_Q8N0X7_SPG20_HUMAN_.pdf</v>
      </c>
      <c r="AA2535" t="s">
        <v>16707</v>
      </c>
      <c r="AB2535" t="s">
        <v>21369</v>
      </c>
    </row>
    <row r="2536" spans="1:28" x14ac:dyDescent="0.25">
      <c r="A2536" t="s">
        <v>2540</v>
      </c>
      <c r="B2536">
        <v>0.99904790336628502</v>
      </c>
      <c r="C2536">
        <v>1.02139446753054</v>
      </c>
      <c r="D2536">
        <v>0.95422087131397204</v>
      </c>
      <c r="E2536">
        <v>0.88369496688467797</v>
      </c>
      <c r="F2536">
        <v>0.59391732140504405</v>
      </c>
      <c r="G2536">
        <v>0.44036706241792101</v>
      </c>
      <c r="H2536">
        <v>0.31719642894981298</v>
      </c>
      <c r="I2536">
        <v>0.33958020974791397</v>
      </c>
      <c r="J2536">
        <v>0.30455183015070503</v>
      </c>
      <c r="K2536">
        <v>0.233558877194642</v>
      </c>
      <c r="L2536">
        <v>1133.6600396855099</v>
      </c>
      <c r="M2536">
        <v>21.4078285397371</v>
      </c>
      <c r="N2536">
        <v>55.110715266251503</v>
      </c>
      <c r="O2536">
        <v>52.4998172731013</v>
      </c>
      <c r="P2536">
        <v>-7.3038717970150796E-2</v>
      </c>
      <c r="Q2536">
        <v>0.28354737324437201</v>
      </c>
      <c r="R2536">
        <v>0.98918387930221297</v>
      </c>
      <c r="S2536" t="s">
        <v>7276</v>
      </c>
      <c r="T2536" t="s">
        <v>9478</v>
      </c>
      <c r="U2536" t="s">
        <v>9478</v>
      </c>
      <c r="V2536" t="s">
        <v>9478</v>
      </c>
      <c r="W2536">
        <v>4</v>
      </c>
      <c r="X2536" t="s">
        <v>12014</v>
      </c>
      <c r="Y2536">
        <v>0.60170163099639518</v>
      </c>
      <c r="Z2536" t="str">
        <f>HYPERLINK("Melting_Curves/meltCurve_sp_Q8N108_17_MIER1_HUMAN_.pdf", "Melting_Curves/meltCurve_sp_Q8N108_17_MIER1_HUMAN_.pdf")</f>
        <v>Melting_Curves/meltCurve_sp_Q8N108_17_MIER1_HUMAN_.pdf</v>
      </c>
      <c r="AA2536" t="s">
        <v>16708</v>
      </c>
      <c r="AB2536" t="s">
        <v>21370</v>
      </c>
    </row>
    <row r="2537" spans="1:28" x14ac:dyDescent="0.25">
      <c r="A2537" t="s">
        <v>2541</v>
      </c>
      <c r="B2537">
        <v>0.99904790336628502</v>
      </c>
      <c r="C2537">
        <v>0.95148590229438601</v>
      </c>
      <c r="D2537">
        <v>0.92290013366289803</v>
      </c>
      <c r="E2537">
        <v>0.84993486331526502</v>
      </c>
      <c r="F2537">
        <v>0.81526771127318498</v>
      </c>
      <c r="G2537">
        <v>0.72338772666121498</v>
      </c>
      <c r="H2537">
        <v>0.58284749130096802</v>
      </c>
      <c r="I2537">
        <v>0.55298141274414103</v>
      </c>
      <c r="J2537">
        <v>0.48723665587019299</v>
      </c>
      <c r="K2537">
        <v>0.44537031035786501</v>
      </c>
      <c r="L2537">
        <v>427.82811645668198</v>
      </c>
      <c r="M2537">
        <v>6.9855934901674201</v>
      </c>
      <c r="N2537">
        <v>66.379660296231293</v>
      </c>
      <c r="O2537">
        <v>56.817529972038301</v>
      </c>
      <c r="P2537">
        <v>-2.4366066011801701E-2</v>
      </c>
      <c r="Q2537">
        <v>0.208749575707285</v>
      </c>
      <c r="R2537">
        <v>0.99456479426129196</v>
      </c>
      <c r="S2537" t="s">
        <v>7277</v>
      </c>
      <c r="T2537" t="s">
        <v>9478</v>
      </c>
      <c r="U2537" t="s">
        <v>9478</v>
      </c>
      <c r="V2537" t="s">
        <v>9478</v>
      </c>
      <c r="W2537">
        <v>3</v>
      </c>
      <c r="X2537" t="s">
        <v>12015</v>
      </c>
      <c r="Y2537">
        <v>0.73874731750504807</v>
      </c>
      <c r="Z2537" t="str">
        <f>HYPERLINK("Melting_Curves/meltCurve_sp_Q8N129_CNPY4_HUMAN_.pdf", "Melting_Curves/meltCurve_sp_Q8N129_CNPY4_HUMAN_.pdf")</f>
        <v>Melting_Curves/meltCurve_sp_Q8N129_CNPY4_HUMAN_.pdf</v>
      </c>
      <c r="AA2537" t="s">
        <v>16709</v>
      </c>
      <c r="AB2537" t="s">
        <v>21371</v>
      </c>
    </row>
    <row r="2538" spans="1:28" x14ac:dyDescent="0.25">
      <c r="A2538" t="s">
        <v>2542</v>
      </c>
      <c r="B2538">
        <v>0.99904790336628502</v>
      </c>
      <c r="C2538">
        <v>0.91954288422250496</v>
      </c>
      <c r="D2538">
        <v>0.95224563121480499</v>
      </c>
      <c r="E2538">
        <v>0.83278031039215195</v>
      </c>
      <c r="F2538">
        <v>0.50473741447691201</v>
      </c>
      <c r="G2538">
        <v>0.15463841473578499</v>
      </c>
      <c r="H2538">
        <v>7.5513748577144602E-2</v>
      </c>
      <c r="I2538">
        <v>4.5416832731187698E-2</v>
      </c>
      <c r="J2538">
        <v>3.17603688052552E-2</v>
      </c>
      <c r="K2538">
        <v>2.4322193183932E-2</v>
      </c>
      <c r="L2538">
        <v>1345.12568304961</v>
      </c>
      <c r="M2538">
        <v>25.4168131297406</v>
      </c>
      <c r="N2538">
        <v>53.049331965873797</v>
      </c>
      <c r="O2538">
        <v>52.598329465806998</v>
      </c>
      <c r="P2538">
        <v>-0.117251130330692</v>
      </c>
      <c r="Q2538">
        <v>2.94399772729683E-2</v>
      </c>
      <c r="R2538">
        <v>0.99562476924740495</v>
      </c>
      <c r="S2538" t="s">
        <v>7278</v>
      </c>
      <c r="T2538" t="s">
        <v>9478</v>
      </c>
      <c r="U2538" t="s">
        <v>9478</v>
      </c>
      <c r="V2538" t="s">
        <v>9478</v>
      </c>
      <c r="W2538">
        <v>24</v>
      </c>
      <c r="X2538" t="s">
        <v>12016</v>
      </c>
      <c r="Y2538">
        <v>0.45617123642830631</v>
      </c>
      <c r="Z2538" t="str">
        <f>HYPERLINK("Melting_Curves/meltCurve_sp_Q8N142_PURA1_HUMAN_.pdf", "Melting_Curves/meltCurve_sp_Q8N142_PURA1_HUMAN_.pdf")</f>
        <v>Melting_Curves/meltCurve_sp_Q8N142_PURA1_HUMAN_.pdf</v>
      </c>
      <c r="AA2538" t="s">
        <v>16710</v>
      </c>
      <c r="AB2538" t="s">
        <v>21372</v>
      </c>
    </row>
    <row r="2539" spans="1:28" x14ac:dyDescent="0.25">
      <c r="A2539" t="s">
        <v>2543</v>
      </c>
      <c r="B2539">
        <v>0.99904790336628502</v>
      </c>
      <c r="C2539">
        <v>1.0456746907057901</v>
      </c>
      <c r="D2539">
        <v>1.10190526779572</v>
      </c>
      <c r="E2539">
        <v>0.98194200389290798</v>
      </c>
      <c r="F2539">
        <v>0.78912596027616899</v>
      </c>
      <c r="G2539">
        <v>0.40122096719448502</v>
      </c>
      <c r="H2539">
        <v>0.14105373045325201</v>
      </c>
      <c r="I2539">
        <v>6.2677838564597202E-2</v>
      </c>
      <c r="J2539">
        <v>4.12356354776999E-2</v>
      </c>
      <c r="K2539">
        <v>3.2673872866716802E-2</v>
      </c>
      <c r="L2539">
        <v>1433.32468055766</v>
      </c>
      <c r="M2539">
        <v>25.638542020308201</v>
      </c>
      <c r="N2539">
        <v>56.039230400828799</v>
      </c>
      <c r="O2539">
        <v>55.568295677520702</v>
      </c>
      <c r="P2539">
        <v>-0.111915001509971</v>
      </c>
      <c r="Q2539">
        <v>2.9765385952362101E-2</v>
      </c>
      <c r="R2539">
        <v>0.99253573313163801</v>
      </c>
      <c r="S2539" t="s">
        <v>7279</v>
      </c>
      <c r="T2539" t="s">
        <v>9478</v>
      </c>
      <c r="U2539" t="s">
        <v>9478</v>
      </c>
      <c r="V2539" t="s">
        <v>9478</v>
      </c>
      <c r="W2539">
        <v>30</v>
      </c>
      <c r="X2539" t="s">
        <v>12017</v>
      </c>
      <c r="Y2539">
        <v>0.55269968334519504</v>
      </c>
      <c r="Z2539" t="str">
        <f>HYPERLINK("Melting_Curves/meltCurve_sp_Q8N163_K1967_HUMAN_.pdf", "Melting_Curves/meltCurve_sp_Q8N163_K1967_HUMAN_.pdf")</f>
        <v>Melting_Curves/meltCurve_sp_Q8N163_K1967_HUMAN_.pdf</v>
      </c>
      <c r="AA2539" t="s">
        <v>16711</v>
      </c>
      <c r="AB2539" t="s">
        <v>21373</v>
      </c>
    </row>
    <row r="2540" spans="1:28" x14ac:dyDescent="0.25">
      <c r="A2540" t="s">
        <v>2544</v>
      </c>
      <c r="B2540">
        <v>0.99904790336628502</v>
      </c>
      <c r="C2540">
        <v>1.0833062272832801</v>
      </c>
      <c r="D2540">
        <v>1.16240337281698</v>
      </c>
      <c r="E2540">
        <v>0.76740550032233601</v>
      </c>
      <c r="F2540">
        <v>0.22791240561592499</v>
      </c>
      <c r="G2540">
        <v>0.106198042208452</v>
      </c>
      <c r="H2540">
        <v>4.6157369848752301E-2</v>
      </c>
      <c r="I2540">
        <v>4.0557106166528099E-2</v>
      </c>
      <c r="J2540">
        <v>3.3777347979795903E-2</v>
      </c>
      <c r="K2540">
        <v>2.6506386234992001E-2</v>
      </c>
      <c r="L2540">
        <v>2346.0267225698999</v>
      </c>
      <c r="M2540">
        <v>45.738667083543703</v>
      </c>
      <c r="N2540">
        <v>51.406737946990802</v>
      </c>
      <c r="O2540">
        <v>51.194231467208098</v>
      </c>
      <c r="P2540">
        <v>-0.212518524597446</v>
      </c>
      <c r="Q2540">
        <v>4.8533134426841797E-2</v>
      </c>
      <c r="R2540">
        <v>0.98236142499509804</v>
      </c>
      <c r="S2540" t="s">
        <v>7280</v>
      </c>
      <c r="T2540" t="s">
        <v>9478</v>
      </c>
      <c r="U2540" t="s">
        <v>9478</v>
      </c>
      <c r="V2540" t="s">
        <v>9478</v>
      </c>
      <c r="W2540">
        <v>6</v>
      </c>
      <c r="X2540" t="s">
        <v>12018</v>
      </c>
      <c r="Y2540">
        <v>0.4092396303728702</v>
      </c>
      <c r="Z2540" t="str">
        <f>HYPERLINK("Melting_Curves/meltCurve_sp_Q8N1B4_VPS52_HUMAN_.pdf", "Melting_Curves/meltCurve_sp_Q8N1B4_VPS52_HUMAN_.pdf")</f>
        <v>Melting_Curves/meltCurve_sp_Q8N1B4_VPS52_HUMAN_.pdf</v>
      </c>
      <c r="AA2540" t="s">
        <v>16712</v>
      </c>
      <c r="AB2540" t="s">
        <v>21374</v>
      </c>
    </row>
    <row r="2541" spans="1:28" x14ac:dyDescent="0.25">
      <c r="A2541" t="s">
        <v>2545</v>
      </c>
      <c r="B2541">
        <v>0.99904790336628502</v>
      </c>
      <c r="C2541">
        <v>1.01099496699592</v>
      </c>
      <c r="D2541">
        <v>1.03245695411302</v>
      </c>
      <c r="E2541">
        <v>0.59340081967580605</v>
      </c>
      <c r="F2541">
        <v>0.30693009954356698</v>
      </c>
      <c r="G2541">
        <v>0.15865461658501101</v>
      </c>
      <c r="H2541">
        <v>0.105689579290331</v>
      </c>
      <c r="I2541">
        <v>6.3563621984316296E-2</v>
      </c>
      <c r="J2541">
        <v>5.7844498671157298E-2</v>
      </c>
      <c r="K2541">
        <v>4.2621600463810701E-2</v>
      </c>
      <c r="L2541">
        <v>1401.75457442531</v>
      </c>
      <c r="M2541">
        <v>27.6242898361775</v>
      </c>
      <c r="N2541">
        <v>51.040416378585</v>
      </c>
      <c r="O2541">
        <v>50.479876450081299</v>
      </c>
      <c r="P2541">
        <v>-0.12665658237222899</v>
      </c>
      <c r="Q2541">
        <v>7.4213376377757503E-2</v>
      </c>
      <c r="R2541">
        <v>0.99244410958416596</v>
      </c>
      <c r="S2541" t="s">
        <v>7281</v>
      </c>
      <c r="T2541" t="s">
        <v>9478</v>
      </c>
      <c r="U2541" t="s">
        <v>9478</v>
      </c>
      <c r="V2541" t="s">
        <v>9478</v>
      </c>
      <c r="W2541">
        <v>5</v>
      </c>
      <c r="X2541" t="s">
        <v>12019</v>
      </c>
      <c r="Y2541">
        <v>0.41259278718973502</v>
      </c>
      <c r="Z2541" t="str">
        <f>HYPERLINK("Melting_Curves/meltCurve_sp_Q8N1F7_NUP93_HUMAN_.pdf", "Melting_Curves/meltCurve_sp_Q8N1F7_NUP93_HUMAN_.pdf")</f>
        <v>Melting_Curves/meltCurve_sp_Q8N1F7_NUP93_HUMAN_.pdf</v>
      </c>
      <c r="AA2541" t="s">
        <v>16713</v>
      </c>
      <c r="AB2541" t="s">
        <v>21375</v>
      </c>
    </row>
    <row r="2542" spans="1:28" x14ac:dyDescent="0.25">
      <c r="A2542" t="s">
        <v>2546</v>
      </c>
      <c r="B2542">
        <v>0.99904790336628502</v>
      </c>
      <c r="C2542">
        <v>1.0296412840022</v>
      </c>
      <c r="D2542">
        <v>0.94680143096693503</v>
      </c>
      <c r="E2542">
        <v>0.49107436865229398</v>
      </c>
      <c r="F2542">
        <v>0.35920209465188802</v>
      </c>
      <c r="G2542">
        <v>0.21045026185209101</v>
      </c>
      <c r="H2542">
        <v>0.16994965796540901</v>
      </c>
      <c r="I2542">
        <v>0.15004287576986899</v>
      </c>
      <c r="J2542">
        <v>0.14710656939017999</v>
      </c>
      <c r="K2542">
        <v>0.13116705297536399</v>
      </c>
      <c r="L2542">
        <v>1246.2245603153499</v>
      </c>
      <c r="M2542">
        <v>25.067476376654099</v>
      </c>
      <c r="N2542">
        <v>50.471395489853002</v>
      </c>
      <c r="O2542">
        <v>49.401654530238197</v>
      </c>
      <c r="P2542">
        <v>-0.106988521003721</v>
      </c>
      <c r="Q2542">
        <v>0.15662201956308799</v>
      </c>
      <c r="R2542">
        <v>0.99103164449466996</v>
      </c>
      <c r="S2542" t="s">
        <v>7282</v>
      </c>
      <c r="T2542" t="s">
        <v>9478</v>
      </c>
      <c r="U2542" t="s">
        <v>9478</v>
      </c>
      <c r="V2542" t="s">
        <v>9478</v>
      </c>
      <c r="W2542">
        <v>11</v>
      </c>
      <c r="X2542" t="s">
        <v>12020</v>
      </c>
      <c r="Y2542">
        <v>0.43720624065641722</v>
      </c>
      <c r="Z2542" t="str">
        <f>HYPERLINK("Melting_Curves/meltCurve_sp_Q8N1G2_MTR1_HUMAN_.pdf", "Melting_Curves/meltCurve_sp_Q8N1G2_MTR1_HUMAN_.pdf")</f>
        <v>Melting_Curves/meltCurve_sp_Q8N1G2_MTR1_HUMAN_.pdf</v>
      </c>
      <c r="AA2542" t="s">
        <v>16714</v>
      </c>
      <c r="AB2542" t="s">
        <v>21376</v>
      </c>
    </row>
    <row r="2543" spans="1:28" x14ac:dyDescent="0.25">
      <c r="A2543" t="s">
        <v>2547</v>
      </c>
      <c r="B2543">
        <v>0.99904790336628502</v>
      </c>
      <c r="C2543">
        <v>0.98828965611013697</v>
      </c>
      <c r="D2543">
        <v>0.98565695550745902</v>
      </c>
      <c r="E2543">
        <v>0.894005397834569</v>
      </c>
      <c r="F2543">
        <v>0.690881427526848</v>
      </c>
      <c r="G2543">
        <v>0.26476000684617801</v>
      </c>
      <c r="H2543">
        <v>0.116371579798997</v>
      </c>
      <c r="I2543">
        <v>7.1405627690963494E-2</v>
      </c>
      <c r="J2543">
        <v>5.6462523784372998E-2</v>
      </c>
      <c r="K2543">
        <v>5.4599343688852803E-2</v>
      </c>
      <c r="L2543">
        <v>1385.5824948885199</v>
      </c>
      <c r="M2543">
        <v>25.477363648495299</v>
      </c>
      <c r="N2543">
        <v>54.616769597933803</v>
      </c>
      <c r="O2543">
        <v>54.053108554964297</v>
      </c>
      <c r="P2543">
        <v>-0.11179491657791001</v>
      </c>
      <c r="Q2543">
        <v>5.1269644260700901E-2</v>
      </c>
      <c r="R2543">
        <v>0.99957107993010197</v>
      </c>
      <c r="S2543" t="s">
        <v>7283</v>
      </c>
      <c r="T2543" t="s">
        <v>9478</v>
      </c>
      <c r="U2543" t="s">
        <v>9478</v>
      </c>
      <c r="V2543" t="s">
        <v>9478</v>
      </c>
      <c r="W2543">
        <v>12</v>
      </c>
      <c r="X2543" t="s">
        <v>12021</v>
      </c>
      <c r="Y2543">
        <v>0.51467133949572053</v>
      </c>
      <c r="Z2543" t="str">
        <f>HYPERLINK("Melting_Curves/meltCurve_sp_Q8N1G4_LRC47_HUMAN_.pdf", "Melting_Curves/meltCurve_sp_Q8N1G4_LRC47_HUMAN_.pdf")</f>
        <v>Melting_Curves/meltCurve_sp_Q8N1G4_LRC47_HUMAN_.pdf</v>
      </c>
      <c r="AA2543" t="s">
        <v>16715</v>
      </c>
      <c r="AB2543" t="s">
        <v>21377</v>
      </c>
    </row>
    <row r="2544" spans="1:28" x14ac:dyDescent="0.25">
      <c r="A2544" t="s">
        <v>2548</v>
      </c>
      <c r="B2544">
        <v>0.99904790336628502</v>
      </c>
      <c r="C2544">
        <v>1.0485898680508801</v>
      </c>
      <c r="D2544">
        <v>0.89328139566971199</v>
      </c>
      <c r="E2544">
        <v>0.64666020556335202</v>
      </c>
      <c r="F2544">
        <v>0.60597589663850404</v>
      </c>
      <c r="G2544">
        <v>0.45662376896357298</v>
      </c>
      <c r="H2544">
        <v>0.42611744510913502</v>
      </c>
      <c r="I2544">
        <v>0.43763465487363801</v>
      </c>
      <c r="J2544">
        <v>0.47251227432855902</v>
      </c>
      <c r="K2544">
        <v>0.48896623915764797</v>
      </c>
      <c r="L2544">
        <v>1101.2930423256801</v>
      </c>
      <c r="M2544">
        <v>22.395700280342201</v>
      </c>
      <c r="N2544">
        <v>55.1505284010005</v>
      </c>
      <c r="O2544">
        <v>48.787266706365699</v>
      </c>
      <c r="P2544">
        <v>-6.2449912688503202E-2</v>
      </c>
      <c r="Q2544">
        <v>0.45584237884721601</v>
      </c>
      <c r="R2544">
        <v>0.97551416445974104</v>
      </c>
      <c r="S2544" t="s">
        <v>7284</v>
      </c>
      <c r="T2544" t="s">
        <v>9478</v>
      </c>
      <c r="U2544" t="s">
        <v>9478</v>
      </c>
      <c r="V2544" t="s">
        <v>9478</v>
      </c>
      <c r="W2544">
        <v>5</v>
      </c>
      <c r="X2544" t="s">
        <v>12022</v>
      </c>
      <c r="Y2544">
        <v>0.6282991060514832</v>
      </c>
      <c r="Z2544" t="str">
        <f>HYPERLINK("Melting_Curves/meltCurve_sp_Q8N1I0_DOCK4_HUMAN_.pdf", "Melting_Curves/meltCurve_sp_Q8N1I0_DOCK4_HUMAN_.pdf")</f>
        <v>Melting_Curves/meltCurve_sp_Q8N1I0_DOCK4_HUMAN_.pdf</v>
      </c>
      <c r="AA2544" t="s">
        <v>16716</v>
      </c>
      <c r="AB2544" t="s">
        <v>21378</v>
      </c>
    </row>
    <row r="2545" spans="1:28" x14ac:dyDescent="0.25">
      <c r="A2545" t="s">
        <v>2549</v>
      </c>
      <c r="B2545">
        <v>0.99904790336628502</v>
      </c>
      <c r="C2545">
        <v>1.00832307372445</v>
      </c>
      <c r="D2545">
        <v>1.0215139897057199</v>
      </c>
      <c r="E2545">
        <v>1.1767322432002401</v>
      </c>
      <c r="F2545">
        <v>1.00062895947166</v>
      </c>
      <c r="G2545">
        <v>1.0485452408187801</v>
      </c>
      <c r="H2545">
        <v>0.73121967530265397</v>
      </c>
      <c r="I2545">
        <v>0.55840177145012304</v>
      </c>
      <c r="J2545">
        <v>0.64310379467810896</v>
      </c>
      <c r="K2545">
        <v>0.54546327869475597</v>
      </c>
      <c r="L2545">
        <v>15000</v>
      </c>
      <c r="M2545">
        <v>246.492282605497</v>
      </c>
      <c r="O2545">
        <v>60.849829545361899</v>
      </c>
      <c r="P2545">
        <v>-0.42298525447989499</v>
      </c>
      <c r="Q2545">
        <v>0.58232235147704003</v>
      </c>
      <c r="R2545">
        <v>0.91628496940109105</v>
      </c>
      <c r="S2545" t="s">
        <v>7285</v>
      </c>
      <c r="T2545" t="s">
        <v>9478</v>
      </c>
      <c r="U2545" t="s">
        <v>9478</v>
      </c>
      <c r="V2545" t="s">
        <v>9478</v>
      </c>
      <c r="W2545">
        <v>2</v>
      </c>
      <c r="X2545" t="s">
        <v>12023</v>
      </c>
      <c r="Y2545">
        <v>0.87270755692832103</v>
      </c>
      <c r="Z2545" t="str">
        <f>HYPERLINK("Melting_Curves/meltCurve_sp_Q8N201_INT1_HUMAN_.pdf", "Melting_Curves/meltCurve_sp_Q8N201_INT1_HUMAN_.pdf")</f>
        <v>Melting_Curves/meltCurve_sp_Q8N201_INT1_HUMAN_.pdf</v>
      </c>
      <c r="AA2545" t="s">
        <v>16717</v>
      </c>
      <c r="AB2545" t="s">
        <v>21379</v>
      </c>
    </row>
    <row r="2546" spans="1:28" x14ac:dyDescent="0.25">
      <c r="A2546" t="s">
        <v>2550</v>
      </c>
      <c r="B2546">
        <v>0.99904790336628502</v>
      </c>
      <c r="C2546">
        <v>0.89905556321182201</v>
      </c>
      <c r="D2546">
        <v>0.93259999170454899</v>
      </c>
      <c r="E2546">
        <v>0.75595599864878804</v>
      </c>
      <c r="F2546">
        <v>0.565129005433328</v>
      </c>
      <c r="G2546">
        <v>0.35522906254092501</v>
      </c>
      <c r="H2546">
        <v>0.24022519044513099</v>
      </c>
      <c r="I2546">
        <v>0.23179597538153399</v>
      </c>
      <c r="J2546">
        <v>0.24278234457477099</v>
      </c>
      <c r="K2546">
        <v>0.21521559566534201</v>
      </c>
      <c r="L2546">
        <v>867.73887234300605</v>
      </c>
      <c r="M2546">
        <v>16.585023877985599</v>
      </c>
      <c r="N2546">
        <v>53.966467915277804</v>
      </c>
      <c r="O2546">
        <v>51.577716206651303</v>
      </c>
      <c r="P2546">
        <v>-6.4436684290473598E-2</v>
      </c>
      <c r="Q2546">
        <v>0.19848878243167301</v>
      </c>
      <c r="R2546">
        <v>0.99150808485964403</v>
      </c>
      <c r="S2546" t="s">
        <v>7286</v>
      </c>
      <c r="T2546" t="s">
        <v>9478</v>
      </c>
      <c r="U2546" t="s">
        <v>9478</v>
      </c>
      <c r="V2546" t="s">
        <v>9478</v>
      </c>
      <c r="W2546">
        <v>3</v>
      </c>
      <c r="X2546" t="s">
        <v>12024</v>
      </c>
      <c r="Y2546">
        <v>0.54283542226976444</v>
      </c>
      <c r="Z2546" t="str">
        <f>HYPERLINK("Melting_Curves/meltCurve_sp_Q8N283_ANR35_HUMAN_.pdf", "Melting_Curves/meltCurve_sp_Q8N283_ANR35_HUMAN_.pdf")</f>
        <v>Melting_Curves/meltCurve_sp_Q8N283_ANR35_HUMAN_.pdf</v>
      </c>
      <c r="AA2546" t="s">
        <v>16718</v>
      </c>
      <c r="AB2546" t="s">
        <v>21380</v>
      </c>
    </row>
    <row r="2547" spans="1:28" x14ac:dyDescent="0.25">
      <c r="A2547" t="s">
        <v>2551</v>
      </c>
      <c r="B2547">
        <v>0.99904790336628502</v>
      </c>
      <c r="C2547">
        <v>0.913731634627726</v>
      </c>
      <c r="D2547">
        <v>0.84839237891058095</v>
      </c>
      <c r="E2547">
        <v>0.76972088640283098</v>
      </c>
      <c r="F2547">
        <v>0.64514547220973895</v>
      </c>
      <c r="G2547">
        <v>0.418527479185277</v>
      </c>
      <c r="H2547">
        <v>0.23805786417702099</v>
      </c>
      <c r="I2547">
        <v>0.13251423618600999</v>
      </c>
      <c r="J2547">
        <v>7.7712685281553701E-2</v>
      </c>
      <c r="K2547">
        <v>7.1133685993234705E-2</v>
      </c>
      <c r="L2547">
        <v>646.27700832529194</v>
      </c>
      <c r="M2547">
        <v>11.7480765253794</v>
      </c>
      <c r="N2547">
        <v>55.0113039208236</v>
      </c>
      <c r="O2547">
        <v>53.489939226401603</v>
      </c>
      <c r="P2547">
        <v>-5.4922249145878198E-2</v>
      </c>
      <c r="Q2547">
        <v>0</v>
      </c>
      <c r="R2547">
        <v>0.991795162919205</v>
      </c>
      <c r="S2547" t="s">
        <v>7287</v>
      </c>
      <c r="T2547" t="s">
        <v>9478</v>
      </c>
      <c r="U2547" t="s">
        <v>9478</v>
      </c>
      <c r="V2547" t="s">
        <v>9478</v>
      </c>
      <c r="W2547">
        <v>2</v>
      </c>
      <c r="X2547" t="s">
        <v>12025</v>
      </c>
      <c r="Y2547">
        <v>0.52413066185603108</v>
      </c>
      <c r="Z2547" t="str">
        <f>HYPERLINK("Melting_Curves/meltCurve_sp_Q8N2H3_PYRD2_HUMAN_.pdf", "Melting_Curves/meltCurve_sp_Q8N2H3_PYRD2_HUMAN_.pdf")</f>
        <v>Melting_Curves/meltCurve_sp_Q8N2H3_PYRD2_HUMAN_.pdf</v>
      </c>
      <c r="AA2547" t="s">
        <v>16719</v>
      </c>
      <c r="AB2547" t="s">
        <v>21381</v>
      </c>
    </row>
    <row r="2548" spans="1:28" x14ac:dyDescent="0.25">
      <c r="A2548" t="s">
        <v>2552</v>
      </c>
      <c r="B2548">
        <v>0.99904790336628502</v>
      </c>
      <c r="C2548">
        <v>1.0904253117228</v>
      </c>
      <c r="D2548">
        <v>0.98776021016316495</v>
      </c>
      <c r="E2548">
        <v>0.73677321433655896</v>
      </c>
      <c r="F2548">
        <v>0.78515198335917902</v>
      </c>
      <c r="G2548">
        <v>0.45420286201219801</v>
      </c>
      <c r="H2548">
        <v>0.271642188169613</v>
      </c>
      <c r="I2548">
        <v>0.316861974126737</v>
      </c>
      <c r="J2548">
        <v>0.189790035171229</v>
      </c>
      <c r="K2548">
        <v>0.19697334949415199</v>
      </c>
      <c r="L2548">
        <v>832.48539962353198</v>
      </c>
      <c r="M2548">
        <v>15.141529755001701</v>
      </c>
      <c r="N2548">
        <v>56.464043212404398</v>
      </c>
      <c r="O2548">
        <v>54.048024105898897</v>
      </c>
      <c r="P2548">
        <v>-5.8547665660007298E-2</v>
      </c>
      <c r="Q2548">
        <v>0.164132710019182</v>
      </c>
      <c r="R2548">
        <v>0.96612178090497203</v>
      </c>
      <c r="S2548" t="s">
        <v>7288</v>
      </c>
      <c r="T2548" t="s">
        <v>9478</v>
      </c>
      <c r="U2548" t="s">
        <v>9478</v>
      </c>
      <c r="V2548" t="s">
        <v>9478</v>
      </c>
      <c r="W2548">
        <v>2</v>
      </c>
      <c r="X2548" t="s">
        <v>12026</v>
      </c>
      <c r="Y2548">
        <v>0.59749493671183618</v>
      </c>
      <c r="Z2548" t="str">
        <f>HYPERLINK("Melting_Curves/meltCurve_sp_Q8N302_AGGF1_HUMAN_.pdf", "Melting_Curves/meltCurve_sp_Q8N302_AGGF1_HUMAN_.pdf")</f>
        <v>Melting_Curves/meltCurve_sp_Q8N302_AGGF1_HUMAN_.pdf</v>
      </c>
      <c r="AA2548" t="s">
        <v>16720</v>
      </c>
      <c r="AB2548" t="s">
        <v>21382</v>
      </c>
    </row>
    <row r="2549" spans="1:28" x14ac:dyDescent="0.25">
      <c r="A2549" t="s">
        <v>2553</v>
      </c>
      <c r="B2549">
        <v>0.99904790336628502</v>
      </c>
      <c r="C2549">
        <v>0.73134613691359995</v>
      </c>
      <c r="D2549">
        <v>0.76194880061705195</v>
      </c>
      <c r="E2549">
        <v>0.40122762308495502</v>
      </c>
      <c r="F2549">
        <v>0.162150171971329</v>
      </c>
      <c r="G2549">
        <v>0.13089641156711401</v>
      </c>
      <c r="H2549">
        <v>7.7638928627231998E-2</v>
      </c>
      <c r="I2549">
        <v>6.7765658262613701E-2</v>
      </c>
      <c r="J2549">
        <v>5.6024904462254901E-2</v>
      </c>
      <c r="K2549">
        <v>3.2188802721130803E-2</v>
      </c>
      <c r="L2549">
        <v>705.121761377594</v>
      </c>
      <c r="M2549">
        <v>14.649809800520099</v>
      </c>
      <c r="N2549">
        <v>48.335353748317097</v>
      </c>
      <c r="O2549">
        <v>47.261613945049902</v>
      </c>
      <c r="P2549">
        <v>-7.5183318287138201E-2</v>
      </c>
      <c r="Q2549">
        <v>2.9914286084848401E-2</v>
      </c>
      <c r="R2549">
        <v>0.972421716876674</v>
      </c>
      <c r="S2549" t="s">
        <v>7289</v>
      </c>
      <c r="T2549" t="s">
        <v>9478</v>
      </c>
      <c r="U2549" t="s">
        <v>9478</v>
      </c>
      <c r="V2549" t="s">
        <v>9478</v>
      </c>
      <c r="W2549">
        <v>2</v>
      </c>
      <c r="X2549" t="s">
        <v>12027</v>
      </c>
      <c r="Y2549">
        <v>0.31885188056095792</v>
      </c>
      <c r="Z2549" t="str">
        <f>HYPERLINK("Melting_Curves/meltCurve_sp_Q8N335_GPD1L_HUMAN_.pdf", "Melting_Curves/meltCurve_sp_Q8N335_GPD1L_HUMAN_.pdf")</f>
        <v>Melting_Curves/meltCurve_sp_Q8N335_GPD1L_HUMAN_.pdf</v>
      </c>
      <c r="AA2549" t="s">
        <v>16721</v>
      </c>
      <c r="AB2549" t="s">
        <v>21383</v>
      </c>
    </row>
    <row r="2550" spans="1:28" x14ac:dyDescent="0.25">
      <c r="A2550" t="s">
        <v>2554</v>
      </c>
      <c r="B2550">
        <v>0.99904790336628502</v>
      </c>
      <c r="C2550">
        <v>0.90938228467056204</v>
      </c>
      <c r="D2550">
        <v>0.87932588671302903</v>
      </c>
      <c r="E2550">
        <v>0.91448780914338001</v>
      </c>
      <c r="F2550">
        <v>0.65122325752786003</v>
      </c>
      <c r="G2550">
        <v>0.20068416988294899</v>
      </c>
      <c r="H2550">
        <v>0.104210850379909</v>
      </c>
      <c r="I2550">
        <v>7.3250152000844504E-2</v>
      </c>
      <c r="J2550">
        <v>6.89588133402812E-2</v>
      </c>
      <c r="K2550">
        <v>4.8608993827911701E-2</v>
      </c>
      <c r="L2550">
        <v>1566.4335279289201</v>
      </c>
      <c r="M2550">
        <v>29.0754637375342</v>
      </c>
      <c r="N2550">
        <v>54.111802848065402</v>
      </c>
      <c r="O2550">
        <v>53.6218353767308</v>
      </c>
      <c r="P2550">
        <v>-0.12745301781180499</v>
      </c>
      <c r="Q2550">
        <v>5.9796342207763198E-2</v>
      </c>
      <c r="R2550">
        <v>0.98598930197442902</v>
      </c>
      <c r="S2550" t="s">
        <v>7290</v>
      </c>
      <c r="T2550" t="s">
        <v>9478</v>
      </c>
      <c r="U2550" t="s">
        <v>9478</v>
      </c>
      <c r="V2550" t="s">
        <v>9478</v>
      </c>
      <c r="W2550">
        <v>3</v>
      </c>
      <c r="X2550" t="s">
        <v>12028</v>
      </c>
      <c r="Y2550">
        <v>0.50118307305328369</v>
      </c>
      <c r="Z2550" t="str">
        <f>HYPERLINK("Melting_Curves/meltCurve_sp_Q8N371_KDM8_HUMAN_.pdf", "Melting_Curves/meltCurve_sp_Q8N371_KDM8_HUMAN_.pdf")</f>
        <v>Melting_Curves/meltCurve_sp_Q8N371_KDM8_HUMAN_.pdf</v>
      </c>
      <c r="AA2550" t="s">
        <v>16722</v>
      </c>
      <c r="AB2550" t="s">
        <v>21384</v>
      </c>
    </row>
    <row r="2551" spans="1:28" x14ac:dyDescent="0.25">
      <c r="A2551" t="s">
        <v>2555</v>
      </c>
      <c r="B2551">
        <v>0.99904790336628502</v>
      </c>
      <c r="C2551">
        <v>1.0322413761250899</v>
      </c>
      <c r="D2551">
        <v>1.0633371991807601</v>
      </c>
      <c r="E2551">
        <v>0.84282260400563302</v>
      </c>
      <c r="F2551">
        <v>0.62109180178146695</v>
      </c>
      <c r="G2551">
        <v>0.42420556062461201</v>
      </c>
      <c r="H2551">
        <v>0.33184292464203002</v>
      </c>
      <c r="I2551">
        <v>0.29206898396148501</v>
      </c>
      <c r="J2551">
        <v>0.25681180772197298</v>
      </c>
      <c r="K2551">
        <v>0.27288980887626502</v>
      </c>
      <c r="L2551">
        <v>1199.3936843648901</v>
      </c>
      <c r="M2551">
        <v>22.611806176799</v>
      </c>
      <c r="N2551">
        <v>54.992318957667599</v>
      </c>
      <c r="O2551">
        <v>52.633177469935198</v>
      </c>
      <c r="P2551">
        <v>-7.7793947839956606E-2</v>
      </c>
      <c r="Q2551">
        <v>0.27569518677961502</v>
      </c>
      <c r="R2551">
        <v>0.98968566095243105</v>
      </c>
      <c r="S2551" t="s">
        <v>7291</v>
      </c>
      <c r="T2551" t="s">
        <v>9478</v>
      </c>
      <c r="U2551" t="s">
        <v>9478</v>
      </c>
      <c r="V2551" t="s">
        <v>9478</v>
      </c>
      <c r="W2551">
        <v>3</v>
      </c>
      <c r="X2551" t="s">
        <v>12029</v>
      </c>
      <c r="Y2551">
        <v>0.59862065635965256</v>
      </c>
      <c r="Z2551" t="str">
        <f>HYPERLINK("Melting_Curves/meltCurve_sp_Q8N392_2_RHG18_HUMAN_.pdf", "Melting_Curves/meltCurve_sp_Q8N392_2_RHG18_HUMAN_.pdf")</f>
        <v>Melting_Curves/meltCurve_sp_Q8N392_2_RHG18_HUMAN_.pdf</v>
      </c>
      <c r="AA2551" t="s">
        <v>16723</v>
      </c>
      <c r="AB2551" t="s">
        <v>21385</v>
      </c>
    </row>
    <row r="2552" spans="1:28" x14ac:dyDescent="0.25">
      <c r="A2552" t="s">
        <v>2556</v>
      </c>
      <c r="B2552">
        <v>0.99904790336628502</v>
      </c>
      <c r="C2552">
        <v>0.98447119727735599</v>
      </c>
      <c r="D2552">
        <v>1.0416150819391199</v>
      </c>
      <c r="E2552">
        <v>0.75877561657075498</v>
      </c>
      <c r="F2552">
        <v>0.66179668883051501</v>
      </c>
      <c r="G2552">
        <v>0.61454261215815298</v>
      </c>
      <c r="H2552">
        <v>0.66723503589746802</v>
      </c>
      <c r="I2552">
        <v>0.43070392591185502</v>
      </c>
      <c r="J2552">
        <v>0.314178024333363</v>
      </c>
      <c r="K2552">
        <v>0.33099005667598402</v>
      </c>
      <c r="L2552">
        <v>439.873155434056</v>
      </c>
      <c r="M2552">
        <v>7.2790580193165004</v>
      </c>
      <c r="N2552">
        <v>61.749314014668698</v>
      </c>
      <c r="O2552">
        <v>56.3698052380551</v>
      </c>
      <c r="P2552">
        <v>-3.0005786951357701E-2</v>
      </c>
      <c r="Q2552">
        <v>7.2018003679747797E-2</v>
      </c>
      <c r="R2552">
        <v>0.91148276651886695</v>
      </c>
      <c r="S2552" t="s">
        <v>7292</v>
      </c>
      <c r="T2552" t="s">
        <v>9478</v>
      </c>
      <c r="U2552" t="s">
        <v>9478</v>
      </c>
      <c r="V2552" t="s">
        <v>9478</v>
      </c>
      <c r="W2552">
        <v>5</v>
      </c>
      <c r="X2552" t="s">
        <v>12030</v>
      </c>
      <c r="Y2552">
        <v>0.68017272101658521</v>
      </c>
      <c r="Z2552" t="str">
        <f>HYPERLINK("Melting_Curves/meltCurve_sp_Q8N3D4_EH1L1_HUMAN_.pdf", "Melting_Curves/meltCurve_sp_Q8N3D4_EH1L1_HUMAN_.pdf")</f>
        <v>Melting_Curves/meltCurve_sp_Q8N3D4_EH1L1_HUMAN_.pdf</v>
      </c>
      <c r="AA2552" t="s">
        <v>16724</v>
      </c>
      <c r="AB2552" t="s">
        <v>21386</v>
      </c>
    </row>
    <row r="2553" spans="1:28" x14ac:dyDescent="0.25">
      <c r="A2553" t="s">
        <v>2557</v>
      </c>
      <c r="B2553">
        <v>0.99904790336628502</v>
      </c>
      <c r="C2553">
        <v>1.07425241860273</v>
      </c>
      <c r="D2553">
        <v>0.93222021325936699</v>
      </c>
      <c r="E2553">
        <v>0.85801119354362498</v>
      </c>
      <c r="F2553">
        <v>0.84297716142896295</v>
      </c>
      <c r="G2553">
        <v>0.75523497777455495</v>
      </c>
      <c r="H2553">
        <v>0.57993148156401897</v>
      </c>
      <c r="I2553">
        <v>0.52338045349085105</v>
      </c>
      <c r="J2553">
        <v>0.63021776308103294</v>
      </c>
      <c r="K2553">
        <v>0.74883775379673501</v>
      </c>
      <c r="L2553">
        <v>924.43581613167703</v>
      </c>
      <c r="M2553">
        <v>17.475402834794199</v>
      </c>
      <c r="O2553">
        <v>52.221136095822899</v>
      </c>
      <c r="P2553">
        <v>-3.1934440407819502E-2</v>
      </c>
      <c r="Q2553">
        <v>0.61830686846592897</v>
      </c>
      <c r="R2553">
        <v>0.83894231803615005</v>
      </c>
      <c r="S2553" t="s">
        <v>7293</v>
      </c>
      <c r="T2553" t="s">
        <v>9478</v>
      </c>
      <c r="U2553" t="s">
        <v>9478</v>
      </c>
      <c r="V2553" t="s">
        <v>9478</v>
      </c>
      <c r="W2553">
        <v>4</v>
      </c>
      <c r="X2553" t="s">
        <v>12031</v>
      </c>
      <c r="Y2553">
        <v>0.7889898323482204</v>
      </c>
      <c r="Z2553" t="str">
        <f>HYPERLINK("Melting_Curves/meltCurve_sp_Q8N3F8_MILK1_HUMAN_.pdf", "Melting_Curves/meltCurve_sp_Q8N3F8_MILK1_HUMAN_.pdf")</f>
        <v>Melting_Curves/meltCurve_sp_Q8N3F8_MILK1_HUMAN_.pdf</v>
      </c>
      <c r="AA2553" t="s">
        <v>16725</v>
      </c>
      <c r="AB2553" t="s">
        <v>21387</v>
      </c>
    </row>
    <row r="2554" spans="1:28" x14ac:dyDescent="0.25">
      <c r="A2554" t="s">
        <v>2558</v>
      </c>
      <c r="B2554">
        <v>0.99904790336628502</v>
      </c>
      <c r="C2554">
        <v>7.4717860623141901</v>
      </c>
      <c r="D2554">
        <v>0.82565543621331405</v>
      </c>
      <c r="E2554">
        <v>2.9332400470206701</v>
      </c>
      <c r="F2554">
        <v>1.19079499481808</v>
      </c>
      <c r="G2554">
        <v>0.71490460934769695</v>
      </c>
      <c r="H2554">
        <v>0.37401407976540602</v>
      </c>
      <c r="I2554">
        <v>0.34026397390980501</v>
      </c>
      <c r="J2554">
        <v>0.21255342989744599</v>
      </c>
      <c r="K2554">
        <v>0.113592676643822</v>
      </c>
      <c r="L2554">
        <v>2354.1279593505501</v>
      </c>
      <c r="M2554">
        <v>40.364206359343697</v>
      </c>
      <c r="N2554">
        <v>59.171947536152302</v>
      </c>
      <c r="O2554">
        <v>58.179569923607801</v>
      </c>
      <c r="P2554">
        <v>-0.135295349056821</v>
      </c>
      <c r="Q2554">
        <v>0.21996151218978299</v>
      </c>
      <c r="R2554">
        <v>-8.8492729635008E-3</v>
      </c>
      <c r="S2554" t="s">
        <v>7294</v>
      </c>
      <c r="T2554" t="s">
        <v>9478</v>
      </c>
      <c r="U2554" t="s">
        <v>9478</v>
      </c>
      <c r="V2554" t="s">
        <v>9478</v>
      </c>
      <c r="W2554">
        <v>3</v>
      </c>
      <c r="X2554" t="s">
        <v>12032</v>
      </c>
      <c r="Y2554">
        <v>0.69938130848124902</v>
      </c>
      <c r="Z2554" t="str">
        <f>HYPERLINK("Melting_Curves/meltCurve_sp_Q8N3P4_3_VPS8_HUMAN_.pdf", "Melting_Curves/meltCurve_sp_Q8N3P4_3_VPS8_HUMAN_.pdf")</f>
        <v>Melting_Curves/meltCurve_sp_Q8N3P4_3_VPS8_HUMAN_.pdf</v>
      </c>
      <c r="AA2554" t="s">
        <v>16726</v>
      </c>
      <c r="AB2554" t="s">
        <v>21388</v>
      </c>
    </row>
    <row r="2555" spans="1:28" x14ac:dyDescent="0.25">
      <c r="A2555" t="s">
        <v>2559</v>
      </c>
      <c r="B2555">
        <v>0.99904790336628502</v>
      </c>
      <c r="C2555">
        <v>0.98276493011632304</v>
      </c>
      <c r="D2555">
        <v>0.92873847684598299</v>
      </c>
      <c r="E2555">
        <v>0.86040739173052805</v>
      </c>
      <c r="F2555">
        <v>0.81105440601124401</v>
      </c>
      <c r="G2555">
        <v>0.60581600908005595</v>
      </c>
      <c r="H2555">
        <v>0.540341908587195</v>
      </c>
      <c r="I2555">
        <v>0.49630092303170997</v>
      </c>
      <c r="J2555">
        <v>0.53439595052932898</v>
      </c>
      <c r="K2555">
        <v>0.56381570246083101</v>
      </c>
      <c r="L2555">
        <v>922.63484918587699</v>
      </c>
      <c r="M2555">
        <v>17.355804416672001</v>
      </c>
      <c r="O2555">
        <v>52.469332361137504</v>
      </c>
      <c r="P2555">
        <v>-4.04059992161774E-2</v>
      </c>
      <c r="Q2555">
        <v>0.51141301653825599</v>
      </c>
      <c r="R2555">
        <v>0.97595594577908196</v>
      </c>
      <c r="S2555" t="s">
        <v>7295</v>
      </c>
      <c r="T2555" t="s">
        <v>9478</v>
      </c>
      <c r="U2555" t="s">
        <v>9478</v>
      </c>
      <c r="V2555" t="s">
        <v>9478</v>
      </c>
      <c r="W2555">
        <v>17</v>
      </c>
      <c r="X2555" t="s">
        <v>12033</v>
      </c>
      <c r="Y2555">
        <v>0.73418257567072209</v>
      </c>
      <c r="Z2555" t="str">
        <f>HYPERLINK("Melting_Curves/meltCurve_sp_Q8N3V7_2_SYNPO_HUMAN_.pdf", "Melting_Curves/meltCurve_sp_Q8N3V7_2_SYNPO_HUMAN_.pdf")</f>
        <v>Melting_Curves/meltCurve_sp_Q8N3V7_2_SYNPO_HUMAN_.pdf</v>
      </c>
      <c r="AA2555" t="s">
        <v>16727</v>
      </c>
      <c r="AB2555" t="s">
        <v>21389</v>
      </c>
    </row>
    <row r="2556" spans="1:28" x14ac:dyDescent="0.25">
      <c r="A2556" t="s">
        <v>2560</v>
      </c>
      <c r="B2556">
        <v>0.99904790336628502</v>
      </c>
      <c r="C2556">
        <v>0.99975649488701002</v>
      </c>
      <c r="D2556">
        <v>0.91436703635996897</v>
      </c>
      <c r="E2556">
        <v>0.96720623942149497</v>
      </c>
      <c r="F2556">
        <v>0.88265253666060095</v>
      </c>
      <c r="G2556">
        <v>0.74946693570979395</v>
      </c>
      <c r="H2556">
        <v>0.67210776332427202</v>
      </c>
      <c r="I2556">
        <v>0.65266328628860404</v>
      </c>
      <c r="J2556">
        <v>0.59082824604827699</v>
      </c>
      <c r="K2556">
        <v>0.68588918179826797</v>
      </c>
      <c r="L2556">
        <v>1089.13151138289</v>
      </c>
      <c r="M2556">
        <v>19.850043387964099</v>
      </c>
      <c r="O2556">
        <v>54.320211067135403</v>
      </c>
      <c r="P2556">
        <v>-3.3703618313385898E-2</v>
      </c>
      <c r="Q2556">
        <v>0.63108872221707601</v>
      </c>
      <c r="R2556">
        <v>0.94955434411126605</v>
      </c>
      <c r="S2556" t="s">
        <v>7296</v>
      </c>
      <c r="T2556" t="s">
        <v>9478</v>
      </c>
      <c r="U2556" t="s">
        <v>9478</v>
      </c>
      <c r="V2556" t="s">
        <v>9478</v>
      </c>
      <c r="W2556">
        <v>3</v>
      </c>
      <c r="X2556" t="s">
        <v>12034</v>
      </c>
      <c r="Y2556">
        <v>0.81890533525155507</v>
      </c>
      <c r="Z2556" t="str">
        <f>HYPERLINK("Melting_Curves/meltCurve_sp_Q8N3X1_FNBP4_HUMAN_.pdf", "Melting_Curves/meltCurve_sp_Q8N3X1_FNBP4_HUMAN_.pdf")</f>
        <v>Melting_Curves/meltCurve_sp_Q8N3X1_FNBP4_HUMAN_.pdf</v>
      </c>
      <c r="AA2556" t="s">
        <v>16728</v>
      </c>
      <c r="AB2556" t="s">
        <v>21390</v>
      </c>
    </row>
    <row r="2557" spans="1:28" x14ac:dyDescent="0.25">
      <c r="A2557" t="s">
        <v>2561</v>
      </c>
      <c r="B2557">
        <v>0.99904790336628502</v>
      </c>
      <c r="C2557">
        <v>0.86738264261377496</v>
      </c>
      <c r="D2557">
        <v>0.59615400908426697</v>
      </c>
      <c r="E2557">
        <v>0.30161335567722802</v>
      </c>
      <c r="F2557">
        <v>0.216495951911823</v>
      </c>
      <c r="G2557">
        <v>0.13036509032021101</v>
      </c>
      <c r="H2557">
        <v>7.60351652514836E-2</v>
      </c>
      <c r="I2557">
        <v>5.0513583661591303E-2</v>
      </c>
      <c r="J2557">
        <v>5.3390981088025098E-2</v>
      </c>
      <c r="K2557">
        <v>6.3911830212581996E-2</v>
      </c>
      <c r="L2557">
        <v>806.56720589670795</v>
      </c>
      <c r="M2557">
        <v>17.1353034543198</v>
      </c>
      <c r="N2557">
        <v>47.432694756098002</v>
      </c>
      <c r="O2557">
        <v>46.443426670275002</v>
      </c>
      <c r="P2557">
        <v>-8.6586396029398202E-2</v>
      </c>
      <c r="Q2557">
        <v>6.1322967642577199E-2</v>
      </c>
      <c r="R2557">
        <v>0.99535840824598298</v>
      </c>
      <c r="S2557" t="s">
        <v>7297</v>
      </c>
      <c r="T2557" t="s">
        <v>9478</v>
      </c>
      <c r="U2557" t="s">
        <v>9478</v>
      </c>
      <c r="V2557" t="s">
        <v>9478</v>
      </c>
      <c r="W2557">
        <v>2</v>
      </c>
      <c r="X2557" t="s">
        <v>12035</v>
      </c>
      <c r="Y2557">
        <v>0.30174774486616418</v>
      </c>
      <c r="Z2557" t="str">
        <f>HYPERLINK("Melting_Curves/meltCurve_sp_Q8N442_GUF1_HUMAN_.pdf", "Melting_Curves/meltCurve_sp_Q8N442_GUF1_HUMAN_.pdf")</f>
        <v>Melting_Curves/meltCurve_sp_Q8N442_GUF1_HUMAN_.pdf</v>
      </c>
      <c r="AA2557" t="s">
        <v>16729</v>
      </c>
      <c r="AB2557" t="s">
        <v>21391</v>
      </c>
    </row>
    <row r="2558" spans="1:28" x14ac:dyDescent="0.25">
      <c r="A2558" t="s">
        <v>2562</v>
      </c>
      <c r="B2558">
        <v>0.99904790336628502</v>
      </c>
      <c r="C2558">
        <v>0.90635302185784905</v>
      </c>
      <c r="D2558">
        <v>0.95473201216575598</v>
      </c>
      <c r="E2558">
        <v>0.88398433547593103</v>
      </c>
      <c r="F2558">
        <v>0.77369606802840696</v>
      </c>
      <c r="G2558">
        <v>0.52230451593217997</v>
      </c>
      <c r="H2558">
        <v>0.18331346242514299</v>
      </c>
      <c r="I2558">
        <v>8.9055703504326206E-2</v>
      </c>
      <c r="J2558">
        <v>5.1933284738940003E-2</v>
      </c>
      <c r="K2558">
        <v>3.4994607407093398E-2</v>
      </c>
      <c r="L2558">
        <v>1029.37290670016</v>
      </c>
      <c r="M2558">
        <v>18.163548053798699</v>
      </c>
      <c r="N2558">
        <v>56.672457512813402</v>
      </c>
      <c r="O2558">
        <v>55.998909986419399</v>
      </c>
      <c r="P2558">
        <v>-8.1092707246798706E-2</v>
      </c>
      <c r="Q2558">
        <v>0</v>
      </c>
      <c r="R2558">
        <v>0.99052270336279802</v>
      </c>
      <c r="S2558" t="s">
        <v>7298</v>
      </c>
      <c r="T2558" t="s">
        <v>9478</v>
      </c>
      <c r="U2558" t="s">
        <v>9478</v>
      </c>
      <c r="V2558" t="s">
        <v>9478</v>
      </c>
      <c r="W2558">
        <v>13</v>
      </c>
      <c r="X2558" t="s">
        <v>12036</v>
      </c>
      <c r="Y2558">
        <v>0.56970063047415231</v>
      </c>
      <c r="Z2558" t="str">
        <f>HYPERLINK("Melting_Curves/meltCurve_sp_Q8N465_D2HDH_HUMAN_.pdf", "Melting_Curves/meltCurve_sp_Q8N465_D2HDH_HUMAN_.pdf")</f>
        <v>Melting_Curves/meltCurve_sp_Q8N465_D2HDH_HUMAN_.pdf</v>
      </c>
      <c r="AA2558" t="s">
        <v>16730</v>
      </c>
      <c r="AB2558" t="s">
        <v>21392</v>
      </c>
    </row>
    <row r="2559" spans="1:28" x14ac:dyDescent="0.25">
      <c r="A2559" t="s">
        <v>2563</v>
      </c>
      <c r="B2559">
        <v>0.99904790336628502</v>
      </c>
      <c r="C2559">
        <v>0.91946138950380796</v>
      </c>
      <c r="D2559">
        <v>0.80617467673885101</v>
      </c>
      <c r="E2559">
        <v>0.77151060244297398</v>
      </c>
      <c r="F2559">
        <v>0.76750001629126596</v>
      </c>
      <c r="G2559">
        <v>0.55545002379695096</v>
      </c>
      <c r="H2559">
        <v>0.50375024806729296</v>
      </c>
      <c r="I2559">
        <v>0.457768790414813</v>
      </c>
      <c r="J2559">
        <v>0.46011530766105802</v>
      </c>
      <c r="K2559">
        <v>0.430784303056582</v>
      </c>
      <c r="L2559">
        <v>429.97629146940602</v>
      </c>
      <c r="M2559">
        <v>7.9520424683526096</v>
      </c>
      <c r="N2559">
        <v>62.2777079337259</v>
      </c>
      <c r="O2559">
        <v>50.972655086974001</v>
      </c>
      <c r="P2559">
        <v>-2.6369862119695501E-2</v>
      </c>
      <c r="Q2559">
        <v>0.32465703083122999</v>
      </c>
      <c r="R2559">
        <v>0.965573815234546</v>
      </c>
      <c r="S2559" t="s">
        <v>7299</v>
      </c>
      <c r="T2559" t="s">
        <v>9478</v>
      </c>
      <c r="U2559" t="s">
        <v>9478</v>
      </c>
      <c r="V2559" t="s">
        <v>9478</v>
      </c>
      <c r="W2559">
        <v>1</v>
      </c>
      <c r="X2559" t="s">
        <v>12037</v>
      </c>
      <c r="Y2559">
        <v>0.66417810058015503</v>
      </c>
      <c r="Z2559" t="str">
        <f>HYPERLINK("Melting_Curves/meltCurve_sp_Q8N488_RYBP_HUMAN_.pdf", "Melting_Curves/meltCurve_sp_Q8N488_RYBP_HUMAN_.pdf")</f>
        <v>Melting_Curves/meltCurve_sp_Q8N488_RYBP_HUMAN_.pdf</v>
      </c>
      <c r="AA2559" t="s">
        <v>16731</v>
      </c>
      <c r="AB2559" t="s">
        <v>21393</v>
      </c>
    </row>
    <row r="2560" spans="1:28" x14ac:dyDescent="0.25">
      <c r="A2560" t="s">
        <v>2564</v>
      </c>
      <c r="B2560">
        <v>0.99904790336628502</v>
      </c>
      <c r="C2560">
        <v>0.97946010106845205</v>
      </c>
      <c r="D2560">
        <v>0.90583901619993001</v>
      </c>
      <c r="E2560">
        <v>0.66011613533770397</v>
      </c>
      <c r="F2560">
        <v>0.47143616835132401</v>
      </c>
      <c r="G2560">
        <v>0.22471948982679099</v>
      </c>
      <c r="H2560">
        <v>0.13589664729074599</v>
      </c>
      <c r="I2560">
        <v>9.5367391935703996E-2</v>
      </c>
      <c r="J2560">
        <v>6.22443591451491E-2</v>
      </c>
      <c r="K2560">
        <v>7.6403978235521794E-2</v>
      </c>
      <c r="L2560">
        <v>852.15891083780298</v>
      </c>
      <c r="M2560">
        <v>16.384620816310299</v>
      </c>
      <c r="N2560">
        <v>52.363044182518699</v>
      </c>
      <c r="O2560">
        <v>51.253446009263001</v>
      </c>
      <c r="P2560">
        <v>-7.5742220948113101E-2</v>
      </c>
      <c r="Q2560">
        <v>5.2337544714336499E-2</v>
      </c>
      <c r="R2560">
        <v>0.99919290084067502</v>
      </c>
      <c r="S2560" t="s">
        <v>7300</v>
      </c>
      <c r="T2560" t="s">
        <v>9478</v>
      </c>
      <c r="U2560" t="s">
        <v>9478</v>
      </c>
      <c r="V2560" t="s">
        <v>9478</v>
      </c>
      <c r="W2560">
        <v>2</v>
      </c>
      <c r="X2560" t="s">
        <v>12038</v>
      </c>
      <c r="Y2560">
        <v>0.45014245596808938</v>
      </c>
      <c r="Z2560" t="str">
        <f>HYPERLINK("Melting_Curves/meltCurve_sp_Q8N490_4_PNKD_HUMAN_.pdf", "Melting_Curves/meltCurve_sp_Q8N490_4_PNKD_HUMAN_.pdf")</f>
        <v>Melting_Curves/meltCurve_sp_Q8N490_4_PNKD_HUMAN_.pdf</v>
      </c>
      <c r="AA2560" t="s">
        <v>16732</v>
      </c>
      <c r="AB2560" t="s">
        <v>21394</v>
      </c>
    </row>
    <row r="2561" spans="1:28" x14ac:dyDescent="0.25">
      <c r="A2561" t="s">
        <v>2565</v>
      </c>
      <c r="B2561">
        <v>0.99904790336628502</v>
      </c>
      <c r="C2561">
        <v>1.35366610882968</v>
      </c>
      <c r="D2561">
        <v>1.2975566024627501</v>
      </c>
      <c r="E2561">
        <v>1.1669260111561599</v>
      </c>
      <c r="F2561">
        <v>0.97155996224854302</v>
      </c>
      <c r="G2561">
        <v>0.780870556908146</v>
      </c>
      <c r="H2561">
        <v>0.64025647500009797</v>
      </c>
      <c r="I2561">
        <v>0.54574590204226903</v>
      </c>
      <c r="J2561">
        <v>0.79380910442548003</v>
      </c>
      <c r="K2561">
        <v>0.64286875626495099</v>
      </c>
      <c r="L2561">
        <v>3401.44729235049</v>
      </c>
      <c r="M2561">
        <v>60.263695896669802</v>
      </c>
      <c r="O2561">
        <v>56.380673969095803</v>
      </c>
      <c r="P2561">
        <v>-9.2172097590909094E-2</v>
      </c>
      <c r="Q2561">
        <v>0.65506776301432701</v>
      </c>
      <c r="R2561">
        <v>0.62544373057932801</v>
      </c>
      <c r="S2561" t="s">
        <v>7301</v>
      </c>
      <c r="T2561" t="s">
        <v>9478</v>
      </c>
      <c r="U2561" t="s">
        <v>9478</v>
      </c>
      <c r="V2561" t="s">
        <v>9478</v>
      </c>
      <c r="W2561">
        <v>3</v>
      </c>
      <c r="X2561" t="s">
        <v>12039</v>
      </c>
      <c r="Y2561">
        <v>0.8447119620295146</v>
      </c>
      <c r="Z2561" t="str">
        <f>HYPERLINK("Melting_Curves/meltCurve_sp_Q8N4C8_4_MINK1_HUMAN_.pdf", "Melting_Curves/meltCurve_sp_Q8N4C8_4_MINK1_HUMAN_.pdf")</f>
        <v>Melting_Curves/meltCurve_sp_Q8N4C8_4_MINK1_HUMAN_.pdf</v>
      </c>
      <c r="AA2561" t="s">
        <v>16733</v>
      </c>
      <c r="AB2561" t="s">
        <v>21395</v>
      </c>
    </row>
    <row r="2562" spans="1:28" x14ac:dyDescent="0.25">
      <c r="A2562" t="s">
        <v>2566</v>
      </c>
      <c r="B2562">
        <v>0.99904790336628502</v>
      </c>
      <c r="C2562">
        <v>0.92519431478168501</v>
      </c>
      <c r="D2562">
        <v>1.0188876533165401</v>
      </c>
      <c r="E2562">
        <v>0.93789796671131298</v>
      </c>
      <c r="F2562">
        <v>0.45693457047859298</v>
      </c>
      <c r="G2562">
        <v>0.26285485515215001</v>
      </c>
      <c r="H2562">
        <v>0.128738747138887</v>
      </c>
      <c r="I2562">
        <v>8.2367742159912799E-2</v>
      </c>
      <c r="J2562">
        <v>4.3224295410622698E-2</v>
      </c>
      <c r="K2562">
        <v>3.3171604511822397E-2</v>
      </c>
      <c r="L2562">
        <v>1532.86198196391</v>
      </c>
      <c r="M2562">
        <v>28.9393005398871</v>
      </c>
      <c r="N2562">
        <v>53.270768273927899</v>
      </c>
      <c r="O2562">
        <v>52.717203855638999</v>
      </c>
      <c r="P2562">
        <v>-0.126837922237024</v>
      </c>
      <c r="Q2562">
        <v>7.5791358038691303E-2</v>
      </c>
      <c r="R2562">
        <v>0.98266216034227805</v>
      </c>
      <c r="S2562" t="s">
        <v>7302</v>
      </c>
      <c r="T2562" t="s">
        <v>9478</v>
      </c>
      <c r="U2562" t="s">
        <v>9478</v>
      </c>
      <c r="V2562" t="s">
        <v>9478</v>
      </c>
      <c r="W2562">
        <v>2</v>
      </c>
      <c r="X2562" t="s">
        <v>12040</v>
      </c>
      <c r="Y2562">
        <v>0.48172874840268121</v>
      </c>
      <c r="Z2562" t="str">
        <f>HYPERLINK("Melting_Curves/meltCurve_sp_Q8N4J0_CI041_HUMAN_.pdf", "Melting_Curves/meltCurve_sp_Q8N4J0_CI041_HUMAN_.pdf")</f>
        <v>Melting_Curves/meltCurve_sp_Q8N4J0_CI041_HUMAN_.pdf</v>
      </c>
      <c r="AA2562" t="s">
        <v>16734</v>
      </c>
      <c r="AB2562" t="s">
        <v>21396</v>
      </c>
    </row>
    <row r="2563" spans="1:28" x14ac:dyDescent="0.25">
      <c r="A2563" t="s">
        <v>2567</v>
      </c>
      <c r="B2563">
        <v>0.99904790336628502</v>
      </c>
      <c r="C2563">
        <v>0.84277637493070601</v>
      </c>
      <c r="D2563">
        <v>0.82339794247725895</v>
      </c>
      <c r="E2563">
        <v>0.79956555126856599</v>
      </c>
      <c r="F2563">
        <v>0.69701989867565195</v>
      </c>
      <c r="G2563">
        <v>0.402432691224413</v>
      </c>
      <c r="H2563">
        <v>0.22298880798472101</v>
      </c>
      <c r="I2563">
        <v>0.124674676607245</v>
      </c>
      <c r="J2563">
        <v>9.9650860308454603E-2</v>
      </c>
      <c r="K2563">
        <v>9.4411705510447294E-2</v>
      </c>
      <c r="L2563">
        <v>646.59461944748398</v>
      </c>
      <c r="M2563">
        <v>11.7121259985317</v>
      </c>
      <c r="N2563">
        <v>55.207280000909002</v>
      </c>
      <c r="O2563">
        <v>53.6715377199152</v>
      </c>
      <c r="P2563">
        <v>-5.45690895620385E-2</v>
      </c>
      <c r="Q2563">
        <v>0</v>
      </c>
      <c r="R2563">
        <v>0.97135213269723697</v>
      </c>
      <c r="S2563" t="s">
        <v>7303</v>
      </c>
      <c r="T2563" t="s">
        <v>9478</v>
      </c>
      <c r="U2563" t="s">
        <v>9478</v>
      </c>
      <c r="V2563" t="s">
        <v>9478</v>
      </c>
      <c r="W2563">
        <v>7</v>
      </c>
      <c r="X2563" t="s">
        <v>12041</v>
      </c>
      <c r="Y2563">
        <v>0.53010342164139501</v>
      </c>
      <c r="Z2563" t="str">
        <f>HYPERLINK("Melting_Curves/meltCurve_sp_Q8N4P3_MESH1_HUMAN_.pdf", "Melting_Curves/meltCurve_sp_Q8N4P3_MESH1_HUMAN_.pdf")</f>
        <v>Melting_Curves/meltCurve_sp_Q8N4P3_MESH1_HUMAN_.pdf</v>
      </c>
      <c r="AA2563" t="s">
        <v>16735</v>
      </c>
      <c r="AB2563" t="s">
        <v>21397</v>
      </c>
    </row>
    <row r="2564" spans="1:28" x14ac:dyDescent="0.25">
      <c r="A2564" t="s">
        <v>2568</v>
      </c>
      <c r="B2564">
        <v>0.99904790336628502</v>
      </c>
      <c r="C2564">
        <v>0.946254013272812</v>
      </c>
      <c r="D2564">
        <v>0.79755967797712402</v>
      </c>
      <c r="E2564">
        <v>0.44741515152525602</v>
      </c>
      <c r="F2564">
        <v>0.22882489699214201</v>
      </c>
      <c r="G2564">
        <v>0.140231659048864</v>
      </c>
      <c r="H2564">
        <v>8.7486630672045707E-2</v>
      </c>
      <c r="I2564">
        <v>6.67216497480142E-2</v>
      </c>
      <c r="J2564">
        <v>4.5884638141644403E-2</v>
      </c>
      <c r="K2564">
        <v>3.0355349456002999E-2</v>
      </c>
      <c r="L2564">
        <v>925.21750560640703</v>
      </c>
      <c r="M2564">
        <v>18.8227901578868</v>
      </c>
      <c r="N2564">
        <v>49.425673841332603</v>
      </c>
      <c r="O2564">
        <v>48.609385831906003</v>
      </c>
      <c r="P2564">
        <v>-9.2054488277567195E-2</v>
      </c>
      <c r="Q2564">
        <v>4.9125694771392697E-2</v>
      </c>
      <c r="R2564">
        <v>0.99870528965260597</v>
      </c>
      <c r="S2564" t="s">
        <v>7304</v>
      </c>
      <c r="T2564" t="s">
        <v>9478</v>
      </c>
      <c r="U2564" t="s">
        <v>9478</v>
      </c>
      <c r="V2564" t="s">
        <v>9478</v>
      </c>
      <c r="W2564">
        <v>11</v>
      </c>
      <c r="X2564" t="s">
        <v>12042</v>
      </c>
      <c r="Y2564">
        <v>0.35429907348161738</v>
      </c>
      <c r="Z2564" t="str">
        <f>HYPERLINK("Melting_Curves/meltCurve_sp_Q8N4Q0_ZADH2_HUMAN_.pdf", "Melting_Curves/meltCurve_sp_Q8N4Q0_ZADH2_HUMAN_.pdf")</f>
        <v>Melting_Curves/meltCurve_sp_Q8N4Q0_ZADH2_HUMAN_.pdf</v>
      </c>
      <c r="AA2564" t="s">
        <v>16736</v>
      </c>
      <c r="AB2564" t="s">
        <v>21398</v>
      </c>
    </row>
    <row r="2565" spans="1:28" x14ac:dyDescent="0.25">
      <c r="A2565" t="s">
        <v>2569</v>
      </c>
      <c r="B2565">
        <v>0.99904790336628502</v>
      </c>
      <c r="C2565">
        <v>1.03965254308874</v>
      </c>
      <c r="D2565">
        <v>1.0701856097946501</v>
      </c>
      <c r="E2565">
        <v>1.0794361528007801</v>
      </c>
      <c r="F2565">
        <v>0.88637636076342297</v>
      </c>
      <c r="G2565">
        <v>0.77600619351920397</v>
      </c>
      <c r="H2565">
        <v>0.77145774956768398</v>
      </c>
      <c r="I2565">
        <v>0.66954452639145701</v>
      </c>
      <c r="J2565">
        <v>0.68410338773536306</v>
      </c>
      <c r="K2565">
        <v>0.68986229959786904</v>
      </c>
      <c r="L2565">
        <v>1649.6031351960301</v>
      </c>
      <c r="M2565">
        <v>30.017393366820102</v>
      </c>
      <c r="O2565">
        <v>54.7127381067763</v>
      </c>
      <c r="P2565">
        <v>-4.1544135786425698E-2</v>
      </c>
      <c r="Q2565">
        <v>0.69711178814524799</v>
      </c>
      <c r="R2565">
        <v>0.91456795280700798</v>
      </c>
      <c r="S2565" t="s">
        <v>7305</v>
      </c>
      <c r="T2565" t="s">
        <v>9478</v>
      </c>
      <c r="U2565" t="s">
        <v>9478</v>
      </c>
      <c r="V2565" t="s">
        <v>9478</v>
      </c>
      <c r="W2565">
        <v>4</v>
      </c>
      <c r="X2565" t="s">
        <v>12043</v>
      </c>
      <c r="Y2565">
        <v>0.85010688414473945</v>
      </c>
      <c r="Z2565" t="str">
        <f>HYPERLINK("Melting_Curves/meltCurve_sp_Q8N4Q1_MIA40_HUMAN_.pdf", "Melting_Curves/meltCurve_sp_Q8N4Q1_MIA40_HUMAN_.pdf")</f>
        <v>Melting_Curves/meltCurve_sp_Q8N4Q1_MIA40_HUMAN_.pdf</v>
      </c>
      <c r="AA2565" t="s">
        <v>16737</v>
      </c>
      <c r="AB2565" t="s">
        <v>21399</v>
      </c>
    </row>
    <row r="2566" spans="1:28" x14ac:dyDescent="0.25">
      <c r="A2566" t="s">
        <v>2570</v>
      </c>
      <c r="B2566">
        <v>0.99904790336628502</v>
      </c>
      <c r="C2566">
        <v>1.0192588990810401</v>
      </c>
      <c r="D2566">
        <v>1.0264790946136999</v>
      </c>
      <c r="E2566">
        <v>1.01675932345426</v>
      </c>
      <c r="F2566">
        <v>0.98503573288852198</v>
      </c>
      <c r="G2566">
        <v>0.84595974226998305</v>
      </c>
      <c r="H2566">
        <v>0.67982560045314999</v>
      </c>
      <c r="I2566">
        <v>0.67250712216112096</v>
      </c>
      <c r="J2566">
        <v>0.55354103980469405</v>
      </c>
      <c r="K2566">
        <v>0.28549333990218401</v>
      </c>
      <c r="L2566">
        <v>797.98439440109303</v>
      </c>
      <c r="M2566">
        <v>11.988061414332201</v>
      </c>
      <c r="N2566">
        <v>66.564937122232806</v>
      </c>
      <c r="O2566">
        <v>64.793812959035094</v>
      </c>
      <c r="P2566">
        <v>-4.6265846949678197E-2</v>
      </c>
      <c r="Q2566">
        <v>0</v>
      </c>
      <c r="R2566">
        <v>0.96013301096359205</v>
      </c>
      <c r="S2566" t="s">
        <v>7306</v>
      </c>
      <c r="T2566" t="s">
        <v>9478</v>
      </c>
      <c r="U2566" t="s">
        <v>9478</v>
      </c>
      <c r="V2566" t="s">
        <v>9478</v>
      </c>
      <c r="W2566">
        <v>13</v>
      </c>
      <c r="X2566" t="s">
        <v>12044</v>
      </c>
      <c r="Y2566">
        <v>0.82620522250717809</v>
      </c>
      <c r="Z2566" t="str">
        <f>HYPERLINK("Melting_Curves/meltCurve_sp_Q8N4T8_CBR4_HUMAN_.pdf", "Melting_Curves/meltCurve_sp_Q8N4T8_CBR4_HUMAN_.pdf")</f>
        <v>Melting_Curves/meltCurve_sp_Q8N4T8_CBR4_HUMAN_.pdf</v>
      </c>
      <c r="AA2566" t="s">
        <v>16738</v>
      </c>
      <c r="AB2566" t="s">
        <v>21400</v>
      </c>
    </row>
    <row r="2567" spans="1:28" x14ac:dyDescent="0.25">
      <c r="A2567" t="s">
        <v>2571</v>
      </c>
      <c r="B2567">
        <v>0.99904790336628502</v>
      </c>
      <c r="C2567">
        <v>0.967832545409538</v>
      </c>
      <c r="D2567">
        <v>0.94289880038352802</v>
      </c>
      <c r="E2567">
        <v>0.894327559787647</v>
      </c>
      <c r="F2567">
        <v>0.87175672985772301</v>
      </c>
      <c r="G2567">
        <v>0.56990060904317197</v>
      </c>
      <c r="H2567">
        <v>0.37284327488801899</v>
      </c>
      <c r="I2567">
        <v>0.266206715498635</v>
      </c>
      <c r="J2567">
        <v>0.24178751630162801</v>
      </c>
      <c r="K2567">
        <v>0.21216922779321601</v>
      </c>
      <c r="L2567">
        <v>1016.84894281121</v>
      </c>
      <c r="M2567">
        <v>17.8721657393897</v>
      </c>
      <c r="N2567">
        <v>58.363353071171503</v>
      </c>
      <c r="O2567">
        <v>56.197674243980998</v>
      </c>
      <c r="P2567">
        <v>-6.5118058352434394E-2</v>
      </c>
      <c r="Q2567">
        <v>0.181005967643452</v>
      </c>
      <c r="R2567">
        <v>0.99282541835898797</v>
      </c>
      <c r="S2567" t="s">
        <v>7307</v>
      </c>
      <c r="T2567" t="s">
        <v>9478</v>
      </c>
      <c r="U2567" t="s">
        <v>9478</v>
      </c>
      <c r="V2567" t="s">
        <v>9478</v>
      </c>
      <c r="W2567">
        <v>19</v>
      </c>
      <c r="X2567" t="s">
        <v>12045</v>
      </c>
      <c r="Y2567">
        <v>0.65367187178686847</v>
      </c>
      <c r="Z2567" t="str">
        <f>HYPERLINK("Melting_Curves/meltCurve_sp_Q8N573_8_OXR1_HUMAN_.pdf", "Melting_Curves/meltCurve_sp_Q8N573_8_OXR1_HUMAN_.pdf")</f>
        <v>Melting_Curves/meltCurve_sp_Q8N573_8_OXR1_HUMAN_.pdf</v>
      </c>
      <c r="AA2567" t="s">
        <v>16739</v>
      </c>
      <c r="AB2567" t="s">
        <v>21401</v>
      </c>
    </row>
    <row r="2568" spans="1:28" x14ac:dyDescent="0.25">
      <c r="A2568" t="s">
        <v>2572</v>
      </c>
      <c r="B2568">
        <v>0.99904790336628502</v>
      </c>
      <c r="C2568">
        <v>0.96612613974191797</v>
      </c>
      <c r="D2568">
        <v>0.96622149767888998</v>
      </c>
      <c r="E2568">
        <v>0.90500904799055104</v>
      </c>
      <c r="F2568">
        <v>0.82626220318426302</v>
      </c>
      <c r="G2568">
        <v>0.59685057489709104</v>
      </c>
      <c r="H2568">
        <v>0.34160802091610798</v>
      </c>
      <c r="I2568">
        <v>0.131818404161923</v>
      </c>
      <c r="J2568">
        <v>7.3778484712894304E-2</v>
      </c>
      <c r="K2568">
        <v>6.0316455578427901E-2</v>
      </c>
      <c r="L2568">
        <v>978.36677209374398</v>
      </c>
      <c r="M2568">
        <v>16.842837356222301</v>
      </c>
      <c r="N2568">
        <v>58.088002824922398</v>
      </c>
      <c r="O2568">
        <v>57.287683664411801</v>
      </c>
      <c r="P2568">
        <v>-7.3505838881019803E-2</v>
      </c>
      <c r="Q2568">
        <v>0</v>
      </c>
      <c r="R2568">
        <v>0.99554921665071505</v>
      </c>
      <c r="S2568" t="s">
        <v>7308</v>
      </c>
      <c r="T2568" t="s">
        <v>9478</v>
      </c>
      <c r="U2568" t="s">
        <v>9478</v>
      </c>
      <c r="V2568" t="s">
        <v>9478</v>
      </c>
      <c r="W2568">
        <v>7</v>
      </c>
      <c r="X2568" t="s">
        <v>12046</v>
      </c>
      <c r="Y2568">
        <v>0.61565068990741023</v>
      </c>
      <c r="Z2568" t="str">
        <f>HYPERLINK("Melting_Curves/meltCurve_sp_Q8N584_TT39C_HUMAN_.pdf", "Melting_Curves/meltCurve_sp_Q8N584_TT39C_HUMAN_.pdf")</f>
        <v>Melting_Curves/meltCurve_sp_Q8N584_TT39C_HUMAN_.pdf</v>
      </c>
      <c r="AA2568" t="s">
        <v>16740</v>
      </c>
      <c r="AB2568" t="s">
        <v>21402</v>
      </c>
    </row>
    <row r="2569" spans="1:28" x14ac:dyDescent="0.25">
      <c r="A2569" t="s">
        <v>2573</v>
      </c>
      <c r="B2569">
        <v>0.99904790336628502</v>
      </c>
      <c r="C2569">
        <v>1.14073793113203</v>
      </c>
      <c r="D2569">
        <v>0.994110958569833</v>
      </c>
      <c r="E2569">
        <v>0.86970249625705098</v>
      </c>
      <c r="F2569">
        <v>1.5377171688564599</v>
      </c>
      <c r="G2569">
        <v>0.54988609645069197</v>
      </c>
      <c r="H2569">
        <v>0.51474833249241403</v>
      </c>
      <c r="I2569">
        <v>0.84508341648886498</v>
      </c>
      <c r="J2569">
        <v>0.99571706875334398</v>
      </c>
      <c r="K2569">
        <v>0.84754535815710996</v>
      </c>
      <c r="L2569">
        <v>2008.46089675855</v>
      </c>
      <c r="M2569">
        <v>36.090433866685899</v>
      </c>
      <c r="O2569">
        <v>55.480750485438698</v>
      </c>
      <c r="P2569">
        <v>-3.7608356764359703E-2</v>
      </c>
      <c r="Q2569">
        <v>0.76874388900306101</v>
      </c>
      <c r="R2569">
        <v>0.24306563708541401</v>
      </c>
      <c r="S2569" t="s">
        <v>7309</v>
      </c>
      <c r="T2569" t="s">
        <v>9478</v>
      </c>
      <c r="U2569" t="s">
        <v>9478</v>
      </c>
      <c r="V2569" t="s">
        <v>9478</v>
      </c>
      <c r="W2569">
        <v>2</v>
      </c>
      <c r="X2569" t="s">
        <v>12047</v>
      </c>
      <c r="Y2569">
        <v>0.89047142214861352</v>
      </c>
      <c r="Z2569" t="str">
        <f>HYPERLINK("Melting_Curves/meltCurve_sp_Q8N5A5_3_ZGPAT_HUMAN_.pdf", "Melting_Curves/meltCurve_sp_Q8N5A5_3_ZGPAT_HUMAN_.pdf")</f>
        <v>Melting_Curves/meltCurve_sp_Q8N5A5_3_ZGPAT_HUMAN_.pdf</v>
      </c>
      <c r="AA2569" t="s">
        <v>16741</v>
      </c>
      <c r="AB2569" t="s">
        <v>21403</v>
      </c>
    </row>
    <row r="2570" spans="1:28" x14ac:dyDescent="0.25">
      <c r="A2570" t="s">
        <v>2574</v>
      </c>
      <c r="B2570">
        <v>0.99904790336628502</v>
      </c>
      <c r="C2570">
        <v>0.92617052574441805</v>
      </c>
      <c r="D2570">
        <v>0.94733781211517998</v>
      </c>
      <c r="E2570">
        <v>0.93348119401449703</v>
      </c>
      <c r="F2570">
        <v>0.90633077543332796</v>
      </c>
      <c r="G2570">
        <v>0.62125519067424295</v>
      </c>
      <c r="H2570">
        <v>0.56116776318027894</v>
      </c>
      <c r="I2570">
        <v>0.52848814171768899</v>
      </c>
      <c r="J2570">
        <v>0.59474761816349397</v>
      </c>
      <c r="K2570">
        <v>0.56219188874937298</v>
      </c>
      <c r="L2570">
        <v>2088.0396052811502</v>
      </c>
      <c r="M2570">
        <v>38.280545563184603</v>
      </c>
      <c r="O2570">
        <v>54.397502551905298</v>
      </c>
      <c r="P2570">
        <v>-7.7739480963311403E-2</v>
      </c>
      <c r="Q2570">
        <v>0.55812305087401903</v>
      </c>
      <c r="R2570">
        <v>0.96100757611702603</v>
      </c>
      <c r="S2570" t="s">
        <v>7310</v>
      </c>
      <c r="T2570" t="s">
        <v>9478</v>
      </c>
      <c r="U2570" t="s">
        <v>9478</v>
      </c>
      <c r="V2570" t="s">
        <v>9478</v>
      </c>
      <c r="W2570">
        <v>7</v>
      </c>
      <c r="X2570" t="s">
        <v>12048</v>
      </c>
      <c r="Y2570">
        <v>0.77418336268384036</v>
      </c>
      <c r="Z2570" t="str">
        <f>HYPERLINK("Melting_Curves/meltCurve_sp_Q8N5G2_MACOI_HUMAN_.pdf", "Melting_Curves/meltCurve_sp_Q8N5G2_MACOI_HUMAN_.pdf")</f>
        <v>Melting_Curves/meltCurve_sp_Q8N5G2_MACOI_HUMAN_.pdf</v>
      </c>
      <c r="AA2570" t="s">
        <v>16742</v>
      </c>
      <c r="AB2570" t="s">
        <v>21404</v>
      </c>
    </row>
    <row r="2571" spans="1:28" x14ac:dyDescent="0.25">
      <c r="A2571" t="s">
        <v>2575</v>
      </c>
      <c r="B2571">
        <v>0.99904790336628502</v>
      </c>
      <c r="C2571">
        <v>0.70205453884371605</v>
      </c>
      <c r="D2571">
        <v>0.62116258378488098</v>
      </c>
      <c r="E2571">
        <v>0.52977948045665701</v>
      </c>
      <c r="F2571">
        <v>0.44571179468315197</v>
      </c>
      <c r="G2571">
        <v>0.27505203817412499</v>
      </c>
      <c r="H2571">
        <v>0.22173409906150501</v>
      </c>
      <c r="I2571">
        <v>0.23453631783568399</v>
      </c>
      <c r="J2571">
        <v>0.31694709661326298</v>
      </c>
      <c r="K2571">
        <v>0.22551922497723001</v>
      </c>
      <c r="L2571">
        <v>502.24936582988499</v>
      </c>
      <c r="M2571">
        <v>10.696407736771899</v>
      </c>
      <c r="N2571">
        <v>49.5402881464749</v>
      </c>
      <c r="O2571">
        <v>45.403024935992903</v>
      </c>
      <c r="P2571">
        <v>-4.6317297469089198E-2</v>
      </c>
      <c r="Q2571">
        <v>0.21388354302068699</v>
      </c>
      <c r="R2571">
        <v>0.94117900296105295</v>
      </c>
      <c r="S2571" t="s">
        <v>7311</v>
      </c>
      <c r="T2571" t="s">
        <v>9478</v>
      </c>
      <c r="U2571" t="s">
        <v>9478</v>
      </c>
      <c r="V2571" t="s">
        <v>9478</v>
      </c>
      <c r="W2571">
        <v>1</v>
      </c>
      <c r="X2571" t="s">
        <v>12049</v>
      </c>
      <c r="Y2571">
        <v>0.43669091598532628</v>
      </c>
      <c r="Z2571" t="str">
        <f>HYPERLINK("Melting_Curves/meltCurve_sp_Q8N5I9_CL045_HUMAN_.pdf", "Melting_Curves/meltCurve_sp_Q8N5I9_CL045_HUMAN_.pdf")</f>
        <v>Melting_Curves/meltCurve_sp_Q8N5I9_CL045_HUMAN_.pdf</v>
      </c>
      <c r="AA2571" t="s">
        <v>16743</v>
      </c>
      <c r="AB2571" t="s">
        <v>21405</v>
      </c>
    </row>
    <row r="2572" spans="1:28" x14ac:dyDescent="0.25">
      <c r="A2572" t="s">
        <v>2576</v>
      </c>
      <c r="B2572">
        <v>0.99904790336628502</v>
      </c>
      <c r="C2572">
        <v>1.0208721562466001</v>
      </c>
      <c r="D2572">
        <v>0.95598989887991104</v>
      </c>
      <c r="E2572">
        <v>0.72688444004874198</v>
      </c>
      <c r="F2572">
        <v>0.34946386081318198</v>
      </c>
      <c r="G2572">
        <v>0.20884940459484899</v>
      </c>
      <c r="H2572">
        <v>0.15756812699592601</v>
      </c>
      <c r="I2572">
        <v>0.162005340724589</v>
      </c>
      <c r="J2572">
        <v>0.156795966857421</v>
      </c>
      <c r="K2572">
        <v>0.11432971062868399</v>
      </c>
      <c r="L2572">
        <v>1570.0780330688899</v>
      </c>
      <c r="M2572">
        <v>30.707961352004901</v>
      </c>
      <c r="N2572">
        <v>51.727556625195596</v>
      </c>
      <c r="O2572">
        <v>50.913985322936099</v>
      </c>
      <c r="P2572">
        <v>-0.12824837037128201</v>
      </c>
      <c r="Q2572">
        <v>0.149458778072388</v>
      </c>
      <c r="R2572">
        <v>0.99768608408123005</v>
      </c>
      <c r="S2572" t="s">
        <v>7312</v>
      </c>
      <c r="T2572" t="s">
        <v>9478</v>
      </c>
      <c r="U2572" t="s">
        <v>9478</v>
      </c>
      <c r="V2572" t="s">
        <v>9478</v>
      </c>
      <c r="W2572">
        <v>4</v>
      </c>
      <c r="X2572" t="s">
        <v>12050</v>
      </c>
      <c r="Y2572">
        <v>0.4701056800772318</v>
      </c>
      <c r="Z2572" t="str">
        <f>HYPERLINK("Melting_Curves/meltCurve_sp_Q8N5J2_FA63A_HUMAN_.pdf", "Melting_Curves/meltCurve_sp_Q8N5J2_FA63A_HUMAN_.pdf")</f>
        <v>Melting_Curves/meltCurve_sp_Q8N5J2_FA63A_HUMAN_.pdf</v>
      </c>
      <c r="AA2572" t="s">
        <v>16744</v>
      </c>
      <c r="AB2572" t="s">
        <v>21406</v>
      </c>
    </row>
    <row r="2573" spans="1:28" x14ac:dyDescent="0.25">
      <c r="A2573" t="s">
        <v>2577</v>
      </c>
      <c r="B2573">
        <v>0.99904790336628502</v>
      </c>
      <c r="C2573">
        <v>1.15547650068983</v>
      </c>
      <c r="D2573">
        <v>0.94720424195634401</v>
      </c>
      <c r="E2573">
        <v>0.491755337898164</v>
      </c>
      <c r="F2573">
        <v>0.299661376661983</v>
      </c>
      <c r="G2573">
        <v>0.14657866477853901</v>
      </c>
      <c r="H2573">
        <v>9.5531793516917193E-2</v>
      </c>
      <c r="I2573">
        <v>6.2848861367849396E-2</v>
      </c>
      <c r="J2573">
        <v>5.4517035116125802E-2</v>
      </c>
      <c r="K2573">
        <v>1.9359653034274098E-2</v>
      </c>
      <c r="L2573">
        <v>1273.65095209377</v>
      </c>
      <c r="M2573">
        <v>25.4091642914948</v>
      </c>
      <c r="N2573">
        <v>50.409727237272797</v>
      </c>
      <c r="O2573">
        <v>49.818264900349597</v>
      </c>
      <c r="P2573">
        <v>-0.119005332725736</v>
      </c>
      <c r="Q2573">
        <v>6.6704504510001206E-2</v>
      </c>
      <c r="R2573">
        <v>0.978003722118445</v>
      </c>
      <c r="S2573" t="s">
        <v>7313</v>
      </c>
      <c r="T2573" t="s">
        <v>9478</v>
      </c>
      <c r="U2573" t="s">
        <v>9478</v>
      </c>
      <c r="V2573" t="s">
        <v>9478</v>
      </c>
      <c r="W2573">
        <v>2</v>
      </c>
      <c r="X2573" t="s">
        <v>12051</v>
      </c>
      <c r="Y2573">
        <v>0.38979668133747258</v>
      </c>
      <c r="Z2573" t="str">
        <f>HYPERLINK("Melting_Curves/meltCurve_sp_Q8N5K1_CISD2_HUMAN_.pdf", "Melting_Curves/meltCurve_sp_Q8N5K1_CISD2_HUMAN_.pdf")</f>
        <v>Melting_Curves/meltCurve_sp_Q8N5K1_CISD2_HUMAN_.pdf</v>
      </c>
      <c r="AA2573" t="s">
        <v>16745</v>
      </c>
      <c r="AB2573" t="s">
        <v>21407</v>
      </c>
    </row>
    <row r="2574" spans="1:28" x14ac:dyDescent="0.25">
      <c r="A2574" t="s">
        <v>2578</v>
      </c>
      <c r="B2574">
        <v>0.99904790336628502</v>
      </c>
      <c r="C2574">
        <v>0.97591145095471499</v>
      </c>
      <c r="D2574">
        <v>0.89016462121465201</v>
      </c>
      <c r="E2574">
        <v>0.82409088829265897</v>
      </c>
      <c r="F2574">
        <v>0.70437211729305305</v>
      </c>
      <c r="G2574">
        <v>0.41588746282813299</v>
      </c>
      <c r="H2574">
        <v>0.36685964931679999</v>
      </c>
      <c r="I2574">
        <v>0.230754144221931</v>
      </c>
      <c r="J2574">
        <v>0.23741501247203001</v>
      </c>
      <c r="K2574">
        <v>0.17598325313230601</v>
      </c>
      <c r="L2574">
        <v>698.18973224590195</v>
      </c>
      <c r="M2574">
        <v>12.696361973296</v>
      </c>
      <c r="N2574">
        <v>56.366834904534699</v>
      </c>
      <c r="O2574">
        <v>53.680651907955898</v>
      </c>
      <c r="P2574">
        <v>-5.1262267245354501E-2</v>
      </c>
      <c r="Q2574">
        <v>0.13321378081183</v>
      </c>
      <c r="R2574">
        <v>0.99027232434944601</v>
      </c>
      <c r="S2574" t="s">
        <v>7314</v>
      </c>
      <c r="T2574" t="s">
        <v>9478</v>
      </c>
      <c r="U2574" t="s">
        <v>9478</v>
      </c>
      <c r="V2574" t="s">
        <v>9478</v>
      </c>
      <c r="W2574">
        <v>4</v>
      </c>
      <c r="X2574" t="s">
        <v>12052</v>
      </c>
      <c r="Y2574">
        <v>0.58587357216443725</v>
      </c>
      <c r="Z2574" t="str">
        <f>HYPERLINK("Melting_Curves/meltCurve_sp_Q8N5L8_RP25L_HUMAN_.pdf", "Melting_Curves/meltCurve_sp_Q8N5L8_RP25L_HUMAN_.pdf")</f>
        <v>Melting_Curves/meltCurve_sp_Q8N5L8_RP25L_HUMAN_.pdf</v>
      </c>
      <c r="AA2574" t="s">
        <v>16746</v>
      </c>
      <c r="AB2574" t="s">
        <v>21408</v>
      </c>
    </row>
    <row r="2575" spans="1:28" x14ac:dyDescent="0.25">
      <c r="A2575" t="s">
        <v>2579</v>
      </c>
      <c r="B2575">
        <v>0.99904790336628502</v>
      </c>
      <c r="C2575">
        <v>1.0386157965628</v>
      </c>
      <c r="D2575">
        <v>1.02318838757145</v>
      </c>
      <c r="E2575">
        <v>1.0263401794411</v>
      </c>
      <c r="F2575">
        <v>0.99584738174994702</v>
      </c>
      <c r="G2575">
        <v>0.811227673892843</v>
      </c>
      <c r="H2575">
        <v>0.446795647591062</v>
      </c>
      <c r="I2575">
        <v>0.17193318018265499</v>
      </c>
      <c r="J2575">
        <v>3.10270092532106E-2</v>
      </c>
      <c r="K2575">
        <v>2.8409109507410799E-2</v>
      </c>
      <c r="L2575">
        <v>1658.8427504034</v>
      </c>
      <c r="M2575">
        <v>27.483383981935798</v>
      </c>
      <c r="N2575">
        <v>60.358024004331703</v>
      </c>
      <c r="O2575">
        <v>60.041182548044297</v>
      </c>
      <c r="P2575">
        <v>-0.114436612294531</v>
      </c>
      <c r="Q2575">
        <v>0</v>
      </c>
      <c r="R2575">
        <v>0.99707096141215601</v>
      </c>
      <c r="S2575" t="s">
        <v>7315</v>
      </c>
      <c r="T2575" t="s">
        <v>9478</v>
      </c>
      <c r="U2575" t="s">
        <v>9478</v>
      </c>
      <c r="V2575" t="s">
        <v>9478</v>
      </c>
      <c r="W2575">
        <v>9</v>
      </c>
      <c r="X2575" t="s">
        <v>12053</v>
      </c>
      <c r="Y2575">
        <v>0.68510520306816625</v>
      </c>
      <c r="Z2575" t="str">
        <f>HYPERLINK("Melting_Curves/meltCurve_sp_Q8N5M1_ATPF2_HUMAN_.pdf", "Melting_Curves/meltCurve_sp_Q8N5M1_ATPF2_HUMAN_.pdf")</f>
        <v>Melting_Curves/meltCurve_sp_Q8N5M1_ATPF2_HUMAN_.pdf</v>
      </c>
      <c r="AA2575" t="s">
        <v>16747</v>
      </c>
      <c r="AB2575" t="s">
        <v>21409</v>
      </c>
    </row>
    <row r="2576" spans="1:28" x14ac:dyDescent="0.25">
      <c r="A2576" t="s">
        <v>2580</v>
      </c>
      <c r="B2576">
        <v>0.99904790336628502</v>
      </c>
      <c r="C2576">
        <v>0.94824680741552803</v>
      </c>
      <c r="D2576">
        <v>0.94762182647724202</v>
      </c>
      <c r="E2576">
        <v>0.77669750330849496</v>
      </c>
      <c r="F2576">
        <v>0.74568767617778198</v>
      </c>
      <c r="G2576">
        <v>0.490198808083187</v>
      </c>
      <c r="H2576">
        <v>0.60875622070415303</v>
      </c>
      <c r="I2576">
        <v>0.35899702166787401</v>
      </c>
      <c r="J2576">
        <v>0.47393365955384398</v>
      </c>
      <c r="K2576">
        <v>0.25824248110147502</v>
      </c>
      <c r="L2576">
        <v>475.34028436975302</v>
      </c>
      <c r="M2576">
        <v>8.3382986594042006</v>
      </c>
      <c r="N2576">
        <v>60.530349222553902</v>
      </c>
      <c r="O2576">
        <v>54.010577876247403</v>
      </c>
      <c r="P2576">
        <v>-3.12052159989319E-2</v>
      </c>
      <c r="Q2576">
        <v>0.19226645382965701</v>
      </c>
      <c r="R2576">
        <v>0.91936170579141796</v>
      </c>
      <c r="S2576" t="s">
        <v>7316</v>
      </c>
      <c r="T2576" t="s">
        <v>9478</v>
      </c>
      <c r="U2576" t="s">
        <v>9478</v>
      </c>
      <c r="V2576" t="s">
        <v>9478</v>
      </c>
      <c r="W2576">
        <v>2</v>
      </c>
      <c r="X2576" t="s">
        <v>12054</v>
      </c>
      <c r="Y2576">
        <v>0.66054509530927463</v>
      </c>
      <c r="Z2576" t="str">
        <f>HYPERLINK("Melting_Curves/meltCurve_sp_Q8N5N7_RM50_HUMAN_.pdf", "Melting_Curves/meltCurve_sp_Q8N5N7_RM50_HUMAN_.pdf")</f>
        <v>Melting_Curves/meltCurve_sp_Q8N5N7_RM50_HUMAN_.pdf</v>
      </c>
      <c r="AA2576" t="s">
        <v>16748</v>
      </c>
      <c r="AB2576" t="s">
        <v>21410</v>
      </c>
    </row>
    <row r="2577" spans="1:28" x14ac:dyDescent="0.25">
      <c r="A2577" t="s">
        <v>2581</v>
      </c>
      <c r="B2577">
        <v>0.99904790336628502</v>
      </c>
      <c r="C2577">
        <v>0.98132669964710295</v>
      </c>
      <c r="D2577">
        <v>1.00394551232928</v>
      </c>
      <c r="E2577">
        <v>0.91924715498408205</v>
      </c>
      <c r="F2577">
        <v>0.94953816325983798</v>
      </c>
      <c r="G2577">
        <v>1.04410733425447</v>
      </c>
      <c r="H2577">
        <v>0.735261233611194</v>
      </c>
      <c r="I2577">
        <v>0.69429924105235497</v>
      </c>
      <c r="J2577">
        <v>0.33345345998760201</v>
      </c>
      <c r="K2577">
        <v>0.12670025281686401</v>
      </c>
      <c r="L2577">
        <v>1581.7124428898501</v>
      </c>
      <c r="M2577">
        <v>24.2532271596213</v>
      </c>
      <c r="N2577">
        <v>65.216576149206901</v>
      </c>
      <c r="O2577">
        <v>64.778052891814099</v>
      </c>
      <c r="P2577">
        <v>-9.3602670422008497E-2</v>
      </c>
      <c r="Q2577">
        <v>0</v>
      </c>
      <c r="R2577">
        <v>0.962267978832271</v>
      </c>
      <c r="S2577" t="s">
        <v>7317</v>
      </c>
      <c r="T2577" t="s">
        <v>9478</v>
      </c>
      <c r="U2577" t="s">
        <v>9478</v>
      </c>
      <c r="V2577" t="s">
        <v>9478</v>
      </c>
      <c r="W2577">
        <v>1</v>
      </c>
      <c r="X2577" t="s">
        <v>12055</v>
      </c>
      <c r="Y2577">
        <v>0.8330492940897104</v>
      </c>
      <c r="Z2577" t="str">
        <f>HYPERLINK("Melting_Curves/meltCurve_sp_Q8N5P1_ZC3H8_HUMAN_.pdf", "Melting_Curves/meltCurve_sp_Q8N5P1_ZC3H8_HUMAN_.pdf")</f>
        <v>Melting_Curves/meltCurve_sp_Q8N5P1_ZC3H8_HUMAN_.pdf</v>
      </c>
      <c r="AA2577" t="s">
        <v>16749</v>
      </c>
      <c r="AB2577" t="s">
        <v>21411</v>
      </c>
    </row>
    <row r="2578" spans="1:28" x14ac:dyDescent="0.25">
      <c r="A2578" t="s">
        <v>2582</v>
      </c>
      <c r="B2578">
        <v>0.99904790336628502</v>
      </c>
      <c r="C2578">
        <v>0.937823604425149</v>
      </c>
      <c r="D2578">
        <v>0.87200783305414997</v>
      </c>
      <c r="E2578">
        <v>0.675754317920224</v>
      </c>
      <c r="F2578">
        <v>0.49170819435866597</v>
      </c>
      <c r="G2578">
        <v>0.35314133415871701</v>
      </c>
      <c r="H2578">
        <v>0.27486498510412199</v>
      </c>
      <c r="I2578">
        <v>0.27035319419932202</v>
      </c>
      <c r="J2578">
        <v>0.21440301360702499</v>
      </c>
      <c r="K2578">
        <v>0.21037326526522801</v>
      </c>
      <c r="L2578">
        <v>732.24247547157495</v>
      </c>
      <c r="M2578">
        <v>14.3082839552503</v>
      </c>
      <c r="N2578">
        <v>53.0945430236305</v>
      </c>
      <c r="O2578">
        <v>50.207597547689602</v>
      </c>
      <c r="P2578">
        <v>-5.6872038115386297E-2</v>
      </c>
      <c r="Q2578">
        <v>0.20184348347528</v>
      </c>
      <c r="R2578">
        <v>0.99824355063857995</v>
      </c>
      <c r="S2578" t="s">
        <v>7318</v>
      </c>
      <c r="T2578" t="s">
        <v>9478</v>
      </c>
      <c r="U2578" t="s">
        <v>9478</v>
      </c>
      <c r="V2578" t="s">
        <v>9478</v>
      </c>
      <c r="W2578">
        <v>9</v>
      </c>
      <c r="X2578" t="s">
        <v>12056</v>
      </c>
      <c r="Y2578">
        <v>0.51897308273313592</v>
      </c>
      <c r="Z2578" t="str">
        <f>HYPERLINK("Melting_Curves/meltCurve_sp_Q8N5V2_NGEF_HUMAN_.pdf", "Melting_Curves/meltCurve_sp_Q8N5V2_NGEF_HUMAN_.pdf")</f>
        <v>Melting_Curves/meltCurve_sp_Q8N5V2_NGEF_HUMAN_.pdf</v>
      </c>
      <c r="AA2578" t="s">
        <v>16750</v>
      </c>
      <c r="AB2578" t="s">
        <v>21412</v>
      </c>
    </row>
    <row r="2579" spans="1:28" x14ac:dyDescent="0.25">
      <c r="A2579" t="s">
        <v>2583</v>
      </c>
      <c r="B2579">
        <v>0.99904790336628502</v>
      </c>
      <c r="C2579">
        <v>0.99088281945706402</v>
      </c>
      <c r="D2579">
        <v>1.0581304245455201</v>
      </c>
      <c r="E2579">
        <v>0.95842412940141797</v>
      </c>
      <c r="F2579">
        <v>0.73438832858403502</v>
      </c>
      <c r="G2579">
        <v>0.34581149153027102</v>
      </c>
      <c r="H2579">
        <v>0.21318333484284899</v>
      </c>
      <c r="I2579">
        <v>0.17712257347388699</v>
      </c>
      <c r="J2579">
        <v>0.124712274787077</v>
      </c>
      <c r="K2579">
        <v>7.2939355034660494E-2</v>
      </c>
      <c r="L2579">
        <v>1419.54130812585</v>
      </c>
      <c r="M2579">
        <v>25.889617891435702</v>
      </c>
      <c r="N2579">
        <v>55.421450374832197</v>
      </c>
      <c r="O2579">
        <v>54.5065034132802</v>
      </c>
      <c r="P2579">
        <v>-0.10442470188604901</v>
      </c>
      <c r="Q2579">
        <v>0.120610995763769</v>
      </c>
      <c r="R2579">
        <v>0.99352956910756995</v>
      </c>
      <c r="S2579" t="s">
        <v>7319</v>
      </c>
      <c r="T2579" t="s">
        <v>9478</v>
      </c>
      <c r="U2579" t="s">
        <v>9478</v>
      </c>
      <c r="V2579" t="s">
        <v>9478</v>
      </c>
      <c r="W2579">
        <v>16</v>
      </c>
      <c r="X2579" t="s">
        <v>12057</v>
      </c>
      <c r="Y2579">
        <v>0.56298655984923585</v>
      </c>
      <c r="Z2579" t="str">
        <f>HYPERLINK("Melting_Curves/meltCurve_sp_Q8N5Z0_AADAT_HUMAN_.pdf", "Melting_Curves/meltCurve_sp_Q8N5Z0_AADAT_HUMAN_.pdf")</f>
        <v>Melting_Curves/meltCurve_sp_Q8N5Z0_AADAT_HUMAN_.pdf</v>
      </c>
      <c r="AA2579" t="s">
        <v>16751</v>
      </c>
      <c r="AB2579" t="s">
        <v>21413</v>
      </c>
    </row>
    <row r="2580" spans="1:28" x14ac:dyDescent="0.25">
      <c r="A2580" t="s">
        <v>2584</v>
      </c>
      <c r="B2580">
        <v>0.99904790336628502</v>
      </c>
      <c r="C2580">
        <v>0.97245663679582695</v>
      </c>
      <c r="D2580">
        <v>0.98792600232682004</v>
      </c>
      <c r="E2580">
        <v>0.68662846868285698</v>
      </c>
      <c r="F2580">
        <v>0.47869073385840599</v>
      </c>
      <c r="G2580">
        <v>0.29999442621830702</v>
      </c>
      <c r="H2580">
        <v>0.21904374599821999</v>
      </c>
      <c r="I2580">
        <v>0.15711615760181799</v>
      </c>
      <c r="J2580">
        <v>0.13968213478619301</v>
      </c>
      <c r="K2580">
        <v>0.11721894361096601</v>
      </c>
      <c r="L2580">
        <v>942.35106053305697</v>
      </c>
      <c r="M2580">
        <v>18.1335560109897</v>
      </c>
      <c r="N2580">
        <v>52.869985515579998</v>
      </c>
      <c r="O2580">
        <v>51.347620286968301</v>
      </c>
      <c r="P2580">
        <v>-7.6537194845589102E-2</v>
      </c>
      <c r="Q2580">
        <v>0.133139802253327</v>
      </c>
      <c r="R2580">
        <v>0.99437081176104203</v>
      </c>
      <c r="S2580" t="s">
        <v>7320</v>
      </c>
      <c r="T2580" t="s">
        <v>9478</v>
      </c>
      <c r="U2580" t="s">
        <v>9478</v>
      </c>
      <c r="V2580" t="s">
        <v>9478</v>
      </c>
      <c r="W2580">
        <v>7</v>
      </c>
      <c r="X2580" t="s">
        <v>12058</v>
      </c>
      <c r="Y2580">
        <v>0.49318786769252132</v>
      </c>
      <c r="Z2580" t="str">
        <f>HYPERLINK("Melting_Curves/meltCurve_sp_Q8N612_F16A2_HUMAN_.pdf", "Melting_Curves/meltCurve_sp_Q8N612_F16A2_HUMAN_.pdf")</f>
        <v>Melting_Curves/meltCurve_sp_Q8N612_F16A2_HUMAN_.pdf</v>
      </c>
      <c r="AA2580" t="s">
        <v>16752</v>
      </c>
      <c r="AB2580" t="s">
        <v>21414</v>
      </c>
    </row>
    <row r="2581" spans="1:28" x14ac:dyDescent="0.25">
      <c r="A2581" t="s">
        <v>2585</v>
      </c>
      <c r="B2581">
        <v>0.99904790336628502</v>
      </c>
      <c r="C2581">
        <v>0.99593344195379696</v>
      </c>
      <c r="D2581">
        <v>0.89360762112269299</v>
      </c>
      <c r="E2581">
        <v>0.696221531543738</v>
      </c>
      <c r="F2581">
        <v>0.76564063856168096</v>
      </c>
      <c r="G2581">
        <v>0.54287178028648098</v>
      </c>
      <c r="H2581">
        <v>0.43697512688454099</v>
      </c>
      <c r="I2581">
        <v>0.40570509506327201</v>
      </c>
      <c r="J2581">
        <v>0.39562233267184999</v>
      </c>
      <c r="K2581">
        <v>0.39986702480448599</v>
      </c>
      <c r="L2581">
        <v>596.56804838000198</v>
      </c>
      <c r="M2581">
        <v>11.2209021842833</v>
      </c>
      <c r="N2581">
        <v>59.030306598438003</v>
      </c>
      <c r="O2581">
        <v>51.561062961990103</v>
      </c>
      <c r="P2581">
        <v>-3.6136541028750399E-2</v>
      </c>
      <c r="Q2581">
        <v>0.33600473628574601</v>
      </c>
      <c r="R2581">
        <v>0.96627127574090899</v>
      </c>
      <c r="S2581" t="s">
        <v>7321</v>
      </c>
      <c r="T2581" t="s">
        <v>9478</v>
      </c>
      <c r="U2581" t="s">
        <v>9478</v>
      </c>
      <c r="V2581" t="s">
        <v>9478</v>
      </c>
      <c r="W2581">
        <v>7</v>
      </c>
      <c r="X2581" t="s">
        <v>12059</v>
      </c>
      <c r="Y2581">
        <v>0.64741854393611431</v>
      </c>
      <c r="Z2581" t="str">
        <f>HYPERLINK("Melting_Curves/meltCurve_sp_Q8N684_2_CPSF7_HUMAN_.pdf", "Melting_Curves/meltCurve_sp_Q8N684_2_CPSF7_HUMAN_.pdf")</f>
        <v>Melting_Curves/meltCurve_sp_Q8N684_2_CPSF7_HUMAN_.pdf</v>
      </c>
      <c r="AA2581" t="s">
        <v>16753</v>
      </c>
      <c r="AB2581" t="s">
        <v>21415</v>
      </c>
    </row>
    <row r="2582" spans="1:28" x14ac:dyDescent="0.25">
      <c r="A2582" t="s">
        <v>2586</v>
      </c>
      <c r="B2582">
        <v>0.99904790336628502</v>
      </c>
      <c r="C2582">
        <v>0.91990727939035</v>
      </c>
      <c r="D2582">
        <v>0.88122830833627597</v>
      </c>
      <c r="E2582">
        <v>0.871303655623896</v>
      </c>
      <c r="F2582">
        <v>0.891729271598941</v>
      </c>
      <c r="G2582">
        <v>0.64160381586706805</v>
      </c>
      <c r="H2582">
        <v>0.57278711521729697</v>
      </c>
      <c r="I2582">
        <v>0.51391703061457805</v>
      </c>
      <c r="J2582">
        <v>0.52951110122303502</v>
      </c>
      <c r="K2582">
        <v>0.52748498069164396</v>
      </c>
      <c r="L2582">
        <v>584.98246062184899</v>
      </c>
      <c r="M2582">
        <v>10.51221715226</v>
      </c>
      <c r="N2582">
        <v>69.207014362854594</v>
      </c>
      <c r="O2582">
        <v>53.747228558864499</v>
      </c>
      <c r="P2582">
        <v>-2.7576718328357001E-2</v>
      </c>
      <c r="Q2582">
        <v>0.43624549452487799</v>
      </c>
      <c r="R2582">
        <v>0.93403366002617705</v>
      </c>
      <c r="S2582" t="s">
        <v>7322</v>
      </c>
      <c r="T2582" t="s">
        <v>9478</v>
      </c>
      <c r="U2582" t="s">
        <v>9478</v>
      </c>
      <c r="V2582" t="s">
        <v>9478</v>
      </c>
      <c r="W2582">
        <v>17</v>
      </c>
      <c r="X2582" t="s">
        <v>12060</v>
      </c>
      <c r="Y2582">
        <v>0.74304503894104379</v>
      </c>
      <c r="Z2582" t="str">
        <f>HYPERLINK("Melting_Curves/meltCurve_sp_Q8N6H7_ARFG2_HUMAN_.pdf", "Melting_Curves/meltCurve_sp_Q8N6H7_ARFG2_HUMAN_.pdf")</f>
        <v>Melting_Curves/meltCurve_sp_Q8N6H7_ARFG2_HUMAN_.pdf</v>
      </c>
      <c r="AA2582" t="s">
        <v>16754</v>
      </c>
      <c r="AB2582" t="s">
        <v>21416</v>
      </c>
    </row>
    <row r="2583" spans="1:28" x14ac:dyDescent="0.25">
      <c r="A2583" t="s">
        <v>2587</v>
      </c>
      <c r="B2583">
        <v>0.99904790336628502</v>
      </c>
      <c r="C2583">
        <v>1.07438676649718</v>
      </c>
      <c r="D2583">
        <v>1.0530930509355201</v>
      </c>
      <c r="E2583">
        <v>0.96912470094051495</v>
      </c>
      <c r="F2583">
        <v>0.90112189594871805</v>
      </c>
      <c r="G2583">
        <v>0.75472497806962502</v>
      </c>
      <c r="H2583">
        <v>0.61589396732884405</v>
      </c>
      <c r="I2583">
        <v>0.58978571123813095</v>
      </c>
      <c r="J2583">
        <v>0.53669879413083499</v>
      </c>
      <c r="K2583">
        <v>0.61856595249018698</v>
      </c>
      <c r="L2583">
        <v>1346.48160247744</v>
      </c>
      <c r="M2583">
        <v>24.041601185445799</v>
      </c>
      <c r="O2583">
        <v>55.623143821976697</v>
      </c>
      <c r="P2583">
        <v>-4.6366719760817798E-2</v>
      </c>
      <c r="Q2583">
        <v>0.57090674677755204</v>
      </c>
      <c r="R2583">
        <v>0.96783072440723195</v>
      </c>
      <c r="S2583" t="s">
        <v>7323</v>
      </c>
      <c r="T2583" t="s">
        <v>9478</v>
      </c>
      <c r="U2583" t="s">
        <v>9478</v>
      </c>
      <c r="V2583" t="s">
        <v>9478</v>
      </c>
      <c r="W2583">
        <v>2</v>
      </c>
      <c r="X2583" t="s">
        <v>12061</v>
      </c>
      <c r="Y2583">
        <v>0.80404596288584718</v>
      </c>
      <c r="Z2583" t="str">
        <f>HYPERLINK("Melting_Curves/meltCurve_sp_Q8N6N3_2_CA052_HUMAN_.pdf", "Melting_Curves/meltCurve_sp_Q8N6N3_2_CA052_HUMAN_.pdf")</f>
        <v>Melting_Curves/meltCurve_sp_Q8N6N3_2_CA052_HUMAN_.pdf</v>
      </c>
      <c r="AA2583" t="s">
        <v>16755</v>
      </c>
      <c r="AB2583" t="s">
        <v>21417</v>
      </c>
    </row>
    <row r="2584" spans="1:28" x14ac:dyDescent="0.25">
      <c r="A2584" t="s">
        <v>2588</v>
      </c>
      <c r="B2584">
        <v>0.99904790336628502</v>
      </c>
      <c r="C2584">
        <v>0.72780339025163199</v>
      </c>
      <c r="D2584">
        <v>0.68398498129711505</v>
      </c>
      <c r="E2584">
        <v>0.32872391612725699</v>
      </c>
      <c r="F2584">
        <v>5.02796382455859E-2</v>
      </c>
      <c r="G2584">
        <v>6.7301428153080295E-2</v>
      </c>
      <c r="H2584">
        <v>7.0302933304861898E-2</v>
      </c>
      <c r="I2584">
        <v>3.3780448524788398E-2</v>
      </c>
      <c r="J2584">
        <v>0</v>
      </c>
      <c r="K2584">
        <v>0</v>
      </c>
      <c r="L2584">
        <v>765.67394303010997</v>
      </c>
      <c r="M2584">
        <v>16.1891689876791</v>
      </c>
      <c r="N2584">
        <v>47.3039183806439</v>
      </c>
      <c r="O2584">
        <v>46.591438251103099</v>
      </c>
      <c r="P2584">
        <v>-8.6748480775560105E-2</v>
      </c>
      <c r="Q2584">
        <v>1.44700027002907E-3</v>
      </c>
      <c r="R2584">
        <v>0.97289889240296501</v>
      </c>
      <c r="S2584" t="s">
        <v>7324</v>
      </c>
      <c r="T2584" t="s">
        <v>9478</v>
      </c>
      <c r="U2584" t="s">
        <v>9478</v>
      </c>
      <c r="V2584" t="s">
        <v>9478</v>
      </c>
      <c r="W2584">
        <v>2</v>
      </c>
      <c r="X2584" t="s">
        <v>12062</v>
      </c>
      <c r="Y2584">
        <v>0.26704385624628979</v>
      </c>
      <c r="Z2584" t="str">
        <f>HYPERLINK("Melting_Curves/meltCurve_sp_Q8N6R0_3_MET13_HUMAN_.pdf", "Melting_Curves/meltCurve_sp_Q8N6R0_3_MET13_HUMAN_.pdf")</f>
        <v>Melting_Curves/meltCurve_sp_Q8N6R0_3_MET13_HUMAN_.pdf</v>
      </c>
      <c r="AA2584" t="s">
        <v>16756</v>
      </c>
      <c r="AB2584" t="s">
        <v>21418</v>
      </c>
    </row>
    <row r="2585" spans="1:28" x14ac:dyDescent="0.25">
      <c r="A2585" t="s">
        <v>2589</v>
      </c>
      <c r="B2585">
        <v>0.99904790336628502</v>
      </c>
      <c r="C2585">
        <v>1.0397536263853899</v>
      </c>
      <c r="D2585">
        <v>0.89649905153379095</v>
      </c>
      <c r="E2585">
        <v>0.41133522780224901</v>
      </c>
      <c r="F2585">
        <v>0.246555928403973</v>
      </c>
      <c r="G2585">
        <v>0.15618216577101801</v>
      </c>
      <c r="H2585">
        <v>0.106051515740037</v>
      </c>
      <c r="I2585">
        <v>9.0253308654826697E-2</v>
      </c>
      <c r="J2585">
        <v>6.8422846550520097E-2</v>
      </c>
      <c r="K2585">
        <v>4.2421637918808902E-2</v>
      </c>
      <c r="L2585">
        <v>1309.88532708506</v>
      </c>
      <c r="M2585">
        <v>26.6233844096128</v>
      </c>
      <c r="N2585">
        <v>49.566604716298301</v>
      </c>
      <c r="O2585">
        <v>48.925490778719102</v>
      </c>
      <c r="P2585">
        <v>-0.123900922302366</v>
      </c>
      <c r="Q2585">
        <v>8.9244359853821606E-2</v>
      </c>
      <c r="R2585">
        <v>0.99244661279002</v>
      </c>
      <c r="S2585" t="s">
        <v>7325</v>
      </c>
      <c r="T2585" t="s">
        <v>9478</v>
      </c>
      <c r="U2585" t="s">
        <v>9478</v>
      </c>
      <c r="V2585" t="s">
        <v>9478</v>
      </c>
      <c r="W2585">
        <v>7</v>
      </c>
      <c r="X2585" t="s">
        <v>12063</v>
      </c>
      <c r="Y2585">
        <v>0.37566355370561721</v>
      </c>
      <c r="Z2585" t="str">
        <f>HYPERLINK("Melting_Curves/meltCurve_sp_Q8N8N7_PTGR2_HUMAN_.pdf", "Melting_Curves/meltCurve_sp_Q8N8N7_PTGR2_HUMAN_.pdf")</f>
        <v>Melting_Curves/meltCurve_sp_Q8N8N7_PTGR2_HUMAN_.pdf</v>
      </c>
      <c r="AA2585" t="s">
        <v>16757</v>
      </c>
      <c r="AB2585" t="s">
        <v>21419</v>
      </c>
    </row>
    <row r="2586" spans="1:28" x14ac:dyDescent="0.25">
      <c r="A2586" t="s">
        <v>2590</v>
      </c>
      <c r="B2586">
        <v>0.99904790336628502</v>
      </c>
      <c r="C2586">
        <v>0.95542176448999605</v>
      </c>
      <c r="D2586">
        <v>0.98867970393093696</v>
      </c>
      <c r="E2586">
        <v>0.90897317723343896</v>
      </c>
      <c r="F2586">
        <v>0.85611253759709904</v>
      </c>
      <c r="G2586">
        <v>0.551449620640306</v>
      </c>
      <c r="H2586">
        <v>9.1795678233543704E-2</v>
      </c>
      <c r="I2586">
        <v>3.6293607141339397E-2</v>
      </c>
      <c r="J2586">
        <v>3.2886446224076403E-2</v>
      </c>
      <c r="K2586">
        <v>1.9594884426901899E-2</v>
      </c>
      <c r="L2586">
        <v>1554.1803626242599</v>
      </c>
      <c r="M2586">
        <v>27.246928809891301</v>
      </c>
      <c r="N2586">
        <v>57.040584017598299</v>
      </c>
      <c r="O2586">
        <v>56.735969553915901</v>
      </c>
      <c r="P2586">
        <v>-0.120061353501813</v>
      </c>
      <c r="Q2586">
        <v>0</v>
      </c>
      <c r="R2586">
        <v>0.99240818526705099</v>
      </c>
      <c r="S2586" t="s">
        <v>7326</v>
      </c>
      <c r="T2586" t="s">
        <v>9478</v>
      </c>
      <c r="U2586" t="s">
        <v>9478</v>
      </c>
      <c r="V2586" t="s">
        <v>9478</v>
      </c>
      <c r="W2586">
        <v>4</v>
      </c>
      <c r="X2586" t="s">
        <v>12064</v>
      </c>
      <c r="Y2586">
        <v>0.57586267253828394</v>
      </c>
      <c r="Z2586" t="str">
        <f>HYPERLINK("Melting_Curves/meltCurve_sp_Q8N8R5_CB069_HUMAN_.pdf", "Melting_Curves/meltCurve_sp_Q8N8R5_CB069_HUMAN_.pdf")</f>
        <v>Melting_Curves/meltCurve_sp_Q8N8R5_CB069_HUMAN_.pdf</v>
      </c>
      <c r="AA2586" t="s">
        <v>16758</v>
      </c>
      <c r="AB2586" t="s">
        <v>21420</v>
      </c>
    </row>
    <row r="2587" spans="1:28" x14ac:dyDescent="0.25">
      <c r="A2587" t="s">
        <v>2591</v>
      </c>
      <c r="B2587">
        <v>0.99904790336628502</v>
      </c>
      <c r="C2587">
        <v>0.98598962080866404</v>
      </c>
      <c r="D2587">
        <v>0.96952163670276903</v>
      </c>
      <c r="E2587">
        <v>0.89712871138247297</v>
      </c>
      <c r="F2587">
        <v>0.87620044209293102</v>
      </c>
      <c r="G2587">
        <v>0.58443838022403305</v>
      </c>
      <c r="H2587">
        <v>0.50037301987481497</v>
      </c>
      <c r="I2587">
        <v>0.41612562965537098</v>
      </c>
      <c r="J2587">
        <v>0.39965991785850902</v>
      </c>
      <c r="K2587">
        <v>0.42429200110952198</v>
      </c>
      <c r="L2587">
        <v>1144.33516563338</v>
      </c>
      <c r="M2587">
        <v>20.654418553377401</v>
      </c>
      <c r="N2587">
        <v>60.001860582989998</v>
      </c>
      <c r="O2587">
        <v>54.892385879980097</v>
      </c>
      <c r="P2587">
        <v>-5.66966541951495E-2</v>
      </c>
      <c r="Q2587">
        <v>0.39729601726906599</v>
      </c>
      <c r="R2587">
        <v>0.98858263875047103</v>
      </c>
      <c r="S2587" t="s">
        <v>7327</v>
      </c>
      <c r="T2587" t="s">
        <v>9478</v>
      </c>
      <c r="U2587" t="s">
        <v>9478</v>
      </c>
      <c r="V2587" t="s">
        <v>9478</v>
      </c>
      <c r="W2587">
        <v>9</v>
      </c>
      <c r="X2587" t="s">
        <v>12065</v>
      </c>
      <c r="Y2587">
        <v>0.71432848930847448</v>
      </c>
      <c r="Z2587" t="str">
        <f>HYPERLINK("Melting_Curves/meltCurve_sp_Q8N8S7_ENAH_HUMAN_.pdf", "Melting_Curves/meltCurve_sp_Q8N8S7_ENAH_HUMAN_.pdf")</f>
        <v>Melting_Curves/meltCurve_sp_Q8N8S7_ENAH_HUMAN_.pdf</v>
      </c>
      <c r="AA2587" t="s">
        <v>16759</v>
      </c>
      <c r="AB2587" t="s">
        <v>21421</v>
      </c>
    </row>
    <row r="2588" spans="1:28" x14ac:dyDescent="0.25">
      <c r="A2588" t="s">
        <v>2592</v>
      </c>
      <c r="B2588">
        <v>0.99904790336628502</v>
      </c>
      <c r="C2588">
        <v>0.84800016221844798</v>
      </c>
      <c r="D2588">
        <v>0.70060945845011002</v>
      </c>
      <c r="E2588">
        <v>0.48074574818806698</v>
      </c>
      <c r="F2588">
        <v>0.28690314518598298</v>
      </c>
      <c r="G2588">
        <v>0.21689701138637499</v>
      </c>
      <c r="H2588">
        <v>0.16641452121605299</v>
      </c>
      <c r="I2588">
        <v>7.2583342646029197E-2</v>
      </c>
      <c r="J2588">
        <v>8.6557785037023799E-2</v>
      </c>
      <c r="K2588">
        <v>1.8006295046986899E-2</v>
      </c>
      <c r="L2588">
        <v>593.37737773048798</v>
      </c>
      <c r="M2588">
        <v>12.051062737633201</v>
      </c>
      <c r="N2588">
        <v>49.524515456612598</v>
      </c>
      <c r="O2588">
        <v>47.941561020605</v>
      </c>
      <c r="P2588">
        <v>-6.0745051090285301E-2</v>
      </c>
      <c r="Q2588">
        <v>3.3604883140846399E-2</v>
      </c>
      <c r="R2588">
        <v>0.99118021936246103</v>
      </c>
      <c r="S2588" t="s">
        <v>7328</v>
      </c>
      <c r="T2588" t="s">
        <v>9478</v>
      </c>
      <c r="U2588" t="s">
        <v>9478</v>
      </c>
      <c r="V2588" t="s">
        <v>9478</v>
      </c>
      <c r="W2588">
        <v>4</v>
      </c>
      <c r="X2588" t="s">
        <v>12066</v>
      </c>
      <c r="Y2588">
        <v>0.36596098291268381</v>
      </c>
      <c r="Z2588" t="str">
        <f>HYPERLINK("Melting_Curves/meltCurve_sp_Q8N8V2_GBP7_HUMAN_.pdf", "Melting_Curves/meltCurve_sp_Q8N8V2_GBP7_HUMAN_.pdf")</f>
        <v>Melting_Curves/meltCurve_sp_Q8N8V2_GBP7_HUMAN_.pdf</v>
      </c>
      <c r="AA2588" t="s">
        <v>16760</v>
      </c>
      <c r="AB2588" t="s">
        <v>21422</v>
      </c>
    </row>
    <row r="2589" spans="1:28" x14ac:dyDescent="0.25">
      <c r="A2589" t="s">
        <v>2593</v>
      </c>
      <c r="B2589">
        <v>0.99904790336628502</v>
      </c>
      <c r="C2589">
        <v>0.99527749493054396</v>
      </c>
      <c r="D2589">
        <v>0.90872157505626905</v>
      </c>
      <c r="E2589">
        <v>0.53079491082137797</v>
      </c>
      <c r="F2589">
        <v>0.34892204790210402</v>
      </c>
      <c r="G2589">
        <v>0.20611048423278</v>
      </c>
      <c r="H2589">
        <v>0.113022020201668</v>
      </c>
      <c r="I2589">
        <v>9.4978067313712E-2</v>
      </c>
      <c r="J2589">
        <v>6.9569671422883297E-2</v>
      </c>
      <c r="K2589">
        <v>5.6764218377168302E-2</v>
      </c>
      <c r="L2589">
        <v>959.99528611723395</v>
      </c>
      <c r="M2589">
        <v>19.0379493577584</v>
      </c>
      <c r="N2589">
        <v>50.860783751358497</v>
      </c>
      <c r="O2589">
        <v>49.878873384925399</v>
      </c>
      <c r="P2589">
        <v>-8.8248787568311199E-2</v>
      </c>
      <c r="Q2589">
        <v>7.5199596057668905E-2</v>
      </c>
      <c r="R2589">
        <v>0.99551105391821804</v>
      </c>
      <c r="S2589" t="s">
        <v>7329</v>
      </c>
      <c r="T2589" t="s">
        <v>9478</v>
      </c>
      <c r="U2589" t="s">
        <v>9478</v>
      </c>
      <c r="V2589" t="s">
        <v>9478</v>
      </c>
      <c r="W2589">
        <v>12</v>
      </c>
      <c r="X2589" t="s">
        <v>12067</v>
      </c>
      <c r="Y2589">
        <v>0.41070064460099098</v>
      </c>
      <c r="Z2589" t="str">
        <f>HYPERLINK("Melting_Curves/meltCurve_sp_Q8N9L9_ACOT4_HUMAN_.pdf", "Melting_Curves/meltCurve_sp_Q8N9L9_ACOT4_HUMAN_.pdf")</f>
        <v>Melting_Curves/meltCurve_sp_Q8N9L9_ACOT4_HUMAN_.pdf</v>
      </c>
      <c r="AA2589" t="s">
        <v>16761</v>
      </c>
      <c r="AB2589" t="s">
        <v>21423</v>
      </c>
    </row>
    <row r="2590" spans="1:28" x14ac:dyDescent="0.25">
      <c r="A2590" t="s">
        <v>2594</v>
      </c>
      <c r="B2590">
        <v>0.99904790336628502</v>
      </c>
      <c r="C2590">
        <v>1.1232619920785401</v>
      </c>
      <c r="D2590">
        <v>1.02457278134094</v>
      </c>
      <c r="E2590">
        <v>1.0784722053853599</v>
      </c>
      <c r="F2590">
        <v>1.4779380724376101</v>
      </c>
      <c r="G2590">
        <v>0.24768588320959301</v>
      </c>
      <c r="H2590">
        <v>0</v>
      </c>
      <c r="I2590">
        <v>0</v>
      </c>
      <c r="J2590">
        <v>0</v>
      </c>
      <c r="K2590">
        <v>0</v>
      </c>
      <c r="L2590">
        <v>14186.673439498099</v>
      </c>
      <c r="M2590">
        <v>250</v>
      </c>
      <c r="N2590">
        <v>56.746693766587903</v>
      </c>
      <c r="O2590">
        <v>56.743062372272398</v>
      </c>
      <c r="P2590">
        <v>-1.1014562395693701</v>
      </c>
      <c r="Q2590">
        <v>0</v>
      </c>
      <c r="R2590">
        <v>0.92118702600561397</v>
      </c>
      <c r="S2590" t="s">
        <v>7330</v>
      </c>
      <c r="T2590" t="s">
        <v>9478</v>
      </c>
      <c r="U2590" t="s">
        <v>9478</v>
      </c>
      <c r="V2590" t="s">
        <v>9478</v>
      </c>
      <c r="W2590">
        <v>3</v>
      </c>
      <c r="X2590" t="s">
        <v>12068</v>
      </c>
      <c r="Y2590">
        <v>0.55832271483078511</v>
      </c>
      <c r="Z2590" t="str">
        <f>HYPERLINK("Melting_Curves/meltCurve_sp_Q8N9N7_LRC57_HUMAN_.pdf", "Melting_Curves/meltCurve_sp_Q8N9N7_LRC57_HUMAN_.pdf")</f>
        <v>Melting_Curves/meltCurve_sp_Q8N9N7_LRC57_HUMAN_.pdf</v>
      </c>
      <c r="AA2590" t="s">
        <v>16762</v>
      </c>
      <c r="AB2590" t="s">
        <v>21424</v>
      </c>
    </row>
    <row r="2591" spans="1:28" x14ac:dyDescent="0.25">
      <c r="A2591" t="s">
        <v>2595</v>
      </c>
      <c r="B2591">
        <v>0.99904790336628502</v>
      </c>
      <c r="C2591">
        <v>1.1744902001102699</v>
      </c>
      <c r="D2591">
        <v>1.1334877861345001</v>
      </c>
      <c r="E2591">
        <v>0.897832225020334</v>
      </c>
      <c r="F2591">
        <v>0.43901861247811103</v>
      </c>
      <c r="G2591">
        <v>0.25715000642679497</v>
      </c>
      <c r="H2591">
        <v>0.23325688435175301</v>
      </c>
      <c r="I2591">
        <v>0.16874530479569</v>
      </c>
      <c r="J2591">
        <v>0.109888501616161</v>
      </c>
      <c r="K2591">
        <v>0.14409000784794301</v>
      </c>
      <c r="L2591">
        <v>2270.5138003079501</v>
      </c>
      <c r="M2591">
        <v>43.531590097135798</v>
      </c>
      <c r="N2591">
        <v>52.685166173549199</v>
      </c>
      <c r="O2591">
        <v>52.048132306343497</v>
      </c>
      <c r="P2591">
        <v>-0.172168206402774</v>
      </c>
      <c r="Q2591">
        <v>0.176596096668068</v>
      </c>
      <c r="R2591">
        <v>0.96498855065719402</v>
      </c>
      <c r="S2591" t="s">
        <v>7331</v>
      </c>
      <c r="T2591" t="s">
        <v>9478</v>
      </c>
      <c r="U2591" t="s">
        <v>9478</v>
      </c>
      <c r="V2591" t="s">
        <v>9478</v>
      </c>
      <c r="W2591">
        <v>1</v>
      </c>
      <c r="X2591" t="s">
        <v>12069</v>
      </c>
      <c r="Y2591">
        <v>0.51279273023424499</v>
      </c>
      <c r="Z2591" t="str">
        <f>HYPERLINK("Melting_Curves/meltCurve_sp_Q8N9R8_SCAI_HUMAN_.pdf", "Melting_Curves/meltCurve_sp_Q8N9R8_SCAI_HUMAN_.pdf")</f>
        <v>Melting_Curves/meltCurve_sp_Q8N9R8_SCAI_HUMAN_.pdf</v>
      </c>
      <c r="AA2591" t="s">
        <v>16763</v>
      </c>
      <c r="AB2591" t="s">
        <v>21425</v>
      </c>
    </row>
    <row r="2592" spans="1:28" x14ac:dyDescent="0.25">
      <c r="A2592" t="s">
        <v>2596</v>
      </c>
      <c r="B2592">
        <v>0.99904790336628502</v>
      </c>
      <c r="C2592">
        <v>1.1168425422548101</v>
      </c>
      <c r="D2592">
        <v>1.12345210243542</v>
      </c>
      <c r="E2592">
        <v>1.0271824318565499</v>
      </c>
      <c r="F2592">
        <v>0.88876306310049602</v>
      </c>
      <c r="G2592">
        <v>0.56407244209061602</v>
      </c>
      <c r="H2592">
        <v>0.242750241143047</v>
      </c>
      <c r="I2592">
        <v>0.15531965334318501</v>
      </c>
      <c r="J2592">
        <v>0.14820287136146901</v>
      </c>
      <c r="K2592">
        <v>0.121249130008492</v>
      </c>
      <c r="L2592">
        <v>1626.59645266757</v>
      </c>
      <c r="M2592">
        <v>28.543804113781999</v>
      </c>
      <c r="N2592">
        <v>57.564383262839598</v>
      </c>
      <c r="O2592">
        <v>56.708469243039403</v>
      </c>
      <c r="P2592">
        <v>-0.110148309854271</v>
      </c>
      <c r="Q2592">
        <v>0.124672747532052</v>
      </c>
      <c r="R2592">
        <v>0.98151375082058101</v>
      </c>
      <c r="S2592" t="s">
        <v>7332</v>
      </c>
      <c r="T2592" t="s">
        <v>9478</v>
      </c>
      <c r="U2592" t="s">
        <v>9478</v>
      </c>
      <c r="V2592" t="s">
        <v>9478</v>
      </c>
      <c r="W2592">
        <v>3</v>
      </c>
      <c r="X2592" t="s">
        <v>12070</v>
      </c>
      <c r="Y2592">
        <v>0.62663671510120411</v>
      </c>
      <c r="Z2592" t="str">
        <f>HYPERLINK("Melting_Curves/meltCurve_sp_Q8N9V3_2_WSDU1_HUMAN_.pdf", "Melting_Curves/meltCurve_sp_Q8N9V3_2_WSDU1_HUMAN_.pdf")</f>
        <v>Melting_Curves/meltCurve_sp_Q8N9V3_2_WSDU1_HUMAN_.pdf</v>
      </c>
      <c r="AA2592" t="s">
        <v>16764</v>
      </c>
      <c r="AB2592" t="s">
        <v>21426</v>
      </c>
    </row>
    <row r="2593" spans="1:28" x14ac:dyDescent="0.25">
      <c r="A2593" t="s">
        <v>2597</v>
      </c>
      <c r="B2593">
        <v>0.99904790336628502</v>
      </c>
      <c r="C2593">
        <v>1.2522688398250801</v>
      </c>
      <c r="D2593">
        <v>1.2008667308251599</v>
      </c>
      <c r="E2593">
        <v>1.25550993971249</v>
      </c>
      <c r="F2593">
        <v>1.04074698704299</v>
      </c>
      <c r="G2593">
        <v>0.816465570533913</v>
      </c>
      <c r="H2593">
        <v>0.59417688699495896</v>
      </c>
      <c r="I2593">
        <v>0.70479512876156303</v>
      </c>
      <c r="J2593">
        <v>0.69733785901934797</v>
      </c>
      <c r="K2593">
        <v>0.56156929754356699</v>
      </c>
      <c r="L2593">
        <v>14247.932239432501</v>
      </c>
      <c r="M2593">
        <v>250</v>
      </c>
      <c r="O2593">
        <v>56.988081879836102</v>
      </c>
      <c r="P2593">
        <v>-0.39540088889587899</v>
      </c>
      <c r="Q2593">
        <v>0.63946978880771899</v>
      </c>
      <c r="R2593">
        <v>0.71858796844760298</v>
      </c>
      <c r="S2593" t="s">
        <v>7333</v>
      </c>
      <c r="T2593" t="s">
        <v>9478</v>
      </c>
      <c r="U2593" t="s">
        <v>9478</v>
      </c>
      <c r="V2593" t="s">
        <v>9478</v>
      </c>
      <c r="W2593">
        <v>4</v>
      </c>
      <c r="X2593" t="s">
        <v>12071</v>
      </c>
      <c r="Y2593">
        <v>0.84370690321601549</v>
      </c>
      <c r="Z2593" t="str">
        <f>HYPERLINK("Melting_Curves/meltCurve_sp_Q8NAF0_ZN579_HUMAN_.pdf", "Melting_Curves/meltCurve_sp_Q8NAF0_ZN579_HUMAN_.pdf")</f>
        <v>Melting_Curves/meltCurve_sp_Q8NAF0_ZN579_HUMAN_.pdf</v>
      </c>
      <c r="AA2593" t="s">
        <v>16765</v>
      </c>
      <c r="AB2593" t="s">
        <v>21427</v>
      </c>
    </row>
    <row r="2594" spans="1:28" x14ac:dyDescent="0.25">
      <c r="A2594" t="s">
        <v>2598</v>
      </c>
      <c r="B2594">
        <v>0.99904790336628502</v>
      </c>
      <c r="C2594">
        <v>0.94002793202299595</v>
      </c>
      <c r="D2594">
        <v>1.00841783704962</v>
      </c>
      <c r="E2594">
        <v>0.62160204506718697</v>
      </c>
      <c r="F2594">
        <v>0.574504501692501</v>
      </c>
      <c r="G2594">
        <v>0.279773573081257</v>
      </c>
      <c r="H2594">
        <v>0.200932962243383</v>
      </c>
      <c r="I2594">
        <v>0.12567798320537901</v>
      </c>
      <c r="J2594">
        <v>8.8653992749878299E-2</v>
      </c>
      <c r="K2594">
        <v>0.12313972901691</v>
      </c>
      <c r="L2594">
        <v>818.26673289944097</v>
      </c>
      <c r="M2594">
        <v>15.5571643370301</v>
      </c>
      <c r="N2594">
        <v>53.225756839076702</v>
      </c>
      <c r="O2594">
        <v>51.751344020564403</v>
      </c>
      <c r="P2594">
        <v>-6.8854987918872804E-2</v>
      </c>
      <c r="Q2594">
        <v>8.3888022679070598E-2</v>
      </c>
      <c r="R2594">
        <v>0.98066725959595002</v>
      </c>
      <c r="S2594" t="s">
        <v>7334</v>
      </c>
      <c r="T2594" t="s">
        <v>9478</v>
      </c>
      <c r="U2594" t="s">
        <v>9478</v>
      </c>
      <c r="V2594" t="s">
        <v>9478</v>
      </c>
      <c r="W2594">
        <v>2</v>
      </c>
      <c r="X2594" t="s">
        <v>12072</v>
      </c>
      <c r="Y2594">
        <v>0.48756798183012218</v>
      </c>
      <c r="Z2594" t="str">
        <f>HYPERLINK("Melting_Curves/meltCurve_sp_Q8NB15_2_ZN511_HUMAN_.pdf", "Melting_Curves/meltCurve_sp_Q8NB15_2_ZN511_HUMAN_.pdf")</f>
        <v>Melting_Curves/meltCurve_sp_Q8NB15_2_ZN511_HUMAN_.pdf</v>
      </c>
      <c r="AA2594" t="s">
        <v>16766</v>
      </c>
      <c r="AB2594" t="s">
        <v>21428</v>
      </c>
    </row>
    <row r="2595" spans="1:28" x14ac:dyDescent="0.25">
      <c r="A2595" t="s">
        <v>2599</v>
      </c>
      <c r="B2595">
        <v>0.99904790336628502</v>
      </c>
      <c r="C2595">
        <v>0.91804890470801903</v>
      </c>
      <c r="D2595">
        <v>0.86023347818669804</v>
      </c>
      <c r="E2595">
        <v>0.65725864044982796</v>
      </c>
      <c r="F2595">
        <v>0.54168678103734602</v>
      </c>
      <c r="G2595">
        <v>0.338934514723716</v>
      </c>
      <c r="H2595">
        <v>0.21323627276797</v>
      </c>
      <c r="I2595">
        <v>0.118309245374192</v>
      </c>
      <c r="J2595">
        <v>6.5349431699624205E-2</v>
      </c>
      <c r="K2595">
        <v>4.6067626179926803E-2</v>
      </c>
      <c r="L2595">
        <v>603.21485328403401</v>
      </c>
      <c r="M2595">
        <v>11.302865870286</v>
      </c>
      <c r="N2595">
        <v>53.368309180943697</v>
      </c>
      <c r="O2595">
        <v>51.779619689379203</v>
      </c>
      <c r="P2595">
        <v>-5.4588563132708698E-2</v>
      </c>
      <c r="Q2595">
        <v>0</v>
      </c>
      <c r="R2595">
        <v>0.99699724127996103</v>
      </c>
      <c r="S2595" t="s">
        <v>7335</v>
      </c>
      <c r="T2595" t="s">
        <v>9478</v>
      </c>
      <c r="U2595" t="s">
        <v>9478</v>
      </c>
      <c r="V2595" t="s">
        <v>9478</v>
      </c>
      <c r="W2595">
        <v>5</v>
      </c>
      <c r="X2595" t="s">
        <v>12073</v>
      </c>
      <c r="Y2595">
        <v>0.47496898174425589</v>
      </c>
      <c r="Z2595" t="str">
        <f>HYPERLINK("Melting_Curves/meltCurve_sp_Q8NB37_PDDC1_HUMAN_.pdf", "Melting_Curves/meltCurve_sp_Q8NB37_PDDC1_HUMAN_.pdf")</f>
        <v>Melting_Curves/meltCurve_sp_Q8NB37_PDDC1_HUMAN_.pdf</v>
      </c>
      <c r="AA2595" t="s">
        <v>16767</v>
      </c>
      <c r="AB2595" t="s">
        <v>21429</v>
      </c>
    </row>
    <row r="2596" spans="1:28" x14ac:dyDescent="0.25">
      <c r="A2596" t="s">
        <v>2600</v>
      </c>
      <c r="B2596">
        <v>0.99904790336628502</v>
      </c>
      <c r="C2596">
        <v>0.94565846571327905</v>
      </c>
      <c r="D2596">
        <v>0.88586824485864002</v>
      </c>
      <c r="E2596">
        <v>0.56982028532070805</v>
      </c>
      <c r="F2596">
        <v>0.28098066498956198</v>
      </c>
      <c r="G2596">
        <v>0.116831331066665</v>
      </c>
      <c r="H2596">
        <v>6.5935356079947299E-2</v>
      </c>
      <c r="I2596">
        <v>4.5804357049525297E-2</v>
      </c>
      <c r="J2596">
        <v>3.2966865024220499E-2</v>
      </c>
      <c r="K2596">
        <v>2.76086389829239E-2</v>
      </c>
      <c r="L2596">
        <v>1031.0954957373999</v>
      </c>
      <c r="M2596">
        <v>20.436751023585799</v>
      </c>
      <c r="N2596">
        <v>50.605310465400798</v>
      </c>
      <c r="O2596">
        <v>49.977384856382002</v>
      </c>
      <c r="P2596">
        <v>-9.9183717446587702E-2</v>
      </c>
      <c r="Q2596">
        <v>2.98273092727744E-2</v>
      </c>
      <c r="R2596">
        <v>0.99918449691591105</v>
      </c>
      <c r="S2596" t="s">
        <v>7336</v>
      </c>
      <c r="T2596" t="s">
        <v>9478</v>
      </c>
      <c r="U2596" t="s">
        <v>9478</v>
      </c>
      <c r="V2596" t="s">
        <v>9478</v>
      </c>
      <c r="W2596">
        <v>16</v>
      </c>
      <c r="X2596" t="s">
        <v>12074</v>
      </c>
      <c r="Y2596">
        <v>0.38080629064461963</v>
      </c>
      <c r="Z2596" t="str">
        <f>HYPERLINK("Melting_Curves/meltCurve_sp_Q8NBF2_NHLC2_HUMAN_.pdf", "Melting_Curves/meltCurve_sp_Q8NBF2_NHLC2_HUMAN_.pdf")</f>
        <v>Melting_Curves/meltCurve_sp_Q8NBF2_NHLC2_HUMAN_.pdf</v>
      </c>
      <c r="AA2596" t="s">
        <v>16768</v>
      </c>
      <c r="AB2596" t="s">
        <v>21430</v>
      </c>
    </row>
    <row r="2597" spans="1:28" x14ac:dyDescent="0.25">
      <c r="A2597" t="s">
        <v>2601</v>
      </c>
      <c r="B2597">
        <v>0.99904790336628502</v>
      </c>
      <c r="C2597">
        <v>0.663995252076785</v>
      </c>
      <c r="D2597">
        <v>0.66163352367399897</v>
      </c>
      <c r="E2597">
        <v>0.73239397969133102</v>
      </c>
      <c r="F2597">
        <v>0.63230975171859805</v>
      </c>
      <c r="G2597">
        <v>0.52414557903302805</v>
      </c>
      <c r="H2597">
        <v>0.42872759932176202</v>
      </c>
      <c r="I2597">
        <v>0.38368425706549703</v>
      </c>
      <c r="J2597">
        <v>0.28800726682717398</v>
      </c>
      <c r="K2597">
        <v>0.200610344708648</v>
      </c>
      <c r="L2597">
        <v>275.99709628420698</v>
      </c>
      <c r="M2597">
        <v>4.88877127787703</v>
      </c>
      <c r="N2597">
        <v>56.455309644531603</v>
      </c>
      <c r="O2597">
        <v>49.0102129580713</v>
      </c>
      <c r="P2597">
        <v>-2.5102533622049401E-2</v>
      </c>
      <c r="Q2597">
        <v>0</v>
      </c>
      <c r="R2597">
        <v>0.86812780632129805</v>
      </c>
      <c r="S2597" t="s">
        <v>7337</v>
      </c>
      <c r="T2597" t="s">
        <v>9478</v>
      </c>
      <c r="U2597" t="s">
        <v>9478</v>
      </c>
      <c r="V2597" t="s">
        <v>9478</v>
      </c>
      <c r="W2597">
        <v>4</v>
      </c>
      <c r="X2597" t="s">
        <v>12075</v>
      </c>
      <c r="Y2597">
        <v>0.55206489303944783</v>
      </c>
      <c r="Z2597" t="str">
        <f>HYPERLINK("Melting_Curves/meltCurve_sp_Q8NBJ4_2_GOLM1_HUMAN_.pdf", "Melting_Curves/meltCurve_sp_Q8NBJ4_2_GOLM1_HUMAN_.pdf")</f>
        <v>Melting_Curves/meltCurve_sp_Q8NBJ4_2_GOLM1_HUMAN_.pdf</v>
      </c>
      <c r="AA2597" t="s">
        <v>16769</v>
      </c>
      <c r="AB2597" t="s">
        <v>21431</v>
      </c>
    </row>
    <row r="2598" spans="1:28" x14ac:dyDescent="0.25">
      <c r="A2598" t="s">
        <v>2602</v>
      </c>
      <c r="B2598">
        <v>0.99904790336628502</v>
      </c>
      <c r="C2598">
        <v>1.0664541423788101</v>
      </c>
      <c r="D2598">
        <v>0.94636519548909404</v>
      </c>
      <c r="E2598">
        <v>0.57450182667335703</v>
      </c>
      <c r="F2598">
        <v>0.353797239592336</v>
      </c>
      <c r="G2598">
        <v>0.201172617165436</v>
      </c>
      <c r="H2598">
        <v>0.117654987745118</v>
      </c>
      <c r="I2598">
        <v>6.5113976336916304E-2</v>
      </c>
      <c r="J2598">
        <v>8.5412341104596404E-2</v>
      </c>
      <c r="K2598">
        <v>8.3631625559632897E-2</v>
      </c>
      <c r="L2598">
        <v>1122.0457309866099</v>
      </c>
      <c r="M2598">
        <v>22.129363400857901</v>
      </c>
      <c r="N2598">
        <v>51.148882054372002</v>
      </c>
      <c r="O2598">
        <v>50.295304336662703</v>
      </c>
      <c r="P2598">
        <v>-0.100368480903375</v>
      </c>
      <c r="Q2598">
        <v>8.7555230879902801E-2</v>
      </c>
      <c r="R2598">
        <v>0.991937222595066</v>
      </c>
      <c r="S2598" t="s">
        <v>7338</v>
      </c>
      <c r="T2598" t="s">
        <v>9478</v>
      </c>
      <c r="U2598" t="s">
        <v>9478</v>
      </c>
      <c r="V2598" t="s">
        <v>9478</v>
      </c>
      <c r="W2598">
        <v>3</v>
      </c>
      <c r="X2598" t="s">
        <v>12076</v>
      </c>
      <c r="Y2598">
        <v>0.42355161034754041</v>
      </c>
      <c r="Z2598" t="str">
        <f>HYPERLINK("Melting_Curves/meltCurve_sp_Q8NBJ5_GT251_HUMAN_.pdf", "Melting_Curves/meltCurve_sp_Q8NBJ5_GT251_HUMAN_.pdf")</f>
        <v>Melting_Curves/meltCurve_sp_Q8NBJ5_GT251_HUMAN_.pdf</v>
      </c>
      <c r="AA2598" t="s">
        <v>16770</v>
      </c>
      <c r="AB2598" t="s">
        <v>21432</v>
      </c>
    </row>
    <row r="2599" spans="1:28" x14ac:dyDescent="0.25">
      <c r="A2599" t="s">
        <v>2603</v>
      </c>
      <c r="B2599">
        <v>0.99904790336628502</v>
      </c>
      <c r="C2599">
        <v>0.89521952850264697</v>
      </c>
      <c r="D2599">
        <v>0.78906538440802998</v>
      </c>
      <c r="E2599">
        <v>0.47240055708857098</v>
      </c>
      <c r="F2599">
        <v>0.21235754178684799</v>
      </c>
      <c r="G2599">
        <v>0.116102681635921</v>
      </c>
      <c r="H2599">
        <v>7.6634824809908395E-2</v>
      </c>
      <c r="I2599">
        <v>5.2919436303079999E-2</v>
      </c>
      <c r="J2599">
        <v>5.0265883805124797E-2</v>
      </c>
      <c r="K2599">
        <v>5.5796084485048601E-2</v>
      </c>
      <c r="L2599">
        <v>887.21318396960805</v>
      </c>
      <c r="M2599">
        <v>18.060384068530698</v>
      </c>
      <c r="N2599">
        <v>49.368758782237997</v>
      </c>
      <c r="O2599">
        <v>48.534423963870999</v>
      </c>
      <c r="P2599">
        <v>-8.9062050067602094E-2</v>
      </c>
      <c r="Q2599">
        <v>4.2685970246042301E-2</v>
      </c>
      <c r="R2599">
        <v>0.99724800405248404</v>
      </c>
      <c r="S2599" t="s">
        <v>7339</v>
      </c>
      <c r="T2599" t="s">
        <v>9478</v>
      </c>
      <c r="U2599" t="s">
        <v>9478</v>
      </c>
      <c r="V2599" t="s">
        <v>9478</v>
      </c>
      <c r="W2599">
        <v>8</v>
      </c>
      <c r="X2599" t="s">
        <v>12077</v>
      </c>
      <c r="Y2599">
        <v>0.35029738484860079</v>
      </c>
      <c r="Z2599" t="str">
        <f>HYPERLINK("Melting_Curves/meltCurve_sp_Q8NBJ7_SUMF2_HUMAN_.pdf", "Melting_Curves/meltCurve_sp_Q8NBJ7_SUMF2_HUMAN_.pdf")</f>
        <v>Melting_Curves/meltCurve_sp_Q8NBJ7_SUMF2_HUMAN_.pdf</v>
      </c>
      <c r="AA2599" t="s">
        <v>16771</v>
      </c>
      <c r="AB2599" t="s">
        <v>21433</v>
      </c>
    </row>
    <row r="2600" spans="1:28" x14ac:dyDescent="0.25">
      <c r="A2600" t="s">
        <v>2604</v>
      </c>
      <c r="B2600">
        <v>0.99904790336628502</v>
      </c>
      <c r="C2600">
        <v>0.93848929048878504</v>
      </c>
      <c r="D2600">
        <v>0.85639245407954201</v>
      </c>
      <c r="E2600">
        <v>0.87051448526534503</v>
      </c>
      <c r="F2600">
        <v>0.85941833395667799</v>
      </c>
      <c r="G2600">
        <v>0.73333721704854005</v>
      </c>
      <c r="H2600">
        <v>0.57570121287942799</v>
      </c>
      <c r="I2600">
        <v>0.32992895629430102</v>
      </c>
      <c r="J2600">
        <v>9.8005241752957203E-2</v>
      </c>
      <c r="K2600">
        <v>0.10530078146140499</v>
      </c>
      <c r="L2600">
        <v>902.02460513468395</v>
      </c>
      <c r="M2600">
        <v>14.8493627629078</v>
      </c>
      <c r="N2600">
        <v>60.745004373088697</v>
      </c>
      <c r="O2600">
        <v>59.675268831863498</v>
      </c>
      <c r="P2600">
        <v>-6.22155700256539E-2</v>
      </c>
      <c r="Q2600">
        <v>0</v>
      </c>
      <c r="R2600">
        <v>0.95208585542118895</v>
      </c>
      <c r="S2600" t="s">
        <v>7340</v>
      </c>
      <c r="T2600" t="s">
        <v>9478</v>
      </c>
      <c r="U2600" t="s">
        <v>9478</v>
      </c>
      <c r="V2600" t="s">
        <v>9478</v>
      </c>
      <c r="W2600">
        <v>4</v>
      </c>
      <c r="X2600" t="s">
        <v>12078</v>
      </c>
      <c r="Y2600">
        <v>0.69498682758631125</v>
      </c>
      <c r="Z2600" t="str">
        <f>HYPERLINK("Melting_Curves/meltCurve_sp_Q8NBK3_4_SUMF1_HUMAN_.pdf", "Melting_Curves/meltCurve_sp_Q8NBK3_4_SUMF1_HUMAN_.pdf")</f>
        <v>Melting_Curves/meltCurve_sp_Q8NBK3_4_SUMF1_HUMAN_.pdf</v>
      </c>
      <c r="AA2600" t="s">
        <v>16772</v>
      </c>
      <c r="AB2600" t="s">
        <v>21434</v>
      </c>
    </row>
    <row r="2601" spans="1:28" x14ac:dyDescent="0.25">
      <c r="A2601" t="s">
        <v>2605</v>
      </c>
      <c r="B2601">
        <v>0.99904790336628502</v>
      </c>
      <c r="C2601">
        <v>1.0358387783588601</v>
      </c>
      <c r="D2601">
        <v>0.94470523849548005</v>
      </c>
      <c r="E2601">
        <v>0.87784477482785395</v>
      </c>
      <c r="F2601">
        <v>0.37264511782226001</v>
      </c>
      <c r="G2601">
        <v>0.2037880911313</v>
      </c>
      <c r="H2601">
        <v>0.106670134785572</v>
      </c>
      <c r="I2601">
        <v>9.7746755984119998E-2</v>
      </c>
      <c r="J2601">
        <v>9.4528172888942094E-2</v>
      </c>
      <c r="K2601">
        <v>5.8641868438284298E-2</v>
      </c>
      <c r="L2601">
        <v>2103.8437362552199</v>
      </c>
      <c r="M2601">
        <v>40.427591400965497</v>
      </c>
      <c r="N2601">
        <v>52.340988663612997</v>
      </c>
      <c r="O2601">
        <v>51.912962741977097</v>
      </c>
      <c r="P2601">
        <v>-0.17448502016620801</v>
      </c>
      <c r="Q2601">
        <v>0.103778922167898</v>
      </c>
      <c r="R2601">
        <v>0.99240484242615401</v>
      </c>
      <c r="S2601" t="s">
        <v>7341</v>
      </c>
      <c r="T2601" t="s">
        <v>9478</v>
      </c>
      <c r="U2601" t="s">
        <v>9478</v>
      </c>
      <c r="V2601" t="s">
        <v>9478</v>
      </c>
      <c r="W2601">
        <v>2</v>
      </c>
      <c r="X2601" t="s">
        <v>12079</v>
      </c>
      <c r="Y2601">
        <v>0.46661040674261711</v>
      </c>
      <c r="Z2601" t="str">
        <f>HYPERLINK("Melting_Curves/meltCurve_sp_Q8NBL1_PGLT1_HUMAN_.pdf", "Melting_Curves/meltCurve_sp_Q8NBL1_PGLT1_HUMAN_.pdf")</f>
        <v>Melting_Curves/meltCurve_sp_Q8NBL1_PGLT1_HUMAN_.pdf</v>
      </c>
      <c r="AA2601" t="s">
        <v>16773</v>
      </c>
      <c r="AB2601" t="s">
        <v>21435</v>
      </c>
    </row>
    <row r="2602" spans="1:28" x14ac:dyDescent="0.25">
      <c r="A2602" t="s">
        <v>2606</v>
      </c>
      <c r="B2602">
        <v>0.99904790336628502</v>
      </c>
      <c r="C2602">
        <v>1.2978874426693701</v>
      </c>
      <c r="D2602">
        <v>0.70834857439870602</v>
      </c>
      <c r="E2602">
        <v>0.53547826067276105</v>
      </c>
      <c r="F2602">
        <v>0.53832530339815399</v>
      </c>
      <c r="G2602">
        <v>0.37045263093013497</v>
      </c>
      <c r="H2602">
        <v>0.17732218427666299</v>
      </c>
      <c r="I2602">
        <v>0.178463274611494</v>
      </c>
      <c r="J2602">
        <v>0.197533112102529</v>
      </c>
      <c r="K2602">
        <v>0.57530548144432103</v>
      </c>
      <c r="L2602">
        <v>1029.97342850166</v>
      </c>
      <c r="M2602">
        <v>21.092270145283099</v>
      </c>
      <c r="N2602">
        <v>51.099522304174897</v>
      </c>
      <c r="O2602">
        <v>48.399213941172803</v>
      </c>
      <c r="P2602">
        <v>-7.5840375020839706E-2</v>
      </c>
      <c r="Q2602">
        <v>0.30391228508746598</v>
      </c>
      <c r="R2602">
        <v>0.77910461964265698</v>
      </c>
      <c r="S2602" t="s">
        <v>7342</v>
      </c>
      <c r="T2602" t="s">
        <v>9478</v>
      </c>
      <c r="U2602" t="s">
        <v>9478</v>
      </c>
      <c r="V2602" t="s">
        <v>9478</v>
      </c>
      <c r="W2602">
        <v>1</v>
      </c>
      <c r="X2602" t="s">
        <v>12080</v>
      </c>
      <c r="Y2602">
        <v>0.51759255189081776</v>
      </c>
      <c r="Z2602" t="str">
        <f>HYPERLINK("Melting_Curves/meltCurve_sp_Q8NBN7_2_RDH13_HUMAN_.pdf", "Melting_Curves/meltCurve_sp_Q8NBN7_2_RDH13_HUMAN_.pdf")</f>
        <v>Melting_Curves/meltCurve_sp_Q8NBN7_2_RDH13_HUMAN_.pdf</v>
      </c>
      <c r="AA2602" t="s">
        <v>16774</v>
      </c>
      <c r="AB2602" t="s">
        <v>21436</v>
      </c>
    </row>
    <row r="2603" spans="1:28" x14ac:dyDescent="0.25">
      <c r="A2603" t="s">
        <v>2607</v>
      </c>
      <c r="B2603">
        <v>0.99904790336628502</v>
      </c>
      <c r="C2603">
        <v>0.77332823785968197</v>
      </c>
      <c r="D2603">
        <v>0.57661811545209196</v>
      </c>
      <c r="E2603">
        <v>0.36291057338746602</v>
      </c>
      <c r="F2603">
        <v>0.216184690289867</v>
      </c>
      <c r="G2603">
        <v>0.122268965164403</v>
      </c>
      <c r="H2603">
        <v>6.6779373683181598E-2</v>
      </c>
      <c r="I2603">
        <v>6.4213580775549006E-2</v>
      </c>
      <c r="J2603">
        <v>4.39544381039342E-2</v>
      </c>
      <c r="K2603">
        <v>5.4495104166686799E-2</v>
      </c>
      <c r="L2603">
        <v>650.319462648387</v>
      </c>
      <c r="M2603">
        <v>13.791701449786601</v>
      </c>
      <c r="N2603">
        <v>47.423892648521203</v>
      </c>
      <c r="O2603">
        <v>46.1947705560884</v>
      </c>
      <c r="P2603">
        <v>-7.18211504892588E-2</v>
      </c>
      <c r="Q2603">
        <v>3.7886334925117199E-2</v>
      </c>
      <c r="R2603">
        <v>0.992465422254727</v>
      </c>
      <c r="S2603" t="s">
        <v>7343</v>
      </c>
      <c r="T2603" t="s">
        <v>9478</v>
      </c>
      <c r="U2603" t="s">
        <v>9478</v>
      </c>
      <c r="V2603" t="s">
        <v>9478</v>
      </c>
      <c r="W2603">
        <v>7</v>
      </c>
      <c r="X2603" t="s">
        <v>12081</v>
      </c>
      <c r="Y2603">
        <v>0.29794581165503942</v>
      </c>
      <c r="Z2603" t="str">
        <f>HYPERLINK("Melting_Curves/meltCurve_sp_Q8NBX0_SCPDL_HUMAN_.pdf", "Melting_Curves/meltCurve_sp_Q8NBX0_SCPDL_HUMAN_.pdf")</f>
        <v>Melting_Curves/meltCurve_sp_Q8NBX0_SCPDL_HUMAN_.pdf</v>
      </c>
      <c r="AA2603" t="s">
        <v>16775</v>
      </c>
      <c r="AB2603" t="s">
        <v>21437</v>
      </c>
    </row>
    <row r="2604" spans="1:28" x14ac:dyDescent="0.25">
      <c r="A2604" t="s">
        <v>2608</v>
      </c>
      <c r="B2604">
        <v>0.99904790336628502</v>
      </c>
      <c r="C2604">
        <v>0.93802898718077199</v>
      </c>
      <c r="D2604">
        <v>0.80707523591708596</v>
      </c>
      <c r="E2604">
        <v>0.705194873913221</v>
      </c>
      <c r="F2604">
        <v>0.44162143851875901</v>
      </c>
      <c r="G2604">
        <v>0.26298670795381701</v>
      </c>
      <c r="H2604">
        <v>0.14372842517517001</v>
      </c>
      <c r="I2604">
        <v>0.100069259750795</v>
      </c>
      <c r="J2604">
        <v>5.1326975201084299E-2</v>
      </c>
      <c r="K2604">
        <v>2.9256283816097801E-2</v>
      </c>
      <c r="L2604">
        <v>665.58783609213697</v>
      </c>
      <c r="M2604">
        <v>12.694428474863701</v>
      </c>
      <c r="N2604">
        <v>52.431512378754697</v>
      </c>
      <c r="O2604">
        <v>51.181448743088303</v>
      </c>
      <c r="P2604">
        <v>-6.2019000336534201E-2</v>
      </c>
      <c r="Q2604">
        <v>0</v>
      </c>
      <c r="R2604">
        <v>0.99499816417934595</v>
      </c>
      <c r="S2604" t="s">
        <v>7344</v>
      </c>
      <c r="T2604" t="s">
        <v>9478</v>
      </c>
      <c r="U2604" t="s">
        <v>9478</v>
      </c>
      <c r="V2604" t="s">
        <v>9478</v>
      </c>
      <c r="W2604">
        <v>1</v>
      </c>
      <c r="X2604" t="s">
        <v>12082</v>
      </c>
      <c r="Y2604">
        <v>0.44207498173530729</v>
      </c>
      <c r="Z2604" t="str">
        <f>HYPERLINK("Melting_Curves/meltCurve_sp_Q8NC06_ACBD4_HUMAN_.pdf", "Melting_Curves/meltCurve_sp_Q8NC06_ACBD4_HUMAN_.pdf")</f>
        <v>Melting_Curves/meltCurve_sp_Q8NC06_ACBD4_HUMAN_.pdf</v>
      </c>
      <c r="AA2604" t="s">
        <v>16776</v>
      </c>
      <c r="AB2604" t="s">
        <v>21438</v>
      </c>
    </row>
    <row r="2605" spans="1:28" x14ac:dyDescent="0.25">
      <c r="A2605" t="s">
        <v>2609</v>
      </c>
      <c r="B2605">
        <v>0.99904790336628502</v>
      </c>
      <c r="C2605">
        <v>1.0766089919820101</v>
      </c>
      <c r="D2605">
        <v>0.96538617976836805</v>
      </c>
      <c r="E2605">
        <v>0.99611685746565704</v>
      </c>
      <c r="F2605">
        <v>1.17161633202431</v>
      </c>
      <c r="G2605">
        <v>0.92304634450260803</v>
      </c>
      <c r="H2605">
        <v>0.83294489236277203</v>
      </c>
      <c r="I2605">
        <v>0.86861526291350499</v>
      </c>
      <c r="J2605">
        <v>0.91850971943184501</v>
      </c>
      <c r="K2605">
        <v>0.973551627927427</v>
      </c>
      <c r="L2605">
        <v>14185.088849041</v>
      </c>
      <c r="M2605">
        <v>250</v>
      </c>
      <c r="O2605">
        <v>56.736724418363501</v>
      </c>
      <c r="P2605">
        <v>-0.111914535144025</v>
      </c>
      <c r="Q2605">
        <v>0.89840537394827202</v>
      </c>
      <c r="R2605">
        <v>0.45373800973912398</v>
      </c>
      <c r="S2605" t="s">
        <v>7345</v>
      </c>
      <c r="T2605" t="s">
        <v>9478</v>
      </c>
      <c r="U2605" t="s">
        <v>9478</v>
      </c>
      <c r="V2605" t="s">
        <v>9478</v>
      </c>
      <c r="W2605">
        <v>11</v>
      </c>
      <c r="X2605" t="s">
        <v>12083</v>
      </c>
      <c r="Y2605">
        <v>0.95510649546425563</v>
      </c>
      <c r="Z2605" t="str">
        <f>HYPERLINK("Melting_Curves/meltCurve_sp_Q8NC51_4_PAIRB_HUMAN_.pdf", "Melting_Curves/meltCurve_sp_Q8NC51_4_PAIRB_HUMAN_.pdf")</f>
        <v>Melting_Curves/meltCurve_sp_Q8NC51_4_PAIRB_HUMAN_.pdf</v>
      </c>
      <c r="AA2605" t="s">
        <v>16777</v>
      </c>
      <c r="AB2605" t="s">
        <v>21439</v>
      </c>
    </row>
    <row r="2606" spans="1:28" x14ac:dyDescent="0.25">
      <c r="A2606" t="s">
        <v>2610</v>
      </c>
      <c r="B2606">
        <v>0.99904790336628502</v>
      </c>
      <c r="C2606">
        <v>1.1320448916730299</v>
      </c>
      <c r="D2606">
        <v>1.1087815244935699</v>
      </c>
      <c r="E2606">
        <v>1.05806110601036</v>
      </c>
      <c r="F2606">
        <v>0.82968789255898501</v>
      </c>
      <c r="G2606">
        <v>0.81406355272210595</v>
      </c>
      <c r="H2606">
        <v>0.465217248593081</v>
      </c>
      <c r="I2606">
        <v>0.318091509921756</v>
      </c>
      <c r="J2606">
        <v>0.175003043698994</v>
      </c>
      <c r="K2606">
        <v>0.17822207025664799</v>
      </c>
      <c r="L2606">
        <v>1197.31273621282</v>
      </c>
      <c r="M2606">
        <v>19.958805085682201</v>
      </c>
      <c r="N2606">
        <v>60.725612111953303</v>
      </c>
      <c r="O2606">
        <v>59.3967251133</v>
      </c>
      <c r="P2606">
        <v>-7.4978993738911107E-2</v>
      </c>
      <c r="Q2606">
        <v>0.107489641133448</v>
      </c>
      <c r="R2606">
        <v>0.96186821153193702</v>
      </c>
      <c r="S2606" t="s">
        <v>7346</v>
      </c>
      <c r="T2606" t="s">
        <v>9478</v>
      </c>
      <c r="U2606" t="s">
        <v>9478</v>
      </c>
      <c r="V2606" t="s">
        <v>9478</v>
      </c>
      <c r="W2606">
        <v>4</v>
      </c>
      <c r="X2606" t="s">
        <v>12084</v>
      </c>
      <c r="Y2606">
        <v>0.70965652988094663</v>
      </c>
      <c r="Z2606" t="str">
        <f>HYPERLINK("Melting_Curves/meltCurve_sp_Q8NC96_NECP1_HUMAN_.pdf", "Melting_Curves/meltCurve_sp_Q8NC96_NECP1_HUMAN_.pdf")</f>
        <v>Melting_Curves/meltCurve_sp_Q8NC96_NECP1_HUMAN_.pdf</v>
      </c>
      <c r="AA2606" t="s">
        <v>16778</v>
      </c>
      <c r="AB2606" t="s">
        <v>21440</v>
      </c>
    </row>
    <row r="2607" spans="1:28" x14ac:dyDescent="0.25">
      <c r="A2607" t="s">
        <v>2611</v>
      </c>
      <c r="B2607">
        <v>0.99904790336628502</v>
      </c>
      <c r="C2607">
        <v>0.92524391678670204</v>
      </c>
      <c r="D2607">
        <v>0.97401845136060905</v>
      </c>
      <c r="E2607">
        <v>0.60478961231515005</v>
      </c>
      <c r="F2607">
        <v>0.34788669656594201</v>
      </c>
      <c r="G2607">
        <v>0.21732705486995299</v>
      </c>
      <c r="H2607">
        <v>0.11133030389915601</v>
      </c>
      <c r="I2607">
        <v>3.93649236595007E-2</v>
      </c>
      <c r="J2607">
        <v>2.5555725699639799E-2</v>
      </c>
      <c r="K2607">
        <v>4.0239805059637902E-2</v>
      </c>
      <c r="L2607">
        <v>961.73573794041295</v>
      </c>
      <c r="M2607">
        <v>18.765175677588601</v>
      </c>
      <c r="N2607">
        <v>51.472599873008598</v>
      </c>
      <c r="O2607">
        <v>50.679697852846502</v>
      </c>
      <c r="P2607">
        <v>-8.8980578681098599E-2</v>
      </c>
      <c r="Q2607">
        <v>3.8789696051234598E-2</v>
      </c>
      <c r="R2607">
        <v>0.99064762375344295</v>
      </c>
      <c r="S2607" t="s">
        <v>7347</v>
      </c>
      <c r="T2607" t="s">
        <v>9478</v>
      </c>
      <c r="U2607" t="s">
        <v>9478</v>
      </c>
      <c r="V2607" t="s">
        <v>9478</v>
      </c>
      <c r="W2607">
        <v>3</v>
      </c>
      <c r="X2607" t="s">
        <v>12085</v>
      </c>
      <c r="Y2607">
        <v>0.41426396753941802</v>
      </c>
      <c r="Z2607" t="str">
        <f>HYPERLINK("Melting_Curves/meltCurve_sp_Q8NCA5_2_FA98A_HUMAN_.pdf", "Melting_Curves/meltCurve_sp_Q8NCA5_2_FA98A_HUMAN_.pdf")</f>
        <v>Melting_Curves/meltCurve_sp_Q8NCA5_2_FA98A_HUMAN_.pdf</v>
      </c>
      <c r="AA2607" t="s">
        <v>16779</v>
      </c>
      <c r="AB2607" t="s">
        <v>21441</v>
      </c>
    </row>
    <row r="2608" spans="1:28" x14ac:dyDescent="0.25">
      <c r="A2608" t="s">
        <v>2612</v>
      </c>
      <c r="B2608">
        <v>0.99904790336628502</v>
      </c>
      <c r="C2608">
        <v>0.91816559102303896</v>
      </c>
      <c r="D2608">
        <v>0.96815263478221103</v>
      </c>
      <c r="E2608">
        <v>1.00784661596438</v>
      </c>
      <c r="F2608">
        <v>0.93765507391118197</v>
      </c>
      <c r="G2608">
        <v>0.88375343780260196</v>
      </c>
      <c r="H2608">
        <v>0.753778998235061</v>
      </c>
      <c r="I2608">
        <v>0.69157425511944604</v>
      </c>
      <c r="J2608">
        <v>0.59144353569434704</v>
      </c>
      <c r="K2608">
        <v>0.49892029370830299</v>
      </c>
      <c r="L2608">
        <v>641.81221177539805</v>
      </c>
      <c r="M2608">
        <v>9.4929553572861192</v>
      </c>
      <c r="O2608">
        <v>64.812995033606001</v>
      </c>
      <c r="P2608">
        <v>-3.1500031034090402E-2</v>
      </c>
      <c r="Q2608">
        <v>0.14024622385216901</v>
      </c>
      <c r="R2608">
        <v>0.97072727425274796</v>
      </c>
      <c r="S2608" t="s">
        <v>7348</v>
      </c>
      <c r="T2608" t="s">
        <v>9478</v>
      </c>
      <c r="U2608" t="s">
        <v>9478</v>
      </c>
      <c r="V2608" t="s">
        <v>9478</v>
      </c>
      <c r="W2608">
        <v>3</v>
      </c>
      <c r="X2608" t="s">
        <v>12086</v>
      </c>
      <c r="Y2608">
        <v>0.84827273685758053</v>
      </c>
      <c r="Z2608" t="str">
        <f>HYPERLINK("Melting_Curves/meltCurve_sp_Q8NCC3_PAG15_HUMAN_.pdf", "Melting_Curves/meltCurve_sp_Q8NCC3_PAG15_HUMAN_.pdf")</f>
        <v>Melting_Curves/meltCurve_sp_Q8NCC3_PAG15_HUMAN_.pdf</v>
      </c>
      <c r="AA2608" t="s">
        <v>16780</v>
      </c>
      <c r="AB2608" t="s">
        <v>21442</v>
      </c>
    </row>
    <row r="2609" spans="1:28" x14ac:dyDescent="0.25">
      <c r="A2609" t="s">
        <v>2613</v>
      </c>
      <c r="B2609">
        <v>0.99904790336628502</v>
      </c>
      <c r="C2609">
        <v>1.14610228970191</v>
      </c>
      <c r="D2609">
        <v>1.1213922022724001</v>
      </c>
      <c r="E2609">
        <v>0.85417783766133204</v>
      </c>
      <c r="F2609">
        <v>0.759070113986275</v>
      </c>
      <c r="G2609">
        <v>0.33342447545766302</v>
      </c>
      <c r="H2609">
        <v>0.15209095402839301</v>
      </c>
      <c r="I2609">
        <v>7.7211071132078299E-2</v>
      </c>
      <c r="J2609">
        <v>4.3558069721216799E-2</v>
      </c>
      <c r="K2609">
        <v>2.6830689010049699E-2</v>
      </c>
      <c r="L2609">
        <v>1252.3280283633801</v>
      </c>
      <c r="M2609">
        <v>22.6685989596957</v>
      </c>
      <c r="N2609">
        <v>55.394795203030498</v>
      </c>
      <c r="O2609">
        <v>54.820517246040197</v>
      </c>
      <c r="P2609">
        <v>-0.100306229220058</v>
      </c>
      <c r="Q2609">
        <v>2.9718519343623601E-2</v>
      </c>
      <c r="R2609">
        <v>0.97737394425836199</v>
      </c>
      <c r="S2609" t="s">
        <v>7349</v>
      </c>
      <c r="T2609" t="s">
        <v>9478</v>
      </c>
      <c r="U2609" t="s">
        <v>9478</v>
      </c>
      <c r="V2609" t="s">
        <v>9478</v>
      </c>
      <c r="W2609">
        <v>1</v>
      </c>
      <c r="X2609" t="s">
        <v>12087</v>
      </c>
      <c r="Y2609">
        <v>0.53335499064773528</v>
      </c>
      <c r="Z2609" t="str">
        <f>HYPERLINK("Melting_Curves/meltCurve_sp_Q8NCE2_3_MTMRE_HUMAN_.pdf", "Melting_Curves/meltCurve_sp_Q8NCE2_3_MTMRE_HUMAN_.pdf")</f>
        <v>Melting_Curves/meltCurve_sp_Q8NCE2_3_MTMRE_HUMAN_.pdf</v>
      </c>
      <c r="AA2609" t="s">
        <v>16781</v>
      </c>
      <c r="AB2609" t="s">
        <v>21443</v>
      </c>
    </row>
    <row r="2610" spans="1:28" x14ac:dyDescent="0.25">
      <c r="A2610" t="s">
        <v>2614</v>
      </c>
      <c r="B2610">
        <v>0.99904790336628502</v>
      </c>
      <c r="C2610">
        <v>0.96599400283503201</v>
      </c>
      <c r="D2610">
        <v>0.91168517238404401</v>
      </c>
      <c r="E2610">
        <v>0.79930426185305203</v>
      </c>
      <c r="F2610">
        <v>0.75532605947100795</v>
      </c>
      <c r="G2610">
        <v>0.55490487676920996</v>
      </c>
      <c r="H2610">
        <v>0.49445291620408299</v>
      </c>
      <c r="I2610">
        <v>0.41127166521416703</v>
      </c>
      <c r="J2610">
        <v>0.47912545563092801</v>
      </c>
      <c r="K2610">
        <v>0.46794971533049901</v>
      </c>
      <c r="L2610">
        <v>721.58513266288901</v>
      </c>
      <c r="M2610">
        <v>13.6620257559603</v>
      </c>
      <c r="N2610">
        <v>61.005227493732001</v>
      </c>
      <c r="O2610">
        <v>51.723797177842499</v>
      </c>
      <c r="P2610">
        <v>-3.82987485023569E-2</v>
      </c>
      <c r="Q2610">
        <v>0.42009526496711402</v>
      </c>
      <c r="R2610">
        <v>0.98066183701810705</v>
      </c>
      <c r="S2610" t="s">
        <v>7350</v>
      </c>
      <c r="T2610" t="s">
        <v>9478</v>
      </c>
      <c r="U2610" t="s">
        <v>9478</v>
      </c>
      <c r="V2610" t="s">
        <v>9478</v>
      </c>
      <c r="W2610">
        <v>2</v>
      </c>
      <c r="X2610" t="s">
        <v>12088</v>
      </c>
      <c r="Y2610">
        <v>0.68212712590248459</v>
      </c>
      <c r="Z2610" t="str">
        <f>HYPERLINK("Melting_Curves/meltCurve_sp_Q8NCF5_NF2IP_HUMAN_.pdf", "Melting_Curves/meltCurve_sp_Q8NCF5_NF2IP_HUMAN_.pdf")</f>
        <v>Melting_Curves/meltCurve_sp_Q8NCF5_NF2IP_HUMAN_.pdf</v>
      </c>
      <c r="AA2610" t="s">
        <v>16782</v>
      </c>
      <c r="AB2610" t="s">
        <v>21444</v>
      </c>
    </row>
    <row r="2611" spans="1:28" x14ac:dyDescent="0.25">
      <c r="A2611" t="s">
        <v>2615</v>
      </c>
      <c r="B2611">
        <v>0.99904790336628502</v>
      </c>
      <c r="C2611">
        <v>1.57873094773335</v>
      </c>
      <c r="D2611">
        <v>1.5755223219048</v>
      </c>
      <c r="E2611">
        <v>1.3189892777161301</v>
      </c>
      <c r="F2611">
        <v>1.5566344694060701</v>
      </c>
      <c r="G2611">
        <v>1.0888793805183401</v>
      </c>
      <c r="H2611">
        <v>0.69409571023581096</v>
      </c>
      <c r="I2611">
        <v>0.85870663268891401</v>
      </c>
      <c r="J2611">
        <v>0.97798708821639402</v>
      </c>
      <c r="K2611">
        <v>0.713959540094532</v>
      </c>
      <c r="L2611">
        <v>3742.0143808881198</v>
      </c>
      <c r="M2611">
        <v>63.567909202267103</v>
      </c>
      <c r="O2611">
        <v>58.808231577066103</v>
      </c>
      <c r="P2611">
        <v>-4.9621356343937398E-2</v>
      </c>
      <c r="Q2611">
        <v>0.81637632585144904</v>
      </c>
      <c r="R2611">
        <v>-4.74225868867202E-2</v>
      </c>
      <c r="S2611" t="s">
        <v>7351</v>
      </c>
      <c r="T2611" t="s">
        <v>9478</v>
      </c>
      <c r="U2611" t="s">
        <v>9478</v>
      </c>
      <c r="V2611" t="s">
        <v>9478</v>
      </c>
      <c r="W2611">
        <v>4</v>
      </c>
      <c r="X2611" t="s">
        <v>12089</v>
      </c>
      <c r="Y2611">
        <v>0.93214763805192624</v>
      </c>
      <c r="Z2611" t="str">
        <f>HYPERLINK("Melting_Curves/meltCurve_sp_Q8NCN4_RN169_HUMAN_.pdf", "Melting_Curves/meltCurve_sp_Q8NCN4_RN169_HUMAN_.pdf")</f>
        <v>Melting_Curves/meltCurve_sp_Q8NCN4_RN169_HUMAN_.pdf</v>
      </c>
      <c r="AA2611" t="s">
        <v>16783</v>
      </c>
      <c r="AB2611" t="s">
        <v>21445</v>
      </c>
    </row>
    <row r="2612" spans="1:28" x14ac:dyDescent="0.25">
      <c r="A2612" t="s">
        <v>2616</v>
      </c>
      <c r="B2612">
        <v>0.99904790336628502</v>
      </c>
      <c r="C2612">
        <v>0.99769442392379104</v>
      </c>
      <c r="D2612">
        <v>1.0066142044073101</v>
      </c>
      <c r="E2612">
        <v>0.89623195053219595</v>
      </c>
      <c r="F2612">
        <v>0.41152490541570003</v>
      </c>
      <c r="G2612">
        <v>0.13195539532241499</v>
      </c>
      <c r="H2612">
        <v>8.0275044874408105E-2</v>
      </c>
      <c r="I2612">
        <v>4.78214893743465E-2</v>
      </c>
      <c r="J2612">
        <v>3.2065432557762202E-2</v>
      </c>
      <c r="K2612">
        <v>2.4901538804542801E-2</v>
      </c>
      <c r="L2612">
        <v>2077.36474069407</v>
      </c>
      <c r="M2612">
        <v>39.624842957562599</v>
      </c>
      <c r="N2612">
        <v>52.575127412774798</v>
      </c>
      <c r="O2612">
        <v>52.292827818395203</v>
      </c>
      <c r="P2612">
        <v>-0.17935654763499401</v>
      </c>
      <c r="Q2612">
        <v>5.32161878739561E-2</v>
      </c>
      <c r="R2612">
        <v>0.99777496643460095</v>
      </c>
      <c r="S2612" t="s">
        <v>7352</v>
      </c>
      <c r="T2612" t="s">
        <v>9478</v>
      </c>
      <c r="U2612" t="s">
        <v>9478</v>
      </c>
      <c r="V2612" t="s">
        <v>9478</v>
      </c>
      <c r="W2612">
        <v>13</v>
      </c>
      <c r="X2612" t="s">
        <v>12090</v>
      </c>
      <c r="Y2612">
        <v>0.44886237878879448</v>
      </c>
      <c r="Z2612" t="str">
        <f>HYPERLINK("Melting_Curves/meltCurve_sp_Q8NCN5_PDPR_HUMAN_.pdf", "Melting_Curves/meltCurve_sp_Q8NCN5_PDPR_HUMAN_.pdf")</f>
        <v>Melting_Curves/meltCurve_sp_Q8NCN5_PDPR_HUMAN_.pdf</v>
      </c>
      <c r="AA2612" t="s">
        <v>16784</v>
      </c>
      <c r="AB2612" t="s">
        <v>21446</v>
      </c>
    </row>
    <row r="2613" spans="1:28" x14ac:dyDescent="0.25">
      <c r="A2613" t="s">
        <v>2617</v>
      </c>
      <c r="B2613">
        <v>0.99904790336628502</v>
      </c>
      <c r="C2613">
        <v>0.92261694737240196</v>
      </c>
      <c r="D2613">
        <v>0.90137264635575098</v>
      </c>
      <c r="E2613">
        <v>0.90431810396726398</v>
      </c>
      <c r="F2613">
        <v>0.886096191925132</v>
      </c>
      <c r="G2613">
        <v>0.80500744151193004</v>
      </c>
      <c r="H2613">
        <v>0.57321170350120898</v>
      </c>
      <c r="I2613">
        <v>0.34574275014692102</v>
      </c>
      <c r="J2613">
        <v>7.2684099701234198E-2</v>
      </c>
      <c r="K2613">
        <v>5.0513429168650398E-2</v>
      </c>
      <c r="L2613">
        <v>1226.6506981145401</v>
      </c>
      <c r="M2613">
        <v>19.990271798464999</v>
      </c>
      <c r="N2613">
        <v>61.362388412913702</v>
      </c>
      <c r="O2613">
        <v>60.758215024498803</v>
      </c>
      <c r="P2613">
        <v>-8.2256052765340995E-2</v>
      </c>
      <c r="Q2613">
        <v>0</v>
      </c>
      <c r="R2613">
        <v>0.96676005284394495</v>
      </c>
      <c r="S2613" t="s">
        <v>7353</v>
      </c>
      <c r="T2613" t="s">
        <v>9478</v>
      </c>
      <c r="U2613" t="s">
        <v>9478</v>
      </c>
      <c r="V2613" t="s">
        <v>9478</v>
      </c>
      <c r="W2613">
        <v>12</v>
      </c>
      <c r="X2613" t="s">
        <v>12091</v>
      </c>
      <c r="Y2613">
        <v>0.71715462598346424</v>
      </c>
      <c r="Z2613" t="str">
        <f>HYPERLINK("Melting_Curves/meltCurve_sp_Q8NCW5_NNRE_HUMAN_.pdf", "Melting_Curves/meltCurve_sp_Q8NCW5_NNRE_HUMAN_.pdf")</f>
        <v>Melting_Curves/meltCurve_sp_Q8NCW5_NNRE_HUMAN_.pdf</v>
      </c>
      <c r="AA2613" t="s">
        <v>16785</v>
      </c>
      <c r="AB2613" t="s">
        <v>21447</v>
      </c>
    </row>
    <row r="2614" spans="1:28" x14ac:dyDescent="0.25">
      <c r="A2614" t="s">
        <v>2618</v>
      </c>
      <c r="B2614">
        <v>0.99904790336628502</v>
      </c>
      <c r="C2614">
        <v>0.88136977618989198</v>
      </c>
      <c r="D2614">
        <v>1.08807690844938</v>
      </c>
      <c r="E2614">
        <v>0.902854864709279</v>
      </c>
      <c r="F2614">
        <v>1.1894541529503799</v>
      </c>
      <c r="G2614">
        <v>0.84890521785628503</v>
      </c>
      <c r="H2614">
        <v>0.80782497114842</v>
      </c>
      <c r="I2614">
        <v>0.94179249404677001</v>
      </c>
      <c r="J2614">
        <v>1.0891894857833999</v>
      </c>
      <c r="K2614">
        <v>1.0959770414819401</v>
      </c>
      <c r="L2614">
        <v>15000</v>
      </c>
      <c r="M2614">
        <v>226.37948408423301</v>
      </c>
      <c r="O2614">
        <v>66.255250243562202</v>
      </c>
      <c r="P2614">
        <v>8.2187402349652106E-2</v>
      </c>
      <c r="Q2614">
        <v>1.0962162612974</v>
      </c>
      <c r="R2614">
        <v>0.101642963154286</v>
      </c>
      <c r="S2614" t="s">
        <v>7354</v>
      </c>
      <c r="T2614" t="s">
        <v>9478</v>
      </c>
      <c r="U2614" t="s">
        <v>9478</v>
      </c>
      <c r="V2614" t="s">
        <v>9478</v>
      </c>
      <c r="W2614">
        <v>4</v>
      </c>
      <c r="X2614" t="s">
        <v>12092</v>
      </c>
      <c r="Y2614">
        <v>1.011979969216813</v>
      </c>
      <c r="Z2614" t="str">
        <f>HYPERLINK("Melting_Curves/meltCurve_sp_Q8ND23_2_LR16B_HUMAN_.pdf", "Melting_Curves/meltCurve_sp_Q8ND23_2_LR16B_HUMAN_.pdf")</f>
        <v>Melting_Curves/meltCurve_sp_Q8ND23_2_LR16B_HUMAN_.pdf</v>
      </c>
      <c r="AA2614" t="s">
        <v>16786</v>
      </c>
      <c r="AB2614" t="s">
        <v>21448</v>
      </c>
    </row>
    <row r="2615" spans="1:28" x14ac:dyDescent="0.25">
      <c r="A2615" t="s">
        <v>2619</v>
      </c>
      <c r="B2615">
        <v>0.99904790336628502</v>
      </c>
      <c r="C2615">
        <v>1.09080902661019</v>
      </c>
      <c r="D2615">
        <v>1.06390089401423</v>
      </c>
      <c r="E2615">
        <v>0.89023962215660202</v>
      </c>
      <c r="F2615">
        <v>0.76509770668438304</v>
      </c>
      <c r="G2615">
        <v>0.52069944184930095</v>
      </c>
      <c r="H2615">
        <v>0.442792937182442</v>
      </c>
      <c r="I2615">
        <v>0.37122292844210902</v>
      </c>
      <c r="J2615">
        <v>0.37695331876013599</v>
      </c>
      <c r="K2615">
        <v>0.39881842234373399</v>
      </c>
      <c r="L2615">
        <v>1261.3042001096901</v>
      </c>
      <c r="M2615">
        <v>23.344034201976399</v>
      </c>
      <c r="N2615">
        <v>57.560638409253301</v>
      </c>
      <c r="O2615">
        <v>53.639301908722601</v>
      </c>
      <c r="P2615">
        <v>-6.7401785909843498E-2</v>
      </c>
      <c r="Q2615">
        <v>0.38051481697262102</v>
      </c>
      <c r="R2615">
        <v>0.98002473356855502</v>
      </c>
      <c r="S2615" t="s">
        <v>7355</v>
      </c>
      <c r="T2615" t="s">
        <v>9478</v>
      </c>
      <c r="U2615" t="s">
        <v>9478</v>
      </c>
      <c r="V2615" t="s">
        <v>9478</v>
      </c>
      <c r="W2615">
        <v>6</v>
      </c>
      <c r="X2615" t="s">
        <v>12093</v>
      </c>
      <c r="Y2615">
        <v>0.67673251777350985</v>
      </c>
      <c r="Z2615" t="str">
        <f>HYPERLINK("Melting_Curves/meltCurve_sp_Q8ND24_RN214_HUMAN_.pdf", "Melting_Curves/meltCurve_sp_Q8ND24_RN214_HUMAN_.pdf")</f>
        <v>Melting_Curves/meltCurve_sp_Q8ND24_RN214_HUMAN_.pdf</v>
      </c>
      <c r="AA2615" t="s">
        <v>16787</v>
      </c>
      <c r="AB2615" t="s">
        <v>21449</v>
      </c>
    </row>
    <row r="2616" spans="1:28" x14ac:dyDescent="0.25">
      <c r="A2616" t="s">
        <v>2620</v>
      </c>
      <c r="B2616">
        <v>0.99904790336628502</v>
      </c>
      <c r="C2616">
        <v>0.93110063553399902</v>
      </c>
      <c r="D2616">
        <v>0.89198119666854403</v>
      </c>
      <c r="E2616">
        <v>0.75229756831658801</v>
      </c>
      <c r="F2616">
        <v>0.55994934606130198</v>
      </c>
      <c r="G2616">
        <v>0.38021543181150502</v>
      </c>
      <c r="H2616">
        <v>0.28623690096270699</v>
      </c>
      <c r="I2616">
        <v>0.24030463948032099</v>
      </c>
      <c r="J2616">
        <v>0.24123690964994501</v>
      </c>
      <c r="K2616">
        <v>0.217089653724792</v>
      </c>
      <c r="L2616">
        <v>740.56784961820404</v>
      </c>
      <c r="M2616">
        <v>14.1296509979788</v>
      </c>
      <c r="N2616">
        <v>54.275652198759801</v>
      </c>
      <c r="O2616">
        <v>51.3959935757102</v>
      </c>
      <c r="P2616">
        <v>-5.5528240990873397E-2</v>
      </c>
      <c r="Q2616">
        <v>0.19217682409182599</v>
      </c>
      <c r="R2616">
        <v>0.99741492280538702</v>
      </c>
      <c r="S2616" t="s">
        <v>7356</v>
      </c>
      <c r="T2616" t="s">
        <v>9478</v>
      </c>
      <c r="U2616" t="s">
        <v>9478</v>
      </c>
      <c r="V2616" t="s">
        <v>9478</v>
      </c>
      <c r="W2616">
        <v>21</v>
      </c>
      <c r="X2616" t="s">
        <v>12094</v>
      </c>
      <c r="Y2616">
        <v>0.54580163187066477</v>
      </c>
      <c r="Z2616" t="str">
        <f>HYPERLINK("Melting_Curves/meltCurve_sp_Q8ND30_LIPB2_HUMAN_.pdf", "Melting_Curves/meltCurve_sp_Q8ND30_LIPB2_HUMAN_.pdf")</f>
        <v>Melting_Curves/meltCurve_sp_Q8ND30_LIPB2_HUMAN_.pdf</v>
      </c>
      <c r="AA2616" t="s">
        <v>16788</v>
      </c>
      <c r="AB2616" t="s">
        <v>21450</v>
      </c>
    </row>
    <row r="2617" spans="1:28" x14ac:dyDescent="0.25">
      <c r="A2617" t="s">
        <v>2621</v>
      </c>
      <c r="B2617">
        <v>0.99904790336628502</v>
      </c>
      <c r="C2617">
        <v>0.94061189249381905</v>
      </c>
      <c r="D2617">
        <v>0.92618019961170195</v>
      </c>
      <c r="E2617">
        <v>0.88483661781496303</v>
      </c>
      <c r="F2617">
        <v>0.89089452753200005</v>
      </c>
      <c r="G2617">
        <v>0.72545824005349002</v>
      </c>
      <c r="H2617">
        <v>0.63925836862425101</v>
      </c>
      <c r="I2617">
        <v>0.55232753944052404</v>
      </c>
      <c r="J2617">
        <v>0.50144982021569995</v>
      </c>
      <c r="K2617">
        <v>0.407640428157168</v>
      </c>
      <c r="L2617">
        <v>433.06347423826998</v>
      </c>
      <c r="M2617">
        <v>6.52228591040656</v>
      </c>
      <c r="N2617">
        <v>66.397499289997</v>
      </c>
      <c r="O2617">
        <v>60.984418787116901</v>
      </c>
      <c r="P2617">
        <v>-2.6801645917707201E-2</v>
      </c>
      <c r="Q2617">
        <v>0</v>
      </c>
      <c r="R2617">
        <v>0.98675240132182696</v>
      </c>
      <c r="S2617" t="s">
        <v>7357</v>
      </c>
      <c r="T2617" t="s">
        <v>9478</v>
      </c>
      <c r="U2617" t="s">
        <v>9478</v>
      </c>
      <c r="V2617" t="s">
        <v>9478</v>
      </c>
      <c r="W2617">
        <v>3</v>
      </c>
      <c r="X2617" t="s">
        <v>12095</v>
      </c>
      <c r="Y2617">
        <v>0.75956793255048216</v>
      </c>
      <c r="Z2617" t="str">
        <f>HYPERLINK("Melting_Curves/meltCurve_sp_Q8ND76_3_CCNY_HUMAN_.pdf", "Melting_Curves/meltCurve_sp_Q8ND76_3_CCNY_HUMAN_.pdf")</f>
        <v>Melting_Curves/meltCurve_sp_Q8ND76_3_CCNY_HUMAN_.pdf</v>
      </c>
      <c r="AA2617" t="s">
        <v>16789</v>
      </c>
      <c r="AB2617" t="s">
        <v>21451</v>
      </c>
    </row>
    <row r="2618" spans="1:28" x14ac:dyDescent="0.25">
      <c r="A2618" t="s">
        <v>2622</v>
      </c>
      <c r="B2618">
        <v>0.99904790336628502</v>
      </c>
      <c r="C2618">
        <v>1.0232459809805099</v>
      </c>
      <c r="D2618">
        <v>1.0674809270741601</v>
      </c>
      <c r="E2618">
        <v>1.04440382332219</v>
      </c>
      <c r="F2618">
        <v>0.88009189764907803</v>
      </c>
      <c r="G2618">
        <v>0.69580890470680001</v>
      </c>
      <c r="H2618">
        <v>0.39179081878362199</v>
      </c>
      <c r="I2618">
        <v>0.23695454836080701</v>
      </c>
      <c r="J2618">
        <v>9.3727038675908397E-2</v>
      </c>
      <c r="K2618">
        <v>7.3560658289986897E-2</v>
      </c>
      <c r="L2618">
        <v>1138.14094659336</v>
      </c>
      <c r="M2618">
        <v>19.137155090568701</v>
      </c>
      <c r="N2618">
        <v>59.562183912142899</v>
      </c>
      <c r="O2618">
        <v>58.834849168630399</v>
      </c>
      <c r="P2618">
        <v>-8.0169804381615001E-2</v>
      </c>
      <c r="Q2618">
        <v>1.4148975500705799E-2</v>
      </c>
      <c r="R2618">
        <v>0.99170750318896295</v>
      </c>
      <c r="S2618" t="s">
        <v>7358</v>
      </c>
      <c r="T2618" t="s">
        <v>9478</v>
      </c>
      <c r="U2618" t="s">
        <v>9478</v>
      </c>
      <c r="V2618" t="s">
        <v>9478</v>
      </c>
      <c r="W2618">
        <v>8</v>
      </c>
      <c r="X2618" t="s">
        <v>12096</v>
      </c>
      <c r="Y2618">
        <v>0.66339626341679303</v>
      </c>
      <c r="Z2618" t="str">
        <f>HYPERLINK("Melting_Curves/meltCurve_sp_Q8NDH3_PEPL1_HUMAN_.pdf", "Melting_Curves/meltCurve_sp_Q8NDH3_PEPL1_HUMAN_.pdf")</f>
        <v>Melting_Curves/meltCurve_sp_Q8NDH3_PEPL1_HUMAN_.pdf</v>
      </c>
      <c r="AA2618" t="s">
        <v>16790</v>
      </c>
      <c r="AB2618" t="s">
        <v>21452</v>
      </c>
    </row>
    <row r="2619" spans="1:28" x14ac:dyDescent="0.25">
      <c r="A2619" t="s">
        <v>2623</v>
      </c>
      <c r="B2619">
        <v>0.99904790336628502</v>
      </c>
      <c r="C2619">
        <v>1.0092136575628901</v>
      </c>
      <c r="D2619">
        <v>0.98952403071802097</v>
      </c>
      <c r="E2619">
        <v>0.77859775687486499</v>
      </c>
      <c r="F2619">
        <v>0.69143991512716096</v>
      </c>
      <c r="G2619">
        <v>0.45649975316413699</v>
      </c>
      <c r="H2619">
        <v>0.39959138231709401</v>
      </c>
      <c r="I2619">
        <v>0.38933583520969101</v>
      </c>
      <c r="J2619">
        <v>0.40202866421848699</v>
      </c>
      <c r="K2619">
        <v>0.38668749296292498</v>
      </c>
      <c r="L2619">
        <v>1048.66162426604</v>
      </c>
      <c r="M2619">
        <v>20.053444924162601</v>
      </c>
      <c r="N2619">
        <v>56.259660473599602</v>
      </c>
      <c r="O2619">
        <v>51.781668806462797</v>
      </c>
      <c r="P2619">
        <v>-6.0184743453002502E-2</v>
      </c>
      <c r="Q2619">
        <v>0.378388082241573</v>
      </c>
      <c r="R2619">
        <v>0.99152784240869896</v>
      </c>
      <c r="S2619" t="s">
        <v>7359</v>
      </c>
      <c r="T2619" t="s">
        <v>9478</v>
      </c>
      <c r="U2619" t="s">
        <v>9478</v>
      </c>
      <c r="V2619" t="s">
        <v>9478</v>
      </c>
      <c r="W2619">
        <v>17</v>
      </c>
      <c r="X2619" t="s">
        <v>12097</v>
      </c>
      <c r="Y2619">
        <v>0.64166108051243598</v>
      </c>
      <c r="Z2619" t="str">
        <f>HYPERLINK("Melting_Curves/meltCurve_sp_Q8NDI1_3_EHBP1_HUMAN_.pdf", "Melting_Curves/meltCurve_sp_Q8NDI1_3_EHBP1_HUMAN_.pdf")</f>
        <v>Melting_Curves/meltCurve_sp_Q8NDI1_3_EHBP1_HUMAN_.pdf</v>
      </c>
      <c r="AA2619" t="s">
        <v>16791</v>
      </c>
      <c r="AB2619" t="s">
        <v>21453</v>
      </c>
    </row>
    <row r="2620" spans="1:28" x14ac:dyDescent="0.25">
      <c r="A2620" t="s">
        <v>2624</v>
      </c>
      <c r="B2620">
        <v>0.99904790336628502</v>
      </c>
      <c r="C2620">
        <v>0.80772369868020799</v>
      </c>
      <c r="D2620">
        <v>0.54355489770523102</v>
      </c>
      <c r="E2620">
        <v>0.25339584231284301</v>
      </c>
      <c r="F2620">
        <v>0.158083779461688</v>
      </c>
      <c r="G2620">
        <v>0.102880074929434</v>
      </c>
      <c r="H2620">
        <v>7.0218461821374895E-2</v>
      </c>
      <c r="I2620">
        <v>5.9164268116410602E-2</v>
      </c>
      <c r="J2620">
        <v>5.54579757856693E-2</v>
      </c>
      <c r="K2620">
        <v>5.0762741133539901E-2</v>
      </c>
      <c r="L2620">
        <v>846.85877204825101</v>
      </c>
      <c r="M2620">
        <v>18.304633946312201</v>
      </c>
      <c r="N2620">
        <v>46.587759506512299</v>
      </c>
      <c r="O2620">
        <v>45.723147753395303</v>
      </c>
      <c r="P2620">
        <v>-9.4123422689026806E-2</v>
      </c>
      <c r="Q2620">
        <v>5.9599786060640703E-2</v>
      </c>
      <c r="R2620">
        <v>0.99694164784737205</v>
      </c>
      <c r="S2620" t="s">
        <v>7360</v>
      </c>
      <c r="T2620" t="s">
        <v>9478</v>
      </c>
      <c r="U2620" t="s">
        <v>9478</v>
      </c>
      <c r="V2620" t="s">
        <v>9478</v>
      </c>
      <c r="W2620">
        <v>5</v>
      </c>
      <c r="X2620" t="s">
        <v>12098</v>
      </c>
      <c r="Y2620">
        <v>0.27342315693191099</v>
      </c>
      <c r="Z2620" t="str">
        <f>HYPERLINK("Melting_Curves/meltCurve_sp_Q8NE62_CHDH_HUMAN_.pdf", "Melting_Curves/meltCurve_sp_Q8NE62_CHDH_HUMAN_.pdf")</f>
        <v>Melting_Curves/meltCurve_sp_Q8NE62_CHDH_HUMAN_.pdf</v>
      </c>
      <c r="AA2620" t="s">
        <v>16792</v>
      </c>
      <c r="AB2620" t="s">
        <v>21454</v>
      </c>
    </row>
    <row r="2621" spans="1:28" x14ac:dyDescent="0.25">
      <c r="A2621" t="s">
        <v>2625</v>
      </c>
      <c r="B2621">
        <v>0.99904790336628502</v>
      </c>
      <c r="C2621">
        <v>0.91980685039541599</v>
      </c>
      <c r="D2621">
        <v>0.754541293084243</v>
      </c>
      <c r="E2621">
        <v>0.58817350988047801</v>
      </c>
      <c r="F2621">
        <v>0.52038628035839996</v>
      </c>
      <c r="G2621">
        <v>0.39775791003779898</v>
      </c>
      <c r="H2621">
        <v>0.33073096329509399</v>
      </c>
      <c r="I2621">
        <v>0.30183580378063601</v>
      </c>
      <c r="J2621">
        <v>0.28806661396800298</v>
      </c>
      <c r="K2621">
        <v>0.313524280100694</v>
      </c>
      <c r="L2621">
        <v>614.210147423325</v>
      </c>
      <c r="M2621">
        <v>12.4800366194651</v>
      </c>
      <c r="N2621">
        <v>52.639658558789399</v>
      </c>
      <c r="O2621">
        <v>48.003033074432601</v>
      </c>
      <c r="P2621">
        <v>-4.6938264502244899E-2</v>
      </c>
      <c r="Q2621">
        <v>0.277978873780449</v>
      </c>
      <c r="R2621">
        <v>0.99213908269690998</v>
      </c>
      <c r="S2621" t="s">
        <v>7361</v>
      </c>
      <c r="T2621" t="s">
        <v>9478</v>
      </c>
      <c r="U2621" t="s">
        <v>9478</v>
      </c>
      <c r="V2621" t="s">
        <v>9478</v>
      </c>
      <c r="W2621">
        <v>18</v>
      </c>
      <c r="X2621" t="s">
        <v>12099</v>
      </c>
      <c r="Y2621">
        <v>0.52429096772881223</v>
      </c>
      <c r="Z2621" t="str">
        <f>HYPERLINK("Melting_Curves/meltCurve_sp_Q8NE71_ABCF1_HUMAN_.pdf", "Melting_Curves/meltCurve_sp_Q8NE71_ABCF1_HUMAN_.pdf")</f>
        <v>Melting_Curves/meltCurve_sp_Q8NE71_ABCF1_HUMAN_.pdf</v>
      </c>
      <c r="AA2621" t="s">
        <v>16793</v>
      </c>
      <c r="AB2621" t="s">
        <v>21455</v>
      </c>
    </row>
    <row r="2622" spans="1:28" x14ac:dyDescent="0.25">
      <c r="A2622" t="s">
        <v>2626</v>
      </c>
      <c r="B2622">
        <v>0.99904790336628502</v>
      </c>
      <c r="C2622">
        <v>0.94790491810075705</v>
      </c>
      <c r="D2622">
        <v>0.92766598575251003</v>
      </c>
      <c r="E2622">
        <v>0.61617878494534895</v>
      </c>
      <c r="F2622">
        <v>0.31299043675619698</v>
      </c>
      <c r="G2622">
        <v>0.12874623656843101</v>
      </c>
      <c r="H2622">
        <v>8.7321005766756402E-2</v>
      </c>
      <c r="I2622">
        <v>5.5593217405966601E-2</v>
      </c>
      <c r="J2622">
        <v>4.5419175315950903E-2</v>
      </c>
      <c r="K2622">
        <v>2.7362633530885101E-2</v>
      </c>
      <c r="L2622">
        <v>1117.4732176698401</v>
      </c>
      <c r="M2622">
        <v>21.965180420864598</v>
      </c>
      <c r="N2622">
        <v>51.082847325679602</v>
      </c>
      <c r="O2622">
        <v>50.458716817602301</v>
      </c>
      <c r="P2622">
        <v>-0.104172537510313</v>
      </c>
      <c r="Q2622">
        <v>4.2795295316523901E-2</v>
      </c>
      <c r="R2622">
        <v>0.99848234762857602</v>
      </c>
      <c r="S2622" t="s">
        <v>7362</v>
      </c>
      <c r="T2622" t="s">
        <v>9478</v>
      </c>
      <c r="U2622" t="s">
        <v>9478</v>
      </c>
      <c r="V2622" t="s">
        <v>9478</v>
      </c>
      <c r="W2622">
        <v>10</v>
      </c>
      <c r="X2622" t="s">
        <v>12100</v>
      </c>
      <c r="Y2622">
        <v>0.40089167321836278</v>
      </c>
      <c r="Z2622" t="str">
        <f>HYPERLINK("Melting_Curves/meltCurve_sp_Q8NEB9_PK3C3_HUMAN_.pdf", "Melting_Curves/meltCurve_sp_Q8NEB9_PK3C3_HUMAN_.pdf")</f>
        <v>Melting_Curves/meltCurve_sp_Q8NEB9_PK3C3_HUMAN_.pdf</v>
      </c>
      <c r="AA2622" t="s">
        <v>16794</v>
      </c>
      <c r="AB2622" t="s">
        <v>21456</v>
      </c>
    </row>
    <row r="2623" spans="1:28" x14ac:dyDescent="0.25">
      <c r="A2623" t="s">
        <v>2627</v>
      </c>
      <c r="B2623">
        <v>0.99904790336628502</v>
      </c>
      <c r="C2623">
        <v>0.99162770910224696</v>
      </c>
      <c r="D2623">
        <v>0.93207723533702003</v>
      </c>
      <c r="E2623">
        <v>0.92919063009093605</v>
      </c>
      <c r="F2623">
        <v>1.0294198829015899</v>
      </c>
      <c r="G2623">
        <v>0.63858947160511603</v>
      </c>
      <c r="H2623">
        <v>0.59493036488848405</v>
      </c>
      <c r="I2623">
        <v>0.62981934865502398</v>
      </c>
      <c r="J2623">
        <v>0.64488267775393004</v>
      </c>
      <c r="K2623">
        <v>0.56634028788403401</v>
      </c>
      <c r="L2623">
        <v>14107.365293974801</v>
      </c>
      <c r="M2623">
        <v>250</v>
      </c>
      <c r="O2623">
        <v>56.425827734530401</v>
      </c>
      <c r="P2623">
        <v>-0.43309808225643198</v>
      </c>
      <c r="Q2623">
        <v>0.60899316025725903</v>
      </c>
      <c r="R2623">
        <v>0.95776415128966796</v>
      </c>
      <c r="S2623" t="s">
        <v>7363</v>
      </c>
      <c r="T2623" t="s">
        <v>9478</v>
      </c>
      <c r="U2623" t="s">
        <v>9478</v>
      </c>
      <c r="V2623" t="s">
        <v>9478</v>
      </c>
      <c r="W2623">
        <v>5</v>
      </c>
      <c r="X2623" t="s">
        <v>12101</v>
      </c>
      <c r="Y2623">
        <v>0.82316627253844754</v>
      </c>
      <c r="Z2623" t="str">
        <f>HYPERLINK("Melting_Curves/meltCurve_sp_Q8NEN9_PDZD8_HUMAN_.pdf", "Melting_Curves/meltCurve_sp_Q8NEN9_PDZD8_HUMAN_.pdf")</f>
        <v>Melting_Curves/meltCurve_sp_Q8NEN9_PDZD8_HUMAN_.pdf</v>
      </c>
      <c r="AA2623" t="s">
        <v>16795</v>
      </c>
      <c r="AB2623" t="s">
        <v>21457</v>
      </c>
    </row>
    <row r="2624" spans="1:28" x14ac:dyDescent="0.25">
      <c r="A2624" t="s">
        <v>2628</v>
      </c>
      <c r="B2624">
        <v>0.99904790336628502</v>
      </c>
      <c r="C2624">
        <v>0.96863175790035105</v>
      </c>
      <c r="D2624">
        <v>0.92393694937040205</v>
      </c>
      <c r="E2624">
        <v>0.43844764731674302</v>
      </c>
      <c r="F2624">
        <v>0.25272513202999702</v>
      </c>
      <c r="G2624">
        <v>0.14008672244043099</v>
      </c>
      <c r="H2624">
        <v>7.4062437137120102E-2</v>
      </c>
      <c r="I2624">
        <v>5.30235618316078E-2</v>
      </c>
      <c r="J2624">
        <v>3.8046129509865002E-2</v>
      </c>
      <c r="K2624">
        <v>3.2222928801653901E-2</v>
      </c>
      <c r="L2624">
        <v>1191.84459560959</v>
      </c>
      <c r="M2624">
        <v>24.0250788314749</v>
      </c>
      <c r="N2624">
        <v>49.857976271070697</v>
      </c>
      <c r="O2624">
        <v>49.2684884685738</v>
      </c>
      <c r="P2624">
        <v>-0.115002619363716</v>
      </c>
      <c r="Q2624">
        <v>5.6666408655991103E-2</v>
      </c>
      <c r="R2624">
        <v>0.99453245864368101</v>
      </c>
      <c r="S2624" t="s">
        <v>7364</v>
      </c>
      <c r="T2624" t="s">
        <v>9478</v>
      </c>
      <c r="U2624" t="s">
        <v>9478</v>
      </c>
      <c r="V2624" t="s">
        <v>9478</v>
      </c>
      <c r="W2624">
        <v>11</v>
      </c>
      <c r="X2624" t="s">
        <v>12102</v>
      </c>
      <c r="Y2624">
        <v>0.36790065224030299</v>
      </c>
      <c r="Z2624" t="str">
        <f>HYPERLINK("Melting_Curves/meltCurve_sp_Q8NEU8_DP13B_HUMAN_.pdf", "Melting_Curves/meltCurve_sp_Q8NEU8_DP13B_HUMAN_.pdf")</f>
        <v>Melting_Curves/meltCurve_sp_Q8NEU8_DP13B_HUMAN_.pdf</v>
      </c>
      <c r="AA2624" t="s">
        <v>16796</v>
      </c>
      <c r="AB2624" t="s">
        <v>21458</v>
      </c>
    </row>
    <row r="2625" spans="1:28" x14ac:dyDescent="0.25">
      <c r="A2625" t="s">
        <v>2629</v>
      </c>
      <c r="B2625">
        <v>0.99904790336628502</v>
      </c>
      <c r="C2625">
        <v>0.96645073599969999</v>
      </c>
      <c r="D2625">
        <v>0.92377612500143302</v>
      </c>
      <c r="E2625">
        <v>0.88568830292919498</v>
      </c>
      <c r="F2625">
        <v>0.86744270342965801</v>
      </c>
      <c r="G2625">
        <v>0.701190083436802</v>
      </c>
      <c r="H2625">
        <v>0.59362648638882998</v>
      </c>
      <c r="I2625">
        <v>0.64859244645969705</v>
      </c>
      <c r="J2625">
        <v>0.70623317455910195</v>
      </c>
      <c r="K2625">
        <v>0.78427721382273996</v>
      </c>
      <c r="L2625">
        <v>1019.7712726920799</v>
      </c>
      <c r="M2625">
        <v>19.647104934065599</v>
      </c>
      <c r="O2625">
        <v>51.375672532019003</v>
      </c>
      <c r="P2625">
        <v>-3.0711108177288199E-2</v>
      </c>
      <c r="Q2625">
        <v>0.67878255815104904</v>
      </c>
      <c r="R2625">
        <v>0.82658217535537704</v>
      </c>
      <c r="S2625" t="s">
        <v>7365</v>
      </c>
      <c r="T2625" t="s">
        <v>9478</v>
      </c>
      <c r="U2625" t="s">
        <v>9478</v>
      </c>
      <c r="V2625" t="s">
        <v>9478</v>
      </c>
      <c r="W2625">
        <v>4</v>
      </c>
      <c r="X2625" t="s">
        <v>12103</v>
      </c>
      <c r="Y2625">
        <v>0.81083718516598702</v>
      </c>
      <c r="Z2625" t="str">
        <f>HYPERLINK("Melting_Curves/meltCurve_sp_Q8NEY8_6_PPHLN_HUMAN_.pdf", "Melting_Curves/meltCurve_sp_Q8NEY8_6_PPHLN_HUMAN_.pdf")</f>
        <v>Melting_Curves/meltCurve_sp_Q8NEY8_6_PPHLN_HUMAN_.pdf</v>
      </c>
      <c r="AA2625" t="s">
        <v>16797</v>
      </c>
      <c r="AB2625" t="s">
        <v>21459</v>
      </c>
    </row>
    <row r="2626" spans="1:28" x14ac:dyDescent="0.25">
      <c r="A2626" t="s">
        <v>2630</v>
      </c>
      <c r="B2626">
        <v>0.99904790336628502</v>
      </c>
      <c r="C2626">
        <v>0.88943798276554098</v>
      </c>
      <c r="D2626">
        <v>0.75345438854840796</v>
      </c>
      <c r="E2626">
        <v>0.65077320603977795</v>
      </c>
      <c r="F2626">
        <v>0.40815671729436098</v>
      </c>
      <c r="G2626">
        <v>0.19950431164409299</v>
      </c>
      <c r="H2626">
        <v>8.8032659262514704E-2</v>
      </c>
      <c r="I2626">
        <v>3.1813166899533001E-2</v>
      </c>
      <c r="J2626">
        <v>0</v>
      </c>
      <c r="K2626">
        <v>0</v>
      </c>
      <c r="L2626">
        <v>690.84491535132895</v>
      </c>
      <c r="M2626">
        <v>13.4702692225371</v>
      </c>
      <c r="N2626">
        <v>51.286645016294401</v>
      </c>
      <c r="O2626">
        <v>50.195916849129397</v>
      </c>
      <c r="P2626">
        <v>-6.7098819248384803E-2</v>
      </c>
      <c r="Q2626">
        <v>0</v>
      </c>
      <c r="R2626">
        <v>0.98868570527893695</v>
      </c>
      <c r="S2626" t="s">
        <v>7366</v>
      </c>
      <c r="T2626" t="s">
        <v>9478</v>
      </c>
      <c r="U2626" t="s">
        <v>9478</v>
      </c>
      <c r="V2626" t="s">
        <v>9478</v>
      </c>
      <c r="W2626">
        <v>2</v>
      </c>
      <c r="X2626" t="s">
        <v>12104</v>
      </c>
      <c r="Y2626">
        <v>0.40331644508913328</v>
      </c>
      <c r="Z2626" t="str">
        <f>HYPERLINK("Melting_Curves/meltCurve_sp_Q8NEZ2_2_VP37A_HUMAN_.pdf", "Melting_Curves/meltCurve_sp_Q8NEZ2_2_VP37A_HUMAN_.pdf")</f>
        <v>Melting_Curves/meltCurve_sp_Q8NEZ2_2_VP37A_HUMAN_.pdf</v>
      </c>
      <c r="AA2626" t="s">
        <v>16798</v>
      </c>
      <c r="AB2626" t="s">
        <v>21460</v>
      </c>
    </row>
    <row r="2627" spans="1:28" x14ac:dyDescent="0.25">
      <c r="A2627" t="s">
        <v>2631</v>
      </c>
      <c r="B2627">
        <v>0.99904790336628502</v>
      </c>
      <c r="C2627">
        <v>0.96722393549186703</v>
      </c>
      <c r="D2627">
        <v>0.95832676669613504</v>
      </c>
      <c r="E2627">
        <v>0.86022086953657895</v>
      </c>
      <c r="F2627">
        <v>0.55773932328341602</v>
      </c>
      <c r="G2627">
        <v>0.19059415028297499</v>
      </c>
      <c r="H2627">
        <v>9.2806900716849106E-2</v>
      </c>
      <c r="I2627">
        <v>4.1273393836854501E-2</v>
      </c>
      <c r="J2627">
        <v>2.1295804083722399E-2</v>
      </c>
      <c r="K2627">
        <v>2.1631670445183899E-2</v>
      </c>
      <c r="L2627">
        <v>1301.0219519222201</v>
      </c>
      <c r="M2627">
        <v>24.3428347583211</v>
      </c>
      <c r="N2627">
        <v>53.553535451254298</v>
      </c>
      <c r="O2627">
        <v>53.089023170611597</v>
      </c>
      <c r="P2627">
        <v>-0.111894263445947</v>
      </c>
      <c r="Q2627">
        <v>2.3898672480606099E-2</v>
      </c>
      <c r="R2627">
        <v>0.99861465603357003</v>
      </c>
      <c r="S2627" t="s">
        <v>7367</v>
      </c>
      <c r="T2627" t="s">
        <v>9478</v>
      </c>
      <c r="U2627" t="s">
        <v>9478</v>
      </c>
      <c r="V2627" t="s">
        <v>9478</v>
      </c>
      <c r="W2627">
        <v>7</v>
      </c>
      <c r="X2627" t="s">
        <v>12105</v>
      </c>
      <c r="Y2627">
        <v>0.47084639195546307</v>
      </c>
      <c r="Z2627" t="str">
        <f>HYPERLINK("Melting_Curves/meltCurve_sp_Q8NEZ5_FBX22_HUMAN_.pdf", "Melting_Curves/meltCurve_sp_Q8NEZ5_FBX22_HUMAN_.pdf")</f>
        <v>Melting_Curves/meltCurve_sp_Q8NEZ5_FBX22_HUMAN_.pdf</v>
      </c>
      <c r="AA2627" t="s">
        <v>16799</v>
      </c>
      <c r="AB2627" t="s">
        <v>21461</v>
      </c>
    </row>
    <row r="2628" spans="1:28" x14ac:dyDescent="0.25">
      <c r="A2628" t="s">
        <v>2632</v>
      </c>
      <c r="B2628">
        <v>0.99904790336628502</v>
      </c>
      <c r="C2628">
        <v>0.95278765598168003</v>
      </c>
      <c r="D2628">
        <v>0.95189231229151705</v>
      </c>
      <c r="E2628">
        <v>0.94071559509233205</v>
      </c>
      <c r="F2628">
        <v>0.93021782558185895</v>
      </c>
      <c r="G2628">
        <v>0.68261583295917105</v>
      </c>
      <c r="H2628">
        <v>0.64250510474025402</v>
      </c>
      <c r="I2628">
        <v>0.63584651542703796</v>
      </c>
      <c r="J2628">
        <v>0.61413994629429802</v>
      </c>
      <c r="K2628">
        <v>0.59230010657542198</v>
      </c>
      <c r="L2628">
        <v>1857.0456113691</v>
      </c>
      <c r="M2628">
        <v>33.859687929024297</v>
      </c>
      <c r="O2628">
        <v>54.655079349640602</v>
      </c>
      <c r="P2628">
        <v>-5.96826899960149E-2</v>
      </c>
      <c r="Q2628">
        <v>0.61465102726618803</v>
      </c>
      <c r="R2628">
        <v>0.96870035804425203</v>
      </c>
      <c r="S2628" t="s">
        <v>7368</v>
      </c>
      <c r="T2628" t="s">
        <v>9478</v>
      </c>
      <c r="U2628" t="s">
        <v>9478</v>
      </c>
      <c r="V2628" t="s">
        <v>9478</v>
      </c>
      <c r="W2628">
        <v>17</v>
      </c>
      <c r="X2628" t="s">
        <v>12106</v>
      </c>
      <c r="Y2628">
        <v>0.80736127978939087</v>
      </c>
      <c r="Z2628" t="str">
        <f>HYPERLINK("Melting_Curves/meltCurve_sp_Q8NFC6_BD1L1_HUMAN_.pdf", "Melting_Curves/meltCurve_sp_Q8NFC6_BD1L1_HUMAN_.pdf")</f>
        <v>Melting_Curves/meltCurve_sp_Q8NFC6_BD1L1_HUMAN_.pdf</v>
      </c>
      <c r="AA2628" t="s">
        <v>16800</v>
      </c>
      <c r="AB2628" t="s">
        <v>21462</v>
      </c>
    </row>
    <row r="2629" spans="1:28" x14ac:dyDescent="0.25">
      <c r="A2629" t="s">
        <v>2633</v>
      </c>
      <c r="B2629">
        <v>0.99904790336628502</v>
      </c>
      <c r="C2629">
        <v>0.86447907245760702</v>
      </c>
      <c r="D2629">
        <v>0.70917600879116305</v>
      </c>
      <c r="E2629">
        <v>0.27798068916563901</v>
      </c>
      <c r="F2629">
        <v>0.13359211696262299</v>
      </c>
      <c r="G2629">
        <v>0.101056149497686</v>
      </c>
      <c r="H2629">
        <v>5.9013732743454297E-2</v>
      </c>
      <c r="I2629">
        <v>4.8457800849264501E-2</v>
      </c>
      <c r="J2629">
        <v>5.54922084116828E-2</v>
      </c>
      <c r="K2629">
        <v>4.6429568690589701E-2</v>
      </c>
      <c r="L2629">
        <v>1003.68982647839</v>
      </c>
      <c r="M2629">
        <v>21.146232690429301</v>
      </c>
      <c r="N2629">
        <v>47.704646594919303</v>
      </c>
      <c r="O2629">
        <v>47.045863919489399</v>
      </c>
      <c r="P2629">
        <v>-0.10669358447006</v>
      </c>
      <c r="Q2629">
        <v>5.0542450617133597E-2</v>
      </c>
      <c r="R2629">
        <v>0.99673707765354702</v>
      </c>
      <c r="S2629" t="s">
        <v>7369</v>
      </c>
      <c r="T2629" t="s">
        <v>9478</v>
      </c>
      <c r="U2629" t="s">
        <v>9478</v>
      </c>
      <c r="V2629" t="s">
        <v>9478</v>
      </c>
      <c r="W2629">
        <v>12</v>
      </c>
      <c r="X2629" t="s">
        <v>12107</v>
      </c>
      <c r="Y2629">
        <v>0.29889102784283589</v>
      </c>
      <c r="Z2629" t="str">
        <f>HYPERLINK("Melting_Curves/meltCurve_sp_Q8NFF5_2_FAD1_HUMAN_.pdf", "Melting_Curves/meltCurve_sp_Q8NFF5_2_FAD1_HUMAN_.pdf")</f>
        <v>Melting_Curves/meltCurve_sp_Q8NFF5_2_FAD1_HUMAN_.pdf</v>
      </c>
      <c r="AA2629" t="s">
        <v>16801</v>
      </c>
      <c r="AB2629" t="s">
        <v>21463</v>
      </c>
    </row>
    <row r="2630" spans="1:28" x14ac:dyDescent="0.25">
      <c r="A2630" t="s">
        <v>2634</v>
      </c>
      <c r="B2630">
        <v>0.99904790336628502</v>
      </c>
      <c r="C2630">
        <v>1.0195978177203899</v>
      </c>
      <c r="D2630">
        <v>1.09366783842897</v>
      </c>
      <c r="E2630">
        <v>0.94199874905353698</v>
      </c>
      <c r="F2630">
        <v>0.74673013265121602</v>
      </c>
      <c r="G2630">
        <v>0.32424385592416199</v>
      </c>
      <c r="H2630">
        <v>7.82313162996989E-2</v>
      </c>
      <c r="I2630">
        <v>3.9103878659633301E-2</v>
      </c>
      <c r="J2630">
        <v>2.5310808204395199E-2</v>
      </c>
      <c r="K2630">
        <v>1.2256246202035401E-2</v>
      </c>
      <c r="L2630">
        <v>1461.9319811862499</v>
      </c>
      <c r="M2630">
        <v>26.461535047798801</v>
      </c>
      <c r="N2630">
        <v>55.295514949216802</v>
      </c>
      <c r="O2630">
        <v>54.934784866323398</v>
      </c>
      <c r="P2630">
        <v>-0.119054225417618</v>
      </c>
      <c r="Q2630">
        <v>1.13724703413193E-2</v>
      </c>
      <c r="R2630">
        <v>0.99481062382844498</v>
      </c>
      <c r="S2630" t="s">
        <v>7370</v>
      </c>
      <c r="T2630" t="s">
        <v>9478</v>
      </c>
      <c r="U2630" t="s">
        <v>9478</v>
      </c>
      <c r="V2630" t="s">
        <v>9478</v>
      </c>
      <c r="W2630">
        <v>3</v>
      </c>
      <c r="X2630" t="s">
        <v>12108</v>
      </c>
      <c r="Y2630">
        <v>0.52210836672735172</v>
      </c>
      <c r="Z2630" t="str">
        <f>HYPERLINK("Melting_Curves/meltCurve_sp_Q8NFH3_NUP43_HUMAN_.pdf", "Melting_Curves/meltCurve_sp_Q8NFH3_NUP43_HUMAN_.pdf")</f>
        <v>Melting_Curves/meltCurve_sp_Q8NFH3_NUP43_HUMAN_.pdf</v>
      </c>
      <c r="AA2630" t="s">
        <v>16802</v>
      </c>
      <c r="AB2630" t="s">
        <v>21464</v>
      </c>
    </row>
    <row r="2631" spans="1:28" x14ac:dyDescent="0.25">
      <c r="A2631" t="s">
        <v>2635</v>
      </c>
      <c r="B2631">
        <v>0.99904790336628502</v>
      </c>
      <c r="C2631">
        <v>0.87427190066404403</v>
      </c>
      <c r="D2631">
        <v>0.84816583920890698</v>
      </c>
      <c r="E2631">
        <v>0.78323720355664594</v>
      </c>
      <c r="F2631">
        <v>0.67509731986474397</v>
      </c>
      <c r="G2631">
        <v>0.443392192285673</v>
      </c>
      <c r="H2631">
        <v>0.12446460957687799</v>
      </c>
      <c r="I2631">
        <v>6.8135297921724999E-2</v>
      </c>
      <c r="J2631">
        <v>4.6879903733039498E-2</v>
      </c>
      <c r="K2631">
        <v>3.18032916129182E-2</v>
      </c>
      <c r="L2631">
        <v>793.47790217537897</v>
      </c>
      <c r="M2631">
        <v>14.4446444510197</v>
      </c>
      <c r="N2631">
        <v>54.932299923377698</v>
      </c>
      <c r="O2631">
        <v>53.911645961859101</v>
      </c>
      <c r="P2631">
        <v>-6.6990763980451798E-2</v>
      </c>
      <c r="Q2631">
        <v>0</v>
      </c>
      <c r="R2631">
        <v>0.97390161194876601</v>
      </c>
      <c r="S2631" t="s">
        <v>7371</v>
      </c>
      <c r="T2631" t="s">
        <v>9478</v>
      </c>
      <c r="U2631" t="s">
        <v>9478</v>
      </c>
      <c r="V2631" t="s">
        <v>9478</v>
      </c>
      <c r="W2631">
        <v>5</v>
      </c>
      <c r="X2631" t="s">
        <v>12109</v>
      </c>
      <c r="Y2631">
        <v>0.51789840767148287</v>
      </c>
      <c r="Z2631" t="str">
        <f>HYPERLINK("Melting_Curves/meltCurve_sp_Q8NFH4_NUP37_HUMAN_.pdf", "Melting_Curves/meltCurve_sp_Q8NFH4_NUP37_HUMAN_.pdf")</f>
        <v>Melting_Curves/meltCurve_sp_Q8NFH4_NUP37_HUMAN_.pdf</v>
      </c>
      <c r="AA2631" t="s">
        <v>16803</v>
      </c>
      <c r="AB2631" t="s">
        <v>21465</v>
      </c>
    </row>
    <row r="2632" spans="1:28" x14ac:dyDescent="0.25">
      <c r="A2632" t="s">
        <v>2636</v>
      </c>
      <c r="B2632">
        <v>0.99904790336628502</v>
      </c>
      <c r="C2632">
        <v>0.97241281800736101</v>
      </c>
      <c r="D2632">
        <v>0.97478131311284399</v>
      </c>
      <c r="E2632">
        <v>0.79458846508011405</v>
      </c>
      <c r="F2632">
        <v>0.65511446453938105</v>
      </c>
      <c r="G2632">
        <v>0.461141277315681</v>
      </c>
      <c r="H2632">
        <v>0.38648217852988997</v>
      </c>
      <c r="I2632">
        <v>0.34520261870333901</v>
      </c>
      <c r="J2632">
        <v>0.35159165827685501</v>
      </c>
      <c r="K2632">
        <v>0.33833675993238699</v>
      </c>
      <c r="L2632">
        <v>942.87120598033903</v>
      </c>
      <c r="M2632">
        <v>17.918715077118598</v>
      </c>
      <c r="N2632">
        <v>55.991228720195899</v>
      </c>
      <c r="O2632">
        <v>51.9771001661735</v>
      </c>
      <c r="P2632">
        <v>-5.7743117421517401E-2</v>
      </c>
      <c r="Q2632">
        <v>0.33004792190902499</v>
      </c>
      <c r="R2632">
        <v>0.99809517542130899</v>
      </c>
      <c r="S2632" t="s">
        <v>7372</v>
      </c>
      <c r="T2632" t="s">
        <v>9478</v>
      </c>
      <c r="U2632" t="s">
        <v>9478</v>
      </c>
      <c r="V2632" t="s">
        <v>9478</v>
      </c>
      <c r="W2632">
        <v>13</v>
      </c>
      <c r="X2632" t="s">
        <v>12110</v>
      </c>
      <c r="Y2632">
        <v>0.62298681258806254</v>
      </c>
      <c r="Z2632" t="str">
        <f>HYPERLINK("Melting_Curves/meltCurve_sp_Q8NFH8_4_REPS2_HUMAN_.pdf", "Melting_Curves/meltCurve_sp_Q8NFH8_4_REPS2_HUMAN_.pdf")</f>
        <v>Melting_Curves/meltCurve_sp_Q8NFH8_4_REPS2_HUMAN_.pdf</v>
      </c>
      <c r="AA2632" t="s">
        <v>16804</v>
      </c>
      <c r="AB2632" t="s">
        <v>21466</v>
      </c>
    </row>
    <row r="2633" spans="1:28" x14ac:dyDescent="0.25">
      <c r="A2633" t="s">
        <v>2637</v>
      </c>
      <c r="B2633">
        <v>0.99904790336628502</v>
      </c>
      <c r="C2633">
        <v>1.0194362111097399</v>
      </c>
      <c r="D2633">
        <v>1.02644340678988</v>
      </c>
      <c r="E2633">
        <v>0.91163682329400297</v>
      </c>
      <c r="F2633">
        <v>0.72530878145323896</v>
      </c>
      <c r="G2633">
        <v>0.39516719430938602</v>
      </c>
      <c r="H2633">
        <v>0.11539462572017201</v>
      </c>
      <c r="I2633">
        <v>4.61204824546812E-2</v>
      </c>
      <c r="J2633">
        <v>3.0541819763433401E-2</v>
      </c>
      <c r="K2633">
        <v>2.4969677303952199E-2</v>
      </c>
      <c r="L2633">
        <v>1185.12891206162</v>
      </c>
      <c r="M2633">
        <v>21.312062030059401</v>
      </c>
      <c r="N2633">
        <v>55.610756538085496</v>
      </c>
      <c r="O2633">
        <v>55.125709448934501</v>
      </c>
      <c r="P2633">
        <v>-9.6609984009383698E-2</v>
      </c>
      <c r="Q2633">
        <v>4.6100137550897998E-4</v>
      </c>
      <c r="R2633">
        <v>0.99822207326469303</v>
      </c>
      <c r="S2633" t="s">
        <v>7373</v>
      </c>
      <c r="T2633" t="s">
        <v>9478</v>
      </c>
      <c r="U2633" t="s">
        <v>9478</v>
      </c>
      <c r="V2633" t="s">
        <v>9478</v>
      </c>
      <c r="W2633">
        <v>10</v>
      </c>
      <c r="X2633" t="s">
        <v>12111</v>
      </c>
      <c r="Y2633">
        <v>0.53240746499392189</v>
      </c>
      <c r="Z2633" t="str">
        <f>HYPERLINK("Melting_Curves/meltCurve_sp_Q8NFI3_ENASE_HUMAN_.pdf", "Melting_Curves/meltCurve_sp_Q8NFI3_ENASE_HUMAN_.pdf")</f>
        <v>Melting_Curves/meltCurve_sp_Q8NFI3_ENASE_HUMAN_.pdf</v>
      </c>
      <c r="AA2633" t="s">
        <v>16805</v>
      </c>
      <c r="AB2633" t="s">
        <v>21467</v>
      </c>
    </row>
    <row r="2634" spans="1:28" x14ac:dyDescent="0.25">
      <c r="A2634" t="s">
        <v>2638</v>
      </c>
      <c r="B2634">
        <v>0.99904790336628502</v>
      </c>
      <c r="C2634">
        <v>1.1087581211989399</v>
      </c>
      <c r="D2634">
        <v>1.23609150427114</v>
      </c>
      <c r="E2634">
        <v>1.0263171554200801</v>
      </c>
      <c r="F2634">
        <v>0.89914533548286102</v>
      </c>
      <c r="G2634">
        <v>0.68685280729254505</v>
      </c>
      <c r="H2634">
        <v>0.66350373181198796</v>
      </c>
      <c r="I2634">
        <v>0.63451869825768503</v>
      </c>
      <c r="J2634">
        <v>0.57991779520461695</v>
      </c>
      <c r="K2634">
        <v>0.78571452887649895</v>
      </c>
      <c r="L2634">
        <v>3353.9660567280298</v>
      </c>
      <c r="M2634">
        <v>62.416862543927998</v>
      </c>
      <c r="O2634">
        <v>53.679858870712799</v>
      </c>
      <c r="P2634">
        <v>-9.6479004545097599E-2</v>
      </c>
      <c r="Q2634">
        <v>0.66810395508770803</v>
      </c>
      <c r="R2634">
        <v>0.79943276293473498</v>
      </c>
      <c r="S2634" t="s">
        <v>7374</v>
      </c>
      <c r="T2634" t="s">
        <v>9478</v>
      </c>
      <c r="U2634" t="s">
        <v>9478</v>
      </c>
      <c r="V2634" t="s">
        <v>9478</v>
      </c>
      <c r="W2634">
        <v>2</v>
      </c>
      <c r="X2634" t="s">
        <v>12112</v>
      </c>
      <c r="Y2634">
        <v>0.82056010567597282</v>
      </c>
      <c r="Z2634" t="str">
        <f>HYPERLINK("Melting_Curves/meltCurve_sp_Q8NFQ8_TOIP2_HUMAN_.pdf", "Melting_Curves/meltCurve_sp_Q8NFQ8_TOIP2_HUMAN_.pdf")</f>
        <v>Melting_Curves/meltCurve_sp_Q8NFQ8_TOIP2_HUMAN_.pdf</v>
      </c>
      <c r="AA2634" t="s">
        <v>16806</v>
      </c>
      <c r="AB2634" t="s">
        <v>21468</v>
      </c>
    </row>
    <row r="2635" spans="1:28" x14ac:dyDescent="0.25">
      <c r="A2635" t="s">
        <v>2639</v>
      </c>
      <c r="B2635">
        <v>0.99904790336628502</v>
      </c>
      <c r="C2635">
        <v>0.85340048074888397</v>
      </c>
      <c r="D2635">
        <v>0.85393790000719005</v>
      </c>
      <c r="E2635">
        <v>0.91503065675678597</v>
      </c>
      <c r="F2635">
        <v>0.94550805218179701</v>
      </c>
      <c r="G2635">
        <v>0.88656874081599502</v>
      </c>
      <c r="H2635">
        <v>0.75196660860168496</v>
      </c>
      <c r="I2635">
        <v>0.711488155019396</v>
      </c>
      <c r="J2635">
        <v>0.65823832668697302</v>
      </c>
      <c r="K2635">
        <v>0.58086296286983896</v>
      </c>
      <c r="L2635">
        <v>329.595348006199</v>
      </c>
      <c r="M2635">
        <v>4.2522068771179304</v>
      </c>
      <c r="O2635">
        <v>64.831887400586993</v>
      </c>
      <c r="P2635">
        <v>-1.6569934308702301E-2</v>
      </c>
      <c r="Q2635">
        <v>0</v>
      </c>
      <c r="R2635">
        <v>0.80136703376868501</v>
      </c>
      <c r="S2635" t="s">
        <v>7375</v>
      </c>
      <c r="T2635" t="s">
        <v>9478</v>
      </c>
      <c r="U2635" t="s">
        <v>9478</v>
      </c>
      <c r="V2635" t="s">
        <v>9478</v>
      </c>
      <c r="W2635">
        <v>9</v>
      </c>
      <c r="X2635" t="s">
        <v>12113</v>
      </c>
      <c r="Y2635">
        <v>0.8317240000849303</v>
      </c>
      <c r="Z2635" t="str">
        <f>HYPERLINK("Melting_Curves/meltCurve_sp_Q8NFU3_4_TSTD1_HUMAN_.pdf", "Melting_Curves/meltCurve_sp_Q8NFU3_4_TSTD1_HUMAN_.pdf")</f>
        <v>Melting_Curves/meltCurve_sp_Q8NFU3_4_TSTD1_HUMAN_.pdf</v>
      </c>
      <c r="AA2635" t="s">
        <v>16807</v>
      </c>
      <c r="AB2635" t="s">
        <v>21469</v>
      </c>
    </row>
    <row r="2636" spans="1:28" x14ac:dyDescent="0.25">
      <c r="A2636" t="s">
        <v>2640</v>
      </c>
      <c r="B2636">
        <v>0.99904790336628502</v>
      </c>
      <c r="C2636">
        <v>1.0683323211203</v>
      </c>
      <c r="D2636">
        <v>0.93850649416600396</v>
      </c>
      <c r="E2636">
        <v>0.98960629162337099</v>
      </c>
      <c r="F2636">
        <v>0.99783826291297795</v>
      </c>
      <c r="G2636">
        <v>0.88439850489850902</v>
      </c>
      <c r="H2636">
        <v>0.77468260120909105</v>
      </c>
      <c r="I2636">
        <v>0.66291700341647097</v>
      </c>
      <c r="J2636">
        <v>0.74226404810959201</v>
      </c>
      <c r="K2636">
        <v>0.62015460153061597</v>
      </c>
      <c r="L2636">
        <v>1391.2786313233</v>
      </c>
      <c r="M2636">
        <v>23.5832921304184</v>
      </c>
      <c r="O2636">
        <v>58.574977855551097</v>
      </c>
      <c r="P2636">
        <v>-3.4932733341747499E-2</v>
      </c>
      <c r="Q2636">
        <v>0.65294931443942605</v>
      </c>
      <c r="R2636">
        <v>0.92325454973051502</v>
      </c>
      <c r="S2636" t="s">
        <v>7376</v>
      </c>
      <c r="T2636" t="s">
        <v>9478</v>
      </c>
      <c r="U2636" t="s">
        <v>9478</v>
      </c>
      <c r="V2636" t="s">
        <v>9478</v>
      </c>
      <c r="W2636">
        <v>9</v>
      </c>
      <c r="X2636" t="s">
        <v>12114</v>
      </c>
      <c r="Y2636">
        <v>0.8757186571316663</v>
      </c>
      <c r="Z2636" t="str">
        <f>HYPERLINK("Melting_Curves/meltCurve_sp_Q8NFU3_TSTD1_HUMAN_.pdf", "Melting_Curves/meltCurve_sp_Q8NFU3_TSTD1_HUMAN_.pdf")</f>
        <v>Melting_Curves/meltCurve_sp_Q8NFU3_TSTD1_HUMAN_.pdf</v>
      </c>
      <c r="AA2636" t="s">
        <v>16807</v>
      </c>
      <c r="AB2636" t="s">
        <v>21470</v>
      </c>
    </row>
    <row r="2637" spans="1:28" x14ac:dyDescent="0.25">
      <c r="A2637" t="s">
        <v>2641</v>
      </c>
      <c r="B2637">
        <v>0.99904790336628502</v>
      </c>
      <c r="C2637">
        <v>1.0496459684845301</v>
      </c>
      <c r="D2637">
        <v>1.00226177352937</v>
      </c>
      <c r="E2637">
        <v>0.88010264137195804</v>
      </c>
      <c r="F2637">
        <v>0.53183399189203295</v>
      </c>
      <c r="G2637">
        <v>0.15057967922361101</v>
      </c>
      <c r="H2637">
        <v>8.4167753298465098E-2</v>
      </c>
      <c r="I2637">
        <v>5.0863422596137201E-2</v>
      </c>
      <c r="J2637">
        <v>3.3478594707627402E-2</v>
      </c>
      <c r="K2637">
        <v>3.11035207098318E-2</v>
      </c>
      <c r="L2637">
        <v>1617.11130282111</v>
      </c>
      <c r="M2637">
        <v>30.4479481561612</v>
      </c>
      <c r="N2637">
        <v>53.268466563527198</v>
      </c>
      <c r="O2637">
        <v>52.883163647659302</v>
      </c>
      <c r="P2637">
        <v>-0.13773375966388199</v>
      </c>
      <c r="Q2637">
        <v>4.3120782433808E-2</v>
      </c>
      <c r="R2637">
        <v>0.99812946615591602</v>
      </c>
      <c r="S2637" t="s">
        <v>7377</v>
      </c>
      <c r="T2637" t="s">
        <v>9478</v>
      </c>
      <c r="U2637" t="s">
        <v>9478</v>
      </c>
      <c r="V2637" t="s">
        <v>9478</v>
      </c>
      <c r="W2637">
        <v>7</v>
      </c>
      <c r="X2637" t="s">
        <v>12115</v>
      </c>
      <c r="Y2637">
        <v>0.4673358760866434</v>
      </c>
      <c r="Z2637" t="str">
        <f>HYPERLINK("Melting_Curves/meltCurve_sp_Q8NFV4_ABHDB_HUMAN_.pdf", "Melting_Curves/meltCurve_sp_Q8NFV4_ABHDB_HUMAN_.pdf")</f>
        <v>Melting_Curves/meltCurve_sp_Q8NFV4_ABHDB_HUMAN_.pdf</v>
      </c>
      <c r="AA2637" t="s">
        <v>16808</v>
      </c>
      <c r="AB2637" t="s">
        <v>21471</v>
      </c>
    </row>
    <row r="2638" spans="1:28" x14ac:dyDescent="0.25">
      <c r="A2638" t="s">
        <v>2642</v>
      </c>
      <c r="B2638">
        <v>0.99904790336628502</v>
      </c>
      <c r="C2638">
        <v>0.94302036937429601</v>
      </c>
      <c r="D2638">
        <v>0.970392920200704</v>
      </c>
      <c r="E2638">
        <v>0.75282379295550494</v>
      </c>
      <c r="F2638">
        <v>0.167513501031374</v>
      </c>
      <c r="G2638">
        <v>8.8676216052846105E-2</v>
      </c>
      <c r="H2638">
        <v>4.39590515558822E-2</v>
      </c>
      <c r="I2638">
        <v>3.3882687119336702E-2</v>
      </c>
      <c r="J2638">
        <v>3.0630340952151301E-2</v>
      </c>
      <c r="K2638">
        <v>2.3841592338179399E-2</v>
      </c>
      <c r="L2638">
        <v>2547.6777256024502</v>
      </c>
      <c r="M2638">
        <v>49.912934498304601</v>
      </c>
      <c r="N2638">
        <v>51.132809078675201</v>
      </c>
      <c r="O2638">
        <v>50.960701172385399</v>
      </c>
      <c r="P2638">
        <v>-0.23452238965303401</v>
      </c>
      <c r="Q2638">
        <v>4.2218998589549299E-2</v>
      </c>
      <c r="R2638">
        <v>0.99655168316665699</v>
      </c>
      <c r="S2638" t="s">
        <v>7378</v>
      </c>
      <c r="T2638" t="s">
        <v>9478</v>
      </c>
      <c r="U2638" t="s">
        <v>9478</v>
      </c>
      <c r="V2638" t="s">
        <v>9478</v>
      </c>
      <c r="W2638">
        <v>19</v>
      </c>
      <c r="X2638" t="s">
        <v>12116</v>
      </c>
      <c r="Y2638">
        <v>0.39692410715278692</v>
      </c>
      <c r="Z2638" t="str">
        <f>HYPERLINK("Melting_Curves/meltCurve_sp_Q8NFW8_NEUA_HUMAN_.pdf", "Melting_Curves/meltCurve_sp_Q8NFW8_NEUA_HUMAN_.pdf")</f>
        <v>Melting_Curves/meltCurve_sp_Q8NFW8_NEUA_HUMAN_.pdf</v>
      </c>
      <c r="AA2638" t="s">
        <v>16809</v>
      </c>
      <c r="AB2638" t="s">
        <v>21472</v>
      </c>
    </row>
    <row r="2639" spans="1:28" x14ac:dyDescent="0.25">
      <c r="A2639" t="s">
        <v>2643</v>
      </c>
      <c r="B2639">
        <v>0.99904790336628502</v>
      </c>
      <c r="C2639">
        <v>1.0309097405235601</v>
      </c>
      <c r="D2639">
        <v>0.93346143730160602</v>
      </c>
      <c r="E2639">
        <v>1.0460462202645899</v>
      </c>
      <c r="F2639">
        <v>1.9682314472081199</v>
      </c>
      <c r="G2639">
        <v>1.34556175173759</v>
      </c>
      <c r="H2639">
        <v>1.43386331528274</v>
      </c>
      <c r="I2639">
        <v>1.6195220471760099</v>
      </c>
      <c r="J2639">
        <v>1.8495998086221599</v>
      </c>
      <c r="K2639">
        <v>2.1105110377478602</v>
      </c>
      <c r="L2639">
        <v>12614.3784214511</v>
      </c>
      <c r="M2639">
        <v>250</v>
      </c>
      <c r="O2639">
        <v>50.454288191000501</v>
      </c>
      <c r="P2639">
        <v>0.61937257054852901</v>
      </c>
      <c r="Q2639">
        <v>1.5</v>
      </c>
      <c r="R2639">
        <v>0.55453205889767199</v>
      </c>
      <c r="S2639" t="s">
        <v>7379</v>
      </c>
      <c r="T2639" t="s">
        <v>9478</v>
      </c>
      <c r="U2639" t="s">
        <v>9478</v>
      </c>
      <c r="V2639" t="s">
        <v>9478</v>
      </c>
      <c r="W2639">
        <v>3</v>
      </c>
      <c r="X2639" t="s">
        <v>12117</v>
      </c>
      <c r="Y2639">
        <v>1.3256638291609799</v>
      </c>
      <c r="Z2639" t="str">
        <f>HYPERLINK("Melting_Curves/meltCurve_sp_Q8NHG8_ZNRF2_HUMAN_.pdf", "Melting_Curves/meltCurve_sp_Q8NHG8_ZNRF2_HUMAN_.pdf")</f>
        <v>Melting_Curves/meltCurve_sp_Q8NHG8_ZNRF2_HUMAN_.pdf</v>
      </c>
      <c r="AA2639" t="s">
        <v>16810</v>
      </c>
      <c r="AB2639" t="s">
        <v>21473</v>
      </c>
    </row>
    <row r="2640" spans="1:28" x14ac:dyDescent="0.25">
      <c r="A2640" t="s">
        <v>2644</v>
      </c>
      <c r="B2640">
        <v>0.99904790336628502</v>
      </c>
      <c r="C2640">
        <v>0.99850198913004995</v>
      </c>
      <c r="D2640">
        <v>0.95721720784244901</v>
      </c>
      <c r="E2640">
        <v>0.888579470731787</v>
      </c>
      <c r="F2640">
        <v>1.03734716551075</v>
      </c>
      <c r="G2640">
        <v>0.93257820745571895</v>
      </c>
      <c r="H2640">
        <v>0.84300243230781202</v>
      </c>
      <c r="I2640">
        <v>0.70656506802089003</v>
      </c>
      <c r="J2640">
        <v>0.83203585570841099</v>
      </c>
      <c r="K2640">
        <v>0.96108265962335304</v>
      </c>
      <c r="L2640">
        <v>6935.7633600445497</v>
      </c>
      <c r="M2640">
        <v>121.316416295398</v>
      </c>
      <c r="O2640">
        <v>57.155321422991001</v>
      </c>
      <c r="P2640">
        <v>-8.7212060878642E-2</v>
      </c>
      <c r="Q2640">
        <v>0.835648506272894</v>
      </c>
      <c r="R2640">
        <v>0.46206151803372197</v>
      </c>
      <c r="S2640" t="s">
        <v>7380</v>
      </c>
      <c r="T2640" t="s">
        <v>9478</v>
      </c>
      <c r="U2640" t="s">
        <v>9478</v>
      </c>
      <c r="V2640" t="s">
        <v>9478</v>
      </c>
      <c r="W2640">
        <v>2</v>
      </c>
      <c r="X2640" t="s">
        <v>12118</v>
      </c>
      <c r="Y2640">
        <v>0.92978711061580277</v>
      </c>
      <c r="Z2640" t="str">
        <f>HYPERLINK("Melting_Curves/meltCurve_sp_Q8NHM4_TRY6_HUMAN_.pdf", "Melting_Curves/meltCurve_sp_Q8NHM4_TRY6_HUMAN_.pdf")</f>
        <v>Melting_Curves/meltCurve_sp_Q8NHM4_TRY6_HUMAN_.pdf</v>
      </c>
      <c r="AA2640" t="s">
        <v>16811</v>
      </c>
      <c r="AB2640" t="s">
        <v>21474</v>
      </c>
    </row>
    <row r="2641" spans="1:28" x14ac:dyDescent="0.25">
      <c r="A2641" t="s">
        <v>2645</v>
      </c>
      <c r="B2641">
        <v>0.99904790336628502</v>
      </c>
      <c r="C2641">
        <v>1.01294272549707</v>
      </c>
      <c r="D2641">
        <v>1.00735647562299</v>
      </c>
      <c r="E2641">
        <v>1.00810897679694</v>
      </c>
      <c r="F2641">
        <v>1.0066245503303699</v>
      </c>
      <c r="G2641">
        <v>0.736249610133901</v>
      </c>
      <c r="H2641">
        <v>0.51948586014008502</v>
      </c>
      <c r="I2641">
        <v>0.47959310446110698</v>
      </c>
      <c r="J2641">
        <v>0.43051871928156399</v>
      </c>
      <c r="K2641">
        <v>0.41090926128105898</v>
      </c>
      <c r="L2641">
        <v>1914.62126233756</v>
      </c>
      <c r="M2641">
        <v>33.324854398663398</v>
      </c>
      <c r="N2641">
        <v>61.176183883065697</v>
      </c>
      <c r="O2641">
        <v>57.247548550841998</v>
      </c>
      <c r="P2641">
        <v>-8.2340750844192206E-2</v>
      </c>
      <c r="Q2641">
        <v>0.43420176493608398</v>
      </c>
      <c r="R2641">
        <v>0.99427408450494603</v>
      </c>
      <c r="S2641" t="s">
        <v>7381</v>
      </c>
      <c r="T2641" t="s">
        <v>9478</v>
      </c>
      <c r="U2641" t="s">
        <v>9478</v>
      </c>
      <c r="V2641" t="s">
        <v>9478</v>
      </c>
      <c r="W2641">
        <v>4</v>
      </c>
      <c r="X2641" t="s">
        <v>12119</v>
      </c>
      <c r="Y2641">
        <v>0.76648725354980118</v>
      </c>
      <c r="Z2641" t="str">
        <f>HYPERLINK("Melting_Curves/meltCurve_sp_Q8NHP8_PLBL2_HUMAN_.pdf", "Melting_Curves/meltCurve_sp_Q8NHP8_PLBL2_HUMAN_.pdf")</f>
        <v>Melting_Curves/meltCurve_sp_Q8NHP8_PLBL2_HUMAN_.pdf</v>
      </c>
      <c r="AA2641" t="s">
        <v>16812</v>
      </c>
      <c r="AB2641" t="s">
        <v>21475</v>
      </c>
    </row>
    <row r="2642" spans="1:28" x14ac:dyDescent="0.25">
      <c r="A2642" t="s">
        <v>2646</v>
      </c>
      <c r="B2642">
        <v>0.99904790336628502</v>
      </c>
      <c r="C2642">
        <v>0.91940865728321997</v>
      </c>
      <c r="D2642">
        <v>0.88814512571006499</v>
      </c>
      <c r="E2642">
        <v>0.57842241796307303</v>
      </c>
      <c r="F2642">
        <v>0.30002091769558098</v>
      </c>
      <c r="G2642">
        <v>0.14522351292159</v>
      </c>
      <c r="H2642">
        <v>7.3226534372839797E-2</v>
      </c>
      <c r="I2642">
        <v>4.9374938789006603E-2</v>
      </c>
      <c r="J2642">
        <v>2.6968662314332401E-2</v>
      </c>
      <c r="K2642">
        <v>4.6719302480509699E-2</v>
      </c>
      <c r="L2642">
        <v>958.07919960757704</v>
      </c>
      <c r="M2642">
        <v>18.944604373974901</v>
      </c>
      <c r="N2642">
        <v>50.751557643630399</v>
      </c>
      <c r="O2642">
        <v>50.019275572242499</v>
      </c>
      <c r="P2642">
        <v>-9.1632066630956799E-2</v>
      </c>
      <c r="Q2642">
        <v>3.2297599708255999E-2</v>
      </c>
      <c r="R2642">
        <v>0.99757540454611504</v>
      </c>
      <c r="S2642" t="s">
        <v>7382</v>
      </c>
      <c r="T2642" t="s">
        <v>9478</v>
      </c>
      <c r="U2642" t="s">
        <v>9478</v>
      </c>
      <c r="V2642" t="s">
        <v>9478</v>
      </c>
      <c r="W2642">
        <v>4</v>
      </c>
      <c r="X2642" t="s">
        <v>12120</v>
      </c>
      <c r="Y2642">
        <v>0.38823676602144702</v>
      </c>
      <c r="Z2642" t="str">
        <f>HYPERLINK("Melting_Curves/meltCurve_sp_Q8NHU6_TDRD7_HUMAN_.pdf", "Melting_Curves/meltCurve_sp_Q8NHU6_TDRD7_HUMAN_.pdf")</f>
        <v>Melting_Curves/meltCurve_sp_Q8NHU6_TDRD7_HUMAN_.pdf</v>
      </c>
      <c r="AA2642" t="s">
        <v>16813</v>
      </c>
      <c r="AB2642" t="s">
        <v>21476</v>
      </c>
    </row>
    <row r="2643" spans="1:28" x14ac:dyDescent="0.25">
      <c r="A2643" t="s">
        <v>2647</v>
      </c>
      <c r="B2643">
        <v>0.99904790336628502</v>
      </c>
      <c r="C2643">
        <v>1.0141806332988701</v>
      </c>
      <c r="D2643">
        <v>1.06823717365472</v>
      </c>
      <c r="E2643">
        <v>0.94459129493643801</v>
      </c>
      <c r="F2643">
        <v>0.86653003222202996</v>
      </c>
      <c r="G2643">
        <v>0.79996935298132399</v>
      </c>
      <c r="H2643">
        <v>0.67574692418432902</v>
      </c>
      <c r="I2643">
        <v>0.64900732383148696</v>
      </c>
      <c r="J2643">
        <v>0.68472633783387804</v>
      </c>
      <c r="K2643">
        <v>0.67755725458835903</v>
      </c>
      <c r="L2643">
        <v>1132.28139505376</v>
      </c>
      <c r="M2643">
        <v>20.673812286904599</v>
      </c>
      <c r="O2643">
        <v>54.264157400354897</v>
      </c>
      <c r="P2643">
        <v>-3.2314637638406599E-2</v>
      </c>
      <c r="Q2643">
        <v>0.66073475104351598</v>
      </c>
      <c r="R2643">
        <v>0.96033363622149903</v>
      </c>
      <c r="S2643" t="s">
        <v>7383</v>
      </c>
      <c r="T2643" t="s">
        <v>9478</v>
      </c>
      <c r="U2643" t="s">
        <v>9478</v>
      </c>
      <c r="V2643" t="s">
        <v>9478</v>
      </c>
      <c r="W2643">
        <v>1</v>
      </c>
      <c r="X2643" t="s">
        <v>12121</v>
      </c>
      <c r="Y2643">
        <v>0.83206977569159379</v>
      </c>
      <c r="Z2643" t="str">
        <f>HYPERLINK("Melting_Curves/meltCurve_sp_Q8NHZ8_CDC26_HUMAN_.pdf", "Melting_Curves/meltCurve_sp_Q8NHZ8_CDC26_HUMAN_.pdf")</f>
        <v>Melting_Curves/meltCurve_sp_Q8NHZ8_CDC26_HUMAN_.pdf</v>
      </c>
      <c r="AA2643" t="s">
        <v>16814</v>
      </c>
      <c r="AB2643" t="s">
        <v>21477</v>
      </c>
    </row>
    <row r="2644" spans="1:28" x14ac:dyDescent="0.25">
      <c r="A2644" t="s">
        <v>2648</v>
      </c>
      <c r="B2644">
        <v>0.99904790336628502</v>
      </c>
      <c r="C2644">
        <v>1.01411595063857</v>
      </c>
      <c r="D2644">
        <v>0.85415662830535699</v>
      </c>
      <c r="E2644">
        <v>0.89997428291485804</v>
      </c>
      <c r="F2644">
        <v>0.84608928477412404</v>
      </c>
      <c r="G2644">
        <v>0.59368302535850803</v>
      </c>
      <c r="H2644">
        <v>0.455907942989423</v>
      </c>
      <c r="I2644">
        <v>0.46275788834100701</v>
      </c>
      <c r="J2644">
        <v>0.55832837338891805</v>
      </c>
      <c r="K2644">
        <v>0.56024827602670202</v>
      </c>
      <c r="L2644">
        <v>1391.56930976577</v>
      </c>
      <c r="M2644">
        <v>25.832154080198901</v>
      </c>
      <c r="O2644">
        <v>53.549939028612599</v>
      </c>
      <c r="P2644">
        <v>-5.9976432618406898E-2</v>
      </c>
      <c r="Q2644">
        <v>0.50268239762296696</v>
      </c>
      <c r="R2644">
        <v>0.91600209728544801</v>
      </c>
      <c r="S2644" t="s">
        <v>7384</v>
      </c>
      <c r="T2644" t="s">
        <v>9478</v>
      </c>
      <c r="U2644" t="s">
        <v>9478</v>
      </c>
      <c r="V2644" t="s">
        <v>9478</v>
      </c>
      <c r="W2644">
        <v>3</v>
      </c>
      <c r="X2644" t="s">
        <v>12122</v>
      </c>
      <c r="Y2644">
        <v>0.73693435201447099</v>
      </c>
      <c r="Z2644" t="str">
        <f>HYPERLINK("Melting_Curves/meltCurve_sp_Q8NI08_2_NCOA7_HUMAN_.pdf", "Melting_Curves/meltCurve_sp_Q8NI08_2_NCOA7_HUMAN_.pdf")</f>
        <v>Melting_Curves/meltCurve_sp_Q8NI08_2_NCOA7_HUMAN_.pdf</v>
      </c>
      <c r="AA2644" t="s">
        <v>16815</v>
      </c>
      <c r="AB2644" t="s">
        <v>21478</v>
      </c>
    </row>
    <row r="2645" spans="1:28" x14ac:dyDescent="0.25">
      <c r="A2645" t="s">
        <v>2649</v>
      </c>
      <c r="B2645">
        <v>0.99904790336628502</v>
      </c>
      <c r="C2645">
        <v>1.0142562013276499</v>
      </c>
      <c r="D2645">
        <v>0.962069344249878</v>
      </c>
      <c r="E2645">
        <v>0.93680302278025296</v>
      </c>
      <c r="F2645">
        <v>0.85805590336749504</v>
      </c>
      <c r="G2645">
        <v>0.77610047781007097</v>
      </c>
      <c r="H2645">
        <v>0.60709685661672896</v>
      </c>
      <c r="I2645">
        <v>0.50263399235840001</v>
      </c>
      <c r="J2645">
        <v>0.51776172982812096</v>
      </c>
      <c r="K2645">
        <v>0.6004690916398</v>
      </c>
      <c r="L2645">
        <v>990.45284829923196</v>
      </c>
      <c r="M2645">
        <v>17.621428293984401</v>
      </c>
      <c r="O2645">
        <v>55.498414285883698</v>
      </c>
      <c r="P2645">
        <v>-3.8371020311906701E-2</v>
      </c>
      <c r="Q2645">
        <v>0.51663020895288803</v>
      </c>
      <c r="R2645">
        <v>0.96390411832370504</v>
      </c>
      <c r="S2645" t="s">
        <v>7385</v>
      </c>
      <c r="T2645" t="s">
        <v>9478</v>
      </c>
      <c r="U2645" t="s">
        <v>9478</v>
      </c>
      <c r="V2645" t="s">
        <v>9478</v>
      </c>
      <c r="W2645">
        <v>1</v>
      </c>
      <c r="X2645" t="s">
        <v>12123</v>
      </c>
      <c r="Y2645">
        <v>0.78496934364635862</v>
      </c>
      <c r="Z2645" t="str">
        <f>HYPERLINK("Melting_Curves/meltCurve_sp_Q8NI22_2_MCFD2_HUMAN_.pdf", "Melting_Curves/meltCurve_sp_Q8NI22_2_MCFD2_HUMAN_.pdf")</f>
        <v>Melting_Curves/meltCurve_sp_Q8NI22_2_MCFD2_HUMAN_.pdf</v>
      </c>
      <c r="AA2645" t="s">
        <v>16816</v>
      </c>
      <c r="AB2645" t="s">
        <v>21479</v>
      </c>
    </row>
    <row r="2646" spans="1:28" x14ac:dyDescent="0.25">
      <c r="A2646" t="s">
        <v>2650</v>
      </c>
      <c r="B2646">
        <v>0.99904790336628502</v>
      </c>
      <c r="C2646">
        <v>1.02856753507789</v>
      </c>
      <c r="D2646">
        <v>0.99702289982625003</v>
      </c>
      <c r="E2646">
        <v>0.97213586901690097</v>
      </c>
      <c r="F2646">
        <v>0.94230739328012203</v>
      </c>
      <c r="G2646">
        <v>0.55574659077630095</v>
      </c>
      <c r="H2646">
        <v>0.37913326945331099</v>
      </c>
      <c r="I2646">
        <v>0.22651760683910699</v>
      </c>
      <c r="J2646">
        <v>0.21564203466082399</v>
      </c>
      <c r="K2646">
        <v>0.19297155095731899</v>
      </c>
      <c r="L2646">
        <v>1457.9189055567499</v>
      </c>
      <c r="M2646">
        <v>25.578524490006</v>
      </c>
      <c r="N2646">
        <v>58.148458760455597</v>
      </c>
      <c r="O2646">
        <v>56.652810449112501</v>
      </c>
      <c r="P2646">
        <v>-9.0458531967698194E-2</v>
      </c>
      <c r="Q2646">
        <v>0.198598475321352</v>
      </c>
      <c r="R2646">
        <v>0.993415853935532</v>
      </c>
      <c r="S2646" t="s">
        <v>7386</v>
      </c>
      <c r="T2646" t="s">
        <v>9478</v>
      </c>
      <c r="U2646" t="s">
        <v>9478</v>
      </c>
      <c r="V2646" t="s">
        <v>9478</v>
      </c>
      <c r="W2646">
        <v>5</v>
      </c>
      <c r="X2646" t="s">
        <v>12124</v>
      </c>
      <c r="Y2646">
        <v>0.65963300697624894</v>
      </c>
      <c r="Z2646" t="str">
        <f>HYPERLINK("Melting_Curves/meltCurve_sp_Q8NI35_INADL_HUMAN_.pdf", "Melting_Curves/meltCurve_sp_Q8NI35_INADL_HUMAN_.pdf")</f>
        <v>Melting_Curves/meltCurve_sp_Q8NI35_INADL_HUMAN_.pdf</v>
      </c>
      <c r="AA2646" t="s">
        <v>16817</v>
      </c>
      <c r="AB2646" t="s">
        <v>21480</v>
      </c>
    </row>
    <row r="2647" spans="1:28" x14ac:dyDescent="0.25">
      <c r="A2647" t="s">
        <v>2651</v>
      </c>
      <c r="B2647">
        <v>0.99904790336628502</v>
      </c>
      <c r="C2647">
        <v>0.84361177080104699</v>
      </c>
      <c r="D2647">
        <v>0.747196816546841</v>
      </c>
      <c r="E2647">
        <v>0.45872252507224198</v>
      </c>
      <c r="F2647">
        <v>0.306050835938385</v>
      </c>
      <c r="G2647">
        <v>0.16933397196977401</v>
      </c>
      <c r="H2647">
        <v>0.12320996684063899</v>
      </c>
      <c r="I2647">
        <v>7.0971225776121596E-2</v>
      </c>
      <c r="J2647">
        <v>7.0425449920778802E-2</v>
      </c>
      <c r="K2647">
        <v>0.16844576127248601</v>
      </c>
      <c r="L2647">
        <v>721.16777124902501</v>
      </c>
      <c r="M2647">
        <v>14.804197226985901</v>
      </c>
      <c r="N2647">
        <v>49.330572977722099</v>
      </c>
      <c r="O2647">
        <v>47.850792923470003</v>
      </c>
      <c r="P2647">
        <v>-7.0817840089231393E-2</v>
      </c>
      <c r="Q2647">
        <v>8.4495055437031993E-2</v>
      </c>
      <c r="R2647">
        <v>0.98908954693715601</v>
      </c>
      <c r="S2647" t="s">
        <v>7387</v>
      </c>
      <c r="T2647" t="s">
        <v>9478</v>
      </c>
      <c r="U2647" t="s">
        <v>9478</v>
      </c>
      <c r="V2647" t="s">
        <v>9478</v>
      </c>
      <c r="W2647">
        <v>1</v>
      </c>
      <c r="X2647" t="s">
        <v>12125</v>
      </c>
      <c r="Y2647">
        <v>0.37383461370275228</v>
      </c>
      <c r="Z2647" t="str">
        <f>HYPERLINK("Melting_Curves/meltCurve_sp_Q8NI37_PPTC7_HUMAN_.pdf", "Melting_Curves/meltCurve_sp_Q8NI37_PPTC7_HUMAN_.pdf")</f>
        <v>Melting_Curves/meltCurve_sp_Q8NI37_PPTC7_HUMAN_.pdf</v>
      </c>
      <c r="AA2647" t="s">
        <v>16818</v>
      </c>
      <c r="AB2647" t="s">
        <v>21481</v>
      </c>
    </row>
    <row r="2648" spans="1:28" x14ac:dyDescent="0.25">
      <c r="A2648" t="s">
        <v>2652</v>
      </c>
      <c r="B2648">
        <v>0.99904790336628502</v>
      </c>
      <c r="C2648">
        <v>0.95230183431508197</v>
      </c>
      <c r="D2648">
        <v>0.91697811457075395</v>
      </c>
      <c r="E2648">
        <v>0.87187322568421599</v>
      </c>
      <c r="F2648">
        <v>0.843297990234257</v>
      </c>
      <c r="G2648">
        <v>0.55001160344270295</v>
      </c>
      <c r="H2648">
        <v>0.181546164136688</v>
      </c>
      <c r="I2648">
        <v>5.8845035096185203E-2</v>
      </c>
      <c r="J2648">
        <v>6.1816859295235803E-2</v>
      </c>
      <c r="K2648">
        <v>4.46099682117767E-2</v>
      </c>
      <c r="L2648">
        <v>1172.47553270101</v>
      </c>
      <c r="M2648">
        <v>20.5312197812883</v>
      </c>
      <c r="N2648">
        <v>57.106961556020302</v>
      </c>
      <c r="O2648">
        <v>56.573474687162701</v>
      </c>
      <c r="P2648">
        <v>-9.0730779361821806E-2</v>
      </c>
      <c r="Q2648">
        <v>0</v>
      </c>
      <c r="R2648">
        <v>0.98784464564968</v>
      </c>
      <c r="S2648" t="s">
        <v>7388</v>
      </c>
      <c r="T2648" t="s">
        <v>9478</v>
      </c>
      <c r="U2648" t="s">
        <v>9478</v>
      </c>
      <c r="V2648" t="s">
        <v>9478</v>
      </c>
      <c r="W2648">
        <v>7</v>
      </c>
      <c r="X2648" t="s">
        <v>12126</v>
      </c>
      <c r="Y2648">
        <v>0.58201689883864738</v>
      </c>
      <c r="Z2648" t="str">
        <f>HYPERLINK("Melting_Curves/meltCurve_sp_Q8TAF3_WDR48_HUMAN_.pdf", "Melting_Curves/meltCurve_sp_Q8TAF3_WDR48_HUMAN_.pdf")</f>
        <v>Melting_Curves/meltCurve_sp_Q8TAF3_WDR48_HUMAN_.pdf</v>
      </c>
      <c r="AA2648" t="s">
        <v>16819</v>
      </c>
      <c r="AB2648" t="s">
        <v>21482</v>
      </c>
    </row>
    <row r="2649" spans="1:28" x14ac:dyDescent="0.25">
      <c r="A2649" t="s">
        <v>2653</v>
      </c>
      <c r="B2649">
        <v>0.99904790336628502</v>
      </c>
      <c r="C2649">
        <v>1.0629944682347101</v>
      </c>
      <c r="D2649">
        <v>1.04807590566663</v>
      </c>
      <c r="E2649">
        <v>0.77181783756247702</v>
      </c>
      <c r="F2649">
        <v>0.48620989652163799</v>
      </c>
      <c r="G2649">
        <v>0.27963003972658401</v>
      </c>
      <c r="H2649">
        <v>0.16784090226663301</v>
      </c>
      <c r="I2649">
        <v>0.120987795691818</v>
      </c>
      <c r="J2649">
        <v>0.12758786523169399</v>
      </c>
      <c r="K2649">
        <v>0.106751492768744</v>
      </c>
      <c r="L2649">
        <v>1231.8646957758299</v>
      </c>
      <c r="M2649">
        <v>23.496463545830501</v>
      </c>
      <c r="N2649">
        <v>53.069689150510598</v>
      </c>
      <c r="O2649">
        <v>52.052335145403603</v>
      </c>
      <c r="P2649">
        <v>-9.8890807966326502E-2</v>
      </c>
      <c r="Q2649">
        <v>0.123713416100155</v>
      </c>
      <c r="R2649">
        <v>0.99085688454835497</v>
      </c>
      <c r="S2649" t="s">
        <v>7389</v>
      </c>
      <c r="T2649" t="s">
        <v>9478</v>
      </c>
      <c r="U2649" t="s">
        <v>9478</v>
      </c>
      <c r="V2649" t="s">
        <v>9478</v>
      </c>
      <c r="W2649">
        <v>12</v>
      </c>
      <c r="X2649" t="s">
        <v>12127</v>
      </c>
      <c r="Y2649">
        <v>0.49574970617740632</v>
      </c>
      <c r="Z2649" t="str">
        <f>HYPERLINK("Melting_Curves/meltCurve_sp_Q8TAQ2_2_SMRC2_HUMAN_.pdf", "Melting_Curves/meltCurve_sp_Q8TAQ2_2_SMRC2_HUMAN_.pdf")</f>
        <v>Melting_Curves/meltCurve_sp_Q8TAQ2_2_SMRC2_HUMAN_.pdf</v>
      </c>
      <c r="AA2649" t="s">
        <v>16820</v>
      </c>
      <c r="AB2649" t="s">
        <v>21483</v>
      </c>
    </row>
    <row r="2650" spans="1:28" x14ac:dyDescent="0.25">
      <c r="A2650" t="s">
        <v>2654</v>
      </c>
      <c r="B2650">
        <v>0.99904790336628502</v>
      </c>
      <c r="C2650">
        <v>0.97584008005489298</v>
      </c>
      <c r="D2650">
        <v>0.94432374800569796</v>
      </c>
      <c r="E2650">
        <v>0.77363434275704501</v>
      </c>
      <c r="F2650">
        <v>0.496367816465486</v>
      </c>
      <c r="G2650">
        <v>0.20736149199492801</v>
      </c>
      <c r="H2650">
        <v>0.103980159651429</v>
      </c>
      <c r="I2650">
        <v>7.0184105685666603E-2</v>
      </c>
      <c r="J2650">
        <v>5.6165550689292403E-2</v>
      </c>
      <c r="K2650">
        <v>4.0541895261696999E-2</v>
      </c>
      <c r="L2650">
        <v>1076.86717384279</v>
      </c>
      <c r="M2650">
        <v>20.411156686545699</v>
      </c>
      <c r="N2650">
        <v>52.981272528229397</v>
      </c>
      <c r="O2650">
        <v>52.260168447910402</v>
      </c>
      <c r="P2650">
        <v>-9.3634152904251103E-2</v>
      </c>
      <c r="Q2650">
        <v>4.1075533374854797E-2</v>
      </c>
      <c r="R2650">
        <v>0.99965100107206994</v>
      </c>
      <c r="S2650" t="s">
        <v>7390</v>
      </c>
      <c r="T2650" t="s">
        <v>9478</v>
      </c>
      <c r="U2650" t="s">
        <v>9478</v>
      </c>
      <c r="V2650" t="s">
        <v>9478</v>
      </c>
      <c r="W2650">
        <v>17</v>
      </c>
      <c r="X2650" t="s">
        <v>12128</v>
      </c>
      <c r="Y2650">
        <v>0.46165334855096929</v>
      </c>
      <c r="Z2650" t="str">
        <f>HYPERLINK("Melting_Curves/meltCurve_sp_Q8TAT6_NPL4_HUMAN_.pdf", "Melting_Curves/meltCurve_sp_Q8TAT6_NPL4_HUMAN_.pdf")</f>
        <v>Melting_Curves/meltCurve_sp_Q8TAT6_NPL4_HUMAN_.pdf</v>
      </c>
      <c r="AA2650" t="s">
        <v>16821</v>
      </c>
      <c r="AB2650" t="s">
        <v>21484</v>
      </c>
    </row>
    <row r="2651" spans="1:28" x14ac:dyDescent="0.25">
      <c r="A2651" t="s">
        <v>2655</v>
      </c>
      <c r="B2651">
        <v>0.99904790336628502</v>
      </c>
      <c r="C2651">
        <v>0.93897259087440299</v>
      </c>
      <c r="D2651">
        <v>0.86281326039522799</v>
      </c>
      <c r="E2651">
        <v>0.825846871959108</v>
      </c>
      <c r="F2651">
        <v>0.72123572729930496</v>
      </c>
      <c r="G2651">
        <v>0.30896981436648502</v>
      </c>
      <c r="H2651">
        <v>8.9783136041712897E-2</v>
      </c>
      <c r="I2651">
        <v>6.9738096107448799E-2</v>
      </c>
      <c r="J2651">
        <v>5.5775428172374103E-2</v>
      </c>
      <c r="K2651">
        <v>4.8547276702299802E-2</v>
      </c>
      <c r="L2651">
        <v>1036.90702910647</v>
      </c>
      <c r="M2651">
        <v>18.944861423023699</v>
      </c>
      <c r="N2651">
        <v>54.795489268878697</v>
      </c>
      <c r="O2651">
        <v>54.133977899614699</v>
      </c>
      <c r="P2651">
        <v>-8.6557497351456902E-2</v>
      </c>
      <c r="Q2651">
        <v>1.0705081152735401E-2</v>
      </c>
      <c r="R2651">
        <v>0.98416119197443597</v>
      </c>
      <c r="S2651" t="s">
        <v>7391</v>
      </c>
      <c r="T2651" t="s">
        <v>9478</v>
      </c>
      <c r="U2651" t="s">
        <v>9478</v>
      </c>
      <c r="V2651" t="s">
        <v>9478</v>
      </c>
      <c r="W2651">
        <v>4</v>
      </c>
      <c r="X2651" t="s">
        <v>12129</v>
      </c>
      <c r="Y2651">
        <v>0.51092100020507802</v>
      </c>
      <c r="Z2651" t="str">
        <f>HYPERLINK("Melting_Curves/meltCurve_sp_Q8TB03_CX038_HUMAN_.pdf", "Melting_Curves/meltCurve_sp_Q8TB03_CX038_HUMAN_.pdf")</f>
        <v>Melting_Curves/meltCurve_sp_Q8TB03_CX038_HUMAN_.pdf</v>
      </c>
      <c r="AA2651" t="s">
        <v>16822</v>
      </c>
      <c r="AB2651" t="s">
        <v>21485</v>
      </c>
    </row>
    <row r="2652" spans="1:28" x14ac:dyDescent="0.25">
      <c r="A2652" t="s">
        <v>2656</v>
      </c>
      <c r="B2652">
        <v>0.99904790336628502</v>
      </c>
      <c r="C2652">
        <v>0.94200301926364705</v>
      </c>
      <c r="D2652">
        <v>0.95119754407520796</v>
      </c>
      <c r="E2652">
        <v>0.83109069848810901</v>
      </c>
      <c r="F2652">
        <v>0.42431608781685598</v>
      </c>
      <c r="G2652">
        <v>0.13726676630530699</v>
      </c>
      <c r="H2652">
        <v>6.2446409904463998E-2</v>
      </c>
      <c r="I2652">
        <v>3.8385285791754001E-2</v>
      </c>
      <c r="J2652">
        <v>2.94356890904705E-2</v>
      </c>
      <c r="K2652">
        <v>2.1818472004513399E-2</v>
      </c>
      <c r="L2652">
        <v>1505.8404016955801</v>
      </c>
      <c r="M2652">
        <v>28.721487080993999</v>
      </c>
      <c r="N2652">
        <v>52.556769837108199</v>
      </c>
      <c r="O2652">
        <v>52.176856061215901</v>
      </c>
      <c r="P2652">
        <v>-0.132978361108302</v>
      </c>
      <c r="Q2652">
        <v>3.3707384681428497E-2</v>
      </c>
      <c r="R2652">
        <v>0.99672070807286495</v>
      </c>
      <c r="S2652" t="s">
        <v>7392</v>
      </c>
      <c r="T2652" t="s">
        <v>9478</v>
      </c>
      <c r="U2652" t="s">
        <v>9478</v>
      </c>
      <c r="V2652" t="s">
        <v>9478</v>
      </c>
      <c r="W2652">
        <v>20</v>
      </c>
      <c r="X2652" t="s">
        <v>12130</v>
      </c>
      <c r="Y2652">
        <v>0.4408147465538062</v>
      </c>
      <c r="Z2652" t="str">
        <f>HYPERLINK("Melting_Curves/meltCurve_sp_Q8TB22_SPT20_HUMAN_.pdf", "Melting_Curves/meltCurve_sp_Q8TB22_SPT20_HUMAN_.pdf")</f>
        <v>Melting_Curves/meltCurve_sp_Q8TB22_SPT20_HUMAN_.pdf</v>
      </c>
      <c r="AA2652" t="s">
        <v>16823</v>
      </c>
      <c r="AB2652" t="s">
        <v>21486</v>
      </c>
    </row>
    <row r="2653" spans="1:28" x14ac:dyDescent="0.25">
      <c r="A2653" t="s">
        <v>2657</v>
      </c>
      <c r="B2653">
        <v>0.99904790336628502</v>
      </c>
      <c r="C2653">
        <v>0.89585251865210902</v>
      </c>
      <c r="D2653">
        <v>0.85094671308852798</v>
      </c>
      <c r="E2653">
        <v>0.70282322326277502</v>
      </c>
      <c r="F2653">
        <v>0.58268400638818996</v>
      </c>
      <c r="G2653">
        <v>0.358509089843148</v>
      </c>
      <c r="H2653">
        <v>0.28303190855585397</v>
      </c>
      <c r="I2653">
        <v>0.23729586374843301</v>
      </c>
      <c r="J2653">
        <v>0.16181966767283101</v>
      </c>
      <c r="K2653">
        <v>0.115952495589115</v>
      </c>
      <c r="L2653">
        <v>520.83508075778002</v>
      </c>
      <c r="M2653">
        <v>9.6328884749087802</v>
      </c>
      <c r="N2653">
        <v>54.4476470960401</v>
      </c>
      <c r="O2653">
        <v>51.892413951312101</v>
      </c>
      <c r="P2653">
        <v>-4.4927430888784002E-2</v>
      </c>
      <c r="Q2653">
        <v>3.2445716197654899E-2</v>
      </c>
      <c r="R2653">
        <v>0.99487367818258898</v>
      </c>
      <c r="S2653" t="s">
        <v>7393</v>
      </c>
      <c r="T2653" t="s">
        <v>9478</v>
      </c>
      <c r="U2653" t="s">
        <v>9478</v>
      </c>
      <c r="V2653" t="s">
        <v>9478</v>
      </c>
      <c r="W2653">
        <v>7</v>
      </c>
      <c r="X2653" t="s">
        <v>12131</v>
      </c>
      <c r="Y2653">
        <v>0.51583006538184484</v>
      </c>
      <c r="Z2653" t="str">
        <f>HYPERLINK("Melting_Curves/meltCurve_sp_Q8TB24_RIN3_HUMAN_.pdf", "Melting_Curves/meltCurve_sp_Q8TB24_RIN3_HUMAN_.pdf")</f>
        <v>Melting_Curves/meltCurve_sp_Q8TB24_RIN3_HUMAN_.pdf</v>
      </c>
      <c r="AA2653" t="s">
        <v>16824</v>
      </c>
      <c r="AB2653" t="s">
        <v>21487</v>
      </c>
    </row>
    <row r="2654" spans="1:28" x14ac:dyDescent="0.25">
      <c r="A2654" t="s">
        <v>2658</v>
      </c>
      <c r="B2654">
        <v>0.99904790336628502</v>
      </c>
      <c r="C2654">
        <v>0.79543631450335595</v>
      </c>
      <c r="D2654">
        <v>0.72356535604965599</v>
      </c>
      <c r="E2654">
        <v>0.42691143868887199</v>
      </c>
      <c r="F2654">
        <v>0.220542545456198</v>
      </c>
      <c r="G2654">
        <v>0.17913267847056</v>
      </c>
      <c r="H2654">
        <v>0.13471968136022</v>
      </c>
      <c r="I2654">
        <v>2.9192506641333799E-2</v>
      </c>
      <c r="J2654">
        <v>3.0681018119991899E-2</v>
      </c>
      <c r="K2654">
        <v>3.8274766030154103E-2</v>
      </c>
      <c r="L2654">
        <v>642.25024865499597</v>
      </c>
      <c r="M2654">
        <v>13.2087245766776</v>
      </c>
      <c r="N2654">
        <v>48.791377258041301</v>
      </c>
      <c r="O2654">
        <v>47.5492286387883</v>
      </c>
      <c r="P2654">
        <v>-6.7913250711786693E-2</v>
      </c>
      <c r="Q2654">
        <v>2.2256367279186801E-2</v>
      </c>
      <c r="R2654">
        <v>0.986954049815017</v>
      </c>
      <c r="S2654" t="s">
        <v>7394</v>
      </c>
      <c r="T2654" t="s">
        <v>9478</v>
      </c>
      <c r="U2654" t="s">
        <v>9478</v>
      </c>
      <c r="V2654" t="s">
        <v>9478</v>
      </c>
      <c r="W2654">
        <v>1</v>
      </c>
      <c r="X2654" t="s">
        <v>12132</v>
      </c>
      <c r="Y2654">
        <v>0.33434433357925891</v>
      </c>
      <c r="Z2654" t="str">
        <f>HYPERLINK("Melting_Curves/meltCurve_sp_Q8TB37_NUBPL_HUMAN_.pdf", "Melting_Curves/meltCurve_sp_Q8TB37_NUBPL_HUMAN_.pdf")</f>
        <v>Melting_Curves/meltCurve_sp_Q8TB37_NUBPL_HUMAN_.pdf</v>
      </c>
      <c r="AA2654" t="s">
        <v>16825</v>
      </c>
      <c r="AB2654" t="s">
        <v>21488</v>
      </c>
    </row>
    <row r="2655" spans="1:28" x14ac:dyDescent="0.25">
      <c r="A2655" t="s">
        <v>2659</v>
      </c>
      <c r="B2655">
        <v>0.99904790336628502</v>
      </c>
      <c r="C2655">
        <v>0.96869551068499404</v>
      </c>
      <c r="D2655">
        <v>0.95390369251924201</v>
      </c>
      <c r="E2655">
        <v>1.0483482857266699</v>
      </c>
      <c r="F2655">
        <v>1.1582564136448601</v>
      </c>
      <c r="G2655">
        <v>0.78512855609860099</v>
      </c>
      <c r="H2655">
        <v>0.2768347533496</v>
      </c>
      <c r="I2655">
        <v>8.2538812720031801E-2</v>
      </c>
      <c r="J2655">
        <v>4.0497645826119297E-2</v>
      </c>
      <c r="K2655">
        <v>2.7800973853248399E-2</v>
      </c>
      <c r="L2655">
        <v>2251.4941864990201</v>
      </c>
      <c r="M2655">
        <v>38.062386782363802</v>
      </c>
      <c r="N2655">
        <v>59.251772585690603</v>
      </c>
      <c r="O2655">
        <v>58.9901799920193</v>
      </c>
      <c r="P2655">
        <v>-0.156338066095008</v>
      </c>
      <c r="Q2655">
        <v>3.0813896960764399E-2</v>
      </c>
      <c r="R2655">
        <v>0.98201157693709296</v>
      </c>
      <c r="S2655" t="s">
        <v>7395</v>
      </c>
      <c r="T2655" t="s">
        <v>9478</v>
      </c>
      <c r="U2655" t="s">
        <v>9478</v>
      </c>
      <c r="V2655" t="s">
        <v>9478</v>
      </c>
      <c r="W2655">
        <v>5</v>
      </c>
      <c r="X2655" t="s">
        <v>12133</v>
      </c>
      <c r="Y2655">
        <v>0.65374189670811234</v>
      </c>
      <c r="Z2655" t="str">
        <f>HYPERLINK("Melting_Curves/meltCurve_sp_Q8TB45_DPTOR_HUMAN_.pdf", "Melting_Curves/meltCurve_sp_Q8TB45_DPTOR_HUMAN_.pdf")</f>
        <v>Melting_Curves/meltCurve_sp_Q8TB45_DPTOR_HUMAN_.pdf</v>
      </c>
      <c r="AA2655" t="s">
        <v>16826</v>
      </c>
      <c r="AB2655" t="s">
        <v>21489</v>
      </c>
    </row>
    <row r="2656" spans="1:28" x14ac:dyDescent="0.25">
      <c r="A2656" t="s">
        <v>2660</v>
      </c>
      <c r="B2656">
        <v>0.99904790336628502</v>
      </c>
      <c r="C2656">
        <v>1.1783568471113</v>
      </c>
      <c r="D2656">
        <v>1.11852254174521</v>
      </c>
      <c r="E2656">
        <v>1.09746435791948</v>
      </c>
      <c r="F2656">
        <v>1.03264179273467</v>
      </c>
      <c r="G2656">
        <v>0.67681027886505496</v>
      </c>
      <c r="H2656">
        <v>0.53493757972996503</v>
      </c>
      <c r="I2656">
        <v>0.54051441185076698</v>
      </c>
      <c r="J2656">
        <v>0.58885464606619498</v>
      </c>
      <c r="K2656">
        <v>0.60734023484398303</v>
      </c>
      <c r="L2656">
        <v>14187.9941064554</v>
      </c>
      <c r="M2656">
        <v>250</v>
      </c>
      <c r="O2656">
        <v>56.748344699819498</v>
      </c>
      <c r="P2656">
        <v>-0.47588203605207502</v>
      </c>
      <c r="Q2656">
        <v>0.56791171559631404</v>
      </c>
      <c r="R2656">
        <v>0.90690960116567199</v>
      </c>
      <c r="S2656" t="s">
        <v>7396</v>
      </c>
      <c r="T2656" t="s">
        <v>9478</v>
      </c>
      <c r="U2656" t="s">
        <v>9478</v>
      </c>
      <c r="V2656" t="s">
        <v>9478</v>
      </c>
      <c r="W2656">
        <v>3</v>
      </c>
      <c r="X2656" t="s">
        <v>12134</v>
      </c>
      <c r="Y2656">
        <v>0.80923250955969328</v>
      </c>
      <c r="Z2656" t="str">
        <f>HYPERLINK("Melting_Curves/meltCurve_sp_Q8TB72_2_PUM2_HUMAN_.pdf", "Melting_Curves/meltCurve_sp_Q8TB72_2_PUM2_HUMAN_.pdf")</f>
        <v>Melting_Curves/meltCurve_sp_Q8TB72_2_PUM2_HUMAN_.pdf</v>
      </c>
      <c r="AA2656" t="s">
        <v>16827</v>
      </c>
      <c r="AB2656" t="s">
        <v>21490</v>
      </c>
    </row>
    <row r="2657" spans="1:28" x14ac:dyDescent="0.25">
      <c r="A2657" t="s">
        <v>2661</v>
      </c>
      <c r="B2657">
        <v>0.99904790336628502</v>
      </c>
      <c r="C2657">
        <v>0.97793975676746303</v>
      </c>
      <c r="D2657">
        <v>0.904683016569924</v>
      </c>
      <c r="E2657">
        <v>0.81145381848050402</v>
      </c>
      <c r="F2657">
        <v>0.68146940076631801</v>
      </c>
      <c r="G2657">
        <v>0.52477931468129002</v>
      </c>
      <c r="H2657">
        <v>0.46668710494729898</v>
      </c>
      <c r="I2657">
        <v>0.36651347811925999</v>
      </c>
      <c r="J2657">
        <v>0.41434027302432203</v>
      </c>
      <c r="K2657">
        <v>0.42350600499135199</v>
      </c>
      <c r="L2657">
        <v>762.65668058412098</v>
      </c>
      <c r="M2657">
        <v>14.4987700076927</v>
      </c>
      <c r="N2657">
        <v>58.267880712005798</v>
      </c>
      <c r="O2657">
        <v>51.631189623494002</v>
      </c>
      <c r="P2657">
        <v>-4.3676939911567902E-2</v>
      </c>
      <c r="Q2657">
        <v>0.37792457097932503</v>
      </c>
      <c r="R2657">
        <v>0.99075664784029105</v>
      </c>
      <c r="S2657" t="s">
        <v>7397</v>
      </c>
      <c r="T2657" t="s">
        <v>9478</v>
      </c>
      <c r="U2657" t="s">
        <v>9478</v>
      </c>
      <c r="V2657" t="s">
        <v>9478</v>
      </c>
      <c r="W2657">
        <v>5</v>
      </c>
      <c r="X2657" t="s">
        <v>12135</v>
      </c>
      <c r="Y2657">
        <v>0.65350710997273176</v>
      </c>
      <c r="Z2657" t="str">
        <f>HYPERLINK("Melting_Curves/meltCurve_sp_Q8TBA6_2_GOGA5_HUMAN_.pdf", "Melting_Curves/meltCurve_sp_Q8TBA6_2_GOGA5_HUMAN_.pdf")</f>
        <v>Melting_Curves/meltCurve_sp_Q8TBA6_2_GOGA5_HUMAN_.pdf</v>
      </c>
      <c r="AA2657" t="s">
        <v>16828</v>
      </c>
      <c r="AB2657" t="s">
        <v>21491</v>
      </c>
    </row>
    <row r="2658" spans="1:28" x14ac:dyDescent="0.25">
      <c r="A2658" t="s">
        <v>2662</v>
      </c>
      <c r="B2658">
        <v>0.99904790336628502</v>
      </c>
      <c r="C2658">
        <v>0.96738245927466004</v>
      </c>
      <c r="D2658">
        <v>0.95927523144212901</v>
      </c>
      <c r="E2658">
        <v>0.751007772520491</v>
      </c>
      <c r="F2658">
        <v>0.37811538747175899</v>
      </c>
      <c r="G2658">
        <v>0.166026956130364</v>
      </c>
      <c r="H2658">
        <v>0.117689696410745</v>
      </c>
      <c r="I2658">
        <v>7.7759461846009306E-2</v>
      </c>
      <c r="J2658">
        <v>7.2905616494186601E-2</v>
      </c>
      <c r="K2658">
        <v>5.6426660200885298E-2</v>
      </c>
      <c r="L2658">
        <v>1361.4813383579899</v>
      </c>
      <c r="M2658">
        <v>26.3173689087631</v>
      </c>
      <c r="N2658">
        <v>52.059641618270902</v>
      </c>
      <c r="O2658">
        <v>51.437263214281003</v>
      </c>
      <c r="P2658">
        <v>-0.11818236522061</v>
      </c>
      <c r="Q2658">
        <v>7.6061160282681506E-2</v>
      </c>
      <c r="R2658">
        <v>0.99818474240559896</v>
      </c>
      <c r="S2658" t="s">
        <v>7398</v>
      </c>
      <c r="T2658" t="s">
        <v>9478</v>
      </c>
      <c r="U2658" t="s">
        <v>9478</v>
      </c>
      <c r="V2658" t="s">
        <v>9478</v>
      </c>
      <c r="W2658">
        <v>13</v>
      </c>
      <c r="X2658" t="s">
        <v>12136</v>
      </c>
      <c r="Y2658">
        <v>0.44503152972616961</v>
      </c>
      <c r="Z2658" t="str">
        <f>HYPERLINK("Melting_Curves/meltCurve_sp_Q8TBC4_UBA3_HUMAN_.pdf", "Melting_Curves/meltCurve_sp_Q8TBC4_UBA3_HUMAN_.pdf")</f>
        <v>Melting_Curves/meltCurve_sp_Q8TBC4_UBA3_HUMAN_.pdf</v>
      </c>
      <c r="AA2658" t="s">
        <v>16829</v>
      </c>
      <c r="AB2658" t="s">
        <v>21492</v>
      </c>
    </row>
    <row r="2659" spans="1:28" x14ac:dyDescent="0.25">
      <c r="A2659" t="s">
        <v>2663</v>
      </c>
      <c r="B2659">
        <v>0.99904790336628502</v>
      </c>
      <c r="C2659">
        <v>0.89696383810198299</v>
      </c>
      <c r="D2659">
        <v>0.88176454287415196</v>
      </c>
      <c r="E2659">
        <v>0.81257581975694604</v>
      </c>
      <c r="F2659">
        <v>0.66181293826412801</v>
      </c>
      <c r="G2659">
        <v>0.38077040928264999</v>
      </c>
      <c r="H2659">
        <v>0.37864003695567899</v>
      </c>
      <c r="I2659">
        <v>0.335125263942815</v>
      </c>
      <c r="J2659">
        <v>0.373700217938924</v>
      </c>
      <c r="K2659">
        <v>0.33482207098030298</v>
      </c>
      <c r="L2659">
        <v>840.25103996836901</v>
      </c>
      <c r="M2659">
        <v>16.0859130227376</v>
      </c>
      <c r="N2659">
        <v>55.695298203686299</v>
      </c>
      <c r="O2659">
        <v>51.447934991243599</v>
      </c>
      <c r="P2659">
        <v>-5.3474380746839099E-2</v>
      </c>
      <c r="Q2659">
        <v>0.31593930849234497</v>
      </c>
      <c r="R2659">
        <v>0.96969056905793405</v>
      </c>
      <c r="S2659" t="s">
        <v>7399</v>
      </c>
      <c r="T2659" t="s">
        <v>9478</v>
      </c>
      <c r="U2659" t="s">
        <v>9478</v>
      </c>
      <c r="V2659" t="s">
        <v>9478</v>
      </c>
      <c r="W2659">
        <v>2</v>
      </c>
      <c r="X2659" t="s">
        <v>12137</v>
      </c>
      <c r="Y2659">
        <v>0.60855032017375399</v>
      </c>
      <c r="Z2659" t="str">
        <f>HYPERLINK("Melting_Curves/meltCurve_sp_Q8TBC5_ZSC18_HUMAN_.pdf", "Melting_Curves/meltCurve_sp_Q8TBC5_ZSC18_HUMAN_.pdf")</f>
        <v>Melting_Curves/meltCurve_sp_Q8TBC5_ZSC18_HUMAN_.pdf</v>
      </c>
      <c r="AA2659" t="s">
        <v>16830</v>
      </c>
      <c r="AB2659" t="s">
        <v>21493</v>
      </c>
    </row>
    <row r="2660" spans="1:28" x14ac:dyDescent="0.25">
      <c r="A2660" t="s">
        <v>2664</v>
      </c>
      <c r="B2660">
        <v>0.99904790336628502</v>
      </c>
      <c r="C2660">
        <v>1.08536299111699</v>
      </c>
      <c r="D2660">
        <v>1.00425500980589</v>
      </c>
      <c r="E2660">
        <v>0.87690738256295298</v>
      </c>
      <c r="F2660">
        <v>0.58031995741115505</v>
      </c>
      <c r="G2660">
        <v>0.32734763241082998</v>
      </c>
      <c r="H2660">
        <v>0.37797048080683399</v>
      </c>
      <c r="I2660">
        <v>0.50421634688765105</v>
      </c>
      <c r="J2660">
        <v>0.43102914046418001</v>
      </c>
      <c r="K2660">
        <v>0.50202082462752995</v>
      </c>
      <c r="L2660">
        <v>2320.74600061818</v>
      </c>
      <c r="M2660">
        <v>44.9927299062565</v>
      </c>
      <c r="N2660">
        <v>53.930598454449601</v>
      </c>
      <c r="O2660">
        <v>51.478880955327099</v>
      </c>
      <c r="P2660">
        <v>-0.124629516173385</v>
      </c>
      <c r="Q2660">
        <v>0.42961632293916702</v>
      </c>
      <c r="R2660">
        <v>0.95585927012516003</v>
      </c>
      <c r="S2660" t="s">
        <v>7400</v>
      </c>
      <c r="T2660" t="s">
        <v>9478</v>
      </c>
      <c r="U2660" t="s">
        <v>9478</v>
      </c>
      <c r="V2660" t="s">
        <v>9478</v>
      </c>
      <c r="W2660">
        <v>1</v>
      </c>
      <c r="X2660" t="s">
        <v>12138</v>
      </c>
      <c r="Y2660">
        <v>0.65139783038844334</v>
      </c>
      <c r="Z2660" t="str">
        <f>HYPERLINK("Melting_Curves/meltCurve_sp_Q8TBE9_NANP_HUMAN_.pdf", "Melting_Curves/meltCurve_sp_Q8TBE9_NANP_HUMAN_.pdf")</f>
        <v>Melting_Curves/meltCurve_sp_Q8TBE9_NANP_HUMAN_.pdf</v>
      </c>
      <c r="AA2660" t="s">
        <v>16831</v>
      </c>
      <c r="AB2660" t="s">
        <v>21494</v>
      </c>
    </row>
    <row r="2661" spans="1:28" x14ac:dyDescent="0.25">
      <c r="A2661" t="s">
        <v>2665</v>
      </c>
      <c r="B2661">
        <v>0.99904790336628502</v>
      </c>
      <c r="C2661">
        <v>1.07230920696747</v>
      </c>
      <c r="D2661">
        <v>1.0610157932365401</v>
      </c>
      <c r="E2661">
        <v>0.93424862788867802</v>
      </c>
      <c r="F2661">
        <v>0.74320587678698902</v>
      </c>
      <c r="G2661">
        <v>0.51850620404204595</v>
      </c>
      <c r="H2661">
        <v>0.31657302289739703</v>
      </c>
      <c r="I2661">
        <v>0.23248321918709</v>
      </c>
      <c r="J2661">
        <v>0.23165874224456101</v>
      </c>
      <c r="K2661">
        <v>0.187083311965523</v>
      </c>
      <c r="L2661">
        <v>1089.98276762465</v>
      </c>
      <c r="M2661">
        <v>19.581921174324499</v>
      </c>
      <c r="N2661">
        <v>57.019579518857398</v>
      </c>
      <c r="O2661">
        <v>55.091958041368898</v>
      </c>
      <c r="P2661">
        <v>-7.2313321203067202E-2</v>
      </c>
      <c r="Q2661">
        <v>0.18624095294781801</v>
      </c>
      <c r="R2661">
        <v>0.989181848687543</v>
      </c>
      <c r="S2661" t="s">
        <v>7401</v>
      </c>
      <c r="T2661" t="s">
        <v>9478</v>
      </c>
      <c r="U2661" t="s">
        <v>9478</v>
      </c>
      <c r="V2661" t="s">
        <v>9478</v>
      </c>
      <c r="W2661">
        <v>3</v>
      </c>
      <c r="X2661" t="s">
        <v>12139</v>
      </c>
      <c r="Y2661">
        <v>0.62203169282913107</v>
      </c>
      <c r="Z2661" t="str">
        <f>HYPERLINK("Melting_Curves/meltCurve_sp_Q8TBF2_4_PGFS_HUMAN_.pdf", "Melting_Curves/meltCurve_sp_Q8TBF2_4_PGFS_HUMAN_.pdf")</f>
        <v>Melting_Curves/meltCurve_sp_Q8TBF2_4_PGFS_HUMAN_.pdf</v>
      </c>
      <c r="AA2661" t="s">
        <v>16832</v>
      </c>
      <c r="AB2661" t="s">
        <v>21495</v>
      </c>
    </row>
    <row r="2662" spans="1:28" x14ac:dyDescent="0.25">
      <c r="A2662" t="s">
        <v>2666</v>
      </c>
      <c r="B2662">
        <v>0.99904790336628502</v>
      </c>
      <c r="C2662">
        <v>0.935259969873807</v>
      </c>
      <c r="D2662">
        <v>0.88269839899843505</v>
      </c>
      <c r="E2662">
        <v>0.50052257748334095</v>
      </c>
      <c r="F2662">
        <v>0.21668337329359899</v>
      </c>
      <c r="G2662">
        <v>0.134765128033591</v>
      </c>
      <c r="H2662">
        <v>7.7385787634644904E-2</v>
      </c>
      <c r="I2662">
        <v>5.7896879230815199E-2</v>
      </c>
      <c r="J2662">
        <v>5.06462237338915E-2</v>
      </c>
      <c r="K2662">
        <v>5.1989656031978401E-2</v>
      </c>
      <c r="L2662">
        <v>1132.4924043465101</v>
      </c>
      <c r="M2662">
        <v>22.794719934622901</v>
      </c>
      <c r="N2662">
        <v>49.948091607679999</v>
      </c>
      <c r="O2662">
        <v>49.304595116611203</v>
      </c>
      <c r="P2662">
        <v>-0.10898002781429</v>
      </c>
      <c r="Q2662">
        <v>5.7130433373887998E-2</v>
      </c>
      <c r="R2662">
        <v>0.99765628258941796</v>
      </c>
      <c r="S2662" t="s">
        <v>7402</v>
      </c>
      <c r="T2662" t="s">
        <v>9478</v>
      </c>
      <c r="U2662" t="s">
        <v>9478</v>
      </c>
      <c r="V2662" t="s">
        <v>9478</v>
      </c>
      <c r="W2662">
        <v>12</v>
      </c>
      <c r="X2662" t="s">
        <v>12140</v>
      </c>
      <c r="Y2662">
        <v>0.37155666724229919</v>
      </c>
      <c r="Z2662" t="str">
        <f>HYPERLINK("Melting_Curves/meltCurve_sp_Q8TBG4_3_AT2L1_HUMAN_.pdf", "Melting_Curves/meltCurve_sp_Q8TBG4_3_AT2L1_HUMAN_.pdf")</f>
        <v>Melting_Curves/meltCurve_sp_Q8TBG4_3_AT2L1_HUMAN_.pdf</v>
      </c>
      <c r="AA2662" t="s">
        <v>16833</v>
      </c>
      <c r="AB2662" t="s">
        <v>21496</v>
      </c>
    </row>
    <row r="2663" spans="1:28" x14ac:dyDescent="0.25">
      <c r="A2663" t="s">
        <v>2667</v>
      </c>
      <c r="B2663">
        <v>0.99904790336628502</v>
      </c>
      <c r="C2663">
        <v>0.89231040251280302</v>
      </c>
      <c r="D2663">
        <v>0.78952694844366</v>
      </c>
      <c r="E2663">
        <v>0.51186090507867399</v>
      </c>
      <c r="F2663">
        <v>0.317541922571352</v>
      </c>
      <c r="G2663">
        <v>0.15723145017135501</v>
      </c>
      <c r="H2663">
        <v>9.1588715676136398E-2</v>
      </c>
      <c r="I2663">
        <v>5.38697024921692E-2</v>
      </c>
      <c r="J2663">
        <v>4.5242636583702603E-2</v>
      </c>
      <c r="K2663">
        <v>4.31429656534272E-2</v>
      </c>
      <c r="L2663">
        <v>725.75249669706898</v>
      </c>
      <c r="M2663">
        <v>14.524840997060799</v>
      </c>
      <c r="N2663">
        <v>50.1205414777382</v>
      </c>
      <c r="O2663">
        <v>49.0478215626975</v>
      </c>
      <c r="P2663">
        <v>-7.2424140320497099E-2</v>
      </c>
      <c r="Q2663">
        <v>2.18579383571968E-2</v>
      </c>
      <c r="R2663">
        <v>0.998884942802991</v>
      </c>
      <c r="S2663" t="s">
        <v>7403</v>
      </c>
      <c r="T2663" t="s">
        <v>9478</v>
      </c>
      <c r="U2663" t="s">
        <v>9478</v>
      </c>
      <c r="V2663" t="s">
        <v>9478</v>
      </c>
      <c r="W2663">
        <v>7</v>
      </c>
      <c r="X2663" t="s">
        <v>12141</v>
      </c>
      <c r="Y2663">
        <v>0.37151923439643142</v>
      </c>
      <c r="Z2663" t="str">
        <f>HYPERLINK("Melting_Curves/meltCurve_sp_Q8TBX8_PI42C_HUMAN_.pdf", "Melting_Curves/meltCurve_sp_Q8TBX8_PI42C_HUMAN_.pdf")</f>
        <v>Melting_Curves/meltCurve_sp_Q8TBX8_PI42C_HUMAN_.pdf</v>
      </c>
      <c r="AA2663" t="s">
        <v>16834</v>
      </c>
      <c r="AB2663" t="s">
        <v>21497</v>
      </c>
    </row>
    <row r="2664" spans="1:28" x14ac:dyDescent="0.25">
      <c r="A2664" t="s">
        <v>2668</v>
      </c>
      <c r="B2664">
        <v>0.99904790336628502</v>
      </c>
      <c r="C2664">
        <v>0.99897825216865099</v>
      </c>
      <c r="D2664">
        <v>0.99203646786796196</v>
      </c>
      <c r="E2664">
        <v>0.75063601510697497</v>
      </c>
      <c r="F2664">
        <v>0.423119809444642</v>
      </c>
      <c r="G2664">
        <v>0.19765525873536499</v>
      </c>
      <c r="H2664">
        <v>0.108818843300599</v>
      </c>
      <c r="I2664">
        <v>8.6574503812710396E-2</v>
      </c>
      <c r="J2664">
        <v>7.8255241994329997E-2</v>
      </c>
      <c r="K2664">
        <v>6.7196801143178303E-2</v>
      </c>
      <c r="L2664">
        <v>1278.4087719531601</v>
      </c>
      <c r="M2664">
        <v>24.575162958116401</v>
      </c>
      <c r="N2664">
        <v>52.385709633525899</v>
      </c>
      <c r="O2664">
        <v>51.679572679503501</v>
      </c>
      <c r="P2664">
        <v>-0.109521546481499</v>
      </c>
      <c r="Q2664">
        <v>7.8753573660019102E-2</v>
      </c>
      <c r="R2664">
        <v>0.99892917869652798</v>
      </c>
      <c r="S2664" t="s">
        <v>7404</v>
      </c>
      <c r="T2664" t="s">
        <v>9478</v>
      </c>
      <c r="U2664" t="s">
        <v>9478</v>
      </c>
      <c r="V2664" t="s">
        <v>9478</v>
      </c>
      <c r="W2664">
        <v>10</v>
      </c>
      <c r="X2664" t="s">
        <v>12142</v>
      </c>
      <c r="Y2664">
        <v>0.45657045611565461</v>
      </c>
      <c r="Z2664" t="str">
        <f>HYPERLINK("Melting_Curves/meltCurve_sp_Q8TC07_2_TBC15_HUMAN_.pdf", "Melting_Curves/meltCurve_sp_Q8TC07_2_TBC15_HUMAN_.pdf")</f>
        <v>Melting_Curves/meltCurve_sp_Q8TC07_2_TBC15_HUMAN_.pdf</v>
      </c>
      <c r="AA2664" t="s">
        <v>16835</v>
      </c>
      <c r="AB2664" t="s">
        <v>21498</v>
      </c>
    </row>
    <row r="2665" spans="1:28" x14ac:dyDescent="0.25">
      <c r="A2665" t="s">
        <v>2669</v>
      </c>
      <c r="B2665">
        <v>0.99904790336628502</v>
      </c>
      <c r="C2665">
        <v>1.17278102324864</v>
      </c>
      <c r="D2665">
        <v>0.94036878538413604</v>
      </c>
      <c r="E2665">
        <v>0.48793783809908797</v>
      </c>
      <c r="F2665">
        <v>0.23587584092384201</v>
      </c>
      <c r="G2665">
        <v>0.113376851735215</v>
      </c>
      <c r="H2665">
        <v>6.2522261526088099E-2</v>
      </c>
      <c r="I2665">
        <v>5.3545261946799302E-2</v>
      </c>
      <c r="J2665">
        <v>5.8688210018552699E-2</v>
      </c>
      <c r="K2665">
        <v>4.5520209922800002E-2</v>
      </c>
      <c r="L2665">
        <v>1480.24865334536</v>
      </c>
      <c r="M2665">
        <v>29.675040122453002</v>
      </c>
      <c r="N2665">
        <v>50.113442604471601</v>
      </c>
      <c r="O2665">
        <v>49.657048009798103</v>
      </c>
      <c r="P2665">
        <v>-0.13983161882980499</v>
      </c>
      <c r="Q2665">
        <v>6.4051089481537204E-2</v>
      </c>
      <c r="R2665">
        <v>0.98056911546204695</v>
      </c>
      <c r="S2665" t="s">
        <v>7405</v>
      </c>
      <c r="T2665" t="s">
        <v>9478</v>
      </c>
      <c r="U2665" t="s">
        <v>9478</v>
      </c>
      <c r="V2665" t="s">
        <v>9478</v>
      </c>
      <c r="W2665">
        <v>4</v>
      </c>
      <c r="X2665" t="s">
        <v>12143</v>
      </c>
      <c r="Y2665">
        <v>0.37825777825016099</v>
      </c>
      <c r="Z2665" t="str">
        <f>HYPERLINK("Melting_Curves/meltCurve_sp_Q8TC12_RDH11_HUMAN_.pdf", "Melting_Curves/meltCurve_sp_Q8TC12_RDH11_HUMAN_.pdf")</f>
        <v>Melting_Curves/meltCurve_sp_Q8TC12_RDH11_HUMAN_.pdf</v>
      </c>
      <c r="AA2665" t="s">
        <v>16836</v>
      </c>
      <c r="AB2665" t="s">
        <v>21499</v>
      </c>
    </row>
    <row r="2666" spans="1:28" x14ac:dyDescent="0.25">
      <c r="A2666" t="s">
        <v>2670</v>
      </c>
      <c r="B2666">
        <v>0.99904790336628502</v>
      </c>
      <c r="C2666">
        <v>1.11619844232333</v>
      </c>
      <c r="D2666">
        <v>1.1380188878650299</v>
      </c>
      <c r="E2666">
        <v>0.94321571241919699</v>
      </c>
      <c r="F2666">
        <v>0.99889221097057201</v>
      </c>
      <c r="G2666">
        <v>0.47698664370000599</v>
      </c>
      <c r="H2666">
        <v>0.389288883053795</v>
      </c>
      <c r="I2666">
        <v>0.12807693342528501</v>
      </c>
      <c r="J2666">
        <v>3.21752918773709E-2</v>
      </c>
      <c r="K2666">
        <v>0</v>
      </c>
      <c r="L2666">
        <v>1200.3247402188399</v>
      </c>
      <c r="M2666">
        <v>20.626939643138599</v>
      </c>
      <c r="N2666">
        <v>58.192093536234196</v>
      </c>
      <c r="O2666">
        <v>57.653426512936797</v>
      </c>
      <c r="P2666">
        <v>-8.9446261698382004E-2</v>
      </c>
      <c r="Q2666">
        <v>0</v>
      </c>
      <c r="R2666">
        <v>0.95973879717917399</v>
      </c>
      <c r="S2666" t="s">
        <v>7406</v>
      </c>
      <c r="T2666" t="s">
        <v>9478</v>
      </c>
      <c r="U2666" t="s">
        <v>9478</v>
      </c>
      <c r="V2666" t="s">
        <v>9478</v>
      </c>
      <c r="W2666">
        <v>2</v>
      </c>
      <c r="X2666" t="s">
        <v>12144</v>
      </c>
      <c r="Y2666">
        <v>0.61720294025866995</v>
      </c>
      <c r="Z2666" t="str">
        <f>HYPERLINK("Melting_Curves/meltCurve_sp_Q8TCA0_LRC20_HUMAN_.pdf", "Melting_Curves/meltCurve_sp_Q8TCA0_LRC20_HUMAN_.pdf")</f>
        <v>Melting_Curves/meltCurve_sp_Q8TCA0_LRC20_HUMAN_.pdf</v>
      </c>
      <c r="AA2666" t="s">
        <v>16837</v>
      </c>
      <c r="AB2666" t="s">
        <v>21500</v>
      </c>
    </row>
    <row r="2667" spans="1:28" x14ac:dyDescent="0.25">
      <c r="A2667" t="s">
        <v>2671</v>
      </c>
      <c r="B2667">
        <v>0.99904790336628502</v>
      </c>
      <c r="C2667">
        <v>1.01698003405098</v>
      </c>
      <c r="D2667">
        <v>0.97109382845312897</v>
      </c>
      <c r="E2667">
        <v>0.92049836404685204</v>
      </c>
      <c r="F2667">
        <v>0.87542202647611</v>
      </c>
      <c r="G2667">
        <v>0.80164708302046594</v>
      </c>
      <c r="H2667">
        <v>0.69625794954486997</v>
      </c>
      <c r="I2667">
        <v>0.66931080940179399</v>
      </c>
      <c r="J2667">
        <v>0.78024454793178999</v>
      </c>
      <c r="K2667">
        <v>0.78378131943039198</v>
      </c>
      <c r="L2667">
        <v>1101.62574301054</v>
      </c>
      <c r="M2667">
        <v>20.872510781675999</v>
      </c>
      <c r="O2667">
        <v>52.301486206630301</v>
      </c>
      <c r="P2667">
        <v>-2.67180279707699E-2</v>
      </c>
      <c r="Q2667">
        <v>0.73221158317539903</v>
      </c>
      <c r="R2667">
        <v>0.90156069231970104</v>
      </c>
      <c r="S2667" t="s">
        <v>7407</v>
      </c>
      <c r="T2667" t="s">
        <v>9478</v>
      </c>
      <c r="U2667" t="s">
        <v>9478</v>
      </c>
      <c r="V2667" t="s">
        <v>9478</v>
      </c>
      <c r="W2667">
        <v>1</v>
      </c>
      <c r="X2667" t="s">
        <v>12145</v>
      </c>
      <c r="Y2667">
        <v>0.84970327804759838</v>
      </c>
      <c r="Z2667" t="str">
        <f>HYPERLINK("Melting_Curves/meltCurve_sp_Q8TCD1_CR032_HUMAN_.pdf", "Melting_Curves/meltCurve_sp_Q8TCD1_CR032_HUMAN_.pdf")</f>
        <v>Melting_Curves/meltCurve_sp_Q8TCD1_CR032_HUMAN_.pdf</v>
      </c>
      <c r="AA2667" t="s">
        <v>16838</v>
      </c>
      <c r="AB2667" t="s">
        <v>21501</v>
      </c>
    </row>
    <row r="2668" spans="1:28" x14ac:dyDescent="0.25">
      <c r="A2668" t="s">
        <v>2672</v>
      </c>
      <c r="B2668">
        <v>0.99904790336628502</v>
      </c>
      <c r="C2668">
        <v>0.83515684918418998</v>
      </c>
      <c r="D2668">
        <v>0.93459813767658295</v>
      </c>
      <c r="E2668">
        <v>0.87157162878403105</v>
      </c>
      <c r="F2668">
        <v>0.80033044336699899</v>
      </c>
      <c r="G2668">
        <v>0.65551903883581597</v>
      </c>
      <c r="H2668">
        <v>0.47257190471801502</v>
      </c>
      <c r="I2668">
        <v>0.173944154357659</v>
      </c>
      <c r="J2668">
        <v>8.9914329175164801E-2</v>
      </c>
      <c r="K2668">
        <v>8.1815263047966602E-2</v>
      </c>
      <c r="L2668">
        <v>841.54509766532999</v>
      </c>
      <c r="M2668">
        <v>14.2878628866941</v>
      </c>
      <c r="N2668">
        <v>58.899298477001501</v>
      </c>
      <c r="O2668">
        <v>57.781545311850998</v>
      </c>
      <c r="P2668">
        <v>-6.1826008401237101E-2</v>
      </c>
      <c r="Q2668">
        <v>0</v>
      </c>
      <c r="R2668">
        <v>0.95670464525703502</v>
      </c>
      <c r="S2668" t="s">
        <v>7408</v>
      </c>
      <c r="T2668" t="s">
        <v>9478</v>
      </c>
      <c r="U2668" t="s">
        <v>9478</v>
      </c>
      <c r="V2668" t="s">
        <v>9478</v>
      </c>
      <c r="W2668">
        <v>9</v>
      </c>
      <c r="X2668" t="s">
        <v>12146</v>
      </c>
      <c r="Y2668">
        <v>0.64051983782444466</v>
      </c>
      <c r="Z2668" t="str">
        <f>HYPERLINK("Melting_Curves/meltCurve_sp_Q8TCD5_NT5C_HUMAN_.pdf", "Melting_Curves/meltCurve_sp_Q8TCD5_NT5C_HUMAN_.pdf")</f>
        <v>Melting_Curves/meltCurve_sp_Q8TCD5_NT5C_HUMAN_.pdf</v>
      </c>
      <c r="AA2668" t="s">
        <v>16839</v>
      </c>
      <c r="AB2668" t="s">
        <v>21502</v>
      </c>
    </row>
    <row r="2669" spans="1:28" x14ac:dyDescent="0.25">
      <c r="A2669" t="s">
        <v>2673</v>
      </c>
      <c r="B2669">
        <v>0.99904790336628502</v>
      </c>
      <c r="C2669">
        <v>1.05150372339439</v>
      </c>
      <c r="D2669">
        <v>0.98151373630778904</v>
      </c>
      <c r="E2669">
        <v>0.65422632166542805</v>
      </c>
      <c r="F2669">
        <v>0.21402274179684599</v>
      </c>
      <c r="G2669">
        <v>0.13907051974175</v>
      </c>
      <c r="H2669">
        <v>7.1501520021218595E-2</v>
      </c>
      <c r="I2669">
        <v>4.8504595160997803E-2</v>
      </c>
      <c r="J2669">
        <v>3.3553598825502101E-2</v>
      </c>
      <c r="K2669">
        <v>1.48410283080684E-2</v>
      </c>
      <c r="L2669">
        <v>1771.22555408471</v>
      </c>
      <c r="M2669">
        <v>34.890430386285402</v>
      </c>
      <c r="N2669">
        <v>50.932297610278198</v>
      </c>
      <c r="O2669">
        <v>50.5994692682006</v>
      </c>
      <c r="P2669">
        <v>-0.163073445433112</v>
      </c>
      <c r="Q2669">
        <v>5.4021381571742799E-2</v>
      </c>
      <c r="R2669">
        <v>0.99468542669416904</v>
      </c>
      <c r="S2669" t="s">
        <v>7409</v>
      </c>
      <c r="T2669" t="s">
        <v>9478</v>
      </c>
      <c r="U2669" t="s">
        <v>9478</v>
      </c>
      <c r="V2669" t="s">
        <v>9478</v>
      </c>
      <c r="W2669">
        <v>4</v>
      </c>
      <c r="X2669" t="s">
        <v>12147</v>
      </c>
      <c r="Y2669">
        <v>0.3978539099771865</v>
      </c>
      <c r="Z2669" t="str">
        <f>HYPERLINK("Melting_Curves/meltCurve_sp_Q8TCE6_2_FA45A_HUMAN_.pdf", "Melting_Curves/meltCurve_sp_Q8TCE6_2_FA45A_HUMAN_.pdf")</f>
        <v>Melting_Curves/meltCurve_sp_Q8TCE6_2_FA45A_HUMAN_.pdf</v>
      </c>
      <c r="AA2669" t="s">
        <v>16840</v>
      </c>
      <c r="AB2669" t="s">
        <v>21503</v>
      </c>
    </row>
    <row r="2670" spans="1:28" x14ac:dyDescent="0.25">
      <c r="A2670" t="s">
        <v>2674</v>
      </c>
      <c r="B2670">
        <v>0.99904790336628502</v>
      </c>
      <c r="C2670">
        <v>0.96729099001823804</v>
      </c>
      <c r="D2670">
        <v>0.97794856073852698</v>
      </c>
      <c r="E2670">
        <v>0.90134628158041197</v>
      </c>
      <c r="F2670">
        <v>0.46334419522155901</v>
      </c>
      <c r="G2670">
        <v>0.124328211830795</v>
      </c>
      <c r="H2670">
        <v>7.8761933776506698E-2</v>
      </c>
      <c r="I2670">
        <v>5.2194704143541798E-2</v>
      </c>
      <c r="J2670">
        <v>3.9622192401991801E-2</v>
      </c>
      <c r="K2670">
        <v>3.1004229425528301E-2</v>
      </c>
      <c r="L2670">
        <v>1948.97866805275</v>
      </c>
      <c r="M2670">
        <v>36.991769788991597</v>
      </c>
      <c r="N2670">
        <v>52.842532542984003</v>
      </c>
      <c r="O2670">
        <v>52.533553872831099</v>
      </c>
      <c r="P2670">
        <v>-0.166948962079599</v>
      </c>
      <c r="Q2670">
        <v>5.1637969152926601E-2</v>
      </c>
      <c r="R2670">
        <v>0.99827829213609298</v>
      </c>
      <c r="S2670" t="s">
        <v>7410</v>
      </c>
      <c r="T2670" t="s">
        <v>9478</v>
      </c>
      <c r="U2670" t="s">
        <v>9478</v>
      </c>
      <c r="V2670" t="s">
        <v>9478</v>
      </c>
      <c r="W2670">
        <v>32</v>
      </c>
      <c r="X2670" t="s">
        <v>12148</v>
      </c>
      <c r="Y2670">
        <v>0.45673127379382739</v>
      </c>
      <c r="Z2670" t="str">
        <f>HYPERLINK("Melting_Curves/meltCurve_sp_Q8TCS8_PNPT1_HUMAN_.pdf", "Melting_Curves/meltCurve_sp_Q8TCS8_PNPT1_HUMAN_.pdf")</f>
        <v>Melting_Curves/meltCurve_sp_Q8TCS8_PNPT1_HUMAN_.pdf</v>
      </c>
      <c r="AA2670" t="s">
        <v>16841</v>
      </c>
      <c r="AB2670" t="s">
        <v>21504</v>
      </c>
    </row>
    <row r="2671" spans="1:28" x14ac:dyDescent="0.25">
      <c r="A2671" t="s">
        <v>2675</v>
      </c>
      <c r="B2671">
        <v>0.99904790336628502</v>
      </c>
      <c r="C2671">
        <v>1.0944358885969301</v>
      </c>
      <c r="D2671">
        <v>1.1083015770437601</v>
      </c>
      <c r="E2671">
        <v>1.1024675718110699</v>
      </c>
      <c r="F2671">
        <v>0.96322727679549203</v>
      </c>
      <c r="G2671">
        <v>0.67819832066786101</v>
      </c>
      <c r="H2671">
        <v>0.59021244765785796</v>
      </c>
      <c r="I2671">
        <v>0.37943684728554899</v>
      </c>
      <c r="J2671">
        <v>0.40349206420839401</v>
      </c>
      <c r="K2671">
        <v>0.51994090215538002</v>
      </c>
      <c r="L2671">
        <v>1874.9132947605999</v>
      </c>
      <c r="M2671">
        <v>33.023876901650297</v>
      </c>
      <c r="N2671">
        <v>61.0858796681703</v>
      </c>
      <c r="O2671">
        <v>56.567504875501299</v>
      </c>
      <c r="P2671">
        <v>-8.0069238393341097E-2</v>
      </c>
      <c r="Q2671">
        <v>0.45139127392385198</v>
      </c>
      <c r="R2671">
        <v>0.93110194627629095</v>
      </c>
      <c r="S2671" t="s">
        <v>7411</v>
      </c>
      <c r="T2671" t="s">
        <v>9478</v>
      </c>
      <c r="U2671" t="s">
        <v>9478</v>
      </c>
      <c r="V2671" t="s">
        <v>9478</v>
      </c>
      <c r="W2671">
        <v>1</v>
      </c>
      <c r="X2671" t="s">
        <v>12149</v>
      </c>
      <c r="Y2671">
        <v>0.76121722332886266</v>
      </c>
      <c r="Z2671" t="str">
        <f>HYPERLINK("Melting_Curves/meltCurve_sp_Q8TD16_BICD2_HUMAN_.pdf", "Melting_Curves/meltCurve_sp_Q8TD16_BICD2_HUMAN_.pdf")</f>
        <v>Melting_Curves/meltCurve_sp_Q8TD16_BICD2_HUMAN_.pdf</v>
      </c>
      <c r="AA2671" t="s">
        <v>16842</v>
      </c>
      <c r="AB2671" t="s">
        <v>21505</v>
      </c>
    </row>
    <row r="2672" spans="1:28" x14ac:dyDescent="0.25">
      <c r="A2672" t="s">
        <v>2676</v>
      </c>
      <c r="B2672">
        <v>0.99904790336628502</v>
      </c>
      <c r="C2672">
        <v>0.99789635268371202</v>
      </c>
      <c r="D2672">
        <v>1.05299586090895</v>
      </c>
      <c r="E2672">
        <v>0.90686432840042897</v>
      </c>
      <c r="F2672">
        <v>0.62956072801289498</v>
      </c>
      <c r="G2672">
        <v>0.26751295349765902</v>
      </c>
      <c r="H2672">
        <v>0.166892536879436</v>
      </c>
      <c r="I2672">
        <v>0.13918388406042001</v>
      </c>
      <c r="J2672">
        <v>0.13131387609209999</v>
      </c>
      <c r="K2672">
        <v>0.124390757595791</v>
      </c>
      <c r="L2672">
        <v>1562.2593535155399</v>
      </c>
      <c r="M2672">
        <v>29.149635122354901</v>
      </c>
      <c r="N2672">
        <v>54.165146991704702</v>
      </c>
      <c r="O2672">
        <v>53.344144678879402</v>
      </c>
      <c r="P2672">
        <v>-0.1185497907177</v>
      </c>
      <c r="Q2672">
        <v>0.13221690468848199</v>
      </c>
      <c r="R2672">
        <v>0.99748050554861101</v>
      </c>
      <c r="S2672" t="s">
        <v>7412</v>
      </c>
      <c r="T2672" t="s">
        <v>9478</v>
      </c>
      <c r="U2672" t="s">
        <v>9478</v>
      </c>
      <c r="V2672" t="s">
        <v>9478</v>
      </c>
      <c r="W2672">
        <v>17</v>
      </c>
      <c r="X2672" t="s">
        <v>12150</v>
      </c>
      <c r="Y2672">
        <v>0.53144920920922956</v>
      </c>
      <c r="Z2672" t="str">
        <f>HYPERLINK("Melting_Curves/meltCurve_sp_Q8TD19_NEK9_HUMAN_.pdf", "Melting_Curves/meltCurve_sp_Q8TD19_NEK9_HUMAN_.pdf")</f>
        <v>Melting_Curves/meltCurve_sp_Q8TD19_NEK9_HUMAN_.pdf</v>
      </c>
      <c r="AA2672" t="s">
        <v>16843</v>
      </c>
      <c r="AB2672" t="s">
        <v>21506</v>
      </c>
    </row>
    <row r="2673" spans="1:28" x14ac:dyDescent="0.25">
      <c r="A2673" t="s">
        <v>2677</v>
      </c>
      <c r="B2673">
        <v>0.99904790336628502</v>
      </c>
      <c r="C2673">
        <v>0.90822789616590405</v>
      </c>
      <c r="D2673">
        <v>0.80510664397050402</v>
      </c>
      <c r="E2673">
        <v>0.44556169932800199</v>
      </c>
      <c r="F2673">
        <v>0.247104119302754</v>
      </c>
      <c r="G2673">
        <v>0.151144635012713</v>
      </c>
      <c r="H2673">
        <v>8.4620651659106802E-2</v>
      </c>
      <c r="I2673">
        <v>4.4979221809035699E-2</v>
      </c>
      <c r="J2673">
        <v>2.9529713347722801E-2</v>
      </c>
      <c r="K2673">
        <v>3.2628101572606601E-2</v>
      </c>
      <c r="L2673">
        <v>842.69133710839503</v>
      </c>
      <c r="M2673">
        <v>17.090684745080701</v>
      </c>
      <c r="N2673">
        <v>49.509694980559203</v>
      </c>
      <c r="O2673">
        <v>48.646845049448999</v>
      </c>
      <c r="P2673">
        <v>-8.4868591841142801E-2</v>
      </c>
      <c r="Q2673">
        <v>3.3780227003976399E-2</v>
      </c>
      <c r="R2673">
        <v>0.997686205987112</v>
      </c>
      <c r="S2673" t="s">
        <v>7413</v>
      </c>
      <c r="T2673" t="s">
        <v>9478</v>
      </c>
      <c r="U2673" t="s">
        <v>9478</v>
      </c>
      <c r="V2673" t="s">
        <v>9478</v>
      </c>
      <c r="W2673">
        <v>12</v>
      </c>
      <c r="X2673" t="s">
        <v>12151</v>
      </c>
      <c r="Y2673">
        <v>0.35195256726064827</v>
      </c>
      <c r="Z2673" t="str">
        <f>HYPERLINK("Melting_Curves/meltCurve_sp_Q8TD30_ALAT2_HUMAN_.pdf", "Melting_Curves/meltCurve_sp_Q8TD30_ALAT2_HUMAN_.pdf")</f>
        <v>Melting_Curves/meltCurve_sp_Q8TD30_ALAT2_HUMAN_.pdf</v>
      </c>
      <c r="AA2673" t="s">
        <v>16844</v>
      </c>
      <c r="AB2673" t="s">
        <v>21507</v>
      </c>
    </row>
    <row r="2674" spans="1:28" x14ac:dyDescent="0.25">
      <c r="A2674" t="s">
        <v>2678</v>
      </c>
      <c r="B2674">
        <v>0.99904790336628502</v>
      </c>
      <c r="C2674">
        <v>0.89949845959746499</v>
      </c>
      <c r="D2674">
        <v>0.73345449281130903</v>
      </c>
      <c r="E2674">
        <v>0.30068114046104299</v>
      </c>
      <c r="F2674">
        <v>0.19979066447208699</v>
      </c>
      <c r="G2674">
        <v>0.130037200175777</v>
      </c>
      <c r="H2674">
        <v>9.5677287057098201E-2</v>
      </c>
      <c r="I2674">
        <v>7.2820660264415693E-2</v>
      </c>
      <c r="J2674">
        <v>7.2751183528705396E-2</v>
      </c>
      <c r="K2674">
        <v>5.9484305337500099E-2</v>
      </c>
      <c r="L2674">
        <v>1005.34521922818</v>
      </c>
      <c r="M2674">
        <v>21.070478255575502</v>
      </c>
      <c r="N2674">
        <v>48.096904482483502</v>
      </c>
      <c r="O2674">
        <v>47.289911085677197</v>
      </c>
      <c r="P2674">
        <v>-0.102780350794321</v>
      </c>
      <c r="Q2674">
        <v>7.7316635499684802E-2</v>
      </c>
      <c r="R2674">
        <v>0.99697018412166405</v>
      </c>
      <c r="S2674" t="s">
        <v>7414</v>
      </c>
      <c r="T2674" t="s">
        <v>9478</v>
      </c>
      <c r="U2674" t="s">
        <v>9478</v>
      </c>
      <c r="V2674" t="s">
        <v>9478</v>
      </c>
      <c r="W2674">
        <v>16</v>
      </c>
      <c r="X2674" t="s">
        <v>12152</v>
      </c>
      <c r="Y2674">
        <v>0.32635150239596428</v>
      </c>
      <c r="Z2674" t="str">
        <f>HYPERLINK("Melting_Curves/meltCurve_sp_Q8TDB6_DTX3L_HUMAN_.pdf", "Melting_Curves/meltCurve_sp_Q8TDB6_DTX3L_HUMAN_.pdf")</f>
        <v>Melting_Curves/meltCurve_sp_Q8TDB6_DTX3L_HUMAN_.pdf</v>
      </c>
      <c r="AA2674" t="s">
        <v>16845</v>
      </c>
      <c r="AB2674" t="s">
        <v>21508</v>
      </c>
    </row>
    <row r="2675" spans="1:28" x14ac:dyDescent="0.25">
      <c r="A2675" t="s">
        <v>2679</v>
      </c>
      <c r="B2675">
        <v>0.99904790336628502</v>
      </c>
      <c r="C2675">
        <v>1.0120723441595001</v>
      </c>
      <c r="D2675">
        <v>0.98902286829645603</v>
      </c>
      <c r="E2675">
        <v>0.91860098924566203</v>
      </c>
      <c r="F2675">
        <v>0.90421968099583805</v>
      </c>
      <c r="G2675">
        <v>0.80146900803112198</v>
      </c>
      <c r="H2675">
        <v>0.65684345617976903</v>
      </c>
      <c r="I2675">
        <v>0.62341405558818996</v>
      </c>
      <c r="J2675">
        <v>0.67044107612104897</v>
      </c>
      <c r="K2675">
        <v>0.58995957144158995</v>
      </c>
      <c r="L2675">
        <v>880.04818088513696</v>
      </c>
      <c r="M2675">
        <v>15.590591912061001</v>
      </c>
      <c r="O2675">
        <v>55.543164758040902</v>
      </c>
      <c r="P2675">
        <v>-2.88856799285909E-2</v>
      </c>
      <c r="Q2675">
        <v>0.58840233556319299</v>
      </c>
      <c r="R2675">
        <v>0.97607887985758401</v>
      </c>
      <c r="S2675" t="s">
        <v>7415</v>
      </c>
      <c r="T2675" t="s">
        <v>9478</v>
      </c>
      <c r="U2675" t="s">
        <v>9478</v>
      </c>
      <c r="V2675" t="s">
        <v>9478</v>
      </c>
      <c r="W2675">
        <v>3</v>
      </c>
      <c r="X2675" t="s">
        <v>12153</v>
      </c>
      <c r="Y2675">
        <v>0.82082384484241333</v>
      </c>
      <c r="Z2675" t="str">
        <f>HYPERLINK("Melting_Curves/meltCurve_sp_Q8TDD1_2_DDX54_HUMAN_.pdf", "Melting_Curves/meltCurve_sp_Q8TDD1_2_DDX54_HUMAN_.pdf")</f>
        <v>Melting_Curves/meltCurve_sp_Q8TDD1_2_DDX54_HUMAN_.pdf</v>
      </c>
      <c r="AA2675" t="s">
        <v>16846</v>
      </c>
      <c r="AB2675" t="s">
        <v>21509</v>
      </c>
    </row>
    <row r="2676" spans="1:28" x14ac:dyDescent="0.25">
      <c r="A2676" t="s">
        <v>2680</v>
      </c>
      <c r="B2676">
        <v>0.99904790336628502</v>
      </c>
      <c r="C2676">
        <v>1.0034102164816601</v>
      </c>
      <c r="D2676">
        <v>0.99896929305789195</v>
      </c>
      <c r="E2676">
        <v>0.91085369544191597</v>
      </c>
      <c r="F2676">
        <v>0.65435182777662304</v>
      </c>
      <c r="G2676">
        <v>0.45384108534036699</v>
      </c>
      <c r="H2676">
        <v>0.248361725793451</v>
      </c>
      <c r="I2676">
        <v>0.16176265232558301</v>
      </c>
      <c r="J2676">
        <v>0.18704944757766501</v>
      </c>
      <c r="K2676">
        <v>0.18890940099327899</v>
      </c>
      <c r="L2676">
        <v>1076.3960666108101</v>
      </c>
      <c r="M2676">
        <v>19.7178555569756</v>
      </c>
      <c r="N2676">
        <v>55.667515418401699</v>
      </c>
      <c r="O2676">
        <v>54.037725902465198</v>
      </c>
      <c r="P2676">
        <v>-7.6752985688822203E-2</v>
      </c>
      <c r="Q2676">
        <v>0.158648060966951</v>
      </c>
      <c r="R2676">
        <v>0.99430571297961901</v>
      </c>
      <c r="S2676" t="s">
        <v>7416</v>
      </c>
      <c r="T2676" t="s">
        <v>9478</v>
      </c>
      <c r="U2676" t="s">
        <v>9478</v>
      </c>
      <c r="V2676" t="s">
        <v>9478</v>
      </c>
      <c r="W2676">
        <v>1</v>
      </c>
      <c r="X2676" t="s">
        <v>12154</v>
      </c>
      <c r="Y2676">
        <v>0.5793844521112298</v>
      </c>
      <c r="Z2676" t="str">
        <f>HYPERLINK("Melting_Curves/meltCurve_sp_Q8TDH9_2_BL1S5_HUMAN_.pdf", "Melting_Curves/meltCurve_sp_Q8TDH9_2_BL1S5_HUMAN_.pdf")</f>
        <v>Melting_Curves/meltCurve_sp_Q8TDH9_2_BL1S5_HUMAN_.pdf</v>
      </c>
      <c r="AA2676" t="s">
        <v>16847</v>
      </c>
      <c r="AB2676" t="s">
        <v>21510</v>
      </c>
    </row>
    <row r="2677" spans="1:28" x14ac:dyDescent="0.25">
      <c r="A2677" t="s">
        <v>2681</v>
      </c>
      <c r="B2677">
        <v>0.99904790336628502</v>
      </c>
      <c r="C2677">
        <v>1.1471642026811999</v>
      </c>
      <c r="D2677">
        <v>1.12467457121545</v>
      </c>
      <c r="E2677">
        <v>1.0064351089417001</v>
      </c>
      <c r="F2677">
        <v>0.73175583369251695</v>
      </c>
      <c r="G2677">
        <v>0.55332780167805995</v>
      </c>
      <c r="H2677">
        <v>0.186866152721126</v>
      </c>
      <c r="I2677">
        <v>0.170809664308406</v>
      </c>
      <c r="J2677">
        <v>0</v>
      </c>
      <c r="K2677">
        <v>0</v>
      </c>
      <c r="L2677">
        <v>1129.6255273045699</v>
      </c>
      <c r="M2677">
        <v>19.783377201824099</v>
      </c>
      <c r="N2677">
        <v>57.0997330245008</v>
      </c>
      <c r="O2677">
        <v>56.525910547924497</v>
      </c>
      <c r="P2677">
        <v>-8.7499915153308697E-2</v>
      </c>
      <c r="Q2677">
        <v>0</v>
      </c>
      <c r="R2677">
        <v>0.968638030165896</v>
      </c>
      <c r="S2677" t="s">
        <v>7417</v>
      </c>
      <c r="T2677" t="s">
        <v>9478</v>
      </c>
      <c r="U2677" t="s">
        <v>9478</v>
      </c>
      <c r="V2677" t="s">
        <v>9478</v>
      </c>
      <c r="W2677">
        <v>10</v>
      </c>
      <c r="X2677" t="s">
        <v>12155</v>
      </c>
      <c r="Y2677">
        <v>0.58230852015043633</v>
      </c>
      <c r="Z2677" t="str">
        <f>HYPERLINK("Melting_Curves/meltCurve_sp_Q8TDX5_2_ACMSD_HUMAN_.pdf", "Melting_Curves/meltCurve_sp_Q8TDX5_2_ACMSD_HUMAN_.pdf")</f>
        <v>Melting_Curves/meltCurve_sp_Q8TDX5_2_ACMSD_HUMAN_.pdf</v>
      </c>
      <c r="AA2677" t="s">
        <v>16848</v>
      </c>
      <c r="AB2677" t="s">
        <v>21511</v>
      </c>
    </row>
    <row r="2678" spans="1:28" x14ac:dyDescent="0.25">
      <c r="A2678" t="s">
        <v>2682</v>
      </c>
      <c r="B2678">
        <v>0.99904790336628502</v>
      </c>
      <c r="C2678">
        <v>0.97929245980966295</v>
      </c>
      <c r="D2678">
        <v>0.99610568762152496</v>
      </c>
      <c r="E2678">
        <v>0.95097835483983595</v>
      </c>
      <c r="F2678">
        <v>0.89090552470747697</v>
      </c>
      <c r="G2678">
        <v>0.72609539947184998</v>
      </c>
      <c r="H2678">
        <v>0.36295077932230402</v>
      </c>
      <c r="I2678">
        <v>0.14480257127697899</v>
      </c>
      <c r="J2678">
        <v>5.3153942000709102E-2</v>
      </c>
      <c r="K2678">
        <v>5.8786242859384802E-2</v>
      </c>
      <c r="L2678">
        <v>1287.4414935622001</v>
      </c>
      <c r="M2678">
        <v>21.717444314127398</v>
      </c>
      <c r="N2678">
        <v>59.2814462403636</v>
      </c>
      <c r="O2678">
        <v>58.785669505854798</v>
      </c>
      <c r="P2678">
        <v>-9.2360739432108804E-2</v>
      </c>
      <c r="Q2678">
        <v>0</v>
      </c>
      <c r="R2678">
        <v>0.99668468279569999</v>
      </c>
      <c r="S2678" t="s">
        <v>7418</v>
      </c>
      <c r="T2678" t="s">
        <v>9478</v>
      </c>
      <c r="U2678" t="s">
        <v>9478</v>
      </c>
      <c r="V2678" t="s">
        <v>9478</v>
      </c>
      <c r="W2678">
        <v>12</v>
      </c>
      <c r="X2678" t="s">
        <v>12156</v>
      </c>
      <c r="Y2678">
        <v>0.65185511295523757</v>
      </c>
      <c r="Z2678" t="str">
        <f>HYPERLINK("Melting_Curves/meltCurve_sp_Q8TDX5_ACMSD_HUMAN_.pdf", "Melting_Curves/meltCurve_sp_Q8TDX5_ACMSD_HUMAN_.pdf")</f>
        <v>Melting_Curves/meltCurve_sp_Q8TDX5_ACMSD_HUMAN_.pdf</v>
      </c>
      <c r="AA2678" t="s">
        <v>16848</v>
      </c>
      <c r="AB2678" t="s">
        <v>21512</v>
      </c>
    </row>
    <row r="2679" spans="1:28" x14ac:dyDescent="0.25">
      <c r="A2679" t="s">
        <v>2683</v>
      </c>
      <c r="B2679">
        <v>0.99904790336628502</v>
      </c>
      <c r="C2679">
        <v>0.91638543902091696</v>
      </c>
      <c r="D2679">
        <v>0.68652565726302495</v>
      </c>
      <c r="E2679">
        <v>0.313802952965269</v>
      </c>
      <c r="F2679">
        <v>0.17853464988552201</v>
      </c>
      <c r="G2679">
        <v>0.113800413610882</v>
      </c>
      <c r="H2679">
        <v>7.4102625175688094E-2</v>
      </c>
      <c r="I2679">
        <v>3.3596225059606299E-2</v>
      </c>
      <c r="J2679">
        <v>3.90459959738928E-2</v>
      </c>
      <c r="K2679">
        <v>2.0199524436751101E-2</v>
      </c>
      <c r="L2679">
        <v>916.91159106084297</v>
      </c>
      <c r="M2679">
        <v>19.187736576808199</v>
      </c>
      <c r="N2679">
        <v>48.004661370265801</v>
      </c>
      <c r="O2679">
        <v>47.276363634078798</v>
      </c>
      <c r="P2679">
        <v>-9.7229867501610806E-2</v>
      </c>
      <c r="Q2679">
        <v>4.1784115125452402E-2</v>
      </c>
      <c r="R2679">
        <v>0.99765327186761099</v>
      </c>
      <c r="S2679" t="s">
        <v>7419</v>
      </c>
      <c r="T2679" t="s">
        <v>9478</v>
      </c>
      <c r="U2679" t="s">
        <v>9478</v>
      </c>
      <c r="V2679" t="s">
        <v>9478</v>
      </c>
      <c r="W2679">
        <v>1</v>
      </c>
      <c r="X2679" t="s">
        <v>12157</v>
      </c>
      <c r="Y2679">
        <v>0.30543302322333732</v>
      </c>
      <c r="Z2679" t="str">
        <f>HYPERLINK("Melting_Curves/meltCurve_sp_Q8TDX7_NEK7_HUMAN_.pdf", "Melting_Curves/meltCurve_sp_Q8TDX7_NEK7_HUMAN_.pdf")</f>
        <v>Melting_Curves/meltCurve_sp_Q8TDX7_NEK7_HUMAN_.pdf</v>
      </c>
      <c r="AA2679" t="s">
        <v>16849</v>
      </c>
      <c r="AB2679" t="s">
        <v>21513</v>
      </c>
    </row>
    <row r="2680" spans="1:28" x14ac:dyDescent="0.25">
      <c r="A2680" t="s">
        <v>2684</v>
      </c>
      <c r="B2680">
        <v>0.99904790336628502</v>
      </c>
      <c r="C2680">
        <v>1.0016886422695299</v>
      </c>
      <c r="D2680">
        <v>0.94767944473869803</v>
      </c>
      <c r="E2680">
        <v>0.76363215457580602</v>
      </c>
      <c r="F2680">
        <v>0.55308428178371805</v>
      </c>
      <c r="G2680">
        <v>0.146365749591092</v>
      </c>
      <c r="H2680">
        <v>5.1859831288774499E-2</v>
      </c>
      <c r="I2680">
        <v>3.1798407650719999E-2</v>
      </c>
      <c r="J2680">
        <v>1.88277391211636E-2</v>
      </c>
      <c r="K2680">
        <v>1.9234419119852901E-2</v>
      </c>
      <c r="L2680">
        <v>1162.7314650638</v>
      </c>
      <c r="M2680">
        <v>21.910563326407299</v>
      </c>
      <c r="N2680">
        <v>53.083707763325101</v>
      </c>
      <c r="O2680">
        <v>52.631044614388898</v>
      </c>
      <c r="P2680">
        <v>-0.103724452243129</v>
      </c>
      <c r="Q2680">
        <v>3.4025579495153202E-3</v>
      </c>
      <c r="R2680">
        <v>0.99721951802050601</v>
      </c>
      <c r="S2680" t="s">
        <v>7420</v>
      </c>
      <c r="T2680" t="s">
        <v>9478</v>
      </c>
      <c r="U2680" t="s">
        <v>9478</v>
      </c>
      <c r="V2680" t="s">
        <v>9478</v>
      </c>
      <c r="W2680">
        <v>7</v>
      </c>
      <c r="X2680" t="s">
        <v>12158</v>
      </c>
      <c r="Y2680">
        <v>0.44917881549407729</v>
      </c>
      <c r="Z2680" t="str">
        <f>HYPERLINK("Melting_Curves/meltCurve_sp_Q8TE04_2_PANK1_HUMAN_.pdf", "Melting_Curves/meltCurve_sp_Q8TE04_2_PANK1_HUMAN_.pdf")</f>
        <v>Melting_Curves/meltCurve_sp_Q8TE04_2_PANK1_HUMAN_.pdf</v>
      </c>
      <c r="AA2680" t="s">
        <v>16850</v>
      </c>
      <c r="AB2680" t="s">
        <v>21514</v>
      </c>
    </row>
    <row r="2681" spans="1:28" x14ac:dyDescent="0.25">
      <c r="A2681" t="s">
        <v>2685</v>
      </c>
      <c r="B2681">
        <v>0.99904790336628502</v>
      </c>
      <c r="C2681">
        <v>0.95840104706039597</v>
      </c>
      <c r="D2681">
        <v>0.89091529899033195</v>
      </c>
      <c r="E2681">
        <v>0.51178606353473099</v>
      </c>
      <c r="F2681">
        <v>0.18191849778911801</v>
      </c>
      <c r="G2681">
        <v>0.11217090889898</v>
      </c>
      <c r="H2681">
        <v>6.8894850429515098E-2</v>
      </c>
      <c r="I2681">
        <v>4.0670319409075201E-2</v>
      </c>
      <c r="J2681">
        <v>5.0114209533824401E-2</v>
      </c>
      <c r="K2681">
        <v>3.9307624906398199E-2</v>
      </c>
      <c r="L2681">
        <v>1279.28633656388</v>
      </c>
      <c r="M2681">
        <v>25.7102825368354</v>
      </c>
      <c r="N2681">
        <v>49.957926600644697</v>
      </c>
      <c r="O2681">
        <v>49.459695548550201</v>
      </c>
      <c r="P2681">
        <v>-0.123597218279305</v>
      </c>
      <c r="Q2681">
        <v>4.8940102020047303E-2</v>
      </c>
      <c r="R2681">
        <v>0.99799156051188698</v>
      </c>
      <c r="S2681" t="s">
        <v>7421</v>
      </c>
      <c r="T2681" t="s">
        <v>9478</v>
      </c>
      <c r="U2681" t="s">
        <v>9478</v>
      </c>
      <c r="V2681" t="s">
        <v>9478</v>
      </c>
      <c r="W2681">
        <v>5</v>
      </c>
      <c r="X2681" t="s">
        <v>12159</v>
      </c>
      <c r="Y2681">
        <v>0.36629364223972061</v>
      </c>
      <c r="Z2681" t="str">
        <f>HYPERLINK("Melting_Curves/meltCurve_sp_Q8TE77_SSH3_HUMAN_.pdf", "Melting_Curves/meltCurve_sp_Q8TE77_SSH3_HUMAN_.pdf")</f>
        <v>Melting_Curves/meltCurve_sp_Q8TE77_SSH3_HUMAN_.pdf</v>
      </c>
      <c r="AA2681" t="s">
        <v>16851</v>
      </c>
      <c r="AB2681" t="s">
        <v>21515</v>
      </c>
    </row>
    <row r="2682" spans="1:28" x14ac:dyDescent="0.25">
      <c r="A2682" t="s">
        <v>2686</v>
      </c>
      <c r="B2682">
        <v>0.99904790336628502</v>
      </c>
      <c r="C2682">
        <v>0.89821473188736201</v>
      </c>
      <c r="D2682">
        <v>0.75074586887191297</v>
      </c>
      <c r="E2682">
        <v>0.42930412738595503</v>
      </c>
      <c r="F2682">
        <v>0.18577605597514901</v>
      </c>
      <c r="G2682">
        <v>0.105090116277044</v>
      </c>
      <c r="H2682">
        <v>6.7250488515147505E-2</v>
      </c>
      <c r="I2682">
        <v>5.3274758233432799E-2</v>
      </c>
      <c r="J2682">
        <v>3.6862421806544102E-2</v>
      </c>
      <c r="K2682">
        <v>3.02336880382322E-2</v>
      </c>
      <c r="L2682">
        <v>869.84784328995602</v>
      </c>
      <c r="M2682">
        <v>17.856381779993701</v>
      </c>
      <c r="N2682">
        <v>48.896174237537302</v>
      </c>
      <c r="O2682">
        <v>48.114916679309701</v>
      </c>
      <c r="P2682">
        <v>-8.9791572984505102E-2</v>
      </c>
      <c r="Q2682">
        <v>3.2257661082224297E-2</v>
      </c>
      <c r="R2682">
        <v>0.99809750449238999</v>
      </c>
      <c r="S2682" t="s">
        <v>7422</v>
      </c>
      <c r="T2682" t="s">
        <v>9478</v>
      </c>
      <c r="U2682" t="s">
        <v>9478</v>
      </c>
      <c r="V2682" t="s">
        <v>9478</v>
      </c>
      <c r="W2682">
        <v>14</v>
      </c>
      <c r="X2682" t="s">
        <v>12160</v>
      </c>
      <c r="Y2682">
        <v>0.33047418403486828</v>
      </c>
      <c r="Z2682" t="str">
        <f>HYPERLINK("Melting_Curves/meltCurve_sp_Q8TEA1_NSUN6_HUMAN_.pdf", "Melting_Curves/meltCurve_sp_Q8TEA1_NSUN6_HUMAN_.pdf")</f>
        <v>Melting_Curves/meltCurve_sp_Q8TEA1_NSUN6_HUMAN_.pdf</v>
      </c>
      <c r="AA2682" t="s">
        <v>16852</v>
      </c>
      <c r="AB2682" t="s">
        <v>21516</v>
      </c>
    </row>
    <row r="2683" spans="1:28" x14ac:dyDescent="0.25">
      <c r="A2683" t="s">
        <v>2687</v>
      </c>
      <c r="B2683">
        <v>0.99904790336628502</v>
      </c>
      <c r="C2683">
        <v>1.03943168474501</v>
      </c>
      <c r="D2683">
        <v>1.0231912003707799</v>
      </c>
      <c r="E2683">
        <v>0.71125597189797396</v>
      </c>
      <c r="F2683">
        <v>0.37729043785059702</v>
      </c>
      <c r="G2683">
        <v>0.20422127246531899</v>
      </c>
      <c r="H2683">
        <v>0.15683954930649399</v>
      </c>
      <c r="I2683">
        <v>8.5202939980077205E-2</v>
      </c>
      <c r="J2683">
        <v>9.6337143490990207E-2</v>
      </c>
      <c r="K2683">
        <v>8.4975966215939905E-2</v>
      </c>
      <c r="L2683">
        <v>1399.40016450435</v>
      </c>
      <c r="M2683">
        <v>27.185265302395301</v>
      </c>
      <c r="N2683">
        <v>51.938453179639502</v>
      </c>
      <c r="O2683">
        <v>51.200293230281801</v>
      </c>
      <c r="P2683">
        <v>-0.11848379732394</v>
      </c>
      <c r="Q2683">
        <v>0.107406617096341</v>
      </c>
      <c r="R2683">
        <v>0.99398388143745198</v>
      </c>
      <c r="S2683" t="s">
        <v>7423</v>
      </c>
      <c r="T2683" t="s">
        <v>9478</v>
      </c>
      <c r="U2683" t="s">
        <v>9478</v>
      </c>
      <c r="V2683" t="s">
        <v>9478</v>
      </c>
      <c r="W2683">
        <v>7</v>
      </c>
      <c r="X2683" t="s">
        <v>12161</v>
      </c>
      <c r="Y2683">
        <v>0.45574276992728419</v>
      </c>
      <c r="Z2683" t="str">
        <f>HYPERLINK("Melting_Curves/meltCurve_sp_Q8TEA7_3_TBCK_HUMAN_.pdf", "Melting_Curves/meltCurve_sp_Q8TEA7_3_TBCK_HUMAN_.pdf")</f>
        <v>Melting_Curves/meltCurve_sp_Q8TEA7_3_TBCK_HUMAN_.pdf</v>
      </c>
      <c r="AA2683" t="s">
        <v>16853</v>
      </c>
      <c r="AB2683" t="s">
        <v>21517</v>
      </c>
    </row>
    <row r="2684" spans="1:28" x14ac:dyDescent="0.25">
      <c r="A2684" t="s">
        <v>2688</v>
      </c>
      <c r="B2684">
        <v>0.99904790336628502</v>
      </c>
      <c r="C2684">
        <v>0.88305699652643699</v>
      </c>
      <c r="D2684">
        <v>0.79615039147890099</v>
      </c>
      <c r="E2684">
        <v>0.85961073194534598</v>
      </c>
      <c r="F2684">
        <v>0.89711146756937299</v>
      </c>
      <c r="G2684">
        <v>0.63598460078326402</v>
      </c>
      <c r="H2684">
        <v>0.47762111750289998</v>
      </c>
      <c r="I2684">
        <v>0.58215515176489696</v>
      </c>
      <c r="J2684">
        <v>0.366100003146066</v>
      </c>
      <c r="K2684">
        <v>0.33023098262059303</v>
      </c>
      <c r="L2684">
        <v>395.70727215206603</v>
      </c>
      <c r="M2684">
        <v>6.2696584926446901</v>
      </c>
      <c r="N2684">
        <v>63.114645334751003</v>
      </c>
      <c r="O2684">
        <v>57.605147754536198</v>
      </c>
      <c r="P2684">
        <v>-2.7284901030680202E-2</v>
      </c>
      <c r="Q2684">
        <v>0</v>
      </c>
      <c r="R2684">
        <v>0.891385727819484</v>
      </c>
      <c r="S2684" t="s">
        <v>7424</v>
      </c>
      <c r="T2684" t="s">
        <v>9478</v>
      </c>
      <c r="U2684" t="s">
        <v>9478</v>
      </c>
      <c r="V2684" t="s">
        <v>9478</v>
      </c>
      <c r="W2684">
        <v>2</v>
      </c>
      <c r="X2684" t="s">
        <v>12162</v>
      </c>
      <c r="Y2684">
        <v>0.69710884888044622</v>
      </c>
      <c r="Z2684" t="str">
        <f>HYPERLINK("Melting_Curves/meltCurve_sp_Q8TEA8_DTD1_HUMAN_.pdf", "Melting_Curves/meltCurve_sp_Q8TEA8_DTD1_HUMAN_.pdf")</f>
        <v>Melting_Curves/meltCurve_sp_Q8TEA8_DTD1_HUMAN_.pdf</v>
      </c>
      <c r="AA2684" t="s">
        <v>16854</v>
      </c>
      <c r="AB2684" t="s">
        <v>21518</v>
      </c>
    </row>
    <row r="2685" spans="1:28" x14ac:dyDescent="0.25">
      <c r="A2685" t="s">
        <v>2689</v>
      </c>
      <c r="B2685">
        <v>0.99904790336628502</v>
      </c>
      <c r="C2685">
        <v>0.97713107438772095</v>
      </c>
      <c r="D2685">
        <v>1.0075519603155301</v>
      </c>
      <c r="E2685">
        <v>0.85520476215115904</v>
      </c>
      <c r="F2685">
        <v>0.59170817537271303</v>
      </c>
      <c r="G2685">
        <v>0.22651127198157001</v>
      </c>
      <c r="H2685">
        <v>0.10934987256263801</v>
      </c>
      <c r="I2685">
        <v>8.9620416056373803E-2</v>
      </c>
      <c r="J2685">
        <v>8.0791475397995E-2</v>
      </c>
      <c r="K2685">
        <v>7.0460724055551094E-2</v>
      </c>
      <c r="L2685">
        <v>1365.47675540976</v>
      </c>
      <c r="M2685">
        <v>25.5455801071998</v>
      </c>
      <c r="N2685">
        <v>53.782466268954003</v>
      </c>
      <c r="O2685">
        <v>53.128234400911701</v>
      </c>
      <c r="P2685">
        <v>-0.111491320861116</v>
      </c>
      <c r="Q2685">
        <v>7.2518431768753694E-2</v>
      </c>
      <c r="R2685">
        <v>0.99932598259937799</v>
      </c>
      <c r="S2685" t="s">
        <v>7425</v>
      </c>
      <c r="T2685" t="s">
        <v>9478</v>
      </c>
      <c r="U2685" t="s">
        <v>9478</v>
      </c>
      <c r="V2685" t="s">
        <v>9478</v>
      </c>
      <c r="W2685">
        <v>12</v>
      </c>
      <c r="X2685" t="s">
        <v>12163</v>
      </c>
      <c r="Y2685">
        <v>0.49664502592978899</v>
      </c>
      <c r="Z2685" t="str">
        <f>HYPERLINK("Melting_Curves/meltCurve_sp_Q8TEB1_2_DCA11_HUMAN_.pdf", "Melting_Curves/meltCurve_sp_Q8TEB1_2_DCA11_HUMAN_.pdf")</f>
        <v>Melting_Curves/meltCurve_sp_Q8TEB1_2_DCA11_HUMAN_.pdf</v>
      </c>
      <c r="AA2685" t="s">
        <v>16855</v>
      </c>
      <c r="AB2685" t="s">
        <v>21519</v>
      </c>
    </row>
    <row r="2686" spans="1:28" x14ac:dyDescent="0.25">
      <c r="A2686" t="s">
        <v>2690</v>
      </c>
      <c r="B2686">
        <v>0.99904790336628502</v>
      </c>
      <c r="C2686">
        <v>1.01879870309312</v>
      </c>
      <c r="D2686">
        <v>1.00467301679528</v>
      </c>
      <c r="E2686">
        <v>0.99090621316218097</v>
      </c>
      <c r="F2686">
        <v>0.69019705139260701</v>
      </c>
      <c r="G2686">
        <v>0.17385216126667</v>
      </c>
      <c r="H2686">
        <v>0.12720967202731601</v>
      </c>
      <c r="I2686">
        <v>9.3879598025291E-2</v>
      </c>
      <c r="J2686">
        <v>8.8018032741281602E-2</v>
      </c>
      <c r="K2686">
        <v>0.113306518324717</v>
      </c>
      <c r="L2686">
        <v>2450.6660838745802</v>
      </c>
      <c r="M2686">
        <v>45.581353313085401</v>
      </c>
      <c r="N2686">
        <v>54.045670156504499</v>
      </c>
      <c r="O2686">
        <v>53.661483541544797</v>
      </c>
      <c r="P2686">
        <v>-0.189951946443883</v>
      </c>
      <c r="Q2686">
        <v>0.105503459928566</v>
      </c>
      <c r="R2686">
        <v>0.99908199603440295</v>
      </c>
      <c r="S2686" t="s">
        <v>7426</v>
      </c>
      <c r="T2686" t="s">
        <v>9478</v>
      </c>
      <c r="U2686" t="s">
        <v>9478</v>
      </c>
      <c r="V2686" t="s">
        <v>9478</v>
      </c>
      <c r="W2686">
        <v>4</v>
      </c>
      <c r="X2686" t="s">
        <v>12164</v>
      </c>
      <c r="Y2686">
        <v>0.51847214239453243</v>
      </c>
      <c r="Z2686" t="str">
        <f>HYPERLINK("Melting_Curves/meltCurve_sp_Q8TEH3_DEN1A_HUMAN_.pdf", "Melting_Curves/meltCurve_sp_Q8TEH3_DEN1A_HUMAN_.pdf")</f>
        <v>Melting_Curves/meltCurve_sp_Q8TEH3_DEN1A_HUMAN_.pdf</v>
      </c>
      <c r="AA2686" t="s">
        <v>16856</v>
      </c>
      <c r="AB2686" t="s">
        <v>21520</v>
      </c>
    </row>
    <row r="2687" spans="1:28" x14ac:dyDescent="0.25">
      <c r="A2687" t="s">
        <v>2691</v>
      </c>
      <c r="B2687">
        <v>0.99904790336628502</v>
      </c>
      <c r="C2687">
        <v>0.90407947891932705</v>
      </c>
      <c r="D2687">
        <v>0.90504854951319202</v>
      </c>
      <c r="E2687">
        <v>0.537344406103059</v>
      </c>
      <c r="F2687">
        <v>0.240499407084249</v>
      </c>
      <c r="G2687">
        <v>0.11348629716731901</v>
      </c>
      <c r="H2687">
        <v>7.9618538587751198E-2</v>
      </c>
      <c r="I2687">
        <v>6.7955568011184103E-2</v>
      </c>
      <c r="J2687">
        <v>7.1771413680221094E-2</v>
      </c>
      <c r="K2687">
        <v>6.9917754978634297E-2</v>
      </c>
      <c r="L2687">
        <v>1183.30242927063</v>
      </c>
      <c r="M2687">
        <v>23.690469944729902</v>
      </c>
      <c r="N2687">
        <v>50.246168745411602</v>
      </c>
      <c r="O2687">
        <v>49.596645655968203</v>
      </c>
      <c r="P2687">
        <v>-0.11159817019189799</v>
      </c>
      <c r="Q2687">
        <v>6.54803697864733E-2</v>
      </c>
      <c r="R2687">
        <v>0.99542204977027704</v>
      </c>
      <c r="S2687" t="s">
        <v>7427</v>
      </c>
      <c r="T2687" t="s">
        <v>9478</v>
      </c>
      <c r="U2687" t="s">
        <v>9478</v>
      </c>
      <c r="V2687" t="s">
        <v>9478</v>
      </c>
      <c r="W2687">
        <v>8</v>
      </c>
      <c r="X2687" t="s">
        <v>12165</v>
      </c>
      <c r="Y2687">
        <v>0.38468246595200373</v>
      </c>
      <c r="Z2687" t="str">
        <f>HYPERLINK("Melting_Curves/meltCurve_sp_Q8TEQ6_GEMI5_HUMAN_.pdf", "Melting_Curves/meltCurve_sp_Q8TEQ6_GEMI5_HUMAN_.pdf")</f>
        <v>Melting_Curves/meltCurve_sp_Q8TEQ6_GEMI5_HUMAN_.pdf</v>
      </c>
      <c r="AA2687" t="s">
        <v>16857</v>
      </c>
      <c r="AB2687" t="s">
        <v>21521</v>
      </c>
    </row>
    <row r="2688" spans="1:28" x14ac:dyDescent="0.25">
      <c r="A2688" t="s">
        <v>2692</v>
      </c>
      <c r="B2688">
        <v>0.99904790336628502</v>
      </c>
      <c r="C2688">
        <v>0.93343507754961996</v>
      </c>
      <c r="D2688">
        <v>0.99160104687268003</v>
      </c>
      <c r="E2688">
        <v>0.87051002408008304</v>
      </c>
      <c r="F2688">
        <v>0.61628763947503795</v>
      </c>
      <c r="G2688">
        <v>0.18597536683254501</v>
      </c>
      <c r="H2688">
        <v>0.123695099286993</v>
      </c>
      <c r="I2688">
        <v>9.9751981859577399E-2</v>
      </c>
      <c r="J2688">
        <v>0.109973820677419</v>
      </c>
      <c r="K2688">
        <v>0.101197853391482</v>
      </c>
      <c r="L2688">
        <v>1625.8213403858399</v>
      </c>
      <c r="M2688">
        <v>30.471047337055399</v>
      </c>
      <c r="N2688">
        <v>53.740997828748</v>
      </c>
      <c r="O2688">
        <v>53.128046070255003</v>
      </c>
      <c r="P2688">
        <v>-0.12933485044718299</v>
      </c>
      <c r="Q2688">
        <v>9.7994239489498203E-2</v>
      </c>
      <c r="R2688">
        <v>0.99593090269387297</v>
      </c>
      <c r="S2688" t="s">
        <v>7428</v>
      </c>
      <c r="T2688" t="s">
        <v>9478</v>
      </c>
      <c r="U2688" t="s">
        <v>9478</v>
      </c>
      <c r="V2688" t="s">
        <v>9478</v>
      </c>
      <c r="W2688">
        <v>1</v>
      </c>
      <c r="X2688" t="s">
        <v>12166</v>
      </c>
      <c r="Y2688">
        <v>0.50527714416755709</v>
      </c>
      <c r="Z2688" t="str">
        <f>HYPERLINK("Melting_Curves/meltCurve_sp_Q8TER0_5_SNED1_HUMAN_.pdf", "Melting_Curves/meltCurve_sp_Q8TER0_5_SNED1_HUMAN_.pdf")</f>
        <v>Melting_Curves/meltCurve_sp_Q8TER0_5_SNED1_HUMAN_.pdf</v>
      </c>
      <c r="AA2688" t="s">
        <v>16858</v>
      </c>
      <c r="AB2688" t="s">
        <v>21522</v>
      </c>
    </row>
    <row r="2689" spans="1:28" x14ac:dyDescent="0.25">
      <c r="A2689" t="s">
        <v>2693</v>
      </c>
      <c r="B2689">
        <v>0.99904790336628502</v>
      </c>
      <c r="C2689">
        <v>0.99394978608675699</v>
      </c>
      <c r="D2689">
        <v>0.78400257336448498</v>
      </c>
      <c r="E2689">
        <v>0.624616029303665</v>
      </c>
      <c r="F2689">
        <v>0.56787892291378395</v>
      </c>
      <c r="G2689">
        <v>0.42696917320612199</v>
      </c>
      <c r="H2689">
        <v>0.40507313216940999</v>
      </c>
      <c r="I2689">
        <v>0.35039653049381198</v>
      </c>
      <c r="J2689">
        <v>0.36833931459054797</v>
      </c>
      <c r="K2689">
        <v>0.36241305904135701</v>
      </c>
      <c r="L2689">
        <v>710.46206822717897</v>
      </c>
      <c r="M2689">
        <v>14.4087639299602</v>
      </c>
      <c r="N2689">
        <v>53.876016579197497</v>
      </c>
      <c r="O2689">
        <v>48.387060392778203</v>
      </c>
      <c r="P2689">
        <v>-4.8198062792365E-2</v>
      </c>
      <c r="Q2689">
        <v>0.352647637300539</v>
      </c>
      <c r="R2689">
        <v>0.98412819031293897</v>
      </c>
      <c r="S2689" t="s">
        <v>7429</v>
      </c>
      <c r="T2689" t="s">
        <v>9478</v>
      </c>
      <c r="U2689" t="s">
        <v>9478</v>
      </c>
      <c r="V2689" t="s">
        <v>9478</v>
      </c>
      <c r="W2689">
        <v>5</v>
      </c>
      <c r="X2689" t="s">
        <v>12167</v>
      </c>
      <c r="Y2689">
        <v>0.57049952753702371</v>
      </c>
      <c r="Z2689" t="str">
        <f>HYPERLINK("Melting_Curves/meltCurve_sp_Q8TER5_ARH40_HUMAN_.pdf", "Melting_Curves/meltCurve_sp_Q8TER5_ARH40_HUMAN_.pdf")</f>
        <v>Melting_Curves/meltCurve_sp_Q8TER5_ARH40_HUMAN_.pdf</v>
      </c>
      <c r="AA2689" t="s">
        <v>16859</v>
      </c>
      <c r="AB2689" t="s">
        <v>21523</v>
      </c>
    </row>
    <row r="2690" spans="1:28" x14ac:dyDescent="0.25">
      <c r="A2690" t="s">
        <v>2694</v>
      </c>
      <c r="B2690">
        <v>0.99904790336628502</v>
      </c>
      <c r="C2690">
        <v>0.95098571660683595</v>
      </c>
      <c r="D2690">
        <v>0.90981186321242602</v>
      </c>
      <c r="E2690">
        <v>0.826310319297197</v>
      </c>
      <c r="F2690">
        <v>0.45672378969780197</v>
      </c>
      <c r="G2690">
        <v>0.21062258425112801</v>
      </c>
      <c r="H2690">
        <v>0.153021733954295</v>
      </c>
      <c r="I2690">
        <v>0.101538710736161</v>
      </c>
      <c r="J2690">
        <v>8.5668609071748295E-2</v>
      </c>
      <c r="K2690">
        <v>0.111447873050577</v>
      </c>
      <c r="L2690">
        <v>1306.6931441644299</v>
      </c>
      <c r="M2690">
        <v>24.965764213622101</v>
      </c>
      <c r="N2690">
        <v>52.8228399451923</v>
      </c>
      <c r="O2690">
        <v>52.007058820298298</v>
      </c>
      <c r="P2690">
        <v>-0.10775620817225399</v>
      </c>
      <c r="Q2690">
        <v>0.102129202935149</v>
      </c>
      <c r="R2690">
        <v>0.99336001848142197</v>
      </c>
      <c r="S2690" t="s">
        <v>7430</v>
      </c>
      <c r="T2690" t="s">
        <v>9478</v>
      </c>
      <c r="U2690" t="s">
        <v>9478</v>
      </c>
      <c r="V2690" t="s">
        <v>9478</v>
      </c>
      <c r="W2690">
        <v>2</v>
      </c>
      <c r="X2690" t="s">
        <v>12168</v>
      </c>
      <c r="Y2690">
        <v>0.47967985307927979</v>
      </c>
      <c r="Z2690" t="str">
        <f>HYPERLINK("Melting_Curves/meltCurve_sp_Q8TET4_GANC_HUMAN_.pdf", "Melting_Curves/meltCurve_sp_Q8TET4_GANC_HUMAN_.pdf")</f>
        <v>Melting_Curves/meltCurve_sp_Q8TET4_GANC_HUMAN_.pdf</v>
      </c>
      <c r="AA2690" t="s">
        <v>16860</v>
      </c>
      <c r="AB2690" t="s">
        <v>21524</v>
      </c>
    </row>
    <row r="2691" spans="1:28" x14ac:dyDescent="0.25">
      <c r="A2691" t="s">
        <v>2695</v>
      </c>
      <c r="B2691">
        <v>0.99904790336628502</v>
      </c>
      <c r="C2691">
        <v>0.98341646664910998</v>
      </c>
      <c r="D2691">
        <v>0.95342614372840695</v>
      </c>
      <c r="E2691">
        <v>0.82275930392350705</v>
      </c>
      <c r="F2691">
        <v>0.76444978776030703</v>
      </c>
      <c r="G2691">
        <v>0.46051407709622599</v>
      </c>
      <c r="H2691">
        <v>0.37692358384284003</v>
      </c>
      <c r="I2691">
        <v>0.33538352147373401</v>
      </c>
      <c r="J2691">
        <v>0.30578725811740298</v>
      </c>
      <c r="K2691">
        <v>0.31744893993206302</v>
      </c>
      <c r="L2691">
        <v>936.88520554301601</v>
      </c>
      <c r="M2691">
        <v>17.321551597456601</v>
      </c>
      <c r="N2691">
        <v>56.915950770435003</v>
      </c>
      <c r="O2691">
        <v>53.382372417695301</v>
      </c>
      <c r="P2691">
        <v>-5.7714944632132698E-2</v>
      </c>
      <c r="Q2691">
        <v>0.28856631328238103</v>
      </c>
      <c r="R2691">
        <v>0.99172884275170303</v>
      </c>
      <c r="S2691" t="s">
        <v>7431</v>
      </c>
      <c r="T2691" t="s">
        <v>9478</v>
      </c>
      <c r="U2691" t="s">
        <v>9478</v>
      </c>
      <c r="V2691" t="s">
        <v>9478</v>
      </c>
      <c r="W2691">
        <v>9</v>
      </c>
      <c r="X2691" t="s">
        <v>12169</v>
      </c>
      <c r="Y2691">
        <v>0.63465611943760003</v>
      </c>
      <c r="Z2691" t="str">
        <f>HYPERLINK("Melting_Curves/meltCurve_sp_Q8TEW0_5_PARD3_HUMAN_.pdf", "Melting_Curves/meltCurve_sp_Q8TEW0_5_PARD3_HUMAN_.pdf")</f>
        <v>Melting_Curves/meltCurve_sp_Q8TEW0_5_PARD3_HUMAN_.pdf</v>
      </c>
      <c r="AA2691" t="s">
        <v>16861</v>
      </c>
      <c r="AB2691" t="s">
        <v>21525</v>
      </c>
    </row>
    <row r="2692" spans="1:28" x14ac:dyDescent="0.25">
      <c r="A2692" t="s">
        <v>2696</v>
      </c>
      <c r="B2692">
        <v>0.99904790336628502</v>
      </c>
      <c r="C2692">
        <v>0.59755833944740999</v>
      </c>
      <c r="D2692">
        <v>0.59960032451405698</v>
      </c>
      <c r="E2692">
        <v>0.80888224301093203</v>
      </c>
      <c r="F2692">
        <v>0.626812994194482</v>
      </c>
      <c r="G2692">
        <v>0.64970785368231798</v>
      </c>
      <c r="H2692">
        <v>0.22820153794001</v>
      </c>
      <c r="I2692">
        <v>8.11373844060711E-2</v>
      </c>
      <c r="J2692">
        <v>0</v>
      </c>
      <c r="K2692">
        <v>0</v>
      </c>
      <c r="L2692">
        <v>442.46037557301099</v>
      </c>
      <c r="M2692">
        <v>8.2388858213315892</v>
      </c>
      <c r="N2692">
        <v>53.7039088859703</v>
      </c>
      <c r="O2692">
        <v>50.818664242680903</v>
      </c>
      <c r="P2692">
        <v>-4.0571867857583502E-2</v>
      </c>
      <c r="Q2692">
        <v>0</v>
      </c>
      <c r="R2692">
        <v>0.73941083894776505</v>
      </c>
      <c r="S2692" t="s">
        <v>7432</v>
      </c>
      <c r="T2692" t="s">
        <v>9478</v>
      </c>
      <c r="U2692" t="s">
        <v>9478</v>
      </c>
      <c r="V2692" t="s">
        <v>9478</v>
      </c>
      <c r="W2692">
        <v>3</v>
      </c>
      <c r="X2692" t="s">
        <v>12170</v>
      </c>
      <c r="Y2692">
        <v>0.49234524945977581</v>
      </c>
      <c r="Z2692" t="str">
        <f>HYPERLINK("Melting_Curves/meltCurve_sp_Q8TEW8_5_PAR3L_HUMAN_.pdf", "Melting_Curves/meltCurve_sp_Q8TEW8_5_PAR3L_HUMAN_.pdf")</f>
        <v>Melting_Curves/meltCurve_sp_Q8TEW8_5_PAR3L_HUMAN_.pdf</v>
      </c>
      <c r="AA2692" t="s">
        <v>16862</v>
      </c>
      <c r="AB2692" t="s">
        <v>21526</v>
      </c>
    </row>
    <row r="2693" spans="1:28" x14ac:dyDescent="0.25">
      <c r="A2693" t="s">
        <v>2697</v>
      </c>
      <c r="B2693">
        <v>0.99904790336628502</v>
      </c>
      <c r="C2693">
        <v>0.99584235305842495</v>
      </c>
      <c r="D2693">
        <v>0.97593862578124002</v>
      </c>
      <c r="E2693">
        <v>0.78694853679105703</v>
      </c>
      <c r="F2693">
        <v>0.55451665472309397</v>
      </c>
      <c r="G2693">
        <v>0.33684717987095403</v>
      </c>
      <c r="H2693">
        <v>0.14206986036401001</v>
      </c>
      <c r="I2693">
        <v>6.5951729454972199E-2</v>
      </c>
      <c r="J2693">
        <v>4.47770719336626E-2</v>
      </c>
      <c r="K2693">
        <v>2.4114703830523901E-2</v>
      </c>
      <c r="L2693">
        <v>864.97582370475698</v>
      </c>
      <c r="M2693">
        <v>15.984259540398</v>
      </c>
      <c r="N2693">
        <v>54.114225659065497</v>
      </c>
      <c r="O2693">
        <v>53.288485829311398</v>
      </c>
      <c r="P2693">
        <v>-7.4995177525691806E-2</v>
      </c>
      <c r="Q2693">
        <v>0</v>
      </c>
      <c r="R2693">
        <v>0.99812361281397799</v>
      </c>
      <c r="S2693" t="s">
        <v>7433</v>
      </c>
      <c r="T2693" t="s">
        <v>9478</v>
      </c>
      <c r="U2693" t="s">
        <v>9478</v>
      </c>
      <c r="V2693" t="s">
        <v>9478</v>
      </c>
      <c r="W2693">
        <v>19</v>
      </c>
      <c r="X2693" t="s">
        <v>12171</v>
      </c>
      <c r="Y2693">
        <v>0.48928773048950291</v>
      </c>
      <c r="Z2693" t="str">
        <f>HYPERLINK("Melting_Curves/meltCurve_sp_Q8TEX9_IPO4_HUMAN_.pdf", "Melting_Curves/meltCurve_sp_Q8TEX9_IPO4_HUMAN_.pdf")</f>
        <v>Melting_Curves/meltCurve_sp_Q8TEX9_IPO4_HUMAN_.pdf</v>
      </c>
      <c r="AA2693" t="s">
        <v>16863</v>
      </c>
      <c r="AB2693" t="s">
        <v>21527</v>
      </c>
    </row>
    <row r="2694" spans="1:28" x14ac:dyDescent="0.25">
      <c r="A2694" t="s">
        <v>2698</v>
      </c>
      <c r="B2694">
        <v>0.99904790336628502</v>
      </c>
      <c r="C2694">
        <v>1.1571830763248301</v>
      </c>
      <c r="D2694">
        <v>0.95755228728795705</v>
      </c>
      <c r="E2694">
        <v>0.99474496064011397</v>
      </c>
      <c r="F2694">
        <v>1.46575080356995</v>
      </c>
      <c r="G2694">
        <v>1.2087024892021501</v>
      </c>
      <c r="H2694">
        <v>0.92576675823723098</v>
      </c>
      <c r="I2694">
        <v>1.1520222849541599</v>
      </c>
      <c r="J2694">
        <v>1.11260116040462</v>
      </c>
      <c r="K2694">
        <v>0.98332168358651595</v>
      </c>
      <c r="L2694">
        <v>726.46977694251405</v>
      </c>
      <c r="M2694">
        <v>17.0997477554657</v>
      </c>
      <c r="O2694">
        <v>41.915951469199797</v>
      </c>
      <c r="P2694">
        <v>1.15694108479686E-2</v>
      </c>
      <c r="Q2694">
        <v>1.1134318123754601</v>
      </c>
      <c r="R2694">
        <v>3.3386381727049101E-2</v>
      </c>
      <c r="S2694" t="s">
        <v>7434</v>
      </c>
      <c r="T2694" t="s">
        <v>9478</v>
      </c>
      <c r="U2694" t="s">
        <v>9478</v>
      </c>
      <c r="V2694" t="s">
        <v>9478</v>
      </c>
      <c r="W2694">
        <v>1</v>
      </c>
      <c r="X2694" t="s">
        <v>12172</v>
      </c>
      <c r="Y2694">
        <v>1.0999527462308161</v>
      </c>
      <c r="Z2694" t="str">
        <f>HYPERLINK("Melting_Curves/meltCurve_sp_Q8TF01_PNISR_HUMAN_.pdf", "Melting_Curves/meltCurve_sp_Q8TF01_PNISR_HUMAN_.pdf")</f>
        <v>Melting_Curves/meltCurve_sp_Q8TF01_PNISR_HUMAN_.pdf</v>
      </c>
      <c r="AA2694" t="s">
        <v>16864</v>
      </c>
      <c r="AB2694" t="s">
        <v>21528</v>
      </c>
    </row>
    <row r="2695" spans="1:28" x14ac:dyDescent="0.25">
      <c r="A2695" t="s">
        <v>2699</v>
      </c>
      <c r="B2695">
        <v>0.99904790336628502</v>
      </c>
      <c r="C2695">
        <v>0.93908043316058298</v>
      </c>
      <c r="D2695">
        <v>0.88312713495362705</v>
      </c>
      <c r="E2695">
        <v>0.69885903737020805</v>
      </c>
      <c r="F2695">
        <v>0.480499742128362</v>
      </c>
      <c r="G2695">
        <v>0.205108233988504</v>
      </c>
      <c r="H2695">
        <v>0.147728210932149</v>
      </c>
      <c r="I2695">
        <v>0.14021119850719399</v>
      </c>
      <c r="J2695">
        <v>0.115779795817908</v>
      </c>
      <c r="K2695">
        <v>0.115099150909189</v>
      </c>
      <c r="L2695">
        <v>903.53635564707702</v>
      </c>
      <c r="M2695">
        <v>17.451685720755702</v>
      </c>
      <c r="N2695">
        <v>52.409091746242503</v>
      </c>
      <c r="O2695">
        <v>51.108129175067802</v>
      </c>
      <c r="P2695">
        <v>-7.7230096463092299E-2</v>
      </c>
      <c r="Q2695">
        <v>9.5361715240777398E-2</v>
      </c>
      <c r="R2695">
        <v>0.99604198549631895</v>
      </c>
      <c r="S2695" t="s">
        <v>7435</v>
      </c>
      <c r="T2695" t="s">
        <v>9478</v>
      </c>
      <c r="U2695" t="s">
        <v>9478</v>
      </c>
      <c r="V2695" t="s">
        <v>9478</v>
      </c>
      <c r="W2695">
        <v>3</v>
      </c>
      <c r="X2695" t="s">
        <v>12173</v>
      </c>
      <c r="Y2695">
        <v>0.46631206361633792</v>
      </c>
      <c r="Z2695" t="str">
        <f>HYPERLINK("Melting_Curves/meltCurve_sp_Q8TF05_2_PP4R1_HUMAN_.pdf", "Melting_Curves/meltCurve_sp_Q8TF05_2_PP4R1_HUMAN_.pdf")</f>
        <v>Melting_Curves/meltCurve_sp_Q8TF05_2_PP4R1_HUMAN_.pdf</v>
      </c>
      <c r="AA2695" t="s">
        <v>16865</v>
      </c>
      <c r="AB2695" t="s">
        <v>21529</v>
      </c>
    </row>
    <row r="2696" spans="1:28" x14ac:dyDescent="0.25">
      <c r="A2696" t="s">
        <v>2700</v>
      </c>
      <c r="B2696">
        <v>0.99904790336628502</v>
      </c>
      <c r="C2696">
        <v>0.93616005714105899</v>
      </c>
      <c r="D2696">
        <v>0.94076649453669603</v>
      </c>
      <c r="E2696">
        <v>0.84693712570322199</v>
      </c>
      <c r="F2696">
        <v>0.69666818191151503</v>
      </c>
      <c r="G2696">
        <v>0.18685168934089999</v>
      </c>
      <c r="H2696">
        <v>8.2202214439077298E-2</v>
      </c>
      <c r="I2696">
        <v>5.0430650966886599E-2</v>
      </c>
      <c r="J2696">
        <v>4.3557334308603098E-2</v>
      </c>
      <c r="K2696">
        <v>4.0188628091889798E-2</v>
      </c>
      <c r="L2696">
        <v>1468.182156224</v>
      </c>
      <c r="M2696">
        <v>27.148130198739999</v>
      </c>
      <c r="N2696">
        <v>54.217671497993898</v>
      </c>
      <c r="O2696">
        <v>53.789532563221897</v>
      </c>
      <c r="P2696">
        <v>-0.121987835489619</v>
      </c>
      <c r="Q2696">
        <v>3.3214402845700597E-2</v>
      </c>
      <c r="R2696">
        <v>0.99166615462506102</v>
      </c>
      <c r="S2696" t="s">
        <v>7436</v>
      </c>
      <c r="T2696" t="s">
        <v>9478</v>
      </c>
      <c r="U2696" t="s">
        <v>9478</v>
      </c>
      <c r="V2696" t="s">
        <v>9478</v>
      </c>
      <c r="W2696">
        <v>8</v>
      </c>
      <c r="X2696" t="s">
        <v>12174</v>
      </c>
      <c r="Y2696">
        <v>0.4946578968032298</v>
      </c>
      <c r="Z2696" t="str">
        <f>HYPERLINK("Melting_Curves/meltCurve_sp_Q8TF65_GIPC2_HUMAN_.pdf", "Melting_Curves/meltCurve_sp_Q8TF65_GIPC2_HUMAN_.pdf")</f>
        <v>Melting_Curves/meltCurve_sp_Q8TF65_GIPC2_HUMAN_.pdf</v>
      </c>
      <c r="AA2696" t="s">
        <v>16866</v>
      </c>
      <c r="AB2696" t="s">
        <v>21530</v>
      </c>
    </row>
    <row r="2697" spans="1:28" x14ac:dyDescent="0.25">
      <c r="A2697" t="s">
        <v>2701</v>
      </c>
      <c r="B2697">
        <v>0.99904790336628502</v>
      </c>
      <c r="C2697">
        <v>0.90725871791826096</v>
      </c>
      <c r="D2697">
        <v>0.77148843370758702</v>
      </c>
      <c r="E2697">
        <v>0.78964591214498803</v>
      </c>
      <c r="F2697">
        <v>0.56220845400127895</v>
      </c>
      <c r="G2697">
        <v>0.41591380525139998</v>
      </c>
      <c r="H2697">
        <v>0.288034166736305</v>
      </c>
      <c r="I2697">
        <v>0.26195945588917402</v>
      </c>
      <c r="J2697">
        <v>0.288705251308434</v>
      </c>
      <c r="K2697">
        <v>0.22510588399746601</v>
      </c>
      <c r="L2697">
        <v>543.94986828764297</v>
      </c>
      <c r="M2697">
        <v>10.307773134537999</v>
      </c>
      <c r="N2697">
        <v>54.840422383361997</v>
      </c>
      <c r="O2697">
        <v>50.900466127148803</v>
      </c>
      <c r="P2697">
        <v>-4.24878654563434E-2</v>
      </c>
      <c r="Q2697">
        <v>0.16113174151926399</v>
      </c>
      <c r="R2697">
        <v>0.97450509068076596</v>
      </c>
      <c r="S2697" t="s">
        <v>7437</v>
      </c>
      <c r="T2697" t="s">
        <v>9478</v>
      </c>
      <c r="U2697" t="s">
        <v>9478</v>
      </c>
      <c r="V2697" t="s">
        <v>9478</v>
      </c>
      <c r="W2697">
        <v>8</v>
      </c>
      <c r="X2697" t="s">
        <v>12175</v>
      </c>
      <c r="Y2697">
        <v>0.54682165610254196</v>
      </c>
      <c r="Z2697" t="str">
        <f>HYPERLINK("Melting_Curves/meltCurve_sp_Q8TF72_SHRM3_HUMAN_.pdf", "Melting_Curves/meltCurve_sp_Q8TF72_SHRM3_HUMAN_.pdf")</f>
        <v>Melting_Curves/meltCurve_sp_Q8TF72_SHRM3_HUMAN_.pdf</v>
      </c>
      <c r="AA2697" t="s">
        <v>16867</v>
      </c>
      <c r="AB2697" t="s">
        <v>21531</v>
      </c>
    </row>
    <row r="2698" spans="1:28" x14ac:dyDescent="0.25">
      <c r="A2698" t="s">
        <v>2702</v>
      </c>
      <c r="B2698">
        <v>0.99904790336628502</v>
      </c>
      <c r="C2698">
        <v>0.88776123030226095</v>
      </c>
      <c r="D2698">
        <v>0.90353626163398804</v>
      </c>
      <c r="E2698">
        <v>0.89132219107881305</v>
      </c>
      <c r="F2698">
        <v>0.92014670325540104</v>
      </c>
      <c r="G2698">
        <v>0.77074294763746498</v>
      </c>
      <c r="H2698">
        <v>0.64707082664900795</v>
      </c>
      <c r="I2698">
        <v>0.65219479794837598</v>
      </c>
      <c r="J2698">
        <v>0.63855662139720404</v>
      </c>
      <c r="K2698">
        <v>0.71641817994635504</v>
      </c>
      <c r="L2698">
        <v>442.36304193972302</v>
      </c>
      <c r="M2698">
        <v>7.9503800712494597</v>
      </c>
      <c r="O2698">
        <v>52.4508469452771</v>
      </c>
      <c r="P2698">
        <v>-1.6096976807537602E-2</v>
      </c>
      <c r="Q2698">
        <v>0.57570651820750995</v>
      </c>
      <c r="R2698">
        <v>0.83092397814094499</v>
      </c>
      <c r="S2698" t="s">
        <v>7438</v>
      </c>
      <c r="T2698" t="s">
        <v>9478</v>
      </c>
      <c r="U2698" t="s">
        <v>9478</v>
      </c>
      <c r="V2698" t="s">
        <v>9478</v>
      </c>
      <c r="W2698">
        <v>10</v>
      </c>
      <c r="X2698" t="s">
        <v>12176</v>
      </c>
      <c r="Y2698">
        <v>0.80644402622860956</v>
      </c>
      <c r="Z2698" t="str">
        <f>HYPERLINK("Melting_Curves/meltCurve_sp_Q8TF74_WIPF2_HUMAN_.pdf", "Melting_Curves/meltCurve_sp_Q8TF74_WIPF2_HUMAN_.pdf")</f>
        <v>Melting_Curves/meltCurve_sp_Q8TF74_WIPF2_HUMAN_.pdf</v>
      </c>
      <c r="AA2698" t="s">
        <v>16868</v>
      </c>
      <c r="AB2698" t="s">
        <v>21532</v>
      </c>
    </row>
    <row r="2699" spans="1:28" x14ac:dyDescent="0.25">
      <c r="A2699" t="s">
        <v>2703</v>
      </c>
      <c r="B2699">
        <v>0.99904790336628502</v>
      </c>
      <c r="C2699">
        <v>0.95576376468097801</v>
      </c>
      <c r="D2699">
        <v>0.93938652484838203</v>
      </c>
      <c r="E2699">
        <v>0.51958641145474305</v>
      </c>
      <c r="F2699">
        <v>0.330836557053164</v>
      </c>
      <c r="G2699">
        <v>0.19593941989557401</v>
      </c>
      <c r="H2699">
        <v>0.15686155427343099</v>
      </c>
      <c r="I2699">
        <v>0.17150879564764199</v>
      </c>
      <c r="J2699">
        <v>0.18918453823012199</v>
      </c>
      <c r="K2699">
        <v>0.182029144327295</v>
      </c>
      <c r="L2699">
        <v>1327.32531246706</v>
      </c>
      <c r="M2699">
        <v>26.760012380019099</v>
      </c>
      <c r="N2699">
        <v>50.414958077282499</v>
      </c>
      <c r="O2699">
        <v>49.326553562637102</v>
      </c>
      <c r="P2699">
        <v>-0.11183934856887701</v>
      </c>
      <c r="Q2699">
        <v>0.175397408065817</v>
      </c>
      <c r="R2699">
        <v>0.99643399978432601</v>
      </c>
      <c r="S2699" t="s">
        <v>7439</v>
      </c>
      <c r="T2699" t="s">
        <v>9478</v>
      </c>
      <c r="U2699" t="s">
        <v>9478</v>
      </c>
      <c r="V2699" t="s">
        <v>9478</v>
      </c>
      <c r="W2699">
        <v>5</v>
      </c>
      <c r="X2699" t="s">
        <v>12177</v>
      </c>
      <c r="Y2699">
        <v>0.44569370974028749</v>
      </c>
      <c r="Z2699" t="str">
        <f>HYPERLINK("Melting_Curves/meltCurve_sp_Q8WTS6_SETD7_HUMAN_.pdf", "Melting_Curves/meltCurve_sp_Q8WTS6_SETD7_HUMAN_.pdf")</f>
        <v>Melting_Curves/meltCurve_sp_Q8WTS6_SETD7_HUMAN_.pdf</v>
      </c>
      <c r="AA2699" t="s">
        <v>16869</v>
      </c>
      <c r="AB2699" t="s">
        <v>21533</v>
      </c>
    </row>
    <row r="2700" spans="1:28" x14ac:dyDescent="0.25">
      <c r="A2700" t="s">
        <v>2704</v>
      </c>
      <c r="B2700">
        <v>0.99904790336628502</v>
      </c>
      <c r="C2700">
        <v>1.0794194155435399</v>
      </c>
      <c r="D2700">
        <v>0.92810553666405105</v>
      </c>
      <c r="E2700">
        <v>0.67346784782760105</v>
      </c>
      <c r="F2700">
        <v>0.429141174243863</v>
      </c>
      <c r="G2700">
        <v>0.30852468187881599</v>
      </c>
      <c r="H2700">
        <v>0.200562980982018</v>
      </c>
      <c r="I2700">
        <v>0.15351560671574599</v>
      </c>
      <c r="J2700">
        <v>0.16218013696331601</v>
      </c>
      <c r="K2700">
        <v>0.14786645028426501</v>
      </c>
      <c r="L2700">
        <v>1022.87058442603</v>
      </c>
      <c r="M2700">
        <v>19.937446889147399</v>
      </c>
      <c r="N2700">
        <v>52.298368534411502</v>
      </c>
      <c r="O2700">
        <v>50.796218402059999</v>
      </c>
      <c r="P2700">
        <v>-8.2647705082781006E-2</v>
      </c>
      <c r="Q2700">
        <v>0.15775520457078299</v>
      </c>
      <c r="R2700">
        <v>0.98993345559407697</v>
      </c>
      <c r="S2700" t="s">
        <v>7440</v>
      </c>
      <c r="T2700" t="s">
        <v>9478</v>
      </c>
      <c r="U2700" t="s">
        <v>9478</v>
      </c>
      <c r="V2700" t="s">
        <v>9478</v>
      </c>
      <c r="W2700">
        <v>1</v>
      </c>
      <c r="X2700" t="s">
        <v>12178</v>
      </c>
      <c r="Y2700">
        <v>0.48686316419767389</v>
      </c>
      <c r="Z2700" t="str">
        <f>HYPERLINK("Melting_Curves/meltCurve_sp_Q8WTV0_3_SCRB1_HUMAN_.pdf", "Melting_Curves/meltCurve_sp_Q8WTV0_3_SCRB1_HUMAN_.pdf")</f>
        <v>Melting_Curves/meltCurve_sp_Q8WTV0_3_SCRB1_HUMAN_.pdf</v>
      </c>
      <c r="AA2700" t="s">
        <v>16870</v>
      </c>
      <c r="AB2700" t="s">
        <v>21534</v>
      </c>
    </row>
    <row r="2701" spans="1:28" x14ac:dyDescent="0.25">
      <c r="A2701" t="s">
        <v>2705</v>
      </c>
      <c r="B2701">
        <v>0.99904790336628502</v>
      </c>
      <c r="C2701">
        <v>0.823116395300721</v>
      </c>
      <c r="D2701">
        <v>0.715978287472543</v>
      </c>
      <c r="E2701">
        <v>0.77873854293197597</v>
      </c>
      <c r="F2701">
        <v>0.78969292693513304</v>
      </c>
      <c r="G2701">
        <v>0.683449159010725</v>
      </c>
      <c r="H2701">
        <v>0.66164964477039401</v>
      </c>
      <c r="I2701">
        <v>0.479288645033423</v>
      </c>
      <c r="J2701">
        <v>0.48300245419726001</v>
      </c>
      <c r="K2701">
        <v>0.40445718774689798</v>
      </c>
      <c r="L2701">
        <v>249.170801849528</v>
      </c>
      <c r="M2701">
        <v>3.7620030682147299</v>
      </c>
      <c r="N2701">
        <v>66.233545692718707</v>
      </c>
      <c r="O2701">
        <v>53.285321415142903</v>
      </c>
      <c r="P2701">
        <v>-1.79259527703256E-2</v>
      </c>
      <c r="Q2701">
        <v>0</v>
      </c>
      <c r="R2701">
        <v>0.85683985390906103</v>
      </c>
      <c r="S2701" t="s">
        <v>7441</v>
      </c>
      <c r="T2701" t="s">
        <v>9478</v>
      </c>
      <c r="U2701" t="s">
        <v>9478</v>
      </c>
      <c r="V2701" t="s">
        <v>9478</v>
      </c>
      <c r="W2701">
        <v>1</v>
      </c>
      <c r="X2701" t="s">
        <v>12179</v>
      </c>
      <c r="Y2701">
        <v>0.6851923797320586</v>
      </c>
      <c r="Z2701" t="str">
        <f>HYPERLINK("Melting_Curves/meltCurve_sp_Q8WU39_MZB1_HUMAN_.pdf", "Melting_Curves/meltCurve_sp_Q8WU39_MZB1_HUMAN_.pdf")</f>
        <v>Melting_Curves/meltCurve_sp_Q8WU39_MZB1_HUMAN_.pdf</v>
      </c>
      <c r="AA2701" t="s">
        <v>16871</v>
      </c>
      <c r="AB2701" t="s">
        <v>21535</v>
      </c>
    </row>
    <row r="2702" spans="1:28" x14ac:dyDescent="0.25">
      <c r="A2702" t="s">
        <v>2706</v>
      </c>
      <c r="B2702">
        <v>0.99904790336628502</v>
      </c>
      <c r="C2702">
        <v>0.982566180469166</v>
      </c>
      <c r="D2702">
        <v>0.92558034959879698</v>
      </c>
      <c r="E2702">
        <v>0.87647449961037005</v>
      </c>
      <c r="F2702">
        <v>0.71917566783048903</v>
      </c>
      <c r="G2702">
        <v>0.23844946506845499</v>
      </c>
      <c r="H2702">
        <v>9.5887039832849297E-2</v>
      </c>
      <c r="I2702">
        <v>6.8564850568199595E-2</v>
      </c>
      <c r="J2702">
        <v>5.3851411253740197E-2</v>
      </c>
      <c r="K2702">
        <v>5.7722705908970502E-2</v>
      </c>
      <c r="L2702">
        <v>1464.97561193248</v>
      </c>
      <c r="M2702">
        <v>26.941156655200899</v>
      </c>
      <c r="N2702">
        <v>54.581843680995597</v>
      </c>
      <c r="O2702">
        <v>54.079919143397497</v>
      </c>
      <c r="P2702">
        <v>-0.118552479222946</v>
      </c>
      <c r="Q2702">
        <v>4.8111486762401699E-2</v>
      </c>
      <c r="R2702">
        <v>0.99497121832633495</v>
      </c>
      <c r="S2702" t="s">
        <v>7442</v>
      </c>
      <c r="T2702" t="s">
        <v>9478</v>
      </c>
      <c r="U2702" t="s">
        <v>9478</v>
      </c>
      <c r="V2702" t="s">
        <v>9478</v>
      </c>
      <c r="W2702">
        <v>6</v>
      </c>
      <c r="X2702" t="s">
        <v>12180</v>
      </c>
      <c r="Y2702">
        <v>0.51197347038848695</v>
      </c>
      <c r="Z2702" t="str">
        <f>HYPERLINK("Melting_Curves/meltCurve_sp_Q8WU79_2_SMAP2_HUMAN_.pdf", "Melting_Curves/meltCurve_sp_Q8WU79_2_SMAP2_HUMAN_.pdf")</f>
        <v>Melting_Curves/meltCurve_sp_Q8WU79_2_SMAP2_HUMAN_.pdf</v>
      </c>
      <c r="AA2702" t="s">
        <v>16872</v>
      </c>
      <c r="AB2702" t="s">
        <v>21536</v>
      </c>
    </row>
    <row r="2703" spans="1:28" x14ac:dyDescent="0.25">
      <c r="A2703" t="s">
        <v>2707</v>
      </c>
      <c r="B2703">
        <v>0.99904790336628502</v>
      </c>
      <c r="C2703">
        <v>1.0051519989889199</v>
      </c>
      <c r="D2703">
        <v>1.02003174130862</v>
      </c>
      <c r="E2703">
        <v>0.99493756083100204</v>
      </c>
      <c r="F2703">
        <v>0.97219741859650699</v>
      </c>
      <c r="G2703">
        <v>0.66285391985979902</v>
      </c>
      <c r="H2703">
        <v>0.55719396697316403</v>
      </c>
      <c r="I2703">
        <v>0.45575311554237302</v>
      </c>
      <c r="J2703">
        <v>0.45109034588210001</v>
      </c>
      <c r="K2703">
        <v>0.44249845901135798</v>
      </c>
      <c r="L2703">
        <v>1807.0994754032699</v>
      </c>
      <c r="M2703">
        <v>31.979576856366901</v>
      </c>
      <c r="N2703">
        <v>61.1705488123104</v>
      </c>
      <c r="O2703">
        <v>56.2883379460201</v>
      </c>
      <c r="P2703">
        <v>-7.7222644779078198E-2</v>
      </c>
      <c r="Q2703">
        <v>0.45631396831008197</v>
      </c>
      <c r="R2703">
        <v>0.99112255967918395</v>
      </c>
      <c r="S2703" t="s">
        <v>7443</v>
      </c>
      <c r="T2703" t="s">
        <v>9478</v>
      </c>
      <c r="U2703" t="s">
        <v>9478</v>
      </c>
      <c r="V2703" t="s">
        <v>9478</v>
      </c>
      <c r="W2703">
        <v>12</v>
      </c>
      <c r="X2703" t="s">
        <v>12181</v>
      </c>
      <c r="Y2703">
        <v>0.7587127987185196</v>
      </c>
      <c r="Z2703" t="str">
        <f>HYPERLINK("Melting_Curves/meltCurve_sp_Q8WU90_ZC3HF_HUMAN_.pdf", "Melting_Curves/meltCurve_sp_Q8WU90_ZC3HF_HUMAN_.pdf")</f>
        <v>Melting_Curves/meltCurve_sp_Q8WU90_ZC3HF_HUMAN_.pdf</v>
      </c>
      <c r="AA2703" t="s">
        <v>16873</v>
      </c>
      <c r="AB2703" t="s">
        <v>21537</v>
      </c>
    </row>
    <row r="2704" spans="1:28" x14ac:dyDescent="0.25">
      <c r="A2704" t="s">
        <v>2708</v>
      </c>
      <c r="B2704">
        <v>0.99904790336628502</v>
      </c>
      <c r="C2704">
        <v>0.93327438465976398</v>
      </c>
      <c r="D2704">
        <v>0.95233646197859401</v>
      </c>
      <c r="E2704">
        <v>0.84389384611709595</v>
      </c>
      <c r="F2704">
        <v>0.55026523592014998</v>
      </c>
      <c r="G2704">
        <v>0.264095112084554</v>
      </c>
      <c r="H2704">
        <v>0.18248588637592</v>
      </c>
      <c r="I2704">
        <v>0.14735523703860501</v>
      </c>
      <c r="J2704">
        <v>0.138021191607685</v>
      </c>
      <c r="K2704">
        <v>0.119661885177009</v>
      </c>
      <c r="L2704">
        <v>1233.0249006771201</v>
      </c>
      <c r="M2704">
        <v>23.288745598371801</v>
      </c>
      <c r="N2704">
        <v>53.635464697664197</v>
      </c>
      <c r="O2704">
        <v>52.5593445361826</v>
      </c>
      <c r="P2704">
        <v>-9.6430081378028804E-2</v>
      </c>
      <c r="Q2704">
        <v>0.12950012065222699</v>
      </c>
      <c r="R2704">
        <v>0.99591801407216496</v>
      </c>
      <c r="S2704" t="s">
        <v>7444</v>
      </c>
      <c r="T2704" t="s">
        <v>9478</v>
      </c>
      <c r="U2704" t="s">
        <v>9478</v>
      </c>
      <c r="V2704" t="s">
        <v>9478</v>
      </c>
      <c r="W2704">
        <v>8</v>
      </c>
      <c r="X2704" t="s">
        <v>12182</v>
      </c>
      <c r="Y2704">
        <v>0.51426375766401156</v>
      </c>
      <c r="Z2704" t="str">
        <f>HYPERLINK("Melting_Curves/meltCurve_sp_Q8WUA2_PPIL4_HUMAN_.pdf", "Melting_Curves/meltCurve_sp_Q8WUA2_PPIL4_HUMAN_.pdf")</f>
        <v>Melting_Curves/meltCurve_sp_Q8WUA2_PPIL4_HUMAN_.pdf</v>
      </c>
      <c r="AA2704" t="s">
        <v>16874</v>
      </c>
      <c r="AB2704" t="s">
        <v>21538</v>
      </c>
    </row>
    <row r="2705" spans="1:28" x14ac:dyDescent="0.25">
      <c r="A2705" t="s">
        <v>2709</v>
      </c>
      <c r="B2705">
        <v>0.99904790336628502</v>
      </c>
      <c r="C2705">
        <v>1.32185747237763</v>
      </c>
      <c r="D2705">
        <v>1.2231255905206699</v>
      </c>
      <c r="E2705">
        <v>1.2038048909714101</v>
      </c>
      <c r="F2705">
        <v>0.80437044276106695</v>
      </c>
      <c r="G2705">
        <v>0.95515963247763802</v>
      </c>
      <c r="H2705">
        <v>0.526515051437765</v>
      </c>
      <c r="I2705">
        <v>0.38211885468183798</v>
      </c>
      <c r="J2705">
        <v>0.306171649074166</v>
      </c>
      <c r="K2705">
        <v>0.47871627400244199</v>
      </c>
      <c r="L2705">
        <v>3303.6636481176602</v>
      </c>
      <c r="M2705">
        <v>55.406192746882702</v>
      </c>
      <c r="N2705">
        <v>61.252306941739903</v>
      </c>
      <c r="O2705">
        <v>59.548727368934202</v>
      </c>
      <c r="P2705">
        <v>-0.14302286656781699</v>
      </c>
      <c r="Q2705">
        <v>0.385135518384151</v>
      </c>
      <c r="R2705">
        <v>0.80447876423390297</v>
      </c>
      <c r="S2705" t="s">
        <v>7445</v>
      </c>
      <c r="T2705" t="s">
        <v>9478</v>
      </c>
      <c r="U2705" t="s">
        <v>9478</v>
      </c>
      <c r="V2705" t="s">
        <v>9478</v>
      </c>
      <c r="W2705">
        <v>8</v>
      </c>
      <c r="X2705" t="s">
        <v>12183</v>
      </c>
      <c r="Y2705">
        <v>0.78869202260332361</v>
      </c>
      <c r="Z2705" t="str">
        <f>HYPERLINK("Melting_Curves/meltCurve_sp_Q8WUD1_RAB2B_HUMAN_.pdf", "Melting_Curves/meltCurve_sp_Q8WUD1_RAB2B_HUMAN_.pdf")</f>
        <v>Melting_Curves/meltCurve_sp_Q8WUD1_RAB2B_HUMAN_.pdf</v>
      </c>
      <c r="AA2705" t="s">
        <v>16875</v>
      </c>
      <c r="AB2705" t="s">
        <v>21539</v>
      </c>
    </row>
    <row r="2706" spans="1:28" x14ac:dyDescent="0.25">
      <c r="A2706" t="s">
        <v>2710</v>
      </c>
      <c r="B2706">
        <v>0.99904790336628502</v>
      </c>
      <c r="C2706">
        <v>1.0200626442191201</v>
      </c>
      <c r="D2706">
        <v>1.0033149379397801</v>
      </c>
      <c r="E2706">
        <v>1.14264874421132</v>
      </c>
      <c r="F2706">
        <v>1.11530124467325</v>
      </c>
      <c r="G2706">
        <v>0.82118599084520105</v>
      </c>
      <c r="H2706">
        <v>0.40835129358410999</v>
      </c>
      <c r="I2706">
        <v>0.24267144272782001</v>
      </c>
      <c r="J2706">
        <v>0.106124947336023</v>
      </c>
      <c r="K2706">
        <v>8.9941837434953098E-2</v>
      </c>
      <c r="L2706">
        <v>1876.8601726948</v>
      </c>
      <c r="M2706">
        <v>31.338408802594401</v>
      </c>
      <c r="N2706">
        <v>60.282568904979897</v>
      </c>
      <c r="O2706">
        <v>59.647808498710198</v>
      </c>
      <c r="P2706">
        <v>-0.119227323475872</v>
      </c>
      <c r="Q2706">
        <v>9.2282002390199805E-2</v>
      </c>
      <c r="R2706">
        <v>0.97543185837707203</v>
      </c>
      <c r="S2706" t="s">
        <v>7446</v>
      </c>
      <c r="T2706" t="s">
        <v>9478</v>
      </c>
      <c r="U2706" t="s">
        <v>9478</v>
      </c>
      <c r="V2706" t="s">
        <v>9478</v>
      </c>
      <c r="W2706">
        <v>2</v>
      </c>
      <c r="X2706" t="s">
        <v>12184</v>
      </c>
      <c r="Y2706">
        <v>0.69933801711538179</v>
      </c>
      <c r="Z2706" t="str">
        <f>HYPERLINK("Melting_Curves/meltCurve_sp_Q8WUF5_IASPP_HUMAN_.pdf", "Melting_Curves/meltCurve_sp_Q8WUF5_IASPP_HUMAN_.pdf")</f>
        <v>Melting_Curves/meltCurve_sp_Q8WUF5_IASPP_HUMAN_.pdf</v>
      </c>
      <c r="AA2706" t="s">
        <v>16876</v>
      </c>
      <c r="AB2706" t="s">
        <v>21540</v>
      </c>
    </row>
    <row r="2707" spans="1:28" x14ac:dyDescent="0.25">
      <c r="A2707" t="s">
        <v>2711</v>
      </c>
      <c r="B2707">
        <v>0.99904790336628502</v>
      </c>
      <c r="C2707">
        <v>0.979310084911725</v>
      </c>
      <c r="D2707">
        <v>0.77877553966776503</v>
      </c>
      <c r="E2707">
        <v>0.70145266282155005</v>
      </c>
      <c r="F2707">
        <v>0.435109094479946</v>
      </c>
      <c r="G2707">
        <v>0.51803146956785495</v>
      </c>
      <c r="H2707">
        <v>0.26040420246434598</v>
      </c>
      <c r="I2707">
        <v>0.239912434922812</v>
      </c>
      <c r="J2707">
        <v>0.18164196426961501</v>
      </c>
      <c r="K2707">
        <v>0.386095698720193</v>
      </c>
      <c r="L2707">
        <v>661.26015823220996</v>
      </c>
      <c r="M2707">
        <v>13.0681951449968</v>
      </c>
      <c r="N2707">
        <v>53.347042034343602</v>
      </c>
      <c r="O2707">
        <v>49.459823200842798</v>
      </c>
      <c r="P2707">
        <v>-4.9889819328799802E-2</v>
      </c>
      <c r="Q2707">
        <v>0.24484917869457001</v>
      </c>
      <c r="R2707">
        <v>0.92479370017948104</v>
      </c>
      <c r="S2707" t="s">
        <v>7447</v>
      </c>
      <c r="T2707" t="s">
        <v>9478</v>
      </c>
      <c r="U2707" t="s">
        <v>9478</v>
      </c>
      <c r="V2707" t="s">
        <v>9478</v>
      </c>
      <c r="W2707">
        <v>1</v>
      </c>
      <c r="X2707" t="s">
        <v>12185</v>
      </c>
      <c r="Y2707">
        <v>0.53383204440046461</v>
      </c>
      <c r="Z2707" t="str">
        <f>HYPERLINK("Melting_Curves/meltCurve_sp_Q8WUH6_CL023_HUMAN_.pdf", "Melting_Curves/meltCurve_sp_Q8WUH6_CL023_HUMAN_.pdf")</f>
        <v>Melting_Curves/meltCurve_sp_Q8WUH6_CL023_HUMAN_.pdf</v>
      </c>
      <c r="AA2707" t="s">
        <v>16877</v>
      </c>
      <c r="AB2707" t="s">
        <v>21541</v>
      </c>
    </row>
    <row r="2708" spans="1:28" x14ac:dyDescent="0.25">
      <c r="A2708" t="s">
        <v>2712</v>
      </c>
      <c r="B2708">
        <v>0.99904790336628502</v>
      </c>
      <c r="C2708">
        <v>1.0751134727995999</v>
      </c>
      <c r="D2708">
        <v>0.94024215772488795</v>
      </c>
      <c r="E2708">
        <v>0.84230016661159801</v>
      </c>
      <c r="F2708">
        <v>0.59615496094597897</v>
      </c>
      <c r="G2708">
        <v>0.194092685587133</v>
      </c>
      <c r="H2708">
        <v>0.12192360411388101</v>
      </c>
      <c r="I2708">
        <v>0.10499977519611001</v>
      </c>
      <c r="J2708">
        <v>0.110342357257134</v>
      </c>
      <c r="K2708">
        <v>7.4197136296892202E-2</v>
      </c>
      <c r="L2708">
        <v>1405.83150595803</v>
      </c>
      <c r="M2708">
        <v>26.405201069163599</v>
      </c>
      <c r="N2708">
        <v>53.628982524111898</v>
      </c>
      <c r="O2708">
        <v>52.938140662805303</v>
      </c>
      <c r="P2708">
        <v>-0.113850037475731</v>
      </c>
      <c r="Q2708">
        <v>8.7006295887266397E-2</v>
      </c>
      <c r="R2708">
        <v>0.99358210075031905</v>
      </c>
      <c r="S2708" t="s">
        <v>7448</v>
      </c>
      <c r="T2708" t="s">
        <v>9478</v>
      </c>
      <c r="U2708" t="s">
        <v>9478</v>
      </c>
      <c r="V2708" t="s">
        <v>9478</v>
      </c>
      <c r="W2708">
        <v>1</v>
      </c>
      <c r="X2708" t="s">
        <v>12186</v>
      </c>
      <c r="Y2708">
        <v>0.49755871851295957</v>
      </c>
      <c r="Z2708" t="str">
        <f>HYPERLINK("Melting_Curves/meltCurve_sp_Q8WUJ0_STYX_HUMAN_.pdf", "Melting_Curves/meltCurve_sp_Q8WUJ0_STYX_HUMAN_.pdf")</f>
        <v>Melting_Curves/meltCurve_sp_Q8WUJ0_STYX_HUMAN_.pdf</v>
      </c>
      <c r="AA2708" t="s">
        <v>16878</v>
      </c>
      <c r="AB2708" t="s">
        <v>21542</v>
      </c>
    </row>
    <row r="2709" spans="1:28" x14ac:dyDescent="0.25">
      <c r="A2709" t="s">
        <v>2713</v>
      </c>
      <c r="B2709">
        <v>0.99904790336628502</v>
      </c>
      <c r="C2709">
        <v>0.95493916691932801</v>
      </c>
      <c r="D2709">
        <v>0.99332953125742396</v>
      </c>
      <c r="E2709">
        <v>0.68160275802755699</v>
      </c>
      <c r="F2709">
        <v>0.15009240107345001</v>
      </c>
      <c r="G2709">
        <v>9.9501733029795703E-2</v>
      </c>
      <c r="H2709">
        <v>5.51837149627811E-2</v>
      </c>
      <c r="I2709">
        <v>4.4091401486313797E-2</v>
      </c>
      <c r="J2709">
        <v>3.86798383040051E-2</v>
      </c>
      <c r="K2709">
        <v>3.2740384147977801E-2</v>
      </c>
      <c r="L2709">
        <v>2461.12901749615</v>
      </c>
      <c r="M2709">
        <v>48.546730330458502</v>
      </c>
      <c r="N2709">
        <v>50.811736127516902</v>
      </c>
      <c r="O2709">
        <v>50.610275404367201</v>
      </c>
      <c r="P2709">
        <v>-0.22726373346326201</v>
      </c>
      <c r="Q2709">
        <v>5.2305232351746E-2</v>
      </c>
      <c r="R2709">
        <v>0.99743567995271099</v>
      </c>
      <c r="S2709" t="s">
        <v>7449</v>
      </c>
      <c r="T2709" t="s">
        <v>9478</v>
      </c>
      <c r="U2709" t="s">
        <v>9478</v>
      </c>
      <c r="V2709" t="s">
        <v>9478</v>
      </c>
      <c r="W2709">
        <v>49</v>
      </c>
      <c r="X2709" t="s">
        <v>12187</v>
      </c>
      <c r="Y2709">
        <v>0.39244135048660328</v>
      </c>
      <c r="Z2709" t="str">
        <f>HYPERLINK("Melting_Curves/meltCurve_sp_Q8WUM4_PDC6I_HUMAN_.pdf", "Melting_Curves/meltCurve_sp_Q8WUM4_PDC6I_HUMAN_.pdf")</f>
        <v>Melting_Curves/meltCurve_sp_Q8WUM4_PDC6I_HUMAN_.pdf</v>
      </c>
      <c r="AA2709" t="s">
        <v>16879</v>
      </c>
      <c r="AB2709" t="s">
        <v>21543</v>
      </c>
    </row>
    <row r="2710" spans="1:28" x14ac:dyDescent="0.25">
      <c r="A2710" t="s">
        <v>2714</v>
      </c>
      <c r="B2710">
        <v>0.99904790336628502</v>
      </c>
      <c r="C2710">
        <v>1.24212593095875</v>
      </c>
      <c r="D2710">
        <v>1.48593769610403</v>
      </c>
      <c r="E2710">
        <v>1.05227749982416</v>
      </c>
      <c r="F2710">
        <v>0.86309014868960998</v>
      </c>
      <c r="G2710">
        <v>0.84945866763834998</v>
      </c>
      <c r="H2710">
        <v>0.48745874564087599</v>
      </c>
      <c r="I2710">
        <v>0.45278521102279901</v>
      </c>
      <c r="J2710">
        <v>0.55740763306682595</v>
      </c>
      <c r="K2710">
        <v>0.67066090627520802</v>
      </c>
      <c r="L2710">
        <v>14290.689366549999</v>
      </c>
      <c r="M2710">
        <v>250</v>
      </c>
      <c r="O2710">
        <v>57.159114298473</v>
      </c>
      <c r="P2710">
        <v>-0.50070974320366302</v>
      </c>
      <c r="Q2710">
        <v>0.54207811210463897</v>
      </c>
      <c r="R2710">
        <v>0.66472118040873396</v>
      </c>
      <c r="S2710" t="s">
        <v>7450</v>
      </c>
      <c r="T2710" t="s">
        <v>9478</v>
      </c>
      <c r="U2710" t="s">
        <v>9478</v>
      </c>
      <c r="V2710" t="s">
        <v>9478</v>
      </c>
      <c r="W2710">
        <v>1</v>
      </c>
      <c r="X2710" t="s">
        <v>12188</v>
      </c>
      <c r="Y2710">
        <v>0.80409746072756738</v>
      </c>
      <c r="Z2710" t="str">
        <f>HYPERLINK("Melting_Curves/meltCurve_sp_Q8WUN7_UBTD2_HUMAN_.pdf", "Melting_Curves/meltCurve_sp_Q8WUN7_UBTD2_HUMAN_.pdf")</f>
        <v>Melting_Curves/meltCurve_sp_Q8WUN7_UBTD2_HUMAN_.pdf</v>
      </c>
      <c r="AA2710" t="s">
        <v>16880</v>
      </c>
      <c r="AB2710" t="s">
        <v>21544</v>
      </c>
    </row>
    <row r="2711" spans="1:28" x14ac:dyDescent="0.25">
      <c r="A2711" t="s">
        <v>2715</v>
      </c>
      <c r="B2711">
        <v>0.99904790336628502</v>
      </c>
      <c r="C2711">
        <v>0.98731082682901905</v>
      </c>
      <c r="D2711">
        <v>0.97823291933747603</v>
      </c>
      <c r="E2711">
        <v>0.94610587580202898</v>
      </c>
      <c r="F2711">
        <v>0.95819307983629298</v>
      </c>
      <c r="G2711">
        <v>0.671716408314045</v>
      </c>
      <c r="H2711">
        <v>0.60796287824796702</v>
      </c>
      <c r="I2711">
        <v>0.51934051363263301</v>
      </c>
      <c r="J2711">
        <v>0.56759647404144098</v>
      </c>
      <c r="K2711">
        <v>0.54387976869049304</v>
      </c>
      <c r="L2711">
        <v>2064.3602062785999</v>
      </c>
      <c r="M2711">
        <v>37.090000110930703</v>
      </c>
      <c r="O2711">
        <v>55.497078441826197</v>
      </c>
      <c r="P2711">
        <v>-7.48010762432256E-2</v>
      </c>
      <c r="Q2711">
        <v>0.55230740880296203</v>
      </c>
      <c r="R2711">
        <v>0.98376548870790304</v>
      </c>
      <c r="S2711" t="s">
        <v>7451</v>
      </c>
      <c r="T2711" t="s">
        <v>9478</v>
      </c>
      <c r="U2711" t="s">
        <v>9478</v>
      </c>
      <c r="V2711" t="s">
        <v>9478</v>
      </c>
      <c r="W2711">
        <v>1</v>
      </c>
      <c r="X2711" t="s">
        <v>12189</v>
      </c>
      <c r="Y2711">
        <v>0.78796277831200479</v>
      </c>
      <c r="Z2711" t="str">
        <f>HYPERLINK("Melting_Curves/meltCurve_sp_Q8WUR7_CO040_HUMAN_.pdf", "Melting_Curves/meltCurve_sp_Q8WUR7_CO040_HUMAN_.pdf")</f>
        <v>Melting_Curves/meltCurve_sp_Q8WUR7_CO040_HUMAN_.pdf</v>
      </c>
      <c r="AA2711" t="s">
        <v>16881</v>
      </c>
      <c r="AB2711" t="s">
        <v>21545</v>
      </c>
    </row>
    <row r="2712" spans="1:28" x14ac:dyDescent="0.25">
      <c r="A2712" t="s">
        <v>2716</v>
      </c>
      <c r="B2712">
        <v>0.99904790336628502</v>
      </c>
      <c r="C2712">
        <v>0.98913256508899805</v>
      </c>
      <c r="D2712">
        <v>0.97506555827140096</v>
      </c>
      <c r="E2712">
        <v>0.89766193087919199</v>
      </c>
      <c r="F2712">
        <v>0.63384762127790995</v>
      </c>
      <c r="G2712">
        <v>0.352452206888346</v>
      </c>
      <c r="H2712">
        <v>0.26219803423634802</v>
      </c>
      <c r="I2712">
        <v>0.20355852682188399</v>
      </c>
      <c r="J2712">
        <v>0.182098685179684</v>
      </c>
      <c r="K2712">
        <v>0.13191390044894299</v>
      </c>
      <c r="L2712">
        <v>1158.1647918733599</v>
      </c>
      <c r="M2712">
        <v>21.501495844809899</v>
      </c>
      <c r="N2712">
        <v>54.8855764524519</v>
      </c>
      <c r="O2712">
        <v>53.4049520016762</v>
      </c>
      <c r="P2712">
        <v>-8.4061759102714004E-2</v>
      </c>
      <c r="Q2712">
        <v>0.16485727574107301</v>
      </c>
      <c r="R2712">
        <v>0.99646839841429902</v>
      </c>
      <c r="S2712" t="s">
        <v>7452</v>
      </c>
      <c r="T2712" t="s">
        <v>9478</v>
      </c>
      <c r="U2712" t="s">
        <v>9478</v>
      </c>
      <c r="V2712" t="s">
        <v>9478</v>
      </c>
      <c r="W2712">
        <v>4</v>
      </c>
      <c r="X2712" t="s">
        <v>12190</v>
      </c>
      <c r="Y2712">
        <v>0.56089941880736405</v>
      </c>
      <c r="Z2712" t="str">
        <f>HYPERLINK("Melting_Curves/meltCurve_sp_Q8WUW1_BRK1_HUMAN_.pdf", "Melting_Curves/meltCurve_sp_Q8WUW1_BRK1_HUMAN_.pdf")</f>
        <v>Melting_Curves/meltCurve_sp_Q8WUW1_BRK1_HUMAN_.pdf</v>
      </c>
      <c r="AA2712" t="s">
        <v>16882</v>
      </c>
      <c r="AB2712" t="s">
        <v>21546</v>
      </c>
    </row>
    <row r="2713" spans="1:28" x14ac:dyDescent="0.25">
      <c r="A2713" t="s">
        <v>2717</v>
      </c>
      <c r="B2713">
        <v>0.99904790336628502</v>
      </c>
      <c r="C2713">
        <v>1.12273593354525</v>
      </c>
      <c r="D2713">
        <v>1.07439741945018</v>
      </c>
      <c r="E2713">
        <v>0.76478846068615802</v>
      </c>
      <c r="F2713">
        <v>0.577202332554407</v>
      </c>
      <c r="G2713">
        <v>0.24062656445132799</v>
      </c>
      <c r="H2713">
        <v>0.22823790605342201</v>
      </c>
      <c r="I2713">
        <v>0.18629084432156801</v>
      </c>
      <c r="J2713">
        <v>0.22639405763379999</v>
      </c>
      <c r="K2713">
        <v>0.18739323244344899</v>
      </c>
      <c r="L2713">
        <v>1406.86772843776</v>
      </c>
      <c r="M2713">
        <v>26.867545215392099</v>
      </c>
      <c r="N2713">
        <v>53.350209605139902</v>
      </c>
      <c r="O2713">
        <v>52.075588081177401</v>
      </c>
      <c r="P2713">
        <v>-0.10372176820305599</v>
      </c>
      <c r="Q2713">
        <v>0.19585990914517801</v>
      </c>
      <c r="R2713">
        <v>0.977162713865665</v>
      </c>
      <c r="S2713" t="s">
        <v>7453</v>
      </c>
      <c r="T2713" t="s">
        <v>9478</v>
      </c>
      <c r="U2713" t="s">
        <v>9478</v>
      </c>
      <c r="V2713" t="s">
        <v>9478</v>
      </c>
      <c r="W2713">
        <v>2</v>
      </c>
      <c r="X2713" t="s">
        <v>12191</v>
      </c>
      <c r="Y2713">
        <v>0.53366075452201622</v>
      </c>
      <c r="Z2713" t="str">
        <f>HYPERLINK("Melting_Curves/meltCurve_sp_Q8WUX9_CHMP7_HUMAN_.pdf", "Melting_Curves/meltCurve_sp_Q8WUX9_CHMP7_HUMAN_.pdf")</f>
        <v>Melting_Curves/meltCurve_sp_Q8WUX9_CHMP7_HUMAN_.pdf</v>
      </c>
      <c r="AA2713" t="s">
        <v>16883</v>
      </c>
      <c r="AB2713" t="s">
        <v>21547</v>
      </c>
    </row>
    <row r="2714" spans="1:28" x14ac:dyDescent="0.25">
      <c r="A2714" t="s">
        <v>2718</v>
      </c>
      <c r="B2714">
        <v>0.99904790336628502</v>
      </c>
      <c r="C2714">
        <v>0.88286137618896599</v>
      </c>
      <c r="D2714">
        <v>0.94904713186893497</v>
      </c>
      <c r="E2714">
        <v>0.75537609033208997</v>
      </c>
      <c r="F2714">
        <v>0.72941672788693701</v>
      </c>
      <c r="G2714">
        <v>0.64943596364192602</v>
      </c>
      <c r="H2714">
        <v>0.54299719927427603</v>
      </c>
      <c r="I2714">
        <v>0.57706720777271603</v>
      </c>
      <c r="J2714">
        <v>0.60368716510457199</v>
      </c>
      <c r="K2714">
        <v>0.43202199330462598</v>
      </c>
      <c r="L2714">
        <v>457.52218271384999</v>
      </c>
      <c r="M2714">
        <v>8.6009552345917406</v>
      </c>
      <c r="O2714">
        <v>50.553037404898198</v>
      </c>
      <c r="P2714">
        <v>-2.37615469193681E-2</v>
      </c>
      <c r="Q2714">
        <v>0.44183692965564197</v>
      </c>
      <c r="R2714">
        <v>0.92343401170540695</v>
      </c>
      <c r="S2714" t="s">
        <v>7454</v>
      </c>
      <c r="T2714" t="s">
        <v>9478</v>
      </c>
      <c r="U2714" t="s">
        <v>9478</v>
      </c>
      <c r="V2714" t="s">
        <v>9478</v>
      </c>
      <c r="W2714">
        <v>3</v>
      </c>
      <c r="X2714" t="s">
        <v>12192</v>
      </c>
      <c r="Y2714">
        <v>0.70831672952126334</v>
      </c>
      <c r="Z2714" t="str">
        <f>HYPERLINK("Melting_Curves/meltCurve_sp_Q8WV28_BLNK_HUMAN_.pdf", "Melting_Curves/meltCurve_sp_Q8WV28_BLNK_HUMAN_.pdf")</f>
        <v>Melting_Curves/meltCurve_sp_Q8WV28_BLNK_HUMAN_.pdf</v>
      </c>
      <c r="AA2714" t="s">
        <v>16884</v>
      </c>
      <c r="AB2714" t="s">
        <v>21548</v>
      </c>
    </row>
    <row r="2715" spans="1:28" x14ac:dyDescent="0.25">
      <c r="A2715" t="s">
        <v>2719</v>
      </c>
      <c r="B2715">
        <v>0.99904790336628502</v>
      </c>
      <c r="C2715">
        <v>0.92848687452634304</v>
      </c>
      <c r="D2715">
        <v>1.0238680973910701</v>
      </c>
      <c r="E2715">
        <v>0.83835300074379004</v>
      </c>
      <c r="F2715">
        <v>0.60314724356790395</v>
      </c>
      <c r="G2715">
        <v>0.264667185579118</v>
      </c>
      <c r="H2715">
        <v>0.183677652465039</v>
      </c>
      <c r="I2715">
        <v>0.152752220773376</v>
      </c>
      <c r="J2715">
        <v>7.8823066979745102E-2</v>
      </c>
      <c r="K2715">
        <v>2.69360742423372E-2</v>
      </c>
      <c r="L2715">
        <v>1103.4846630808299</v>
      </c>
      <c r="M2715">
        <v>20.523987987079799</v>
      </c>
      <c r="N2715">
        <v>54.17275577569</v>
      </c>
      <c r="O2715">
        <v>53.262991605424403</v>
      </c>
      <c r="P2715">
        <v>-8.9450754400838203E-2</v>
      </c>
      <c r="Q2715">
        <v>7.1471967027749703E-2</v>
      </c>
      <c r="R2715">
        <v>0.990471535023002</v>
      </c>
      <c r="S2715" t="s">
        <v>7455</v>
      </c>
      <c r="T2715" t="s">
        <v>9478</v>
      </c>
      <c r="U2715" t="s">
        <v>9478</v>
      </c>
      <c r="V2715" t="s">
        <v>9478</v>
      </c>
      <c r="W2715">
        <v>3</v>
      </c>
      <c r="X2715" t="s">
        <v>12193</v>
      </c>
      <c r="Y2715">
        <v>0.50966551908612945</v>
      </c>
      <c r="Z2715" t="str">
        <f>HYPERLINK("Melting_Curves/meltCurve_sp_Q8WV41_SNX33_HUMAN_.pdf", "Melting_Curves/meltCurve_sp_Q8WV41_SNX33_HUMAN_.pdf")</f>
        <v>Melting_Curves/meltCurve_sp_Q8WV41_SNX33_HUMAN_.pdf</v>
      </c>
      <c r="AA2715" t="s">
        <v>16885</v>
      </c>
      <c r="AB2715" t="s">
        <v>21549</v>
      </c>
    </row>
    <row r="2716" spans="1:28" x14ac:dyDescent="0.25">
      <c r="A2716" t="s">
        <v>2720</v>
      </c>
      <c r="B2716">
        <v>0.99904790336628502</v>
      </c>
      <c r="C2716">
        <v>0.90456080266447703</v>
      </c>
      <c r="D2716">
        <v>0.78413032945271699</v>
      </c>
      <c r="E2716">
        <v>0.45627261136108899</v>
      </c>
      <c r="F2716">
        <v>0.17911098201374101</v>
      </c>
      <c r="G2716">
        <v>7.9538037611116802E-2</v>
      </c>
      <c r="H2716">
        <v>4.2198385033940897E-2</v>
      </c>
      <c r="I2716">
        <v>3.2081029680839999E-2</v>
      </c>
      <c r="J2716">
        <v>1.5143570074704101E-2</v>
      </c>
      <c r="K2716">
        <v>2.3350286764523699E-2</v>
      </c>
      <c r="L2716">
        <v>920.50903660915503</v>
      </c>
      <c r="M2716">
        <v>18.736991933595501</v>
      </c>
      <c r="N2716">
        <v>49.195659280447003</v>
      </c>
      <c r="O2716">
        <v>48.578558501318298</v>
      </c>
      <c r="P2716">
        <v>-9.5201898038187696E-2</v>
      </c>
      <c r="Q2716">
        <v>1.2738836332629301E-2</v>
      </c>
      <c r="R2716">
        <v>0.99756727097937703</v>
      </c>
      <c r="S2716" t="s">
        <v>7456</v>
      </c>
      <c r="T2716" t="s">
        <v>9478</v>
      </c>
      <c r="U2716" t="s">
        <v>9478</v>
      </c>
      <c r="V2716" t="s">
        <v>9478</v>
      </c>
      <c r="W2716">
        <v>9</v>
      </c>
      <c r="X2716" t="s">
        <v>12194</v>
      </c>
      <c r="Y2716">
        <v>0.32887642682591001</v>
      </c>
      <c r="Z2716" t="str">
        <f>HYPERLINK("Melting_Curves/meltCurve_sp_Q8WV74_NUDT8_HUMAN_.pdf", "Melting_Curves/meltCurve_sp_Q8WV74_NUDT8_HUMAN_.pdf")</f>
        <v>Melting_Curves/meltCurve_sp_Q8WV74_NUDT8_HUMAN_.pdf</v>
      </c>
      <c r="AA2716" t="s">
        <v>16886</v>
      </c>
      <c r="AB2716" t="s">
        <v>21550</v>
      </c>
    </row>
    <row r="2717" spans="1:28" x14ac:dyDescent="0.25">
      <c r="A2717" t="s">
        <v>2721</v>
      </c>
      <c r="B2717">
        <v>0.99904790336628502</v>
      </c>
      <c r="C2717">
        <v>1.0779716159167501</v>
      </c>
      <c r="D2717">
        <v>1.0254479840891899</v>
      </c>
      <c r="E2717">
        <v>0.91033888194035895</v>
      </c>
      <c r="F2717">
        <v>0.89547418711626303</v>
      </c>
      <c r="G2717">
        <v>0.61883343777658495</v>
      </c>
      <c r="H2717">
        <v>0.54272748333348197</v>
      </c>
      <c r="I2717">
        <v>0.57426168524892196</v>
      </c>
      <c r="J2717">
        <v>0.64199824016927498</v>
      </c>
      <c r="K2717">
        <v>0.54588572482800302</v>
      </c>
      <c r="L2717">
        <v>2039.45142366393</v>
      </c>
      <c r="M2717">
        <v>37.620218841839403</v>
      </c>
      <c r="O2717">
        <v>54.059079343730097</v>
      </c>
      <c r="P2717">
        <v>-7.4358458395407501E-2</v>
      </c>
      <c r="Q2717">
        <v>0.57259801412142897</v>
      </c>
      <c r="R2717">
        <v>0.954268465686953</v>
      </c>
      <c r="S2717" t="s">
        <v>7457</v>
      </c>
      <c r="T2717" t="s">
        <v>9478</v>
      </c>
      <c r="U2717" t="s">
        <v>9478</v>
      </c>
      <c r="V2717" t="s">
        <v>9478</v>
      </c>
      <c r="W2717">
        <v>11</v>
      </c>
      <c r="X2717" t="s">
        <v>12195</v>
      </c>
      <c r="Y2717">
        <v>0.77687222989246751</v>
      </c>
      <c r="Z2717" t="str">
        <f>HYPERLINK("Melting_Curves/meltCurve_sp_Q8WVC0_LEO1_HUMAN_.pdf", "Melting_Curves/meltCurve_sp_Q8WVC0_LEO1_HUMAN_.pdf")</f>
        <v>Melting_Curves/meltCurve_sp_Q8WVC0_LEO1_HUMAN_.pdf</v>
      </c>
      <c r="AA2717" t="s">
        <v>16887</v>
      </c>
      <c r="AB2717" t="s">
        <v>21551</v>
      </c>
    </row>
    <row r="2718" spans="1:28" x14ac:dyDescent="0.25">
      <c r="A2718" t="s">
        <v>2722</v>
      </c>
      <c r="B2718">
        <v>0.99904790336628502</v>
      </c>
      <c r="C2718">
        <v>0.76998098527004899</v>
      </c>
      <c r="D2718">
        <v>0.867199862748261</v>
      </c>
      <c r="E2718">
        <v>0.89065406668265501</v>
      </c>
      <c r="F2718">
        <v>0.790091042816217</v>
      </c>
      <c r="G2718">
        <v>0.500866366786346</v>
      </c>
      <c r="H2718">
        <v>0.249074689604807</v>
      </c>
      <c r="I2718">
        <v>0.17198289640995301</v>
      </c>
      <c r="J2718">
        <v>0.16279341411874201</v>
      </c>
      <c r="K2718">
        <v>0.15841868602827699</v>
      </c>
      <c r="L2718">
        <v>876.59536005845098</v>
      </c>
      <c r="M2718">
        <v>15.6063019565781</v>
      </c>
      <c r="N2718">
        <v>56.839625591540603</v>
      </c>
      <c r="O2718">
        <v>55.271315032622901</v>
      </c>
      <c r="P2718">
        <v>-6.4662019068580406E-2</v>
      </c>
      <c r="Q2718">
        <v>8.4050599616210406E-2</v>
      </c>
      <c r="R2718">
        <v>0.93698407905179104</v>
      </c>
      <c r="S2718" t="s">
        <v>7458</v>
      </c>
      <c r="T2718" t="s">
        <v>9478</v>
      </c>
      <c r="U2718" t="s">
        <v>9478</v>
      </c>
      <c r="V2718" t="s">
        <v>9478</v>
      </c>
      <c r="W2718">
        <v>6</v>
      </c>
      <c r="X2718" t="s">
        <v>12196</v>
      </c>
      <c r="Y2718">
        <v>0.59317909521479173</v>
      </c>
      <c r="Z2718" t="str">
        <f>HYPERLINK("Melting_Curves/meltCurve_sp_Q8WVJ2_NUDC2_HUMAN_.pdf", "Melting_Curves/meltCurve_sp_Q8WVJ2_NUDC2_HUMAN_.pdf")</f>
        <v>Melting_Curves/meltCurve_sp_Q8WVJ2_NUDC2_HUMAN_.pdf</v>
      </c>
      <c r="AA2718" t="s">
        <v>16888</v>
      </c>
      <c r="AB2718" t="s">
        <v>21552</v>
      </c>
    </row>
    <row r="2719" spans="1:28" x14ac:dyDescent="0.25">
      <c r="A2719" t="s">
        <v>2723</v>
      </c>
      <c r="B2719">
        <v>0.99904790336628502</v>
      </c>
      <c r="C2719">
        <v>0.91468262212949702</v>
      </c>
      <c r="D2719">
        <v>0.89213697181675899</v>
      </c>
      <c r="E2719">
        <v>0.69883819604062303</v>
      </c>
      <c r="F2719">
        <v>0.33965565395335501</v>
      </c>
      <c r="G2719">
        <v>0.108468597442818</v>
      </c>
      <c r="H2719">
        <v>5.5005438351883103E-2</v>
      </c>
      <c r="I2719">
        <v>3.9909966710584097E-2</v>
      </c>
      <c r="J2719">
        <v>3.8180120409962999E-2</v>
      </c>
      <c r="K2719">
        <v>2.40709486939387E-2</v>
      </c>
      <c r="L2719">
        <v>1128.8998480063899</v>
      </c>
      <c r="M2719">
        <v>21.949563252784699</v>
      </c>
      <c r="N2719">
        <v>51.537796721520401</v>
      </c>
      <c r="O2719">
        <v>51.010354395688502</v>
      </c>
      <c r="P2719">
        <v>-0.10519663928046701</v>
      </c>
      <c r="Q2719">
        <v>2.21224719797837E-2</v>
      </c>
      <c r="R2719">
        <v>0.99414499986382299</v>
      </c>
      <c r="S2719" t="s">
        <v>7459</v>
      </c>
      <c r="T2719" t="s">
        <v>9478</v>
      </c>
      <c r="U2719" t="s">
        <v>9478</v>
      </c>
      <c r="V2719" t="s">
        <v>9478</v>
      </c>
      <c r="W2719">
        <v>19</v>
      </c>
      <c r="X2719" t="s">
        <v>12197</v>
      </c>
      <c r="Y2719">
        <v>0.40614253668424383</v>
      </c>
      <c r="Z2719" t="str">
        <f>HYPERLINK("Melting_Curves/meltCurve_sp_Q8WVM8_SCFD1_HUMAN_.pdf", "Melting_Curves/meltCurve_sp_Q8WVM8_SCFD1_HUMAN_.pdf")</f>
        <v>Melting_Curves/meltCurve_sp_Q8WVM8_SCFD1_HUMAN_.pdf</v>
      </c>
      <c r="AA2719" t="s">
        <v>16889</v>
      </c>
      <c r="AB2719" t="s">
        <v>21553</v>
      </c>
    </row>
    <row r="2720" spans="1:28" x14ac:dyDescent="0.25">
      <c r="A2720" t="s">
        <v>2724</v>
      </c>
      <c r="B2720">
        <v>0.99904790336628502</v>
      </c>
      <c r="C2720">
        <v>1.03889519115298</v>
      </c>
      <c r="D2720">
        <v>1.0024996914583499</v>
      </c>
      <c r="E2720">
        <v>0.64391430812767703</v>
      </c>
      <c r="F2720">
        <v>0.324435807279703</v>
      </c>
      <c r="G2720">
        <v>0.205918248672116</v>
      </c>
      <c r="H2720">
        <v>0.149657639818815</v>
      </c>
      <c r="I2720">
        <v>0.126262823162963</v>
      </c>
      <c r="J2720">
        <v>0.11930778572975501</v>
      </c>
      <c r="K2720">
        <v>0.121007946758596</v>
      </c>
      <c r="L2720">
        <v>1515.0715420235699</v>
      </c>
      <c r="M2720">
        <v>29.873624634097599</v>
      </c>
      <c r="N2720">
        <v>51.259854811078</v>
      </c>
      <c r="O2720">
        <v>50.4903699147726</v>
      </c>
      <c r="P2720">
        <v>-0.12782933699368401</v>
      </c>
      <c r="Q2720">
        <v>0.135811475016097</v>
      </c>
      <c r="R2720">
        <v>0.99593923420557595</v>
      </c>
      <c r="S2720" t="s">
        <v>7460</v>
      </c>
      <c r="T2720" t="s">
        <v>9478</v>
      </c>
      <c r="U2720" t="s">
        <v>9478</v>
      </c>
      <c r="V2720" t="s">
        <v>9478</v>
      </c>
      <c r="W2720">
        <v>10</v>
      </c>
      <c r="X2720" t="s">
        <v>12198</v>
      </c>
      <c r="Y2720">
        <v>0.44995465127972811</v>
      </c>
      <c r="Z2720" t="str">
        <f>HYPERLINK("Melting_Curves/meltCurve_sp_Q8WVT3_TPC12_HUMAN_.pdf", "Melting_Curves/meltCurve_sp_Q8WVT3_TPC12_HUMAN_.pdf")</f>
        <v>Melting_Curves/meltCurve_sp_Q8WVT3_TPC12_HUMAN_.pdf</v>
      </c>
      <c r="AA2720" t="s">
        <v>16890</v>
      </c>
      <c r="AB2720" t="s">
        <v>21554</v>
      </c>
    </row>
    <row r="2721" spans="1:28" x14ac:dyDescent="0.25">
      <c r="A2721" t="s">
        <v>2725</v>
      </c>
      <c r="B2721">
        <v>0.99904790336628502</v>
      </c>
      <c r="C2721">
        <v>1.0258866854765101</v>
      </c>
      <c r="D2721">
        <v>0.93202567178109796</v>
      </c>
      <c r="E2721">
        <v>0.51917240119267105</v>
      </c>
      <c r="F2721">
        <v>0.16937925569591999</v>
      </c>
      <c r="G2721">
        <v>0.105373735137052</v>
      </c>
      <c r="H2721">
        <v>5.0147371984149799E-2</v>
      </c>
      <c r="I2721">
        <v>3.9466371048468597E-2</v>
      </c>
      <c r="J2721">
        <v>2.38901417435993E-2</v>
      </c>
      <c r="K2721">
        <v>2.4234513330524E-2</v>
      </c>
      <c r="L2721">
        <v>1523.63304033948</v>
      </c>
      <c r="M2721">
        <v>30.492114971547</v>
      </c>
      <c r="N2721">
        <v>50.1082387248372</v>
      </c>
      <c r="O2721">
        <v>49.754658415185197</v>
      </c>
      <c r="P2721">
        <v>-0.146951251781792</v>
      </c>
      <c r="Q2721">
        <v>4.0871423975333603E-2</v>
      </c>
      <c r="R2721">
        <v>0.99784831349347503</v>
      </c>
      <c r="S2721" t="s">
        <v>7461</v>
      </c>
      <c r="T2721" t="s">
        <v>9478</v>
      </c>
      <c r="U2721" t="s">
        <v>9478</v>
      </c>
      <c r="V2721" t="s">
        <v>9478</v>
      </c>
      <c r="W2721">
        <v>5</v>
      </c>
      <c r="X2721" t="s">
        <v>12199</v>
      </c>
      <c r="Y2721">
        <v>0.36529824335259992</v>
      </c>
      <c r="Z2721" t="str">
        <f>HYPERLINK("Melting_Curves/meltCurve_sp_Q8WVY7_UBCP1_HUMAN_.pdf", "Melting_Curves/meltCurve_sp_Q8WVY7_UBCP1_HUMAN_.pdf")</f>
        <v>Melting_Curves/meltCurve_sp_Q8WVY7_UBCP1_HUMAN_.pdf</v>
      </c>
      <c r="AA2721" t="s">
        <v>16891</v>
      </c>
      <c r="AB2721" t="s">
        <v>21555</v>
      </c>
    </row>
    <row r="2722" spans="1:28" x14ac:dyDescent="0.25">
      <c r="A2722" t="s">
        <v>2726</v>
      </c>
      <c r="B2722">
        <v>0.99904790336628502</v>
      </c>
      <c r="C2722">
        <v>1.06356330835054</v>
      </c>
      <c r="D2722">
        <v>0.95099808739319303</v>
      </c>
      <c r="E2722">
        <v>0.60334621859291304</v>
      </c>
      <c r="F2722">
        <v>0.37621647782301099</v>
      </c>
      <c r="G2722">
        <v>0.16361220653585001</v>
      </c>
      <c r="H2722">
        <v>7.9379746605203402E-2</v>
      </c>
      <c r="I2722">
        <v>3.7595375523001497E-2</v>
      </c>
      <c r="J2722">
        <v>3.8346832136890399E-2</v>
      </c>
      <c r="K2722">
        <v>5.8649868394385102E-2</v>
      </c>
      <c r="L2722">
        <v>1089.26303527594</v>
      </c>
      <c r="M2722">
        <v>21.271506259981699</v>
      </c>
      <c r="N2722">
        <v>51.435981031637297</v>
      </c>
      <c r="O2722">
        <v>50.7614762669604</v>
      </c>
      <c r="P2722">
        <v>-0.100044084338951</v>
      </c>
      <c r="Q2722">
        <v>4.5059334068843E-2</v>
      </c>
      <c r="R2722">
        <v>0.993939458840148</v>
      </c>
      <c r="S2722" t="s">
        <v>7462</v>
      </c>
      <c r="T2722" t="s">
        <v>9478</v>
      </c>
      <c r="U2722" t="s">
        <v>9478</v>
      </c>
      <c r="V2722" t="s">
        <v>9478</v>
      </c>
      <c r="W2722">
        <v>1</v>
      </c>
      <c r="X2722" t="s">
        <v>12200</v>
      </c>
      <c r="Y2722">
        <v>0.41361702664704258</v>
      </c>
      <c r="Z2722" t="str">
        <f>HYPERLINK("Melting_Curves/meltCurve_sp_Q8WVZ9_KBTB7_HUMAN_.pdf", "Melting_Curves/meltCurve_sp_Q8WVZ9_KBTB7_HUMAN_.pdf")</f>
        <v>Melting_Curves/meltCurve_sp_Q8WVZ9_KBTB7_HUMAN_.pdf</v>
      </c>
      <c r="AA2722" t="s">
        <v>16892</v>
      </c>
      <c r="AB2722" t="s">
        <v>21556</v>
      </c>
    </row>
    <row r="2723" spans="1:28" x14ac:dyDescent="0.25">
      <c r="A2723" t="s">
        <v>2727</v>
      </c>
      <c r="B2723">
        <v>0.99904790336628502</v>
      </c>
      <c r="C2723">
        <v>1.0155899944045701</v>
      </c>
      <c r="D2723">
        <v>0.99483902835872595</v>
      </c>
      <c r="E2723">
        <v>1.0583339692259699</v>
      </c>
      <c r="F2723">
        <v>1.1492085766906299</v>
      </c>
      <c r="G2723">
        <v>1.0165716062102399</v>
      </c>
      <c r="H2723">
        <v>0.936275916700956</v>
      </c>
      <c r="I2723">
        <v>0.91700568610914002</v>
      </c>
      <c r="J2723">
        <v>1.0205687678562401</v>
      </c>
      <c r="K2723">
        <v>1.2001721402430601</v>
      </c>
      <c r="L2723">
        <v>11952.916464570701</v>
      </c>
      <c r="M2723">
        <v>250</v>
      </c>
      <c r="O2723">
        <v>47.808606728696702</v>
      </c>
      <c r="P2723">
        <v>5.5679019061896103E-2</v>
      </c>
      <c r="Q2723">
        <v>1.0425909807107201</v>
      </c>
      <c r="R2723">
        <v>4.7445264973034001E-2</v>
      </c>
      <c r="S2723" t="s">
        <v>7463</v>
      </c>
      <c r="T2723" t="s">
        <v>9478</v>
      </c>
      <c r="U2723" t="s">
        <v>9478</v>
      </c>
      <c r="V2723" t="s">
        <v>9478</v>
      </c>
      <c r="W2723">
        <v>4</v>
      </c>
      <c r="X2723" t="s">
        <v>12201</v>
      </c>
      <c r="Y2723">
        <v>1.031497189959351</v>
      </c>
      <c r="Z2723" t="str">
        <f>HYPERLINK("Melting_Curves/meltCurve_sp_Q8WW12_PCNP_HUMAN_.pdf", "Melting_Curves/meltCurve_sp_Q8WW12_PCNP_HUMAN_.pdf")</f>
        <v>Melting_Curves/meltCurve_sp_Q8WW12_PCNP_HUMAN_.pdf</v>
      </c>
      <c r="AA2723" t="s">
        <v>16893</v>
      </c>
      <c r="AB2723" t="s">
        <v>21557</v>
      </c>
    </row>
    <row r="2724" spans="1:28" x14ac:dyDescent="0.25">
      <c r="A2724" t="s">
        <v>2728</v>
      </c>
      <c r="B2724">
        <v>0.99904790336628502</v>
      </c>
      <c r="C2724">
        <v>0.84799520364571601</v>
      </c>
      <c r="D2724">
        <v>0.83435198392019005</v>
      </c>
      <c r="E2724">
        <v>0.77749966080324495</v>
      </c>
      <c r="F2724">
        <v>0.41097236372685497</v>
      </c>
      <c r="G2724">
        <v>0.127697123500879</v>
      </c>
      <c r="H2724">
        <v>0.10719799158401901</v>
      </c>
      <c r="I2724">
        <v>5.23017699677749E-2</v>
      </c>
      <c r="J2724">
        <v>4.4436971819862899E-2</v>
      </c>
      <c r="K2724">
        <v>3.9598989229497103E-2</v>
      </c>
      <c r="L2724">
        <v>941.70473651058398</v>
      </c>
      <c r="M2724">
        <v>18.095367073016199</v>
      </c>
      <c r="N2724">
        <v>52.1568671386988</v>
      </c>
      <c r="O2724">
        <v>51.418130194065697</v>
      </c>
      <c r="P2724">
        <v>-8.6255132955551303E-2</v>
      </c>
      <c r="Q2724">
        <v>1.9668891572584501E-2</v>
      </c>
      <c r="R2724">
        <v>0.97344541862788603</v>
      </c>
      <c r="S2724" t="s">
        <v>7464</v>
      </c>
      <c r="T2724" t="s">
        <v>9478</v>
      </c>
      <c r="U2724" t="s">
        <v>9478</v>
      </c>
      <c r="V2724" t="s">
        <v>9478</v>
      </c>
      <c r="W2724">
        <v>15</v>
      </c>
      <c r="X2724" t="s">
        <v>12202</v>
      </c>
      <c r="Y2724">
        <v>0.429305980273882</v>
      </c>
      <c r="Z2724" t="str">
        <f>HYPERLINK("Melting_Curves/meltCurve_sp_Q8WW59_SPRY4_HUMAN_.pdf", "Melting_Curves/meltCurve_sp_Q8WW59_SPRY4_HUMAN_.pdf")</f>
        <v>Melting_Curves/meltCurve_sp_Q8WW59_SPRY4_HUMAN_.pdf</v>
      </c>
      <c r="AA2724" t="s">
        <v>16894</v>
      </c>
      <c r="AB2724" t="s">
        <v>21558</v>
      </c>
    </row>
    <row r="2725" spans="1:28" x14ac:dyDescent="0.25">
      <c r="A2725" t="s">
        <v>2729</v>
      </c>
      <c r="B2725">
        <v>0.99904790336628502</v>
      </c>
      <c r="C2725">
        <v>0.89572146965841204</v>
      </c>
      <c r="D2725">
        <v>0.78583733001700695</v>
      </c>
      <c r="E2725">
        <v>0.66916161414105702</v>
      </c>
      <c r="F2725">
        <v>0.36952461368870199</v>
      </c>
      <c r="G2725">
        <v>0.186309921934563</v>
      </c>
      <c r="H2725">
        <v>0.119932805728618</v>
      </c>
      <c r="I2725">
        <v>0.104050663535752</v>
      </c>
      <c r="J2725">
        <v>0.11751126461238701</v>
      </c>
      <c r="K2725">
        <v>0.111860265586034</v>
      </c>
      <c r="L2725">
        <v>752.367584157799</v>
      </c>
      <c r="M2725">
        <v>14.829446572933399</v>
      </c>
      <c r="N2725">
        <v>51.261064692962499</v>
      </c>
      <c r="O2725">
        <v>49.838921305152901</v>
      </c>
      <c r="P2725">
        <v>-6.9140775191746301E-2</v>
      </c>
      <c r="Q2725">
        <v>7.0622739816164307E-2</v>
      </c>
      <c r="R2725">
        <v>0.98717965742116998</v>
      </c>
      <c r="S2725" t="s">
        <v>7465</v>
      </c>
      <c r="T2725" t="s">
        <v>9478</v>
      </c>
      <c r="U2725" t="s">
        <v>9478</v>
      </c>
      <c r="V2725" t="s">
        <v>9478</v>
      </c>
      <c r="W2725">
        <v>3</v>
      </c>
      <c r="X2725" t="s">
        <v>12203</v>
      </c>
      <c r="Y2725">
        <v>0.42524892824916849</v>
      </c>
      <c r="Z2725" t="str">
        <f>HYPERLINK("Melting_Curves/meltCurve_sp_Q8WWH5_TRUB1_HUMAN_.pdf", "Melting_Curves/meltCurve_sp_Q8WWH5_TRUB1_HUMAN_.pdf")</f>
        <v>Melting_Curves/meltCurve_sp_Q8WWH5_TRUB1_HUMAN_.pdf</v>
      </c>
      <c r="AA2725" t="s">
        <v>16895</v>
      </c>
      <c r="AB2725" t="s">
        <v>21559</v>
      </c>
    </row>
    <row r="2726" spans="1:28" x14ac:dyDescent="0.25">
      <c r="A2726" t="s">
        <v>2730</v>
      </c>
      <c r="B2726">
        <v>0.99904790336628502</v>
      </c>
      <c r="C2726">
        <v>1.0650531660690501</v>
      </c>
      <c r="D2726">
        <v>1.0286257096095499</v>
      </c>
      <c r="E2726">
        <v>0.953656697242378</v>
      </c>
      <c r="F2726">
        <v>0.85996374090483796</v>
      </c>
      <c r="G2726">
        <v>0.58046732878808105</v>
      </c>
      <c r="H2726">
        <v>0.456310433218865</v>
      </c>
      <c r="I2726">
        <v>0.40049358764745602</v>
      </c>
      <c r="J2726">
        <v>0.45099829681217402</v>
      </c>
      <c r="K2726">
        <v>0.456074568350126</v>
      </c>
      <c r="L2726">
        <v>1640.43561172147</v>
      </c>
      <c r="M2726">
        <v>29.860294356429499</v>
      </c>
      <c r="N2726">
        <v>58.872707922961702</v>
      </c>
      <c r="O2726">
        <v>54.692393132172697</v>
      </c>
      <c r="P2726">
        <v>-7.75178372271806E-2</v>
      </c>
      <c r="Q2726">
        <v>0.432074199566644</v>
      </c>
      <c r="R2726">
        <v>0.98868124754248798</v>
      </c>
      <c r="S2726" t="s">
        <v>7466</v>
      </c>
      <c r="T2726" t="s">
        <v>9478</v>
      </c>
      <c r="U2726" t="s">
        <v>9478</v>
      </c>
      <c r="V2726" t="s">
        <v>9478</v>
      </c>
      <c r="W2726">
        <v>22</v>
      </c>
      <c r="X2726" t="s">
        <v>12204</v>
      </c>
      <c r="Y2726">
        <v>0.71864354751730342</v>
      </c>
      <c r="Z2726" t="str">
        <f>HYPERLINK("Melting_Curves/meltCurve_sp_Q8WWM7_ATX2L_HUMAN_.pdf", "Melting_Curves/meltCurve_sp_Q8WWM7_ATX2L_HUMAN_.pdf")</f>
        <v>Melting_Curves/meltCurve_sp_Q8WWM7_ATX2L_HUMAN_.pdf</v>
      </c>
      <c r="AA2726" t="s">
        <v>16896</v>
      </c>
      <c r="AB2726" t="s">
        <v>21560</v>
      </c>
    </row>
    <row r="2727" spans="1:28" x14ac:dyDescent="0.25">
      <c r="A2727" t="s">
        <v>2731</v>
      </c>
      <c r="B2727">
        <v>0.99904790336628502</v>
      </c>
      <c r="C2727">
        <v>0.94940226396681704</v>
      </c>
      <c r="D2727">
        <v>1.06084218894634</v>
      </c>
      <c r="E2727">
        <v>0.89509999540426299</v>
      </c>
      <c r="F2727">
        <v>0.87669511433658098</v>
      </c>
      <c r="G2727">
        <v>0.60674940233274</v>
      </c>
      <c r="H2727">
        <v>0.51108148675200205</v>
      </c>
      <c r="I2727">
        <v>0.48669764740597699</v>
      </c>
      <c r="J2727">
        <v>0.46815092485906601</v>
      </c>
      <c r="K2727">
        <v>0.41347490969545703</v>
      </c>
      <c r="L2727">
        <v>1175.6141369709301</v>
      </c>
      <c r="M2727">
        <v>21.266141893979</v>
      </c>
      <c r="N2727">
        <v>61.290836626739299</v>
      </c>
      <c r="O2727">
        <v>54.799179548646499</v>
      </c>
      <c r="P2727">
        <v>-5.4539322993060302E-2</v>
      </c>
      <c r="Q2727">
        <v>0.43786074312526102</v>
      </c>
      <c r="R2727">
        <v>0.97646602329912302</v>
      </c>
      <c r="S2727" t="s">
        <v>7467</v>
      </c>
      <c r="T2727" t="s">
        <v>9478</v>
      </c>
      <c r="U2727" t="s">
        <v>9478</v>
      </c>
      <c r="V2727" t="s">
        <v>9478</v>
      </c>
      <c r="W2727">
        <v>1</v>
      </c>
      <c r="X2727" t="s">
        <v>12205</v>
      </c>
      <c r="Y2727">
        <v>0.73096807458306878</v>
      </c>
      <c r="Z2727" t="str">
        <f>HYPERLINK("Melting_Curves/meltCurve_sp_Q8WWQ0_PHIP_HUMAN_.pdf", "Melting_Curves/meltCurve_sp_Q8WWQ0_PHIP_HUMAN_.pdf")</f>
        <v>Melting_Curves/meltCurve_sp_Q8WWQ0_PHIP_HUMAN_.pdf</v>
      </c>
      <c r="AA2727" t="s">
        <v>16897</v>
      </c>
      <c r="AB2727" t="s">
        <v>21561</v>
      </c>
    </row>
    <row r="2728" spans="1:28" x14ac:dyDescent="0.25">
      <c r="A2728" t="s">
        <v>2732</v>
      </c>
      <c r="B2728">
        <v>0.99904790336628502</v>
      </c>
      <c r="C2728">
        <v>0.73660450369937103</v>
      </c>
      <c r="D2728">
        <v>0.44277555192180101</v>
      </c>
      <c r="E2728">
        <v>0.18081205051281399</v>
      </c>
      <c r="F2728">
        <v>9.8815535834536297E-2</v>
      </c>
      <c r="G2728">
        <v>5.76448287887023E-2</v>
      </c>
      <c r="H2728">
        <v>4.0961990387494797E-2</v>
      </c>
      <c r="I2728">
        <v>2.9529459604429299E-2</v>
      </c>
      <c r="J2728">
        <v>2.57513111220883E-2</v>
      </c>
      <c r="K2728">
        <v>2.7565264191018901E-2</v>
      </c>
      <c r="L2728">
        <v>898.13786259911706</v>
      </c>
      <c r="M2728">
        <v>19.810950188583998</v>
      </c>
      <c r="N2728">
        <v>45.499504205113801</v>
      </c>
      <c r="O2728">
        <v>44.881075936616902</v>
      </c>
      <c r="P2728">
        <v>-0.10655167632297299</v>
      </c>
      <c r="Q2728">
        <v>3.4474932202774103E-2</v>
      </c>
      <c r="R2728">
        <v>0.99505206110019795</v>
      </c>
      <c r="S2728" t="s">
        <v>7468</v>
      </c>
      <c r="T2728" t="s">
        <v>9478</v>
      </c>
      <c r="U2728" t="s">
        <v>9478</v>
      </c>
      <c r="V2728" t="s">
        <v>9478</v>
      </c>
      <c r="W2728">
        <v>6</v>
      </c>
      <c r="X2728" t="s">
        <v>12206</v>
      </c>
      <c r="Y2728">
        <v>0.22232178681528919</v>
      </c>
      <c r="Z2728" t="str">
        <f>HYPERLINK("Melting_Curves/meltCurve_sp_Q8WWV3_RT4I1_HUMAN_.pdf", "Melting_Curves/meltCurve_sp_Q8WWV3_RT4I1_HUMAN_.pdf")</f>
        <v>Melting_Curves/meltCurve_sp_Q8WWV3_RT4I1_HUMAN_.pdf</v>
      </c>
      <c r="AA2728" t="s">
        <v>16898</v>
      </c>
      <c r="AB2728" t="s">
        <v>21562</v>
      </c>
    </row>
    <row r="2729" spans="1:28" x14ac:dyDescent="0.25">
      <c r="A2729" t="s">
        <v>2733</v>
      </c>
      <c r="B2729">
        <v>0.99904790336628502</v>
      </c>
      <c r="C2729">
        <v>0.97998666047286898</v>
      </c>
      <c r="D2729">
        <v>0.75193039018389796</v>
      </c>
      <c r="E2729">
        <v>0.68515511046322297</v>
      </c>
      <c r="F2729">
        <v>0.63636961315102303</v>
      </c>
      <c r="G2729">
        <v>0.43660286819233501</v>
      </c>
      <c r="H2729">
        <v>0.35921666745845798</v>
      </c>
      <c r="I2729">
        <v>0.25609911503567201</v>
      </c>
      <c r="J2729">
        <v>0.24200556038615301</v>
      </c>
      <c r="K2729">
        <v>0.228802866804068</v>
      </c>
      <c r="L2729">
        <v>480.15636445361201</v>
      </c>
      <c r="M2729">
        <v>8.9367675370877304</v>
      </c>
      <c r="N2729">
        <v>55.378193733251102</v>
      </c>
      <c r="O2729">
        <v>51.2423200774113</v>
      </c>
      <c r="P2729">
        <v>-3.85330064045541E-2</v>
      </c>
      <c r="Q2729">
        <v>0.11688511350580499</v>
      </c>
      <c r="R2729">
        <v>0.97778411512867103</v>
      </c>
      <c r="S2729" t="s">
        <v>7469</v>
      </c>
      <c r="T2729" t="s">
        <v>9478</v>
      </c>
      <c r="U2729" t="s">
        <v>9478</v>
      </c>
      <c r="V2729" t="s">
        <v>9478</v>
      </c>
      <c r="W2729">
        <v>1</v>
      </c>
      <c r="X2729" t="s">
        <v>12207</v>
      </c>
      <c r="Y2729">
        <v>0.55085433589784238</v>
      </c>
      <c r="Z2729" t="str">
        <f>HYPERLINK("Melting_Curves/meltCurve_sp_Q8WWX9_SELM_HUMAN_.pdf", "Melting_Curves/meltCurve_sp_Q8WWX9_SELM_HUMAN_.pdf")</f>
        <v>Melting_Curves/meltCurve_sp_Q8WWX9_SELM_HUMAN_.pdf</v>
      </c>
      <c r="AA2729" t="s">
        <v>16899</v>
      </c>
      <c r="AB2729" t="s">
        <v>21563</v>
      </c>
    </row>
    <row r="2730" spans="1:28" x14ac:dyDescent="0.25">
      <c r="A2730" t="s">
        <v>2734</v>
      </c>
      <c r="B2730">
        <v>0.99904790336628502</v>
      </c>
      <c r="C2730">
        <v>1.18479051036445</v>
      </c>
      <c r="D2730">
        <v>1.0831726456837101</v>
      </c>
      <c r="E2730">
        <v>0.761841173308479</v>
      </c>
      <c r="F2730">
        <v>0.52661844716686201</v>
      </c>
      <c r="G2730">
        <v>0.299942791410714</v>
      </c>
      <c r="H2730">
        <v>0.16107731349943399</v>
      </c>
      <c r="I2730">
        <v>0.13486638686604799</v>
      </c>
      <c r="J2730">
        <v>0.12707309940643699</v>
      </c>
      <c r="K2730">
        <v>0.12597246912431101</v>
      </c>
      <c r="L2730">
        <v>1223.3747078889601</v>
      </c>
      <c r="M2730">
        <v>23.2224180577795</v>
      </c>
      <c r="N2730">
        <v>53.3701621240251</v>
      </c>
      <c r="O2730">
        <v>52.294781924184001</v>
      </c>
      <c r="P2730">
        <v>-9.6632716154672296E-2</v>
      </c>
      <c r="Q2730">
        <v>0.12958326035956899</v>
      </c>
      <c r="R2730">
        <v>0.96883475854379597</v>
      </c>
      <c r="S2730" t="s">
        <v>7470</v>
      </c>
      <c r="T2730" t="s">
        <v>9478</v>
      </c>
      <c r="U2730" t="s">
        <v>9478</v>
      </c>
      <c r="V2730" t="s">
        <v>9478</v>
      </c>
      <c r="W2730">
        <v>4</v>
      </c>
      <c r="X2730" t="s">
        <v>12208</v>
      </c>
      <c r="Y2730">
        <v>0.50668002884891516</v>
      </c>
      <c r="Z2730" t="str">
        <f>HYPERLINK("Melting_Curves/meltCurve_sp_Q8WWY3_PRP31_HUMAN_.pdf", "Melting_Curves/meltCurve_sp_Q8WWY3_PRP31_HUMAN_.pdf")</f>
        <v>Melting_Curves/meltCurve_sp_Q8WWY3_PRP31_HUMAN_.pdf</v>
      </c>
      <c r="AA2730" t="s">
        <v>16900</v>
      </c>
      <c r="AB2730" t="s">
        <v>21564</v>
      </c>
    </row>
    <row r="2731" spans="1:28" x14ac:dyDescent="0.25">
      <c r="A2731" t="s">
        <v>2735</v>
      </c>
      <c r="B2731">
        <v>0.99904790336628502</v>
      </c>
      <c r="C2731">
        <v>0.98163292443111505</v>
      </c>
      <c r="D2731">
        <v>0.90113454893316103</v>
      </c>
      <c r="E2731">
        <v>0.76939500722579302</v>
      </c>
      <c r="F2731">
        <v>0.575564401728625</v>
      </c>
      <c r="G2731">
        <v>0.174549162745259</v>
      </c>
      <c r="H2731">
        <v>8.8781864372304897E-2</v>
      </c>
      <c r="I2731">
        <v>4.6592541415418597E-2</v>
      </c>
      <c r="J2731">
        <v>3.3637102773575199E-2</v>
      </c>
      <c r="K2731">
        <v>3.6358386298418498E-2</v>
      </c>
      <c r="L2731">
        <v>1047.4313314584101</v>
      </c>
      <c r="M2731">
        <v>19.6848432704071</v>
      </c>
      <c r="N2731">
        <v>53.280783939613201</v>
      </c>
      <c r="O2731">
        <v>52.670033751194097</v>
      </c>
      <c r="P2731">
        <v>-9.2232757599709295E-2</v>
      </c>
      <c r="Q2731">
        <v>1.2898603693074299E-2</v>
      </c>
      <c r="R2731">
        <v>0.99479088523202797</v>
      </c>
      <c r="S2731" t="s">
        <v>7471</v>
      </c>
      <c r="T2731" t="s">
        <v>9478</v>
      </c>
      <c r="U2731" t="s">
        <v>9478</v>
      </c>
      <c r="V2731" t="s">
        <v>9478</v>
      </c>
      <c r="W2731">
        <v>7</v>
      </c>
      <c r="X2731" t="s">
        <v>12209</v>
      </c>
      <c r="Y2731">
        <v>0.46147026650984452</v>
      </c>
      <c r="Z2731" t="str">
        <f>HYPERLINK("Melting_Curves/meltCurve_sp_Q8WX92_NELFB_HUMAN_.pdf", "Melting_Curves/meltCurve_sp_Q8WX92_NELFB_HUMAN_.pdf")</f>
        <v>Melting_Curves/meltCurve_sp_Q8WX92_NELFB_HUMAN_.pdf</v>
      </c>
      <c r="AA2731" t="s">
        <v>16901</v>
      </c>
      <c r="AB2731" t="s">
        <v>21565</v>
      </c>
    </row>
    <row r="2732" spans="1:28" x14ac:dyDescent="0.25">
      <c r="A2732" t="s">
        <v>2736</v>
      </c>
      <c r="B2732">
        <v>0.99904790336628502</v>
      </c>
      <c r="C2732">
        <v>0.95722303921870799</v>
      </c>
      <c r="D2732">
        <v>0.93684637099262502</v>
      </c>
      <c r="E2732">
        <v>0.78637210464014895</v>
      </c>
      <c r="F2732">
        <v>0.537299614903054</v>
      </c>
      <c r="G2732">
        <v>0.35855184893748698</v>
      </c>
      <c r="H2732">
        <v>0.245762213662922</v>
      </c>
      <c r="I2732">
        <v>0.40309261574048599</v>
      </c>
      <c r="J2732">
        <v>0.26217725604295999</v>
      </c>
      <c r="K2732">
        <v>0.25978478103004199</v>
      </c>
      <c r="L2732">
        <v>1166.5019391876499</v>
      </c>
      <c r="M2732">
        <v>22.577695262331599</v>
      </c>
      <c r="N2732">
        <v>53.651974642317498</v>
      </c>
      <c r="O2732">
        <v>51.265923761461302</v>
      </c>
      <c r="P2732">
        <v>-7.8920713216118002E-2</v>
      </c>
      <c r="Q2732">
        <v>0.28321085282783798</v>
      </c>
      <c r="R2732">
        <v>0.97843280482355999</v>
      </c>
      <c r="S2732" t="s">
        <v>7472</v>
      </c>
      <c r="T2732" t="s">
        <v>9478</v>
      </c>
      <c r="U2732" t="s">
        <v>9478</v>
      </c>
      <c r="V2732" t="s">
        <v>9478</v>
      </c>
      <c r="W2732">
        <v>5</v>
      </c>
      <c r="X2732" t="s">
        <v>12210</v>
      </c>
      <c r="Y2732">
        <v>0.56987815703813671</v>
      </c>
      <c r="Z2732" t="str">
        <f>HYPERLINK("Melting_Curves/meltCurve_sp_Q8WX93_4_PALLD_HUMAN_.pdf", "Melting_Curves/meltCurve_sp_Q8WX93_4_PALLD_HUMAN_.pdf")</f>
        <v>Melting_Curves/meltCurve_sp_Q8WX93_4_PALLD_HUMAN_.pdf</v>
      </c>
      <c r="AA2732" t="s">
        <v>16902</v>
      </c>
      <c r="AB2732" t="s">
        <v>21566</v>
      </c>
    </row>
    <row r="2733" spans="1:28" x14ac:dyDescent="0.25">
      <c r="A2733" t="s">
        <v>2737</v>
      </c>
      <c r="B2733">
        <v>0.99904790336628502</v>
      </c>
      <c r="C2733">
        <v>0.95615295345475204</v>
      </c>
      <c r="D2733">
        <v>0.960624292157642</v>
      </c>
      <c r="E2733">
        <v>0.91087212342063795</v>
      </c>
      <c r="F2733">
        <v>0.78842364905982498</v>
      </c>
      <c r="G2733">
        <v>0.39107225321250599</v>
      </c>
      <c r="H2733">
        <v>0.25331751706873501</v>
      </c>
      <c r="I2733">
        <v>0.187321025214955</v>
      </c>
      <c r="J2733">
        <v>0.18193282367751701</v>
      </c>
      <c r="K2733">
        <v>0.16296480034861599</v>
      </c>
      <c r="L2733">
        <v>1353.4226834583301</v>
      </c>
      <c r="M2733">
        <v>24.614410133278302</v>
      </c>
      <c r="N2733">
        <v>55.906422153433297</v>
      </c>
      <c r="O2733">
        <v>54.6258903082839</v>
      </c>
      <c r="P2733">
        <v>-9.3867652972338997E-2</v>
      </c>
      <c r="Q2733">
        <v>0.166743078620152</v>
      </c>
      <c r="R2733">
        <v>0.995940167686026</v>
      </c>
      <c r="S2733" t="s">
        <v>7473</v>
      </c>
      <c r="T2733" t="s">
        <v>9478</v>
      </c>
      <c r="U2733" t="s">
        <v>9478</v>
      </c>
      <c r="V2733" t="s">
        <v>9478</v>
      </c>
      <c r="W2733">
        <v>4</v>
      </c>
      <c r="X2733" t="s">
        <v>12211</v>
      </c>
      <c r="Y2733">
        <v>0.59087561509817688</v>
      </c>
      <c r="Z2733" t="str">
        <f>HYPERLINK("Melting_Curves/meltCurve_sp_Q8WXA9_2_SREK1_HUMAN_.pdf", "Melting_Curves/meltCurve_sp_Q8WXA9_2_SREK1_HUMAN_.pdf")</f>
        <v>Melting_Curves/meltCurve_sp_Q8WXA9_2_SREK1_HUMAN_.pdf</v>
      </c>
      <c r="AA2733" t="s">
        <v>16903</v>
      </c>
      <c r="AB2733" t="s">
        <v>21567</v>
      </c>
    </row>
    <row r="2734" spans="1:28" x14ac:dyDescent="0.25">
      <c r="A2734" t="s">
        <v>2738</v>
      </c>
      <c r="B2734">
        <v>0.99904790336628502</v>
      </c>
      <c r="C2734">
        <v>1.1718682612648801</v>
      </c>
      <c r="D2734">
        <v>1.20097129796534</v>
      </c>
      <c r="E2734">
        <v>1.1094231622630799</v>
      </c>
      <c r="F2734">
        <v>1.2209415228764899</v>
      </c>
      <c r="G2734">
        <v>0.79711871227349496</v>
      </c>
      <c r="H2734">
        <v>0.565415051118206</v>
      </c>
      <c r="I2734">
        <v>0.37178603241087199</v>
      </c>
      <c r="J2734">
        <v>0.344340577781862</v>
      </c>
      <c r="K2734">
        <v>0.28358030003099799</v>
      </c>
      <c r="L2734">
        <v>1845.1952862860201</v>
      </c>
      <c r="M2734">
        <v>30.915942754892601</v>
      </c>
      <c r="N2734">
        <v>61.514179368112899</v>
      </c>
      <c r="O2734">
        <v>59.436215717887698</v>
      </c>
      <c r="P2734">
        <v>-9.0939128898062202E-2</v>
      </c>
      <c r="Q2734">
        <v>0.30067844746371297</v>
      </c>
      <c r="R2734">
        <v>0.891031774052926</v>
      </c>
      <c r="S2734" t="s">
        <v>7474</v>
      </c>
      <c r="T2734" t="s">
        <v>9478</v>
      </c>
      <c r="U2734" t="s">
        <v>9478</v>
      </c>
      <c r="V2734" t="s">
        <v>9478</v>
      </c>
      <c r="W2734">
        <v>1</v>
      </c>
      <c r="X2734" t="s">
        <v>12212</v>
      </c>
      <c r="Y2734">
        <v>0.76369054672913306</v>
      </c>
      <c r="Z2734" t="str">
        <f>HYPERLINK("Melting_Curves/meltCurve_sp_Q8WXD5_GEMI6_HUMAN_.pdf", "Melting_Curves/meltCurve_sp_Q8WXD5_GEMI6_HUMAN_.pdf")</f>
        <v>Melting_Curves/meltCurve_sp_Q8WXD5_GEMI6_HUMAN_.pdf</v>
      </c>
      <c r="AA2734" t="s">
        <v>16904</v>
      </c>
      <c r="AB2734" t="s">
        <v>21568</v>
      </c>
    </row>
    <row r="2735" spans="1:28" x14ac:dyDescent="0.25">
      <c r="A2735" t="s">
        <v>2739</v>
      </c>
      <c r="B2735">
        <v>0.99904790336628502</v>
      </c>
      <c r="C2735">
        <v>1.03569110763628</v>
      </c>
      <c r="D2735">
        <v>0.99165035038766403</v>
      </c>
      <c r="E2735">
        <v>0.94974112018303702</v>
      </c>
      <c r="F2735">
        <v>0.95416049262136904</v>
      </c>
      <c r="G2735">
        <v>0.80065663478792903</v>
      </c>
      <c r="H2735">
        <v>0.703063375185633</v>
      </c>
      <c r="I2735">
        <v>0.67233488696617605</v>
      </c>
      <c r="J2735">
        <v>0.73893325495802398</v>
      </c>
      <c r="K2735">
        <v>0.82772790259719398</v>
      </c>
      <c r="L2735">
        <v>2099.1600333164001</v>
      </c>
      <c r="M2735">
        <v>38.141096452352102</v>
      </c>
      <c r="O2735">
        <v>54.886058303530902</v>
      </c>
      <c r="P2735">
        <v>-4.5937593470047097E-2</v>
      </c>
      <c r="Q2735">
        <v>0.735578957982846</v>
      </c>
      <c r="R2735">
        <v>0.89211426957870799</v>
      </c>
      <c r="S2735" t="s">
        <v>7475</v>
      </c>
      <c r="T2735" t="s">
        <v>9478</v>
      </c>
      <c r="U2735" t="s">
        <v>9478</v>
      </c>
      <c r="V2735" t="s">
        <v>9478</v>
      </c>
      <c r="W2735">
        <v>3</v>
      </c>
      <c r="X2735" t="s">
        <v>12213</v>
      </c>
      <c r="Y2735">
        <v>0.86921426894810028</v>
      </c>
      <c r="Z2735" t="str">
        <f>HYPERLINK("Melting_Curves/meltCurve_sp_Q8WXE0_CSKI2_HUMAN_.pdf", "Melting_Curves/meltCurve_sp_Q8WXE0_CSKI2_HUMAN_.pdf")</f>
        <v>Melting_Curves/meltCurve_sp_Q8WXE0_CSKI2_HUMAN_.pdf</v>
      </c>
      <c r="AA2735" t="s">
        <v>16905</v>
      </c>
      <c r="AB2735" t="s">
        <v>21569</v>
      </c>
    </row>
    <row r="2736" spans="1:28" x14ac:dyDescent="0.25">
      <c r="A2736" t="s">
        <v>2740</v>
      </c>
      <c r="B2736">
        <v>0.99904790336628502</v>
      </c>
      <c r="C2736">
        <v>1.01048678836384</v>
      </c>
      <c r="D2736">
        <v>0.96859228653849805</v>
      </c>
      <c r="E2736">
        <v>0.53005599939291603</v>
      </c>
      <c r="F2736">
        <v>0.33082904334841001</v>
      </c>
      <c r="G2736">
        <v>0.13213764915281501</v>
      </c>
      <c r="H2736">
        <v>7.4026139489638501E-2</v>
      </c>
      <c r="I2736">
        <v>6.3751859087435706E-2</v>
      </c>
      <c r="J2736">
        <v>4.3741242684949402E-2</v>
      </c>
      <c r="K2736">
        <v>4.4376711008074401E-2</v>
      </c>
      <c r="L2736">
        <v>1167.28862558214</v>
      </c>
      <c r="M2736">
        <v>23.108129977069201</v>
      </c>
      <c r="N2736">
        <v>50.769421652006201</v>
      </c>
      <c r="O2736">
        <v>50.140460683407497</v>
      </c>
      <c r="P2736">
        <v>-0.108900823030963</v>
      </c>
      <c r="Q2736">
        <v>5.4837049182655501E-2</v>
      </c>
      <c r="R2736">
        <v>0.994617799703021</v>
      </c>
      <c r="S2736" t="s">
        <v>7476</v>
      </c>
      <c r="T2736" t="s">
        <v>9478</v>
      </c>
      <c r="U2736" t="s">
        <v>9478</v>
      </c>
      <c r="V2736" t="s">
        <v>9478</v>
      </c>
      <c r="W2736">
        <v>2</v>
      </c>
      <c r="X2736" t="s">
        <v>12214</v>
      </c>
      <c r="Y2736">
        <v>0.39601567468767651</v>
      </c>
      <c r="Z2736" t="str">
        <f>HYPERLINK("Melting_Curves/meltCurve_sp_Q8WXE1_2_ATRIP_HUMAN_.pdf", "Melting_Curves/meltCurve_sp_Q8WXE1_2_ATRIP_HUMAN_.pdf")</f>
        <v>Melting_Curves/meltCurve_sp_Q8WXE1_2_ATRIP_HUMAN_.pdf</v>
      </c>
      <c r="AA2736" t="s">
        <v>16906</v>
      </c>
      <c r="AB2736" t="s">
        <v>21570</v>
      </c>
    </row>
    <row r="2737" spans="1:28" x14ac:dyDescent="0.25">
      <c r="A2737" t="s">
        <v>2741</v>
      </c>
      <c r="B2737">
        <v>0.99904790336628502</v>
      </c>
      <c r="C2737">
        <v>1.05856215849646</v>
      </c>
      <c r="D2737">
        <v>1.03915445852463</v>
      </c>
      <c r="E2737">
        <v>1.01456568400235</v>
      </c>
      <c r="F2737">
        <v>0.96961367326881498</v>
      </c>
      <c r="G2737">
        <v>0.53561056557392595</v>
      </c>
      <c r="H2737">
        <v>0.39476106034723901</v>
      </c>
      <c r="I2737">
        <v>0.35697890247866798</v>
      </c>
      <c r="J2737">
        <v>0.37014200027864502</v>
      </c>
      <c r="K2737">
        <v>0.30996088677154299</v>
      </c>
      <c r="L2737">
        <v>2808.8216833274701</v>
      </c>
      <c r="M2737">
        <v>50.186615892020697</v>
      </c>
      <c r="N2737">
        <v>57.377488985580101</v>
      </c>
      <c r="O2737">
        <v>55.878871547200099</v>
      </c>
      <c r="P2737">
        <v>-0.144975053645825</v>
      </c>
      <c r="Q2737">
        <v>0.35432672270305599</v>
      </c>
      <c r="R2737">
        <v>0.99160720109357603</v>
      </c>
      <c r="S2737" t="s">
        <v>7477</v>
      </c>
      <c r="T2737" t="s">
        <v>9478</v>
      </c>
      <c r="U2737" t="s">
        <v>9478</v>
      </c>
      <c r="V2737" t="s">
        <v>9478</v>
      </c>
      <c r="W2737">
        <v>9</v>
      </c>
      <c r="X2737" t="s">
        <v>12215</v>
      </c>
      <c r="Y2737">
        <v>0.69956771163331477</v>
      </c>
      <c r="Z2737" t="str">
        <f>HYPERLINK("Melting_Curves/meltCurve_sp_Q8WXF1_PSPC1_HUMAN_.pdf", "Melting_Curves/meltCurve_sp_Q8WXF1_PSPC1_HUMAN_.pdf")</f>
        <v>Melting_Curves/meltCurve_sp_Q8WXF1_PSPC1_HUMAN_.pdf</v>
      </c>
      <c r="AA2737" t="s">
        <v>16907</v>
      </c>
      <c r="AB2737" t="s">
        <v>21571</v>
      </c>
    </row>
    <row r="2738" spans="1:28" x14ac:dyDescent="0.25">
      <c r="A2738" t="s">
        <v>2742</v>
      </c>
      <c r="B2738">
        <v>0.99904790336628502</v>
      </c>
      <c r="C2738">
        <v>1.0022609021086899</v>
      </c>
      <c r="D2738">
        <v>1.0015971026870001</v>
      </c>
      <c r="E2738">
        <v>0.528901341533209</v>
      </c>
      <c r="F2738">
        <v>0.30462891785260499</v>
      </c>
      <c r="G2738">
        <v>0.16961121377324601</v>
      </c>
      <c r="H2738">
        <v>0.127460786906236</v>
      </c>
      <c r="I2738">
        <v>9.3451428786178903E-2</v>
      </c>
      <c r="J2738">
        <v>8.1999152125583993E-2</v>
      </c>
      <c r="K2738">
        <v>6.3322928689106397E-2</v>
      </c>
      <c r="L2738">
        <v>1366.11105888017</v>
      </c>
      <c r="M2738">
        <v>27.211167616337701</v>
      </c>
      <c r="N2738">
        <v>50.618175961417698</v>
      </c>
      <c r="O2738">
        <v>49.935285422881201</v>
      </c>
      <c r="P2738">
        <v>-0.122639135226183</v>
      </c>
      <c r="Q2738">
        <v>9.9787387040720002E-2</v>
      </c>
      <c r="R2738">
        <v>0.99232606553727098</v>
      </c>
      <c r="S2738" t="s">
        <v>7478</v>
      </c>
      <c r="T2738" t="s">
        <v>9478</v>
      </c>
      <c r="U2738" t="s">
        <v>9478</v>
      </c>
      <c r="V2738" t="s">
        <v>9478</v>
      </c>
      <c r="W2738">
        <v>50</v>
      </c>
      <c r="X2738" t="s">
        <v>12216</v>
      </c>
      <c r="Y2738">
        <v>0.41278266501316568</v>
      </c>
      <c r="Z2738" t="str">
        <f>HYPERLINK("Melting_Curves/meltCurve_sp_Q8WXH0_SYNE2_HUMAN_.pdf", "Melting_Curves/meltCurve_sp_Q8WXH0_SYNE2_HUMAN_.pdf")</f>
        <v>Melting_Curves/meltCurve_sp_Q8WXH0_SYNE2_HUMAN_.pdf</v>
      </c>
      <c r="AA2738" t="s">
        <v>16908</v>
      </c>
      <c r="AB2738" t="s">
        <v>21572</v>
      </c>
    </row>
    <row r="2739" spans="1:28" x14ac:dyDescent="0.25">
      <c r="A2739" t="s">
        <v>2743</v>
      </c>
      <c r="B2739">
        <v>0.99904790336628502</v>
      </c>
      <c r="C2739">
        <v>1.0679604837912999</v>
      </c>
      <c r="D2739">
        <v>1.05630158182603</v>
      </c>
      <c r="E2739">
        <v>0.77469508285076705</v>
      </c>
      <c r="F2739">
        <v>0.47240261657210503</v>
      </c>
      <c r="G2739">
        <v>0.40943354675393701</v>
      </c>
      <c r="H2739">
        <v>0.33780815174717999</v>
      </c>
      <c r="I2739">
        <v>0.26957038372105102</v>
      </c>
      <c r="J2739">
        <v>0.34195387834568503</v>
      </c>
      <c r="K2739">
        <v>0.31647557143208499</v>
      </c>
      <c r="L2739">
        <v>1779.34797691888</v>
      </c>
      <c r="M2739">
        <v>34.835979253038502</v>
      </c>
      <c r="N2739">
        <v>52.7055804498548</v>
      </c>
      <c r="O2739">
        <v>50.910442483215498</v>
      </c>
      <c r="P2739">
        <v>-0.114700579000141</v>
      </c>
      <c r="Q2739">
        <v>0.32949368945376001</v>
      </c>
      <c r="R2739">
        <v>0.98216230622169698</v>
      </c>
      <c r="S2739" t="s">
        <v>7479</v>
      </c>
      <c r="T2739" t="s">
        <v>9478</v>
      </c>
      <c r="U2739" t="s">
        <v>9478</v>
      </c>
      <c r="V2739" t="s">
        <v>9478</v>
      </c>
      <c r="W2739">
        <v>6</v>
      </c>
      <c r="X2739" t="s">
        <v>12217</v>
      </c>
      <c r="Y2739">
        <v>0.5802134509104494</v>
      </c>
      <c r="Z2739" t="str">
        <f>HYPERLINK("Melting_Curves/meltCurve_sp_Q8WXI9_P66B_HUMAN_.pdf", "Melting_Curves/meltCurve_sp_Q8WXI9_P66B_HUMAN_.pdf")</f>
        <v>Melting_Curves/meltCurve_sp_Q8WXI9_P66B_HUMAN_.pdf</v>
      </c>
      <c r="AA2739" t="s">
        <v>16909</v>
      </c>
      <c r="AB2739" t="s">
        <v>21573</v>
      </c>
    </row>
    <row r="2740" spans="1:28" x14ac:dyDescent="0.25">
      <c r="A2740" t="s">
        <v>2744</v>
      </c>
      <c r="B2740">
        <v>0.99904790336628502</v>
      </c>
      <c r="C2740">
        <v>1.0098588147112</v>
      </c>
      <c r="D2740">
        <v>1.0457216514863299</v>
      </c>
      <c r="E2740">
        <v>0.87363587894129802</v>
      </c>
      <c r="F2740">
        <v>0.89195361227514602</v>
      </c>
      <c r="G2740">
        <v>0.59297803390662496</v>
      </c>
      <c r="H2740">
        <v>0.46205756345573801</v>
      </c>
      <c r="I2740">
        <v>0.37729098489562002</v>
      </c>
      <c r="J2740">
        <v>0.336317451495105</v>
      </c>
      <c r="K2740">
        <v>0.34978541527686402</v>
      </c>
      <c r="L2740">
        <v>1100.3493697040501</v>
      </c>
      <c r="M2740">
        <v>19.567401117892398</v>
      </c>
      <c r="N2740">
        <v>59.400566392182697</v>
      </c>
      <c r="O2740">
        <v>55.6563529291371</v>
      </c>
      <c r="P2740">
        <v>-5.94329920003967E-2</v>
      </c>
      <c r="Q2740">
        <v>0.323833310362801</v>
      </c>
      <c r="R2740">
        <v>0.98494183257085699</v>
      </c>
      <c r="S2740" t="s">
        <v>7480</v>
      </c>
      <c r="T2740" t="s">
        <v>9478</v>
      </c>
      <c r="U2740" t="s">
        <v>9478</v>
      </c>
      <c r="V2740" t="s">
        <v>9478</v>
      </c>
      <c r="W2740">
        <v>3</v>
      </c>
      <c r="X2740" t="s">
        <v>12218</v>
      </c>
      <c r="Y2740">
        <v>0.69859741441483891</v>
      </c>
      <c r="Z2740" t="str">
        <f>HYPERLINK("Melting_Curves/meltCurve_sp_Q8WXX5_DNJC9_HUMAN_.pdf", "Melting_Curves/meltCurve_sp_Q8WXX5_DNJC9_HUMAN_.pdf")</f>
        <v>Melting_Curves/meltCurve_sp_Q8WXX5_DNJC9_HUMAN_.pdf</v>
      </c>
      <c r="AA2740" t="s">
        <v>16910</v>
      </c>
      <c r="AB2740" t="s">
        <v>21574</v>
      </c>
    </row>
    <row r="2741" spans="1:28" x14ac:dyDescent="0.25">
      <c r="A2741" t="s">
        <v>2745</v>
      </c>
      <c r="B2741">
        <v>0.99904790336628502</v>
      </c>
      <c r="C2741">
        <v>0.92330723740050402</v>
      </c>
      <c r="D2741">
        <v>0.95468275637106903</v>
      </c>
      <c r="E2741">
        <v>0.95038594225133299</v>
      </c>
      <c r="F2741">
        <v>0.783574588801628</v>
      </c>
      <c r="G2741">
        <v>0.50615959369552899</v>
      </c>
      <c r="H2741">
        <v>0.28714172165837099</v>
      </c>
      <c r="I2741">
        <v>0.195941763086798</v>
      </c>
      <c r="J2741">
        <v>0.18132682215297399</v>
      </c>
      <c r="K2741">
        <v>0.189154552315556</v>
      </c>
      <c r="L2741">
        <v>1148.6957202143101</v>
      </c>
      <c r="M2741">
        <v>20.545118620934002</v>
      </c>
      <c r="N2741">
        <v>56.961711899578802</v>
      </c>
      <c r="O2741">
        <v>55.389267600004999</v>
      </c>
      <c r="P2741">
        <v>-7.8106358395998596E-2</v>
      </c>
      <c r="Q2741">
        <v>0.15773132656805999</v>
      </c>
      <c r="R2741">
        <v>0.99295671042025901</v>
      </c>
      <c r="S2741" t="s">
        <v>7481</v>
      </c>
      <c r="T2741" t="s">
        <v>9478</v>
      </c>
      <c r="U2741" t="s">
        <v>9478</v>
      </c>
      <c r="V2741" t="s">
        <v>9478</v>
      </c>
      <c r="W2741">
        <v>2</v>
      </c>
      <c r="X2741" t="s">
        <v>12219</v>
      </c>
      <c r="Y2741">
        <v>0.61492749933756785</v>
      </c>
      <c r="Z2741" t="str">
        <f>HYPERLINK("Melting_Curves/meltCurve_sp_Q8WY91_2_THAP4_HUMAN_.pdf", "Melting_Curves/meltCurve_sp_Q8WY91_2_THAP4_HUMAN_.pdf")</f>
        <v>Melting_Curves/meltCurve_sp_Q8WY91_2_THAP4_HUMAN_.pdf</v>
      </c>
      <c r="AA2741" t="s">
        <v>16911</v>
      </c>
      <c r="AB2741" t="s">
        <v>21575</v>
      </c>
    </row>
    <row r="2742" spans="1:28" x14ac:dyDescent="0.25">
      <c r="A2742" t="s">
        <v>2746</v>
      </c>
      <c r="B2742">
        <v>0.99904790336628502</v>
      </c>
      <c r="C2742">
        <v>0.93926221397443199</v>
      </c>
      <c r="D2742">
        <v>1.0450238805319301</v>
      </c>
      <c r="E2742">
        <v>0.93733099621601201</v>
      </c>
      <c r="F2742">
        <v>0.64614990698159303</v>
      </c>
      <c r="G2742">
        <v>0.15372824885804501</v>
      </c>
      <c r="H2742">
        <v>7.0260165528729601E-2</v>
      </c>
      <c r="I2742">
        <v>4.19215845816691E-2</v>
      </c>
      <c r="J2742">
        <v>4.5295151068983498E-2</v>
      </c>
      <c r="K2742">
        <v>2.7002739229688801E-2</v>
      </c>
      <c r="L2742">
        <v>1906.84480863094</v>
      </c>
      <c r="M2742">
        <v>35.442419870871802</v>
      </c>
      <c r="N2742">
        <v>53.930717032911602</v>
      </c>
      <c r="O2742">
        <v>53.6307876572778</v>
      </c>
      <c r="P2742">
        <v>-0.15847516705459699</v>
      </c>
      <c r="Q2742">
        <v>4.0796931944724703E-2</v>
      </c>
      <c r="R2742">
        <v>0.99663865840719401</v>
      </c>
      <c r="S2742" t="s">
        <v>7482</v>
      </c>
      <c r="T2742" t="s">
        <v>9478</v>
      </c>
      <c r="U2742" t="s">
        <v>9478</v>
      </c>
      <c r="V2742" t="s">
        <v>9478</v>
      </c>
      <c r="W2742">
        <v>15</v>
      </c>
      <c r="X2742" t="s">
        <v>12220</v>
      </c>
      <c r="Y2742">
        <v>0.48660056219303982</v>
      </c>
      <c r="Z2742" t="str">
        <f>HYPERLINK("Melting_Curves/meltCurve_sp_Q8WYK0_ACO12_HUMAN_.pdf", "Melting_Curves/meltCurve_sp_Q8WYK0_ACO12_HUMAN_.pdf")</f>
        <v>Melting_Curves/meltCurve_sp_Q8WYK0_ACO12_HUMAN_.pdf</v>
      </c>
      <c r="AA2742" t="s">
        <v>16912</v>
      </c>
      <c r="AB2742" t="s">
        <v>21576</v>
      </c>
    </row>
    <row r="2743" spans="1:28" x14ac:dyDescent="0.25">
      <c r="A2743" t="s">
        <v>2747</v>
      </c>
      <c r="B2743">
        <v>0.99904790336628502</v>
      </c>
      <c r="C2743">
        <v>1.17701648532143</v>
      </c>
      <c r="D2743">
        <v>1.15409094942029</v>
      </c>
      <c r="E2743">
        <v>1.1084581657788199</v>
      </c>
      <c r="F2743">
        <v>1.3247610283373099</v>
      </c>
      <c r="G2743">
        <v>0.96577455626903097</v>
      </c>
      <c r="H2743">
        <v>0.83332046894010103</v>
      </c>
      <c r="I2743">
        <v>0.92246977927775298</v>
      </c>
      <c r="J2743">
        <v>1.0552286121441801</v>
      </c>
      <c r="K2743">
        <v>1.1743057328841899</v>
      </c>
      <c r="L2743">
        <v>15000</v>
      </c>
      <c r="M2743">
        <v>223.111966125897</v>
      </c>
      <c r="O2743">
        <v>67.225438744810205</v>
      </c>
      <c r="P2743">
        <v>0.144645842802332</v>
      </c>
      <c r="Q2743">
        <v>1.17433178825966</v>
      </c>
      <c r="R2743">
        <v>-9.2875112773707302E-2</v>
      </c>
      <c r="S2743" t="s">
        <v>7483</v>
      </c>
      <c r="T2743" t="s">
        <v>9478</v>
      </c>
      <c r="U2743" t="s">
        <v>9478</v>
      </c>
      <c r="V2743" t="s">
        <v>9478</v>
      </c>
      <c r="W2743">
        <v>4</v>
      </c>
      <c r="X2743" t="s">
        <v>12221</v>
      </c>
      <c r="Y2743">
        <v>1.016066335513867</v>
      </c>
      <c r="Z2743" t="str">
        <f>HYPERLINK("Melting_Curves/meltCurve_sp_Q8WYP5_ELYS_HUMAN_.pdf", "Melting_Curves/meltCurve_sp_Q8WYP5_ELYS_HUMAN_.pdf")</f>
        <v>Melting_Curves/meltCurve_sp_Q8WYP5_ELYS_HUMAN_.pdf</v>
      </c>
      <c r="AA2743" t="s">
        <v>16913</v>
      </c>
      <c r="AB2743" t="s">
        <v>21577</v>
      </c>
    </row>
    <row r="2744" spans="1:28" x14ac:dyDescent="0.25">
      <c r="A2744" t="s">
        <v>2748</v>
      </c>
      <c r="B2744">
        <v>0.99904790336628502</v>
      </c>
      <c r="C2744">
        <v>0.74381529995347695</v>
      </c>
      <c r="D2744">
        <v>0.91362037284976405</v>
      </c>
      <c r="E2744">
        <v>0.77178731702868297</v>
      </c>
      <c r="F2744">
        <v>0.945028771042002</v>
      </c>
      <c r="G2744">
        <v>0.64337181758310502</v>
      </c>
      <c r="H2744">
        <v>0.70757346206720695</v>
      </c>
      <c r="I2744">
        <v>0.58967579647229995</v>
      </c>
      <c r="J2744">
        <v>0.79627288886582703</v>
      </c>
      <c r="K2744">
        <v>0.67977122614124097</v>
      </c>
      <c r="L2744">
        <v>276.29629615180198</v>
      </c>
      <c r="M2744">
        <v>5.4782887409047696</v>
      </c>
      <c r="O2744">
        <v>44.9053424214679</v>
      </c>
      <c r="P2744">
        <v>-1.19977702296505E-2</v>
      </c>
      <c r="Q2744">
        <v>0.60836790034353705</v>
      </c>
      <c r="R2744">
        <v>0.42675209971435002</v>
      </c>
      <c r="S2744" t="s">
        <v>7484</v>
      </c>
      <c r="T2744" t="s">
        <v>9478</v>
      </c>
      <c r="U2744" t="s">
        <v>9478</v>
      </c>
      <c r="V2744" t="s">
        <v>9478</v>
      </c>
      <c r="W2744">
        <v>1</v>
      </c>
      <c r="X2744" t="s">
        <v>12222</v>
      </c>
      <c r="Y2744">
        <v>0.77581601224342267</v>
      </c>
      <c r="Z2744" t="str">
        <f>HYPERLINK("Melting_Curves/meltCurve_sp_Q8WYQ3_CHC10_HUMAN_.pdf", "Melting_Curves/meltCurve_sp_Q8WYQ3_CHC10_HUMAN_.pdf")</f>
        <v>Melting_Curves/meltCurve_sp_Q8WYQ3_CHC10_HUMAN_.pdf</v>
      </c>
      <c r="AA2744" t="s">
        <v>16914</v>
      </c>
      <c r="AB2744" t="s">
        <v>21578</v>
      </c>
    </row>
    <row r="2745" spans="1:28" x14ac:dyDescent="0.25">
      <c r="A2745" t="s">
        <v>2749</v>
      </c>
      <c r="B2745">
        <v>0.99904790336628502</v>
      </c>
      <c r="C2745">
        <v>0.84910930557882502</v>
      </c>
      <c r="D2745">
        <v>0.85045769341910604</v>
      </c>
      <c r="E2745">
        <v>0.85072159357213495</v>
      </c>
      <c r="F2745">
        <v>0.77819530625883404</v>
      </c>
      <c r="G2745">
        <v>0.57094762763217899</v>
      </c>
      <c r="H2745">
        <v>0.24100025928885199</v>
      </c>
      <c r="I2745">
        <v>0.14530764838153501</v>
      </c>
      <c r="J2745">
        <v>8.4870176557246699E-2</v>
      </c>
      <c r="K2745">
        <v>7.3283749681846894E-2</v>
      </c>
      <c r="L2745">
        <v>812.313548600947</v>
      </c>
      <c r="M2745">
        <v>14.2413505149597</v>
      </c>
      <c r="N2745">
        <v>57.0390812246021</v>
      </c>
      <c r="O2745">
        <v>55.949770845275701</v>
      </c>
      <c r="P2745">
        <v>-6.3642411504965496E-2</v>
      </c>
      <c r="Q2745">
        <v>0</v>
      </c>
      <c r="R2745">
        <v>0.96425299390819197</v>
      </c>
      <c r="S2745" t="s">
        <v>7485</v>
      </c>
      <c r="T2745" t="s">
        <v>9478</v>
      </c>
      <c r="U2745" t="s">
        <v>9478</v>
      </c>
      <c r="V2745" t="s">
        <v>9478</v>
      </c>
      <c r="W2745">
        <v>2</v>
      </c>
      <c r="X2745" t="s">
        <v>12223</v>
      </c>
      <c r="Y2745">
        <v>0.58411238404059795</v>
      </c>
      <c r="Z2745" t="str">
        <f>HYPERLINK("Melting_Curves/meltCurve_sp_Q8WZ42_3_TITIN_HUMAN_.pdf", "Melting_Curves/meltCurve_sp_Q8WZ42_3_TITIN_HUMAN_.pdf")</f>
        <v>Melting_Curves/meltCurve_sp_Q8WZ42_3_TITIN_HUMAN_.pdf</v>
      </c>
      <c r="AA2745" t="s">
        <v>16915</v>
      </c>
      <c r="AB2745" t="s">
        <v>21579</v>
      </c>
    </row>
    <row r="2746" spans="1:28" x14ac:dyDescent="0.25">
      <c r="A2746" t="s">
        <v>2750</v>
      </c>
      <c r="B2746">
        <v>0.99904790336628502</v>
      </c>
      <c r="C2746">
        <v>1.0653058330659699</v>
      </c>
      <c r="D2746">
        <v>0.97782157695319705</v>
      </c>
      <c r="E2746">
        <v>0.92000937667457605</v>
      </c>
      <c r="F2746">
        <v>0.94396664247670203</v>
      </c>
      <c r="G2746">
        <v>0.66941559383305305</v>
      </c>
      <c r="H2746">
        <v>0.54363747664691098</v>
      </c>
      <c r="I2746">
        <v>0.57460328743749101</v>
      </c>
      <c r="J2746">
        <v>0.57614006174463095</v>
      </c>
      <c r="K2746">
        <v>0.51531903445217397</v>
      </c>
      <c r="L2746">
        <v>1970.24235442552</v>
      </c>
      <c r="M2746">
        <v>35.533155814442601</v>
      </c>
      <c r="O2746">
        <v>55.2732519248448</v>
      </c>
      <c r="P2746">
        <v>-7.2819116227041999E-2</v>
      </c>
      <c r="Q2746">
        <v>0.54690920910909502</v>
      </c>
      <c r="R2746">
        <v>0.97056253401812798</v>
      </c>
      <c r="S2746" t="s">
        <v>7486</v>
      </c>
      <c r="T2746" t="s">
        <v>9478</v>
      </c>
      <c r="U2746" t="s">
        <v>9478</v>
      </c>
      <c r="V2746" t="s">
        <v>9478</v>
      </c>
      <c r="W2746">
        <v>3</v>
      </c>
      <c r="X2746" t="s">
        <v>12224</v>
      </c>
      <c r="Y2746">
        <v>0.78240215633977672</v>
      </c>
      <c r="Z2746" t="str">
        <f>HYPERLINK("Melting_Curves/meltCurve_sp_Q8WZ73_3_RFFL_HUMAN_.pdf", "Melting_Curves/meltCurve_sp_Q8WZ73_3_RFFL_HUMAN_.pdf")</f>
        <v>Melting_Curves/meltCurve_sp_Q8WZ73_3_RFFL_HUMAN_.pdf</v>
      </c>
      <c r="AA2746" t="s">
        <v>16916</v>
      </c>
      <c r="AB2746" t="s">
        <v>21580</v>
      </c>
    </row>
    <row r="2747" spans="1:28" x14ac:dyDescent="0.25">
      <c r="A2747" t="s">
        <v>2751</v>
      </c>
      <c r="B2747">
        <v>0.99904790336628502</v>
      </c>
      <c r="C2747">
        <v>0.86918298755565704</v>
      </c>
      <c r="D2747">
        <v>0.87899162870187197</v>
      </c>
      <c r="E2747">
        <v>0.56210989182550397</v>
      </c>
      <c r="F2747">
        <v>0.214993181852702</v>
      </c>
      <c r="G2747">
        <v>0.133063151653248</v>
      </c>
      <c r="H2747">
        <v>9.7809431865699306E-2</v>
      </c>
      <c r="I2747">
        <v>8.9669652624645005E-2</v>
      </c>
      <c r="J2747">
        <v>6.1337526104351101E-2</v>
      </c>
      <c r="K2747">
        <v>8.5761078500945803E-2</v>
      </c>
      <c r="L2747">
        <v>1109.48304196196</v>
      </c>
      <c r="M2747">
        <v>22.259203481444001</v>
      </c>
      <c r="N2747">
        <v>50.199301026776098</v>
      </c>
      <c r="O2747">
        <v>49.446726534162401</v>
      </c>
      <c r="P2747">
        <v>-0.10433692403530601</v>
      </c>
      <c r="Q2747">
        <v>7.2921113256298103E-2</v>
      </c>
      <c r="R2747">
        <v>0.98778236011037701</v>
      </c>
      <c r="S2747" t="s">
        <v>7487</v>
      </c>
      <c r="T2747" t="s">
        <v>9478</v>
      </c>
      <c r="U2747" t="s">
        <v>9478</v>
      </c>
      <c r="V2747" t="s">
        <v>9478</v>
      </c>
      <c r="W2747">
        <v>3</v>
      </c>
      <c r="X2747" t="s">
        <v>12225</v>
      </c>
      <c r="Y2747">
        <v>0.38756669164054203</v>
      </c>
      <c r="Z2747" t="str">
        <f>HYPERLINK("Melting_Curves/meltCurve_sp_Q8WZ82_OVCA2_HUMAN_.pdf", "Melting_Curves/meltCurve_sp_Q8WZ82_OVCA2_HUMAN_.pdf")</f>
        <v>Melting_Curves/meltCurve_sp_Q8WZ82_OVCA2_HUMAN_.pdf</v>
      </c>
      <c r="AA2747" t="s">
        <v>16917</v>
      </c>
      <c r="AB2747" t="s">
        <v>21581</v>
      </c>
    </row>
    <row r="2748" spans="1:28" x14ac:dyDescent="0.25">
      <c r="A2748" t="s">
        <v>2752</v>
      </c>
      <c r="B2748">
        <v>0.99904790336628502</v>
      </c>
      <c r="C2748">
        <v>0.98843585408734502</v>
      </c>
      <c r="D2748">
        <v>0.93929257767524899</v>
      </c>
      <c r="E2748">
        <v>0.917539361348642</v>
      </c>
      <c r="F2748">
        <v>0.95398367944987295</v>
      </c>
      <c r="G2748">
        <v>0.770629131041489</v>
      </c>
      <c r="H2748">
        <v>0.67879343733998898</v>
      </c>
      <c r="I2748">
        <v>0.60958406925902697</v>
      </c>
      <c r="J2748">
        <v>0.60603416380862796</v>
      </c>
      <c r="K2748">
        <v>0.48408328701322101</v>
      </c>
      <c r="L2748">
        <v>581.07505656425201</v>
      </c>
      <c r="M2748">
        <v>9.3815996008317093</v>
      </c>
      <c r="O2748">
        <v>59.319039085589999</v>
      </c>
      <c r="P2748">
        <v>-2.6067570142602099E-2</v>
      </c>
      <c r="Q2748">
        <v>0.34111683768092699</v>
      </c>
      <c r="R2748">
        <v>0.96880750268832705</v>
      </c>
      <c r="S2748" t="s">
        <v>7488</v>
      </c>
      <c r="T2748" t="s">
        <v>9478</v>
      </c>
      <c r="U2748" t="s">
        <v>9478</v>
      </c>
      <c r="V2748" t="s">
        <v>9478</v>
      </c>
      <c r="W2748">
        <v>9</v>
      </c>
      <c r="X2748" t="s">
        <v>12226</v>
      </c>
      <c r="Y2748">
        <v>0.80668703048253632</v>
      </c>
      <c r="Z2748" t="str">
        <f>HYPERLINK("Melting_Curves/meltCurve_sp_Q8WZA0_LZIC_HUMAN_.pdf", "Melting_Curves/meltCurve_sp_Q8WZA0_LZIC_HUMAN_.pdf")</f>
        <v>Melting_Curves/meltCurve_sp_Q8WZA0_LZIC_HUMAN_.pdf</v>
      </c>
      <c r="AA2748" t="s">
        <v>16918</v>
      </c>
      <c r="AB2748" t="s">
        <v>21582</v>
      </c>
    </row>
    <row r="2749" spans="1:28" x14ac:dyDescent="0.25">
      <c r="A2749" t="s">
        <v>2753</v>
      </c>
      <c r="B2749">
        <v>0.99904790336628502</v>
      </c>
      <c r="C2749">
        <v>1.0543660105379</v>
      </c>
      <c r="D2749">
        <v>1.0031464597824</v>
      </c>
      <c r="E2749">
        <v>0.92318013818020805</v>
      </c>
      <c r="F2749">
        <v>0.639127882705809</v>
      </c>
      <c r="G2749">
        <v>0.387079828944285</v>
      </c>
      <c r="H2749">
        <v>0.271754621794769</v>
      </c>
      <c r="I2749">
        <v>0.29027511112425802</v>
      </c>
      <c r="J2749">
        <v>0.30219748638735699</v>
      </c>
      <c r="K2749">
        <v>0.259110113528566</v>
      </c>
      <c r="L2749">
        <v>1611.49959712537</v>
      </c>
      <c r="M2749">
        <v>30.3198410480002</v>
      </c>
      <c r="N2749">
        <v>54.628850156020903</v>
      </c>
      <c r="O2749">
        <v>52.920399998428103</v>
      </c>
      <c r="P2749">
        <v>-0.10313480468635999</v>
      </c>
      <c r="Q2749">
        <v>0.27995651166302699</v>
      </c>
      <c r="R2749">
        <v>0.99477452123565302</v>
      </c>
      <c r="S2749" t="s">
        <v>7489</v>
      </c>
      <c r="T2749" t="s">
        <v>9478</v>
      </c>
      <c r="U2749" t="s">
        <v>9478</v>
      </c>
      <c r="V2749" t="s">
        <v>9478</v>
      </c>
      <c r="W2749">
        <v>16</v>
      </c>
      <c r="X2749" t="s">
        <v>12227</v>
      </c>
      <c r="Y2749">
        <v>0.60015870670213001</v>
      </c>
      <c r="Z2749" t="str">
        <f>HYPERLINK("Melting_Curves/meltCurve_sp_Q8WZA9_IRGQ_HUMAN_.pdf", "Melting_Curves/meltCurve_sp_Q8WZA9_IRGQ_HUMAN_.pdf")</f>
        <v>Melting_Curves/meltCurve_sp_Q8WZA9_IRGQ_HUMAN_.pdf</v>
      </c>
      <c r="AA2749" t="s">
        <v>16919</v>
      </c>
      <c r="AB2749" t="s">
        <v>21583</v>
      </c>
    </row>
    <row r="2750" spans="1:28" x14ac:dyDescent="0.25">
      <c r="A2750" t="s">
        <v>2754</v>
      </c>
      <c r="B2750">
        <v>0.99904790336628502</v>
      </c>
      <c r="C2750">
        <v>0.95458142745516505</v>
      </c>
      <c r="D2750">
        <v>0.94833167173506405</v>
      </c>
      <c r="E2750">
        <v>0.90783500440123399</v>
      </c>
      <c r="F2750">
        <v>1.0433935326656001</v>
      </c>
      <c r="G2750">
        <v>0.76157101834038299</v>
      </c>
      <c r="H2750">
        <v>0.464301973274031</v>
      </c>
      <c r="I2750">
        <v>0.26095037691856898</v>
      </c>
      <c r="J2750">
        <v>8.0429554048833105E-2</v>
      </c>
      <c r="K2750">
        <v>5.4718027174857499E-2</v>
      </c>
      <c r="L2750">
        <v>1314.02884808465</v>
      </c>
      <c r="M2750">
        <v>21.701171376135399</v>
      </c>
      <c r="N2750">
        <v>60.551069126267301</v>
      </c>
      <c r="O2750">
        <v>60.043924404917902</v>
      </c>
      <c r="P2750">
        <v>-9.0357534560645894E-2</v>
      </c>
      <c r="Q2750">
        <v>0</v>
      </c>
      <c r="R2750">
        <v>0.98469376629622196</v>
      </c>
      <c r="S2750" t="s">
        <v>7490</v>
      </c>
      <c r="T2750" t="s">
        <v>9478</v>
      </c>
      <c r="U2750" t="s">
        <v>9478</v>
      </c>
      <c r="V2750" t="s">
        <v>9478</v>
      </c>
      <c r="W2750">
        <v>5</v>
      </c>
      <c r="X2750" t="s">
        <v>12228</v>
      </c>
      <c r="Y2750">
        <v>0.69226590420133693</v>
      </c>
      <c r="Z2750" t="str">
        <f>HYPERLINK("Melting_Curves/meltCurve_sp_Q92466_DDB2_HUMAN_.pdf", "Melting_Curves/meltCurve_sp_Q92466_DDB2_HUMAN_.pdf")</f>
        <v>Melting_Curves/meltCurve_sp_Q92466_DDB2_HUMAN_.pdf</v>
      </c>
      <c r="AA2750" t="s">
        <v>16920</v>
      </c>
      <c r="AB2750" t="s">
        <v>21584</v>
      </c>
    </row>
    <row r="2751" spans="1:28" x14ac:dyDescent="0.25">
      <c r="A2751" t="s">
        <v>2755</v>
      </c>
      <c r="B2751">
        <v>0.99904790336628502</v>
      </c>
      <c r="C2751">
        <v>0.98536137329395002</v>
      </c>
      <c r="D2751">
        <v>0.91394521448482502</v>
      </c>
      <c r="E2751">
        <v>0.418398518689237</v>
      </c>
      <c r="F2751">
        <v>0.146638365849668</v>
      </c>
      <c r="G2751">
        <v>7.8810661424626199E-2</v>
      </c>
      <c r="H2751">
        <v>4.6496494170712797E-2</v>
      </c>
      <c r="I2751">
        <v>3.2312552138788003E-2</v>
      </c>
      <c r="J2751">
        <v>2.85804532430762E-2</v>
      </c>
      <c r="K2751">
        <v>2.3489962785932499E-2</v>
      </c>
      <c r="L2751">
        <v>1494.8401161184599</v>
      </c>
      <c r="M2751">
        <v>30.293168548389101</v>
      </c>
      <c r="N2751">
        <v>49.473780991962599</v>
      </c>
      <c r="O2751">
        <v>49.132265783403</v>
      </c>
      <c r="P2751">
        <v>-0.14833225128453401</v>
      </c>
      <c r="Q2751">
        <v>3.7690572130217398E-2</v>
      </c>
      <c r="R2751">
        <v>0.99930676397462304</v>
      </c>
      <c r="S2751" t="s">
        <v>7491</v>
      </c>
      <c r="T2751" t="s">
        <v>9478</v>
      </c>
      <c r="U2751" t="s">
        <v>9478</v>
      </c>
      <c r="V2751" t="s">
        <v>9478</v>
      </c>
      <c r="W2751">
        <v>18</v>
      </c>
      <c r="X2751" t="s">
        <v>12229</v>
      </c>
      <c r="Y2751">
        <v>0.34325037776842099</v>
      </c>
      <c r="Z2751" t="str">
        <f>HYPERLINK("Melting_Curves/meltCurve_sp_Q92499_DDX1_HUMAN_.pdf", "Melting_Curves/meltCurve_sp_Q92499_DDX1_HUMAN_.pdf")</f>
        <v>Melting_Curves/meltCurve_sp_Q92499_DDX1_HUMAN_.pdf</v>
      </c>
      <c r="AA2751" t="s">
        <v>16921</v>
      </c>
      <c r="AB2751" t="s">
        <v>21585</v>
      </c>
    </row>
    <row r="2752" spans="1:28" x14ac:dyDescent="0.25">
      <c r="A2752" t="s">
        <v>2756</v>
      </c>
      <c r="B2752">
        <v>0.99904790336628502</v>
      </c>
      <c r="C2752">
        <v>1.10100684068687</v>
      </c>
      <c r="D2752">
        <v>1.1895498770581201</v>
      </c>
      <c r="E2752">
        <v>1.0315138303625</v>
      </c>
      <c r="F2752">
        <v>1.08613609801401</v>
      </c>
      <c r="G2752">
        <v>0.84058067277909099</v>
      </c>
      <c r="H2752">
        <v>0.72067319835343702</v>
      </c>
      <c r="I2752">
        <v>0.69727216671691195</v>
      </c>
      <c r="J2752">
        <v>0.60467863662573595</v>
      </c>
      <c r="K2752">
        <v>0.32627404655066899</v>
      </c>
      <c r="L2752">
        <v>865.69930112181703</v>
      </c>
      <c r="M2752">
        <v>12.8343609763704</v>
      </c>
      <c r="N2752">
        <v>67.451690777297202</v>
      </c>
      <c r="O2752">
        <v>65.877071461334396</v>
      </c>
      <c r="P2752">
        <v>-4.87147655521099E-2</v>
      </c>
      <c r="Q2752">
        <v>0</v>
      </c>
      <c r="R2752">
        <v>0.87244527476779499</v>
      </c>
      <c r="S2752" t="s">
        <v>7492</v>
      </c>
      <c r="T2752" t="s">
        <v>9478</v>
      </c>
      <c r="U2752" t="s">
        <v>9478</v>
      </c>
      <c r="V2752" t="s">
        <v>9478</v>
      </c>
      <c r="W2752">
        <v>13</v>
      </c>
      <c r="X2752" t="s">
        <v>12230</v>
      </c>
      <c r="Y2752">
        <v>0.84919507018961271</v>
      </c>
      <c r="Z2752" t="str">
        <f>HYPERLINK("Melting_Curves/meltCurve_sp_Q92506_DHB8_HUMAN_.pdf", "Melting_Curves/meltCurve_sp_Q92506_DHB8_HUMAN_.pdf")</f>
        <v>Melting_Curves/meltCurve_sp_Q92506_DHB8_HUMAN_.pdf</v>
      </c>
      <c r="AA2752" t="s">
        <v>16922</v>
      </c>
      <c r="AB2752" t="s">
        <v>21586</v>
      </c>
    </row>
    <row r="2753" spans="1:28" x14ac:dyDescent="0.25">
      <c r="A2753" t="s">
        <v>2757</v>
      </c>
      <c r="B2753">
        <v>0.99904790336628502</v>
      </c>
      <c r="C2753">
        <v>0.96645741790141104</v>
      </c>
      <c r="D2753">
        <v>0.88102442300756301</v>
      </c>
      <c r="E2753">
        <v>0.81756140388286103</v>
      </c>
      <c r="F2753">
        <v>0.70462696610914599</v>
      </c>
      <c r="G2753">
        <v>0.52355528788608496</v>
      </c>
      <c r="H2753">
        <v>0.398201222451667</v>
      </c>
      <c r="I2753">
        <v>0.31603041749137201</v>
      </c>
      <c r="J2753">
        <v>0.42978361109168001</v>
      </c>
      <c r="K2753">
        <v>0.37838588375603499</v>
      </c>
      <c r="L2753">
        <v>745.78087336089402</v>
      </c>
      <c r="M2753">
        <v>14.0297553666847</v>
      </c>
      <c r="N2753">
        <v>57.696577821751397</v>
      </c>
      <c r="O2753">
        <v>52.112058269700903</v>
      </c>
      <c r="P2753">
        <v>-4.48178221063327E-2</v>
      </c>
      <c r="Q2753">
        <v>0.33420293584878102</v>
      </c>
      <c r="R2753">
        <v>0.97643957299498296</v>
      </c>
      <c r="S2753" t="s">
        <v>7493</v>
      </c>
      <c r="T2753" t="s">
        <v>9478</v>
      </c>
      <c r="U2753" t="s">
        <v>9478</v>
      </c>
      <c r="V2753" t="s">
        <v>9478</v>
      </c>
      <c r="W2753">
        <v>2</v>
      </c>
      <c r="X2753" t="s">
        <v>12231</v>
      </c>
      <c r="Y2753">
        <v>0.64175299191063395</v>
      </c>
      <c r="Z2753" t="str">
        <f>HYPERLINK("Melting_Curves/meltCurve_sp_Q92520_FAM3C_HUMAN_.pdf", "Melting_Curves/meltCurve_sp_Q92520_FAM3C_HUMAN_.pdf")</f>
        <v>Melting_Curves/meltCurve_sp_Q92520_FAM3C_HUMAN_.pdf</v>
      </c>
      <c r="AA2753" t="s">
        <v>16923</v>
      </c>
      <c r="AB2753" t="s">
        <v>21587</v>
      </c>
    </row>
    <row r="2754" spans="1:28" x14ac:dyDescent="0.25">
      <c r="A2754" t="s">
        <v>2758</v>
      </c>
      <c r="B2754">
        <v>0.99904790336628502</v>
      </c>
      <c r="C2754">
        <v>1.0087606922864001</v>
      </c>
      <c r="D2754">
        <v>0.80827710865231805</v>
      </c>
      <c r="E2754">
        <v>0.78386896497616998</v>
      </c>
      <c r="F2754">
        <v>0.60017438297137204</v>
      </c>
      <c r="G2754">
        <v>0.36524446055919602</v>
      </c>
      <c r="H2754">
        <v>0.36753373183049198</v>
      </c>
      <c r="I2754">
        <v>0.23782219570204599</v>
      </c>
      <c r="J2754">
        <v>0.29915952716149702</v>
      </c>
      <c r="K2754">
        <v>0.23465318939569799</v>
      </c>
      <c r="L2754">
        <v>699.69090606875704</v>
      </c>
      <c r="M2754">
        <v>13.327682884332599</v>
      </c>
      <c r="N2754">
        <v>54.852770242194303</v>
      </c>
      <c r="O2754">
        <v>51.359371252527602</v>
      </c>
      <c r="P2754">
        <v>-5.07550574225481E-2</v>
      </c>
      <c r="Q2754">
        <v>0.21776950103030099</v>
      </c>
      <c r="R2754">
        <v>0.97496096873983196</v>
      </c>
      <c r="S2754" t="s">
        <v>7494</v>
      </c>
      <c r="T2754" t="s">
        <v>9478</v>
      </c>
      <c r="U2754" t="s">
        <v>9478</v>
      </c>
      <c r="V2754" t="s">
        <v>9478</v>
      </c>
      <c r="W2754">
        <v>2</v>
      </c>
      <c r="X2754" t="s">
        <v>12232</v>
      </c>
      <c r="Y2754">
        <v>0.56392459184391841</v>
      </c>
      <c r="Z2754" t="str">
        <f>HYPERLINK("Melting_Curves/meltCurve_sp_Q92522_H1X_HUMAN_.pdf", "Melting_Curves/meltCurve_sp_Q92522_H1X_HUMAN_.pdf")</f>
        <v>Melting_Curves/meltCurve_sp_Q92522_H1X_HUMAN_.pdf</v>
      </c>
      <c r="AA2754" t="s">
        <v>16924</v>
      </c>
      <c r="AB2754" t="s">
        <v>21588</v>
      </c>
    </row>
    <row r="2755" spans="1:28" x14ac:dyDescent="0.25">
      <c r="A2755" t="s">
        <v>2759</v>
      </c>
      <c r="B2755">
        <v>0.99904790336628502</v>
      </c>
      <c r="C2755">
        <v>1.0351251403700299</v>
      </c>
      <c r="D2755">
        <v>1.00560717483608</v>
      </c>
      <c r="E2755">
        <v>0.56909862678564904</v>
      </c>
      <c r="F2755">
        <v>0.23879859074065701</v>
      </c>
      <c r="G2755">
        <v>0.12643083761424301</v>
      </c>
      <c r="H2755">
        <v>8.9509568181085394E-2</v>
      </c>
      <c r="I2755">
        <v>6.71627937653822E-2</v>
      </c>
      <c r="J2755">
        <v>6.0706997121602102E-2</v>
      </c>
      <c r="K2755">
        <v>4.5854728190717897E-2</v>
      </c>
      <c r="L2755">
        <v>1638.5217476668599</v>
      </c>
      <c r="M2755">
        <v>32.548721154997402</v>
      </c>
      <c r="N2755">
        <v>50.589134344563902</v>
      </c>
      <c r="O2755">
        <v>50.1516927951483</v>
      </c>
      <c r="P2755">
        <v>-0.15026307900313199</v>
      </c>
      <c r="Q2755">
        <v>7.3891192400220906E-2</v>
      </c>
      <c r="R2755">
        <v>0.99622105587253795</v>
      </c>
      <c r="S2755" t="s">
        <v>7495</v>
      </c>
      <c r="T2755" t="s">
        <v>9478</v>
      </c>
      <c r="U2755" t="s">
        <v>9478</v>
      </c>
      <c r="V2755" t="s">
        <v>9478</v>
      </c>
      <c r="W2755">
        <v>16</v>
      </c>
      <c r="X2755" t="s">
        <v>12233</v>
      </c>
      <c r="Y2755">
        <v>0.39799438265212689</v>
      </c>
      <c r="Z2755" t="str">
        <f>HYPERLINK("Melting_Curves/meltCurve_sp_Q92538_GBF1_HUMAN_.pdf", "Melting_Curves/meltCurve_sp_Q92538_GBF1_HUMAN_.pdf")</f>
        <v>Melting_Curves/meltCurve_sp_Q92538_GBF1_HUMAN_.pdf</v>
      </c>
      <c r="AA2755" t="s">
        <v>16925</v>
      </c>
      <c r="AB2755" t="s">
        <v>21589</v>
      </c>
    </row>
    <row r="2756" spans="1:28" x14ac:dyDescent="0.25">
      <c r="A2756" t="s">
        <v>2760</v>
      </c>
      <c r="B2756">
        <v>0.99904790336628502</v>
      </c>
      <c r="C2756">
        <v>0.973432664130223</v>
      </c>
      <c r="D2756">
        <v>0.92265660440300101</v>
      </c>
      <c r="E2756">
        <v>0.80169336353446696</v>
      </c>
      <c r="F2756">
        <v>0.70269314927679305</v>
      </c>
      <c r="G2756">
        <v>0.42672614351544702</v>
      </c>
      <c r="H2756">
        <v>0.32741350323927099</v>
      </c>
      <c r="I2756">
        <v>0.24896065057362701</v>
      </c>
      <c r="J2756">
        <v>0.12275681734628301</v>
      </c>
      <c r="K2756">
        <v>0.17027154200983899</v>
      </c>
      <c r="L2756">
        <v>686.89474177309103</v>
      </c>
      <c r="M2756">
        <v>12.3772793868864</v>
      </c>
      <c r="N2756">
        <v>56.2626916508367</v>
      </c>
      <c r="O2756">
        <v>54.107463727589703</v>
      </c>
      <c r="P2756">
        <v>-5.27638873428097E-2</v>
      </c>
      <c r="Q2756">
        <v>7.7564771803986798E-2</v>
      </c>
      <c r="R2756">
        <v>0.99326399057688097</v>
      </c>
      <c r="S2756" t="s">
        <v>7496</v>
      </c>
      <c r="T2756" t="s">
        <v>9478</v>
      </c>
      <c r="U2756" t="s">
        <v>9478</v>
      </c>
      <c r="V2756" t="s">
        <v>9478</v>
      </c>
      <c r="W2756">
        <v>2</v>
      </c>
      <c r="X2756" t="s">
        <v>12234</v>
      </c>
      <c r="Y2756">
        <v>0.57396427400158812</v>
      </c>
      <c r="Z2756" t="str">
        <f>HYPERLINK("Melting_Curves/meltCurve_sp_Q92539_LPIN2_HUMAN_.pdf", "Melting_Curves/meltCurve_sp_Q92539_LPIN2_HUMAN_.pdf")</f>
        <v>Melting_Curves/meltCurve_sp_Q92539_LPIN2_HUMAN_.pdf</v>
      </c>
      <c r="AA2756" t="s">
        <v>16926</v>
      </c>
      <c r="AB2756" t="s">
        <v>21590</v>
      </c>
    </row>
    <row r="2757" spans="1:28" x14ac:dyDescent="0.25">
      <c r="A2757" t="s">
        <v>2761</v>
      </c>
      <c r="B2757">
        <v>0.99904790336628502</v>
      </c>
      <c r="C2757">
        <v>1.01077838521592</v>
      </c>
      <c r="D2757">
        <v>0.99310062792963405</v>
      </c>
      <c r="E2757">
        <v>0.92516584072296404</v>
      </c>
      <c r="F2757">
        <v>0.826738793504327</v>
      </c>
      <c r="G2757">
        <v>0.53183298068380302</v>
      </c>
      <c r="H2757">
        <v>0.41848361401752898</v>
      </c>
      <c r="I2757">
        <v>0.371057500053255</v>
      </c>
      <c r="J2757">
        <v>0.33080877081782201</v>
      </c>
      <c r="K2757">
        <v>0.39057715604547999</v>
      </c>
      <c r="L2757">
        <v>1349.1035746427301</v>
      </c>
      <c r="M2757">
        <v>24.574519689507401</v>
      </c>
      <c r="N2757">
        <v>57.8350334326203</v>
      </c>
      <c r="O2757">
        <v>54.538813333866202</v>
      </c>
      <c r="P2757">
        <v>-7.2497540547014197E-2</v>
      </c>
      <c r="Q2757">
        <v>0.35642723021427197</v>
      </c>
      <c r="R2757">
        <v>0.99598714862636295</v>
      </c>
      <c r="S2757" t="s">
        <v>7497</v>
      </c>
      <c r="T2757" t="s">
        <v>9478</v>
      </c>
      <c r="U2757" t="s">
        <v>9478</v>
      </c>
      <c r="V2757" t="s">
        <v>9478</v>
      </c>
      <c r="W2757">
        <v>14</v>
      </c>
      <c r="X2757" t="s">
        <v>12235</v>
      </c>
      <c r="Y2757">
        <v>0.68217342023287419</v>
      </c>
      <c r="Z2757" t="str">
        <f>HYPERLINK("Melting_Curves/meltCurve_sp_Q92541_RTF1_HUMAN_.pdf", "Melting_Curves/meltCurve_sp_Q92541_RTF1_HUMAN_.pdf")</f>
        <v>Melting_Curves/meltCurve_sp_Q92541_RTF1_HUMAN_.pdf</v>
      </c>
      <c r="AA2757" t="s">
        <v>16927</v>
      </c>
      <c r="AB2757" t="s">
        <v>21591</v>
      </c>
    </row>
    <row r="2758" spans="1:28" x14ac:dyDescent="0.25">
      <c r="A2758" t="s">
        <v>2762</v>
      </c>
      <c r="B2758">
        <v>0.99904790336628502</v>
      </c>
      <c r="C2758">
        <v>0.98502574676340504</v>
      </c>
      <c r="D2758">
        <v>0.981552003489362</v>
      </c>
      <c r="E2758">
        <v>0.74541570767625298</v>
      </c>
      <c r="F2758">
        <v>0.65222303709410701</v>
      </c>
      <c r="G2758">
        <v>0.15530393780270099</v>
      </c>
      <c r="H2758">
        <v>4.3043826171708301E-2</v>
      </c>
      <c r="I2758">
        <v>1.9869869528008101E-2</v>
      </c>
      <c r="J2758">
        <v>1.3137585842425199E-2</v>
      </c>
      <c r="K2758">
        <v>1.8689485240527499E-2</v>
      </c>
      <c r="L2758">
        <v>1207.08850812832</v>
      </c>
      <c r="M2758">
        <v>22.519989284027201</v>
      </c>
      <c r="N2758">
        <v>53.600760863701097</v>
      </c>
      <c r="O2758">
        <v>53.183455240245102</v>
      </c>
      <c r="P2758">
        <v>-0.105862058992203</v>
      </c>
      <c r="Q2758">
        <v>0</v>
      </c>
      <c r="R2758">
        <v>0.98935454871406903</v>
      </c>
      <c r="S2758" t="s">
        <v>7498</v>
      </c>
      <c r="T2758" t="s">
        <v>9478</v>
      </c>
      <c r="U2758" t="s">
        <v>9478</v>
      </c>
      <c r="V2758" t="s">
        <v>9478</v>
      </c>
      <c r="W2758">
        <v>1</v>
      </c>
      <c r="X2758" t="s">
        <v>12236</v>
      </c>
      <c r="Y2758">
        <v>0.46451736175036168</v>
      </c>
      <c r="Z2758" t="str">
        <f>HYPERLINK("Melting_Curves/meltCurve_sp_Q92546_RGP1_HUMAN_.pdf", "Melting_Curves/meltCurve_sp_Q92546_RGP1_HUMAN_.pdf")</f>
        <v>Melting_Curves/meltCurve_sp_Q92546_RGP1_HUMAN_.pdf</v>
      </c>
      <c r="AA2758" t="s">
        <v>16928</v>
      </c>
      <c r="AB2758" t="s">
        <v>21592</v>
      </c>
    </row>
    <row r="2759" spans="1:28" x14ac:dyDescent="0.25">
      <c r="A2759" t="s">
        <v>2763</v>
      </c>
      <c r="B2759">
        <v>0.99904790336628502</v>
      </c>
      <c r="C2759">
        <v>0.98475689882981898</v>
      </c>
      <c r="D2759">
        <v>0.89995380928718505</v>
      </c>
      <c r="E2759">
        <v>0.63220137818694999</v>
      </c>
      <c r="F2759">
        <v>0.51497423892874905</v>
      </c>
      <c r="G2759">
        <v>0.31411725574425398</v>
      </c>
      <c r="H2759">
        <v>0.21111980370153499</v>
      </c>
      <c r="I2759">
        <v>0.16717327630387899</v>
      </c>
      <c r="J2759">
        <v>0.16299969879478099</v>
      </c>
      <c r="K2759">
        <v>0.16884089959726101</v>
      </c>
      <c r="L2759">
        <v>785.08121603561005</v>
      </c>
      <c r="M2759">
        <v>15.2076108453762</v>
      </c>
      <c r="N2759">
        <v>52.769585596295897</v>
      </c>
      <c r="O2759">
        <v>50.756276783953098</v>
      </c>
      <c r="P2759">
        <v>-6.4382301847200799E-2</v>
      </c>
      <c r="Q2759">
        <v>0.14056388482148599</v>
      </c>
      <c r="R2759">
        <v>0.99646135544785197</v>
      </c>
      <c r="S2759" t="s">
        <v>7499</v>
      </c>
      <c r="T2759" t="s">
        <v>9478</v>
      </c>
      <c r="U2759" t="s">
        <v>9478</v>
      </c>
      <c r="V2759" t="s">
        <v>9478</v>
      </c>
      <c r="W2759">
        <v>1</v>
      </c>
      <c r="X2759" t="s">
        <v>12237</v>
      </c>
      <c r="Y2759">
        <v>0.49261555247245159</v>
      </c>
      <c r="Z2759" t="str">
        <f>HYPERLINK("Melting_Curves/meltCurve_sp_Q92551_IP6K1_HUMAN_.pdf", "Melting_Curves/meltCurve_sp_Q92551_IP6K1_HUMAN_.pdf")</f>
        <v>Melting_Curves/meltCurve_sp_Q92551_IP6K1_HUMAN_.pdf</v>
      </c>
      <c r="AA2759" t="s">
        <v>16929</v>
      </c>
      <c r="AB2759" t="s">
        <v>21593</v>
      </c>
    </row>
    <row r="2760" spans="1:28" x14ac:dyDescent="0.25">
      <c r="A2760" t="s">
        <v>2764</v>
      </c>
      <c r="B2760">
        <v>0.99904790336628502</v>
      </c>
      <c r="C2760">
        <v>1.319189790686</v>
      </c>
      <c r="D2760">
        <v>1.1297130576822401</v>
      </c>
      <c r="E2760">
        <v>1.0067503172030099</v>
      </c>
      <c r="F2760">
        <v>0.89789989615356602</v>
      </c>
      <c r="G2760">
        <v>0.80170395041464004</v>
      </c>
      <c r="H2760">
        <v>0.713166952906234</v>
      </c>
      <c r="I2760">
        <v>0.85897243639905896</v>
      </c>
      <c r="J2760">
        <v>1.22440827422245</v>
      </c>
      <c r="K2760">
        <v>1.2204504656962201</v>
      </c>
      <c r="L2760">
        <v>15000</v>
      </c>
      <c r="M2760">
        <v>227.45131382009501</v>
      </c>
      <c r="O2760">
        <v>65.943094334204602</v>
      </c>
      <c r="P2760">
        <v>0.19433925516930201</v>
      </c>
      <c r="Q2760">
        <v>1.2253727002729899</v>
      </c>
      <c r="R2760">
        <v>0.26155749768417003</v>
      </c>
      <c r="S2760" t="s">
        <v>7500</v>
      </c>
      <c r="T2760" t="s">
        <v>9478</v>
      </c>
      <c r="U2760" t="s">
        <v>9478</v>
      </c>
      <c r="V2760" t="s">
        <v>9478</v>
      </c>
      <c r="W2760">
        <v>7</v>
      </c>
      <c r="X2760" t="s">
        <v>12238</v>
      </c>
      <c r="Y2760">
        <v>1.030407484223776</v>
      </c>
      <c r="Z2760" t="str">
        <f>HYPERLINK("Melting_Curves/meltCurve_sp_Q92552_RT27_HUMAN_.pdf", "Melting_Curves/meltCurve_sp_Q92552_RT27_HUMAN_.pdf")</f>
        <v>Melting_Curves/meltCurve_sp_Q92552_RT27_HUMAN_.pdf</v>
      </c>
      <c r="AA2760" t="s">
        <v>16930</v>
      </c>
      <c r="AB2760" t="s">
        <v>21594</v>
      </c>
    </row>
    <row r="2761" spans="1:28" x14ac:dyDescent="0.25">
      <c r="A2761" t="s">
        <v>2765</v>
      </c>
      <c r="B2761">
        <v>0.99904790336628502</v>
      </c>
      <c r="C2761">
        <v>1.06457540713969</v>
      </c>
      <c r="D2761">
        <v>0.92422883195822103</v>
      </c>
      <c r="E2761">
        <v>0.69526818675823499</v>
      </c>
      <c r="F2761">
        <v>0.26546860038661202</v>
      </c>
      <c r="G2761">
        <v>0.13810859812428999</v>
      </c>
      <c r="H2761">
        <v>9.7258820404339197E-2</v>
      </c>
      <c r="I2761">
        <v>7.8059766136277894E-2</v>
      </c>
      <c r="J2761">
        <v>6.7738832865740006E-2</v>
      </c>
      <c r="K2761">
        <v>5.5789161210326198E-2</v>
      </c>
      <c r="L2761">
        <v>1619.08480444571</v>
      </c>
      <c r="M2761">
        <v>31.763975185921101</v>
      </c>
      <c r="N2761">
        <v>51.242535634334601</v>
      </c>
      <c r="O2761">
        <v>50.771608028027899</v>
      </c>
      <c r="P2761">
        <v>-0.14434836166642501</v>
      </c>
      <c r="Q2761">
        <v>7.7097881727442599E-2</v>
      </c>
      <c r="R2761">
        <v>0.99443425232694305</v>
      </c>
      <c r="S2761" t="s">
        <v>7501</v>
      </c>
      <c r="T2761" t="s">
        <v>9478</v>
      </c>
      <c r="U2761" t="s">
        <v>9478</v>
      </c>
      <c r="V2761" t="s">
        <v>9478</v>
      </c>
      <c r="W2761">
        <v>10</v>
      </c>
      <c r="X2761" t="s">
        <v>12239</v>
      </c>
      <c r="Y2761">
        <v>0.4198169430854764</v>
      </c>
      <c r="Z2761" t="str">
        <f>HYPERLINK("Melting_Curves/meltCurve_sp_Q92556_ELMO1_HUMAN_.pdf", "Melting_Curves/meltCurve_sp_Q92556_ELMO1_HUMAN_.pdf")</f>
        <v>Melting_Curves/meltCurve_sp_Q92556_ELMO1_HUMAN_.pdf</v>
      </c>
      <c r="AA2761" t="s">
        <v>16931</v>
      </c>
      <c r="AB2761" t="s">
        <v>21595</v>
      </c>
    </row>
    <row r="2762" spans="1:28" x14ac:dyDescent="0.25">
      <c r="A2762" t="s">
        <v>2766</v>
      </c>
      <c r="B2762">
        <v>0.99904790336628502</v>
      </c>
      <c r="C2762">
        <v>0.84547979715376997</v>
      </c>
      <c r="D2762">
        <v>0.92780526672243802</v>
      </c>
      <c r="E2762">
        <v>0.79350259552066704</v>
      </c>
      <c r="F2762">
        <v>0.53425746495544901</v>
      </c>
      <c r="G2762">
        <v>0.19603860680431601</v>
      </c>
      <c r="H2762">
        <v>0.100306094647855</v>
      </c>
      <c r="I2762">
        <v>7.7477109452811999E-2</v>
      </c>
      <c r="J2762">
        <v>6.52318311603311E-2</v>
      </c>
      <c r="K2762">
        <v>7.8255559593807894E-2</v>
      </c>
      <c r="L2762">
        <v>1099.9801519508301</v>
      </c>
      <c r="M2762">
        <v>20.800598477235699</v>
      </c>
      <c r="N2762">
        <v>53.165451023274201</v>
      </c>
      <c r="O2762">
        <v>52.400644477202199</v>
      </c>
      <c r="P2762">
        <v>-9.4034939089894104E-2</v>
      </c>
      <c r="Q2762">
        <v>5.2459170762737199E-2</v>
      </c>
      <c r="R2762">
        <v>0.98278262191724797</v>
      </c>
      <c r="S2762" t="s">
        <v>7502</v>
      </c>
      <c r="T2762" t="s">
        <v>9478</v>
      </c>
      <c r="U2762" t="s">
        <v>9478</v>
      </c>
      <c r="V2762" t="s">
        <v>9478</v>
      </c>
      <c r="W2762">
        <v>2</v>
      </c>
      <c r="X2762" t="s">
        <v>12240</v>
      </c>
      <c r="Y2762">
        <v>0.47152394647612722</v>
      </c>
      <c r="Z2762" t="str">
        <f>HYPERLINK("Melting_Curves/meltCurve_sp_Q92572_AP3S1_HUMAN_.pdf", "Melting_Curves/meltCurve_sp_Q92572_AP3S1_HUMAN_.pdf")</f>
        <v>Melting_Curves/meltCurve_sp_Q92572_AP3S1_HUMAN_.pdf</v>
      </c>
      <c r="AA2762" t="s">
        <v>16932</v>
      </c>
      <c r="AB2762" t="s">
        <v>21596</v>
      </c>
    </row>
    <row r="2763" spans="1:28" x14ac:dyDescent="0.25">
      <c r="A2763" t="s">
        <v>2767</v>
      </c>
      <c r="B2763">
        <v>0.99904790336628502</v>
      </c>
      <c r="C2763">
        <v>1.28506672519876</v>
      </c>
      <c r="D2763">
        <v>1.36473462725724</v>
      </c>
      <c r="E2763">
        <v>0.65132449981542295</v>
      </c>
      <c r="F2763">
        <v>0.58246042101364803</v>
      </c>
      <c r="G2763">
        <v>0.32522285112087401</v>
      </c>
      <c r="H2763">
        <v>0.25279928626468701</v>
      </c>
      <c r="I2763">
        <v>0.17492599348958199</v>
      </c>
      <c r="J2763">
        <v>0.24781202358933399</v>
      </c>
      <c r="K2763">
        <v>0.24768114777293199</v>
      </c>
      <c r="L2763">
        <v>1423.38363194575</v>
      </c>
      <c r="M2763">
        <v>27.412075149289102</v>
      </c>
      <c r="N2763">
        <v>53.166817306742502</v>
      </c>
      <c r="O2763">
        <v>51.651440290612399</v>
      </c>
      <c r="P2763">
        <v>-0.10131821357121</v>
      </c>
      <c r="Q2763">
        <v>0.236368232894407</v>
      </c>
      <c r="R2763">
        <v>0.85602690817529603</v>
      </c>
      <c r="S2763" t="s">
        <v>7503</v>
      </c>
      <c r="T2763" t="s">
        <v>9478</v>
      </c>
      <c r="U2763" t="s">
        <v>9478</v>
      </c>
      <c r="V2763" t="s">
        <v>9478</v>
      </c>
      <c r="W2763">
        <v>1</v>
      </c>
      <c r="X2763" t="s">
        <v>12241</v>
      </c>
      <c r="Y2763">
        <v>0.54574581216714413</v>
      </c>
      <c r="Z2763" t="str">
        <f>HYPERLINK("Melting_Curves/meltCurve_sp_Q92574_2_TSC1_HUMAN_.pdf", "Melting_Curves/meltCurve_sp_Q92574_2_TSC1_HUMAN_.pdf")</f>
        <v>Melting_Curves/meltCurve_sp_Q92574_2_TSC1_HUMAN_.pdf</v>
      </c>
      <c r="AA2763" t="s">
        <v>16933</v>
      </c>
      <c r="AB2763" t="s">
        <v>21597</v>
      </c>
    </row>
    <row r="2764" spans="1:28" x14ac:dyDescent="0.25">
      <c r="A2764" t="s">
        <v>2768</v>
      </c>
      <c r="B2764">
        <v>0.99904790336628502</v>
      </c>
      <c r="C2764">
        <v>1.00178404316117</v>
      </c>
      <c r="D2764">
        <v>0.96191178497667296</v>
      </c>
      <c r="E2764">
        <v>0.56277727415066503</v>
      </c>
      <c r="F2764">
        <v>0.44481843268780302</v>
      </c>
      <c r="G2764">
        <v>0.35117860284660601</v>
      </c>
      <c r="H2764">
        <v>0.38648877626149197</v>
      </c>
      <c r="I2764">
        <v>0.40208985667581298</v>
      </c>
      <c r="J2764">
        <v>0.350004908106757</v>
      </c>
      <c r="K2764">
        <v>0.41863515800185203</v>
      </c>
      <c r="L2764">
        <v>1910.0083866643299</v>
      </c>
      <c r="M2764">
        <v>39.035028954663602</v>
      </c>
      <c r="N2764">
        <v>50.853771571416502</v>
      </c>
      <c r="O2764">
        <v>48.8027495251538</v>
      </c>
      <c r="P2764">
        <v>-0.12282845439534699</v>
      </c>
      <c r="Q2764">
        <v>0.38574649030427599</v>
      </c>
      <c r="R2764">
        <v>0.99294093963980901</v>
      </c>
      <c r="S2764" t="s">
        <v>7504</v>
      </c>
      <c r="T2764" t="s">
        <v>9478</v>
      </c>
      <c r="U2764" t="s">
        <v>9478</v>
      </c>
      <c r="V2764" t="s">
        <v>9478</v>
      </c>
      <c r="W2764">
        <v>3</v>
      </c>
      <c r="X2764" t="s">
        <v>12242</v>
      </c>
      <c r="Y2764">
        <v>0.5707874812467657</v>
      </c>
      <c r="Z2764" t="str">
        <f>HYPERLINK("Melting_Curves/meltCurve_sp_Q92575_UBXN4_HUMAN_.pdf", "Melting_Curves/meltCurve_sp_Q92575_UBXN4_HUMAN_.pdf")</f>
        <v>Melting_Curves/meltCurve_sp_Q92575_UBXN4_HUMAN_.pdf</v>
      </c>
      <c r="AA2764" t="s">
        <v>16934</v>
      </c>
      <c r="AB2764" t="s">
        <v>21598</v>
      </c>
    </row>
    <row r="2765" spans="1:28" x14ac:dyDescent="0.25">
      <c r="A2765" t="s">
        <v>2769</v>
      </c>
      <c r="B2765">
        <v>0.99904790336628502</v>
      </c>
      <c r="C2765">
        <v>1.0558908985473501</v>
      </c>
      <c r="D2765">
        <v>0.99662176040370398</v>
      </c>
      <c r="E2765">
        <v>0.91349989695100697</v>
      </c>
      <c r="F2765">
        <v>0.87399564048923495</v>
      </c>
      <c r="G2765">
        <v>0.70203483907839404</v>
      </c>
      <c r="H2765">
        <v>0.55947227705152602</v>
      </c>
      <c r="I2765">
        <v>0.58905196021975703</v>
      </c>
      <c r="J2765">
        <v>0.608209307479054</v>
      </c>
      <c r="K2765">
        <v>0.59840841488637497</v>
      </c>
      <c r="L2765">
        <v>1284.37431727283</v>
      </c>
      <c r="M2765">
        <v>23.598375614992801</v>
      </c>
      <c r="O2765">
        <v>54.040065211523697</v>
      </c>
      <c r="P2765">
        <v>-4.58027997304759E-2</v>
      </c>
      <c r="Q2765">
        <v>0.58045509821331398</v>
      </c>
      <c r="R2765">
        <v>0.97476031778703198</v>
      </c>
      <c r="S2765" t="s">
        <v>7505</v>
      </c>
      <c r="T2765" t="s">
        <v>9478</v>
      </c>
      <c r="U2765" t="s">
        <v>9478</v>
      </c>
      <c r="V2765" t="s">
        <v>9478</v>
      </c>
      <c r="W2765">
        <v>14</v>
      </c>
      <c r="X2765" t="s">
        <v>12243</v>
      </c>
      <c r="Y2765">
        <v>0.78650793388914919</v>
      </c>
      <c r="Z2765" t="str">
        <f>HYPERLINK("Melting_Curves/meltCurve_sp_Q92576_2_PHF3_HUMAN_.pdf", "Melting_Curves/meltCurve_sp_Q92576_2_PHF3_HUMAN_.pdf")</f>
        <v>Melting_Curves/meltCurve_sp_Q92576_2_PHF3_HUMAN_.pdf</v>
      </c>
      <c r="AA2765" t="s">
        <v>16935</v>
      </c>
      <c r="AB2765" t="s">
        <v>21599</v>
      </c>
    </row>
    <row r="2766" spans="1:28" x14ac:dyDescent="0.25">
      <c r="A2766" t="s">
        <v>2770</v>
      </c>
      <c r="B2766">
        <v>0.99904790336628502</v>
      </c>
      <c r="C2766">
        <v>0.99740270755204397</v>
      </c>
      <c r="D2766">
        <v>0.91489529492719301</v>
      </c>
      <c r="E2766">
        <v>0.93653201358833704</v>
      </c>
      <c r="F2766">
        <v>0.80510376335492095</v>
      </c>
      <c r="G2766">
        <v>0.224852228027695</v>
      </c>
      <c r="H2766">
        <v>7.8230840486216702E-2</v>
      </c>
      <c r="I2766">
        <v>5.1031636879045099E-2</v>
      </c>
      <c r="J2766">
        <v>4.3138409606151999E-2</v>
      </c>
      <c r="K2766">
        <v>3.5481144042181702E-2</v>
      </c>
      <c r="L2766">
        <v>2010.3230543053801</v>
      </c>
      <c r="M2766">
        <v>36.653278248995299</v>
      </c>
      <c r="N2766">
        <v>54.981807575547101</v>
      </c>
      <c r="O2766">
        <v>54.684525858797102</v>
      </c>
      <c r="P2766">
        <v>-0.16036777767588301</v>
      </c>
      <c r="Q2766">
        <v>4.2965830184929998E-2</v>
      </c>
      <c r="R2766">
        <v>0.99510200496038803</v>
      </c>
      <c r="S2766" t="s">
        <v>7506</v>
      </c>
      <c r="T2766" t="s">
        <v>9478</v>
      </c>
      <c r="U2766" t="s">
        <v>9478</v>
      </c>
      <c r="V2766" t="s">
        <v>9478</v>
      </c>
      <c r="W2766">
        <v>8</v>
      </c>
      <c r="X2766" t="s">
        <v>12244</v>
      </c>
      <c r="Y2766">
        <v>0.52090241196627207</v>
      </c>
      <c r="Z2766" t="str">
        <f>HYPERLINK("Melting_Curves/meltCurve_sp_Q92597_NDRG1_HUMAN_.pdf", "Melting_Curves/meltCurve_sp_Q92597_NDRG1_HUMAN_.pdf")</f>
        <v>Melting_Curves/meltCurve_sp_Q92597_NDRG1_HUMAN_.pdf</v>
      </c>
      <c r="AA2766" t="s">
        <v>16936</v>
      </c>
      <c r="AB2766" t="s">
        <v>21600</v>
      </c>
    </row>
    <row r="2767" spans="1:28" x14ac:dyDescent="0.25">
      <c r="A2767" t="s">
        <v>2771</v>
      </c>
      <c r="B2767">
        <v>0.99904790336628502</v>
      </c>
      <c r="C2767">
        <v>0.99718440227956495</v>
      </c>
      <c r="D2767">
        <v>1.0490768805453601</v>
      </c>
      <c r="E2767">
        <v>0.81043469274924596</v>
      </c>
      <c r="F2767">
        <v>0.43482441008594203</v>
      </c>
      <c r="G2767">
        <v>0.25332353150432901</v>
      </c>
      <c r="H2767">
        <v>0.146321253350326</v>
      </c>
      <c r="I2767">
        <v>0.10923504937414399</v>
      </c>
      <c r="J2767">
        <v>0.10024629676216</v>
      </c>
      <c r="K2767">
        <v>7.9928902948634598E-2</v>
      </c>
      <c r="L2767">
        <v>1423.5152803589899</v>
      </c>
      <c r="M2767">
        <v>27.240708734878101</v>
      </c>
      <c r="N2767">
        <v>52.743542679390401</v>
      </c>
      <c r="O2767">
        <v>51.977730260475099</v>
      </c>
      <c r="P2767">
        <v>-0.116463323623377</v>
      </c>
      <c r="Q2767">
        <v>0.111118412092299</v>
      </c>
      <c r="R2767">
        <v>0.99270656470875995</v>
      </c>
      <c r="S2767" t="s">
        <v>7507</v>
      </c>
      <c r="T2767" t="s">
        <v>9478</v>
      </c>
      <c r="U2767" t="s">
        <v>9478</v>
      </c>
      <c r="V2767" t="s">
        <v>9478</v>
      </c>
      <c r="W2767">
        <v>34</v>
      </c>
      <c r="X2767" t="s">
        <v>12245</v>
      </c>
      <c r="Y2767">
        <v>0.48117460851696331</v>
      </c>
      <c r="Z2767" t="str">
        <f>HYPERLINK("Melting_Curves/meltCurve_sp_Q92598_2_HS105_HUMAN_.pdf", "Melting_Curves/meltCurve_sp_Q92598_2_HS105_HUMAN_.pdf")</f>
        <v>Melting_Curves/meltCurve_sp_Q92598_2_HS105_HUMAN_.pdf</v>
      </c>
      <c r="AA2767" t="s">
        <v>16937</v>
      </c>
      <c r="AB2767" t="s">
        <v>21601</v>
      </c>
    </row>
    <row r="2768" spans="1:28" x14ac:dyDescent="0.25">
      <c r="A2768" t="s">
        <v>2772</v>
      </c>
      <c r="B2768">
        <v>0.99904790336628502</v>
      </c>
      <c r="C2768">
        <v>1.0013391470801301</v>
      </c>
      <c r="D2768">
        <v>1.06370432164321</v>
      </c>
      <c r="E2768">
        <v>0.99376962198617602</v>
      </c>
      <c r="F2768">
        <v>0.85565920530049799</v>
      </c>
      <c r="G2768">
        <v>0.50132753232524396</v>
      </c>
      <c r="H2768">
        <v>0.25017145095071702</v>
      </c>
      <c r="I2768">
        <v>0.12042042971549601</v>
      </c>
      <c r="J2768">
        <v>4.4893701386943902E-2</v>
      </c>
      <c r="K2768">
        <v>3.5093644830000902E-2</v>
      </c>
      <c r="L2768">
        <v>1254.7287605449501</v>
      </c>
      <c r="M2768">
        <v>21.944042522384098</v>
      </c>
      <c r="N2768">
        <v>57.306547034761898</v>
      </c>
      <c r="O2768">
        <v>56.710076994518602</v>
      </c>
      <c r="P2768">
        <v>-9.4426609151450402E-2</v>
      </c>
      <c r="Q2768">
        <v>2.3913879267139001E-2</v>
      </c>
      <c r="R2768">
        <v>0.99548674540291104</v>
      </c>
      <c r="S2768" t="s">
        <v>7508</v>
      </c>
      <c r="T2768" t="s">
        <v>9478</v>
      </c>
      <c r="U2768" t="s">
        <v>9478</v>
      </c>
      <c r="V2768" t="s">
        <v>9478</v>
      </c>
      <c r="W2768">
        <v>9</v>
      </c>
      <c r="X2768" t="s">
        <v>12246</v>
      </c>
      <c r="Y2768">
        <v>0.59337188107001837</v>
      </c>
      <c r="Z2768" t="str">
        <f>HYPERLINK("Melting_Curves/meltCurve_sp_Q92599_2_SEPT8_HUMAN_.pdf", "Melting_Curves/meltCurve_sp_Q92599_2_SEPT8_HUMAN_.pdf")</f>
        <v>Melting_Curves/meltCurve_sp_Q92599_2_SEPT8_HUMAN_.pdf</v>
      </c>
      <c r="AA2768" t="s">
        <v>16938</v>
      </c>
      <c r="AB2768" t="s">
        <v>21602</v>
      </c>
    </row>
    <row r="2769" spans="1:28" x14ac:dyDescent="0.25">
      <c r="A2769" t="s">
        <v>2773</v>
      </c>
      <c r="B2769">
        <v>0.99904790336628502</v>
      </c>
      <c r="C2769">
        <v>1.0657695174925601</v>
      </c>
      <c r="D2769">
        <v>1.1715582192037799</v>
      </c>
      <c r="E2769">
        <v>1.01453320459862</v>
      </c>
      <c r="F2769">
        <v>0.80884838468034903</v>
      </c>
      <c r="G2769">
        <v>0.43400456461282799</v>
      </c>
      <c r="H2769">
        <v>0.29501829049268702</v>
      </c>
      <c r="I2769">
        <v>0.21695507056560201</v>
      </c>
      <c r="J2769">
        <v>0.19504496121294801</v>
      </c>
      <c r="K2769">
        <v>0.130833640470391</v>
      </c>
      <c r="L2769">
        <v>1526.10470492338</v>
      </c>
      <c r="M2769">
        <v>27.484894422450498</v>
      </c>
      <c r="N2769">
        <v>56.452351528010198</v>
      </c>
      <c r="O2769">
        <v>55.233759610438497</v>
      </c>
      <c r="P2769">
        <v>-0.101808286845506</v>
      </c>
      <c r="Q2769">
        <v>0.181629879280407</v>
      </c>
      <c r="R2769">
        <v>0.97203538086496999</v>
      </c>
      <c r="S2769" t="s">
        <v>7509</v>
      </c>
      <c r="T2769" t="s">
        <v>9478</v>
      </c>
      <c r="U2769" t="s">
        <v>9478</v>
      </c>
      <c r="V2769" t="s">
        <v>9478</v>
      </c>
      <c r="W2769">
        <v>2</v>
      </c>
      <c r="X2769" t="s">
        <v>12247</v>
      </c>
      <c r="Y2769">
        <v>0.6115360014906609</v>
      </c>
      <c r="Z2769" t="str">
        <f>HYPERLINK("Melting_Curves/meltCurve_sp_Q92600_RCD1_HUMAN_.pdf", "Melting_Curves/meltCurve_sp_Q92600_RCD1_HUMAN_.pdf")</f>
        <v>Melting_Curves/meltCurve_sp_Q92600_RCD1_HUMAN_.pdf</v>
      </c>
      <c r="AA2769" t="s">
        <v>16939</v>
      </c>
      <c r="AB2769" t="s">
        <v>21603</v>
      </c>
    </row>
    <row r="2770" spans="1:28" x14ac:dyDescent="0.25">
      <c r="A2770" t="s">
        <v>2774</v>
      </c>
      <c r="B2770">
        <v>0.99904790336628502</v>
      </c>
      <c r="C2770">
        <v>1.0312540348607599</v>
      </c>
      <c r="D2770">
        <v>1.0512053745499901</v>
      </c>
      <c r="E2770">
        <v>0.94218010991037304</v>
      </c>
      <c r="F2770">
        <v>0.76521771389827797</v>
      </c>
      <c r="G2770">
        <v>0.37369048586272102</v>
      </c>
      <c r="H2770">
        <v>0.25536012999019703</v>
      </c>
      <c r="I2770">
        <v>0.218605382728493</v>
      </c>
      <c r="J2770">
        <v>0.21759330545328401</v>
      </c>
      <c r="K2770">
        <v>0.209919770838396</v>
      </c>
      <c r="L2770">
        <v>1644.71084914997</v>
      </c>
      <c r="M2770">
        <v>30.193495409840502</v>
      </c>
      <c r="N2770">
        <v>55.499731150323299</v>
      </c>
      <c r="O2770">
        <v>54.2350837356786</v>
      </c>
      <c r="P2770">
        <v>-0.109383058010979</v>
      </c>
      <c r="Q2770">
        <v>0.214087467245656</v>
      </c>
      <c r="R2770">
        <v>0.99679006237833601</v>
      </c>
      <c r="S2770" t="s">
        <v>7510</v>
      </c>
      <c r="T2770" t="s">
        <v>9478</v>
      </c>
      <c r="U2770" t="s">
        <v>9478</v>
      </c>
      <c r="V2770" t="s">
        <v>9478</v>
      </c>
      <c r="W2770">
        <v>7</v>
      </c>
      <c r="X2770" t="s">
        <v>12248</v>
      </c>
      <c r="Y2770">
        <v>0.59834634037156076</v>
      </c>
      <c r="Z2770" t="str">
        <f>HYPERLINK("Melting_Curves/meltCurve_sp_Q92609_TBCD5_HUMAN_.pdf", "Melting_Curves/meltCurve_sp_Q92609_TBCD5_HUMAN_.pdf")</f>
        <v>Melting_Curves/meltCurve_sp_Q92609_TBCD5_HUMAN_.pdf</v>
      </c>
      <c r="AA2770" t="s">
        <v>16940</v>
      </c>
      <c r="AB2770" t="s">
        <v>21604</v>
      </c>
    </row>
    <row r="2771" spans="1:28" x14ac:dyDescent="0.25">
      <c r="A2771" t="s">
        <v>2775</v>
      </c>
      <c r="B2771">
        <v>0.99904790336628502</v>
      </c>
      <c r="C2771">
        <v>1.0519673317901399</v>
      </c>
      <c r="D2771">
        <v>1.0691141239848301</v>
      </c>
      <c r="E2771">
        <v>0.76649916977551202</v>
      </c>
      <c r="F2771">
        <v>0.34481600586375</v>
      </c>
      <c r="G2771">
        <v>0.19331309547598699</v>
      </c>
      <c r="H2771">
        <v>0.138239688749109</v>
      </c>
      <c r="I2771">
        <v>0.110738891977401</v>
      </c>
      <c r="J2771">
        <v>0.100173813417009</v>
      </c>
      <c r="K2771">
        <v>9.16644073958683E-2</v>
      </c>
      <c r="L2771">
        <v>1841.8801628341901</v>
      </c>
      <c r="M2771">
        <v>35.778634910610997</v>
      </c>
      <c r="N2771">
        <v>51.874732845294602</v>
      </c>
      <c r="O2771">
        <v>51.319861316635802</v>
      </c>
      <c r="P2771">
        <v>-0.15351660810579301</v>
      </c>
      <c r="Q2771">
        <v>0.119203334755996</v>
      </c>
      <c r="R2771">
        <v>0.99211743337738201</v>
      </c>
      <c r="S2771" t="s">
        <v>7511</v>
      </c>
      <c r="T2771" t="s">
        <v>9478</v>
      </c>
      <c r="U2771" t="s">
        <v>9478</v>
      </c>
      <c r="V2771" t="s">
        <v>9478</v>
      </c>
      <c r="W2771">
        <v>38</v>
      </c>
      <c r="X2771" t="s">
        <v>12249</v>
      </c>
      <c r="Y2771">
        <v>0.46017327674394998</v>
      </c>
      <c r="Z2771" t="str">
        <f>HYPERLINK("Melting_Curves/meltCurve_sp_Q92614_4_MY18A_HUMAN_.pdf", "Melting_Curves/meltCurve_sp_Q92614_4_MY18A_HUMAN_.pdf")</f>
        <v>Melting_Curves/meltCurve_sp_Q92614_4_MY18A_HUMAN_.pdf</v>
      </c>
      <c r="AA2771" t="s">
        <v>16941</v>
      </c>
      <c r="AB2771" t="s">
        <v>21605</v>
      </c>
    </row>
    <row r="2772" spans="1:28" x14ac:dyDescent="0.25">
      <c r="A2772" t="s">
        <v>2776</v>
      </c>
      <c r="B2772">
        <v>0.99904790336628502</v>
      </c>
      <c r="C2772">
        <v>0.825623145696469</v>
      </c>
      <c r="D2772">
        <v>0.80153043032792204</v>
      </c>
      <c r="E2772">
        <v>0.81349380860158604</v>
      </c>
      <c r="F2772">
        <v>1.07588266309787</v>
      </c>
      <c r="G2772">
        <v>0.55511875603828198</v>
      </c>
      <c r="H2772">
        <v>0.488921092459983</v>
      </c>
      <c r="I2772">
        <v>0.63471117088637496</v>
      </c>
      <c r="J2772">
        <v>0.75363266227636905</v>
      </c>
      <c r="K2772">
        <v>0.79519692620348803</v>
      </c>
      <c r="L2772">
        <v>392.21900788455201</v>
      </c>
      <c r="M2772">
        <v>8.0958998542697795</v>
      </c>
      <c r="O2772">
        <v>45.759414231343698</v>
      </c>
      <c r="P2772">
        <v>-1.5691095451328501E-2</v>
      </c>
      <c r="Q2772">
        <v>0.64562827438230397</v>
      </c>
      <c r="R2772">
        <v>0.29421563740203799</v>
      </c>
      <c r="S2772" t="s">
        <v>7512</v>
      </c>
      <c r="T2772" t="s">
        <v>9478</v>
      </c>
      <c r="U2772" t="s">
        <v>9478</v>
      </c>
      <c r="V2772" t="s">
        <v>9478</v>
      </c>
      <c r="W2772">
        <v>4</v>
      </c>
      <c r="X2772" t="s">
        <v>12250</v>
      </c>
      <c r="Y2772">
        <v>0.76971292998116314</v>
      </c>
      <c r="Z2772" t="str">
        <f>HYPERLINK("Melting_Curves/meltCurve_sp_Q92615_LAR4B_HUMAN_.pdf", "Melting_Curves/meltCurve_sp_Q92615_LAR4B_HUMAN_.pdf")</f>
        <v>Melting_Curves/meltCurve_sp_Q92615_LAR4B_HUMAN_.pdf</v>
      </c>
      <c r="AA2772" t="s">
        <v>16942</v>
      </c>
      <c r="AB2772" t="s">
        <v>21606</v>
      </c>
    </row>
    <row r="2773" spans="1:28" x14ac:dyDescent="0.25">
      <c r="A2773" t="s">
        <v>2777</v>
      </c>
      <c r="B2773">
        <v>0.99904790336628502</v>
      </c>
      <c r="C2773">
        <v>0.61154587056188103</v>
      </c>
      <c r="D2773">
        <v>0.34978350729727098</v>
      </c>
      <c r="E2773">
        <v>0.19926839813710301</v>
      </c>
      <c r="F2773">
        <v>0.13357144956613101</v>
      </c>
      <c r="G2773">
        <v>9.4341989144248295E-2</v>
      </c>
      <c r="H2773">
        <v>7.1019137353615897E-2</v>
      </c>
      <c r="I2773">
        <v>5.9721960512717699E-2</v>
      </c>
      <c r="J2773">
        <v>5.5780070442889303E-2</v>
      </c>
      <c r="K2773">
        <v>4.2046203573340497E-2</v>
      </c>
      <c r="L2773">
        <v>914.25013113482305</v>
      </c>
      <c r="M2773">
        <v>20.722712018860999</v>
      </c>
      <c r="N2773">
        <v>44.465015834000901</v>
      </c>
      <c r="O2773">
        <v>43.713587761729698</v>
      </c>
      <c r="P2773">
        <v>-0.109674938174137</v>
      </c>
      <c r="Q2773">
        <v>7.4609652197375503E-2</v>
      </c>
      <c r="R2773">
        <v>0.97954276479704405</v>
      </c>
      <c r="S2773" t="s">
        <v>7513</v>
      </c>
      <c r="T2773" t="s">
        <v>9478</v>
      </c>
      <c r="U2773" t="s">
        <v>9478</v>
      </c>
      <c r="V2773" t="s">
        <v>9478</v>
      </c>
      <c r="W2773">
        <v>36</v>
      </c>
      <c r="X2773" t="s">
        <v>12251</v>
      </c>
      <c r="Y2773">
        <v>0.2178988159028252</v>
      </c>
      <c r="Z2773" t="str">
        <f>HYPERLINK("Melting_Curves/meltCurve_sp_Q92616_GCN1L_HUMAN_.pdf", "Melting_Curves/meltCurve_sp_Q92616_GCN1L_HUMAN_.pdf")</f>
        <v>Melting_Curves/meltCurve_sp_Q92616_GCN1L_HUMAN_.pdf</v>
      </c>
      <c r="AA2773" t="s">
        <v>16943</v>
      </c>
      <c r="AB2773" t="s">
        <v>21607</v>
      </c>
    </row>
    <row r="2774" spans="1:28" x14ac:dyDescent="0.25">
      <c r="A2774" t="s">
        <v>2778</v>
      </c>
      <c r="B2774">
        <v>0.99904790336628502</v>
      </c>
      <c r="C2774">
        <v>0.95152303868171295</v>
      </c>
      <c r="D2774">
        <v>0.89803446792414598</v>
      </c>
      <c r="E2774">
        <v>0.53940807748666197</v>
      </c>
      <c r="F2774">
        <v>0.28760598873010002</v>
      </c>
      <c r="G2774">
        <v>0.210552796205877</v>
      </c>
      <c r="H2774">
        <v>0.15202880088856999</v>
      </c>
      <c r="I2774">
        <v>0.12686803294514401</v>
      </c>
      <c r="J2774">
        <v>0.15353062913416299</v>
      </c>
      <c r="K2774">
        <v>0.120791387305815</v>
      </c>
      <c r="L2774">
        <v>1152.0951365175799</v>
      </c>
      <c r="M2774">
        <v>23.179837853480901</v>
      </c>
      <c r="N2774">
        <v>50.4041178614752</v>
      </c>
      <c r="O2774">
        <v>49.336980952273102</v>
      </c>
      <c r="P2774">
        <v>-0.101261340558898</v>
      </c>
      <c r="Q2774">
        <v>0.137899382926296</v>
      </c>
      <c r="R2774">
        <v>0.99768745431349004</v>
      </c>
      <c r="S2774" t="s">
        <v>7514</v>
      </c>
      <c r="T2774" t="s">
        <v>9478</v>
      </c>
      <c r="U2774" t="s">
        <v>9478</v>
      </c>
      <c r="V2774" t="s">
        <v>9478</v>
      </c>
      <c r="W2774">
        <v>8</v>
      </c>
      <c r="X2774" t="s">
        <v>12252</v>
      </c>
      <c r="Y2774">
        <v>0.42566647421406861</v>
      </c>
      <c r="Z2774" t="str">
        <f>HYPERLINK("Melting_Curves/meltCurve_sp_Q92620_PRP16_HUMAN_.pdf", "Melting_Curves/meltCurve_sp_Q92620_PRP16_HUMAN_.pdf")</f>
        <v>Melting_Curves/meltCurve_sp_Q92620_PRP16_HUMAN_.pdf</v>
      </c>
      <c r="AA2774" t="s">
        <v>16944</v>
      </c>
      <c r="AB2774" t="s">
        <v>21608</v>
      </c>
    </row>
    <row r="2775" spans="1:28" x14ac:dyDescent="0.25">
      <c r="A2775" t="s">
        <v>2779</v>
      </c>
      <c r="B2775">
        <v>0.99904790336628502</v>
      </c>
      <c r="C2775">
        <v>1.06904185970299</v>
      </c>
      <c r="D2775">
        <v>1.00147502177106</v>
      </c>
      <c r="E2775">
        <v>0.79494208572787906</v>
      </c>
      <c r="F2775">
        <v>0.52019976860603601</v>
      </c>
      <c r="G2775">
        <v>0.357687140245804</v>
      </c>
      <c r="H2775">
        <v>0.26953088821152998</v>
      </c>
      <c r="I2775">
        <v>0.22662768991278201</v>
      </c>
      <c r="J2775">
        <v>0.25351906627056697</v>
      </c>
      <c r="K2775">
        <v>0.24852843599635099</v>
      </c>
      <c r="L2775">
        <v>1311.2142010572099</v>
      </c>
      <c r="M2775">
        <v>25.220088297584599</v>
      </c>
      <c r="N2775">
        <v>53.445454697974803</v>
      </c>
      <c r="O2775">
        <v>51.667291455531</v>
      </c>
      <c r="P2775">
        <v>-9.1730877804416799E-2</v>
      </c>
      <c r="Q2775">
        <v>0.24830961749354899</v>
      </c>
      <c r="R2775">
        <v>0.99254288320172201</v>
      </c>
      <c r="S2775" t="s">
        <v>7515</v>
      </c>
      <c r="T2775" t="s">
        <v>9478</v>
      </c>
      <c r="U2775" t="s">
        <v>9478</v>
      </c>
      <c r="V2775" t="s">
        <v>9478</v>
      </c>
      <c r="W2775">
        <v>5</v>
      </c>
      <c r="X2775" t="s">
        <v>12253</v>
      </c>
      <c r="Y2775">
        <v>0.55550353310975964</v>
      </c>
      <c r="Z2775" t="str">
        <f>HYPERLINK("Melting_Curves/meltCurve_sp_Q92621_NU205_HUMAN_.pdf", "Melting_Curves/meltCurve_sp_Q92621_NU205_HUMAN_.pdf")</f>
        <v>Melting_Curves/meltCurve_sp_Q92621_NU205_HUMAN_.pdf</v>
      </c>
      <c r="AA2775" t="s">
        <v>16945</v>
      </c>
      <c r="AB2775" t="s">
        <v>21609</v>
      </c>
    </row>
    <row r="2776" spans="1:28" x14ac:dyDescent="0.25">
      <c r="A2776" t="s">
        <v>2780</v>
      </c>
      <c r="B2776">
        <v>0.99904790336628502</v>
      </c>
      <c r="C2776">
        <v>0.95236585094837001</v>
      </c>
      <c r="D2776">
        <v>0.86687028330053395</v>
      </c>
      <c r="E2776">
        <v>0.80588580414476196</v>
      </c>
      <c r="F2776">
        <v>0.77163125656738696</v>
      </c>
      <c r="G2776">
        <v>0.539436269011075</v>
      </c>
      <c r="H2776">
        <v>0.45781807669080299</v>
      </c>
      <c r="I2776">
        <v>0.442591285430321</v>
      </c>
      <c r="J2776">
        <v>0.49829673375874101</v>
      </c>
      <c r="K2776">
        <v>0.42682320378799499</v>
      </c>
      <c r="L2776">
        <v>631.69224822059095</v>
      </c>
      <c r="M2776">
        <v>11.9119367320398</v>
      </c>
      <c r="N2776">
        <v>61.034220012709604</v>
      </c>
      <c r="O2776">
        <v>51.601893759050498</v>
      </c>
      <c r="P2776">
        <v>-3.4914666625012303E-2</v>
      </c>
      <c r="Q2776">
        <v>0.39515572882695998</v>
      </c>
      <c r="R2776">
        <v>0.96700211875312903</v>
      </c>
      <c r="S2776" t="s">
        <v>7516</v>
      </c>
      <c r="T2776" t="s">
        <v>9478</v>
      </c>
      <c r="U2776" t="s">
        <v>9478</v>
      </c>
      <c r="V2776" t="s">
        <v>9478</v>
      </c>
      <c r="W2776">
        <v>2</v>
      </c>
      <c r="X2776" t="s">
        <v>12254</v>
      </c>
      <c r="Y2776">
        <v>0.67518394292386108</v>
      </c>
      <c r="Z2776" t="str">
        <f>HYPERLINK("Melting_Curves/meltCurve_sp_Q92665_RT31_HUMAN_.pdf", "Melting_Curves/meltCurve_sp_Q92665_RT31_HUMAN_.pdf")</f>
        <v>Melting_Curves/meltCurve_sp_Q92665_RT31_HUMAN_.pdf</v>
      </c>
      <c r="AA2776" t="s">
        <v>16946</v>
      </c>
      <c r="AB2776" t="s">
        <v>21610</v>
      </c>
    </row>
    <row r="2777" spans="1:28" x14ac:dyDescent="0.25">
      <c r="A2777" t="s">
        <v>2781</v>
      </c>
      <c r="B2777">
        <v>0.99904790336628502</v>
      </c>
      <c r="C2777">
        <v>0.84685573111495904</v>
      </c>
      <c r="D2777">
        <v>0.85908087446696602</v>
      </c>
      <c r="E2777">
        <v>0.76269428758952496</v>
      </c>
      <c r="F2777">
        <v>0.64841137001857196</v>
      </c>
      <c r="G2777">
        <v>0.44808856063804398</v>
      </c>
      <c r="H2777">
        <v>0.41322279769019599</v>
      </c>
      <c r="I2777">
        <v>0.37511070838335703</v>
      </c>
      <c r="J2777">
        <v>0.370220967716403</v>
      </c>
      <c r="K2777">
        <v>0.37443103925694698</v>
      </c>
      <c r="L2777">
        <v>539.38433200289296</v>
      </c>
      <c r="M2777">
        <v>10.3742634655685</v>
      </c>
      <c r="N2777">
        <v>57.064114928427102</v>
      </c>
      <c r="O2777">
        <v>50.171957911885698</v>
      </c>
      <c r="P2777">
        <v>-3.6141759694491002E-2</v>
      </c>
      <c r="Q2777">
        <v>0.30114109818907198</v>
      </c>
      <c r="R2777">
        <v>0.97249290251006903</v>
      </c>
      <c r="S2777" t="s">
        <v>7517</v>
      </c>
      <c r="T2777" t="s">
        <v>9478</v>
      </c>
      <c r="U2777" t="s">
        <v>9478</v>
      </c>
      <c r="V2777" t="s">
        <v>9478</v>
      </c>
      <c r="W2777">
        <v>16</v>
      </c>
      <c r="X2777" t="s">
        <v>12255</v>
      </c>
      <c r="Y2777">
        <v>0.60600802258601882</v>
      </c>
      <c r="Z2777" t="str">
        <f>HYPERLINK("Melting_Curves/meltCurve_sp_Q92667_AKAP1_HUMAN_.pdf", "Melting_Curves/meltCurve_sp_Q92667_AKAP1_HUMAN_.pdf")</f>
        <v>Melting_Curves/meltCurve_sp_Q92667_AKAP1_HUMAN_.pdf</v>
      </c>
      <c r="AA2777" t="s">
        <v>16947</v>
      </c>
      <c r="AB2777" t="s">
        <v>21611</v>
      </c>
    </row>
    <row r="2778" spans="1:28" x14ac:dyDescent="0.25">
      <c r="A2778" t="s">
        <v>2782</v>
      </c>
      <c r="B2778">
        <v>0.99904790336628502</v>
      </c>
      <c r="C2778">
        <v>0.964095614844658</v>
      </c>
      <c r="D2778">
        <v>0.96175088852665902</v>
      </c>
      <c r="E2778">
        <v>0.96116958771059102</v>
      </c>
      <c r="F2778">
        <v>1.0552189471286499</v>
      </c>
      <c r="G2778">
        <v>0.77829103039077696</v>
      </c>
      <c r="H2778">
        <v>0.51653955226849502</v>
      </c>
      <c r="I2778">
        <v>0.37245069875902198</v>
      </c>
      <c r="J2778">
        <v>0.28562041466528298</v>
      </c>
      <c r="K2778">
        <v>0.25537390807288601</v>
      </c>
      <c r="L2778">
        <v>1496.1260333458999</v>
      </c>
      <c r="M2778">
        <v>25.147417672744901</v>
      </c>
      <c r="N2778">
        <v>61.153523715754503</v>
      </c>
      <c r="O2778">
        <v>59.121815825963203</v>
      </c>
      <c r="P2778">
        <v>-8.0042974045484605E-2</v>
      </c>
      <c r="Q2778">
        <v>0.24728257737030401</v>
      </c>
      <c r="R2778">
        <v>0.98603205435843699</v>
      </c>
      <c r="S2778" t="s">
        <v>7518</v>
      </c>
      <c r="T2778" t="s">
        <v>9478</v>
      </c>
      <c r="U2778" t="s">
        <v>9478</v>
      </c>
      <c r="V2778" t="s">
        <v>9478</v>
      </c>
      <c r="W2778">
        <v>8</v>
      </c>
      <c r="X2778" t="s">
        <v>12256</v>
      </c>
      <c r="Y2778">
        <v>0.74227715020301732</v>
      </c>
      <c r="Z2778" t="str">
        <f>HYPERLINK("Melting_Curves/meltCurve_sp_Q92688_2_AN32B_HUMAN_.pdf", "Melting_Curves/meltCurve_sp_Q92688_2_AN32B_HUMAN_.pdf")</f>
        <v>Melting_Curves/meltCurve_sp_Q92688_2_AN32B_HUMAN_.pdf</v>
      </c>
      <c r="AA2778" t="s">
        <v>16948</v>
      </c>
      <c r="AB2778" t="s">
        <v>21612</v>
      </c>
    </row>
    <row r="2779" spans="1:28" x14ac:dyDescent="0.25">
      <c r="A2779" t="s">
        <v>2783</v>
      </c>
      <c r="B2779">
        <v>0.99904790336628502</v>
      </c>
      <c r="C2779">
        <v>0.97660683300518403</v>
      </c>
      <c r="D2779">
        <v>0.94468412293341897</v>
      </c>
      <c r="E2779">
        <v>0.87812026349094396</v>
      </c>
      <c r="F2779">
        <v>0.76685129754897297</v>
      </c>
      <c r="G2779">
        <v>0.53801200522820603</v>
      </c>
      <c r="H2779">
        <v>0.43934511393902598</v>
      </c>
      <c r="I2779">
        <v>0.36335253107951998</v>
      </c>
      <c r="J2779">
        <v>0.34805155967078699</v>
      </c>
      <c r="K2779">
        <v>0.28524381537001797</v>
      </c>
      <c r="L2779">
        <v>779.88817209807098</v>
      </c>
      <c r="M2779">
        <v>14.057864455975601</v>
      </c>
      <c r="N2779">
        <v>58.6579952566495</v>
      </c>
      <c r="O2779">
        <v>54.390585870095201</v>
      </c>
      <c r="P2779">
        <v>-4.7387645702934501E-2</v>
      </c>
      <c r="Q2779">
        <v>0.26671473522154798</v>
      </c>
      <c r="R2779">
        <v>0.99664469027010505</v>
      </c>
      <c r="S2779" t="s">
        <v>7519</v>
      </c>
      <c r="T2779" t="s">
        <v>9478</v>
      </c>
      <c r="U2779" t="s">
        <v>9478</v>
      </c>
      <c r="V2779" t="s">
        <v>9478</v>
      </c>
      <c r="W2779">
        <v>5</v>
      </c>
      <c r="X2779" t="s">
        <v>12257</v>
      </c>
      <c r="Y2779">
        <v>0.6594760886773271</v>
      </c>
      <c r="Z2779" t="str">
        <f>HYPERLINK("Melting_Curves/meltCurve_sp_Q92692_PVRL2_HUMAN_.pdf", "Melting_Curves/meltCurve_sp_Q92692_PVRL2_HUMAN_.pdf")</f>
        <v>Melting_Curves/meltCurve_sp_Q92692_PVRL2_HUMAN_.pdf</v>
      </c>
      <c r="AA2779" t="s">
        <v>16949</v>
      </c>
      <c r="AB2779" t="s">
        <v>21613</v>
      </c>
    </row>
    <row r="2780" spans="1:28" x14ac:dyDescent="0.25">
      <c r="A2780" t="s">
        <v>2784</v>
      </c>
      <c r="B2780">
        <v>0.99904790336628502</v>
      </c>
      <c r="C2780">
        <v>1.0004798733968301</v>
      </c>
      <c r="D2780">
        <v>1.03669388687333</v>
      </c>
      <c r="E2780">
        <v>0.96072318222791497</v>
      </c>
      <c r="F2780">
        <v>0.69047093934509596</v>
      </c>
      <c r="G2780">
        <v>0.20502188770806901</v>
      </c>
      <c r="H2780">
        <v>8.3348928562950106E-2</v>
      </c>
      <c r="I2780">
        <v>5.7851313418997997E-2</v>
      </c>
      <c r="J2780">
        <v>4.4562113491267798E-2</v>
      </c>
      <c r="K2780">
        <v>3.26324479545511E-2</v>
      </c>
      <c r="L2780">
        <v>1808.8972820623501</v>
      </c>
      <c r="M2780">
        <v>33.365173098253003</v>
      </c>
      <c r="N2780">
        <v>54.375810696182697</v>
      </c>
      <c r="O2780">
        <v>54.021489588443799</v>
      </c>
      <c r="P2780">
        <v>-0.147159065091124</v>
      </c>
      <c r="Q2780">
        <v>4.6944204702898097E-2</v>
      </c>
      <c r="R2780">
        <v>0.99882618526135003</v>
      </c>
      <c r="S2780" t="s">
        <v>7520</v>
      </c>
      <c r="T2780" t="s">
        <v>9478</v>
      </c>
      <c r="U2780" t="s">
        <v>9478</v>
      </c>
      <c r="V2780" t="s">
        <v>9478</v>
      </c>
      <c r="W2780">
        <v>19</v>
      </c>
      <c r="X2780" t="s">
        <v>12258</v>
      </c>
      <c r="Y2780">
        <v>0.50364259730845973</v>
      </c>
      <c r="Z2780" t="str">
        <f>HYPERLINK("Melting_Curves/meltCurve_sp_Q92696_PGTA_HUMAN_.pdf", "Melting_Curves/meltCurve_sp_Q92696_PGTA_HUMAN_.pdf")</f>
        <v>Melting_Curves/meltCurve_sp_Q92696_PGTA_HUMAN_.pdf</v>
      </c>
      <c r="AA2780" t="s">
        <v>16950</v>
      </c>
      <c r="AB2780" t="s">
        <v>21614</v>
      </c>
    </row>
    <row r="2781" spans="1:28" x14ac:dyDescent="0.25">
      <c r="A2781" t="s">
        <v>2785</v>
      </c>
      <c r="B2781">
        <v>0.99904790336628502</v>
      </c>
      <c r="C2781">
        <v>1.0003737257377101</v>
      </c>
      <c r="D2781">
        <v>1.02055960074018</v>
      </c>
      <c r="E2781">
        <v>0.94894512976387801</v>
      </c>
      <c r="F2781">
        <v>0.76936862031116504</v>
      </c>
      <c r="G2781">
        <v>0.64186112458335598</v>
      </c>
      <c r="H2781">
        <v>0.49371431700701701</v>
      </c>
      <c r="I2781">
        <v>0.44461374940376702</v>
      </c>
      <c r="J2781">
        <v>0.39124811378360502</v>
      </c>
      <c r="K2781">
        <v>0.21013371194209601</v>
      </c>
      <c r="L2781">
        <v>641.30685117635801</v>
      </c>
      <c r="M2781">
        <v>10.768969433067401</v>
      </c>
      <c r="N2781">
        <v>61.222924136440298</v>
      </c>
      <c r="O2781">
        <v>57.608128675944798</v>
      </c>
      <c r="P2781">
        <v>-4.0796158961071999E-2</v>
      </c>
      <c r="Q2781">
        <v>0.12737048030463399</v>
      </c>
      <c r="R2781">
        <v>0.97754561984168298</v>
      </c>
      <c r="S2781" t="s">
        <v>7521</v>
      </c>
      <c r="T2781" t="s">
        <v>9478</v>
      </c>
      <c r="U2781" t="s">
        <v>9478</v>
      </c>
      <c r="V2781" t="s">
        <v>9478</v>
      </c>
      <c r="W2781">
        <v>10</v>
      </c>
      <c r="X2781" t="s">
        <v>12259</v>
      </c>
      <c r="Y2781">
        <v>0.6977758293091767</v>
      </c>
      <c r="Z2781" t="str">
        <f>HYPERLINK("Melting_Curves/meltCurve_sp_Q92734_2_TFG_HUMAN_.pdf", "Melting_Curves/meltCurve_sp_Q92734_2_TFG_HUMAN_.pdf")</f>
        <v>Melting_Curves/meltCurve_sp_Q92734_2_TFG_HUMAN_.pdf</v>
      </c>
      <c r="AA2781" t="s">
        <v>16951</v>
      </c>
      <c r="AB2781" t="s">
        <v>21615</v>
      </c>
    </row>
    <row r="2782" spans="1:28" x14ac:dyDescent="0.25">
      <c r="A2782" t="s">
        <v>2786</v>
      </c>
      <c r="B2782">
        <v>0.99904790336628502</v>
      </c>
      <c r="C2782">
        <v>0.97885185051502399</v>
      </c>
      <c r="D2782">
        <v>0.956427970249218</v>
      </c>
      <c r="E2782">
        <v>0.82419850290654195</v>
      </c>
      <c r="F2782">
        <v>0.64346035784458799</v>
      </c>
      <c r="G2782">
        <v>0.44930261824129197</v>
      </c>
      <c r="H2782">
        <v>0.32263241423917099</v>
      </c>
      <c r="I2782">
        <v>0.239360572874938</v>
      </c>
      <c r="J2782">
        <v>0.16663721992210101</v>
      </c>
      <c r="K2782">
        <v>0.13028858118921599</v>
      </c>
      <c r="L2782">
        <v>699.78124180710699</v>
      </c>
      <c r="M2782">
        <v>12.638704600355499</v>
      </c>
      <c r="N2782">
        <v>56.170879643301703</v>
      </c>
      <c r="O2782">
        <v>54.036829409043698</v>
      </c>
      <c r="P2782">
        <v>-5.3651822700028502E-2</v>
      </c>
      <c r="Q2782">
        <v>8.2626206268676394E-2</v>
      </c>
      <c r="R2782">
        <v>0.99793442112846897</v>
      </c>
      <c r="S2782" t="s">
        <v>7522</v>
      </c>
      <c r="T2782" t="s">
        <v>9478</v>
      </c>
      <c r="U2782" t="s">
        <v>9478</v>
      </c>
      <c r="V2782" t="s">
        <v>9478</v>
      </c>
      <c r="W2782">
        <v>4</v>
      </c>
      <c r="X2782" t="s">
        <v>12260</v>
      </c>
      <c r="Y2782">
        <v>0.57242846788118584</v>
      </c>
      <c r="Z2782" t="str">
        <f>HYPERLINK("Melting_Curves/meltCurve_sp_Q92738_US6NL_HUMAN_.pdf", "Melting_Curves/meltCurve_sp_Q92738_US6NL_HUMAN_.pdf")</f>
        <v>Melting_Curves/meltCurve_sp_Q92738_US6NL_HUMAN_.pdf</v>
      </c>
      <c r="AA2782" t="s">
        <v>16952</v>
      </c>
      <c r="AB2782" t="s">
        <v>21616</v>
      </c>
    </row>
    <row r="2783" spans="1:28" x14ac:dyDescent="0.25">
      <c r="A2783" t="s">
        <v>2787</v>
      </c>
      <c r="B2783">
        <v>0.99904790336628502</v>
      </c>
      <c r="C2783">
        <v>1.04644893037772</v>
      </c>
      <c r="D2783">
        <v>1.08800037405606</v>
      </c>
      <c r="E2783">
        <v>1.1132952303771599</v>
      </c>
      <c r="F2783">
        <v>0.92055126450948599</v>
      </c>
      <c r="G2783">
        <v>0.56613386109335795</v>
      </c>
      <c r="H2783">
        <v>0.180891706996061</v>
      </c>
      <c r="I2783">
        <v>6.3223340093466404E-2</v>
      </c>
      <c r="J2783">
        <v>4.10066391797951E-2</v>
      </c>
      <c r="K2783">
        <v>3.91365848194569E-2</v>
      </c>
      <c r="L2783">
        <v>1822.15617465229</v>
      </c>
      <c r="M2783">
        <v>31.736447088782501</v>
      </c>
      <c r="N2783">
        <v>57.547963590244599</v>
      </c>
      <c r="O2783">
        <v>57.188732464920697</v>
      </c>
      <c r="P2783">
        <v>-0.13384082059132199</v>
      </c>
      <c r="Q2783">
        <v>3.5286200403685297E-2</v>
      </c>
      <c r="R2783">
        <v>0.98760594489017905</v>
      </c>
      <c r="S2783" t="s">
        <v>7523</v>
      </c>
      <c r="T2783" t="s">
        <v>9478</v>
      </c>
      <c r="U2783" t="s">
        <v>9478</v>
      </c>
      <c r="V2783" t="s">
        <v>9478</v>
      </c>
      <c r="W2783">
        <v>14</v>
      </c>
      <c r="X2783" t="s">
        <v>12261</v>
      </c>
      <c r="Y2783">
        <v>0.60111453930162917</v>
      </c>
      <c r="Z2783" t="str">
        <f>HYPERLINK("Melting_Curves/meltCurve_sp_Q92747_ARC1A_HUMAN_.pdf", "Melting_Curves/meltCurve_sp_Q92747_ARC1A_HUMAN_.pdf")</f>
        <v>Melting_Curves/meltCurve_sp_Q92747_ARC1A_HUMAN_.pdf</v>
      </c>
      <c r="AA2783" t="s">
        <v>16953</v>
      </c>
      <c r="AB2783" t="s">
        <v>21617</v>
      </c>
    </row>
    <row r="2784" spans="1:28" x14ac:dyDescent="0.25">
      <c r="A2784" t="s">
        <v>2788</v>
      </c>
      <c r="B2784">
        <v>0.99904790336628502</v>
      </c>
      <c r="C2784">
        <v>1.0783871818283799</v>
      </c>
      <c r="D2784">
        <v>0.89860085671579004</v>
      </c>
      <c r="E2784">
        <v>0.581390349428344</v>
      </c>
      <c r="F2784">
        <v>0.36799108817845699</v>
      </c>
      <c r="G2784">
        <v>0.21395900049736</v>
      </c>
      <c r="H2784">
        <v>0.14331766732132101</v>
      </c>
      <c r="I2784">
        <v>7.89864122540401E-2</v>
      </c>
      <c r="J2784">
        <v>5.8760468759877199E-2</v>
      </c>
      <c r="K2784">
        <v>3.8817148032870397E-2</v>
      </c>
      <c r="L2784">
        <v>952.93140977448604</v>
      </c>
      <c r="M2784">
        <v>18.702703948855799</v>
      </c>
      <c r="N2784">
        <v>51.335694917074903</v>
      </c>
      <c r="O2784">
        <v>50.379750797427697</v>
      </c>
      <c r="P2784">
        <v>-8.67516380932149E-2</v>
      </c>
      <c r="Q2784">
        <v>6.5303028568870505E-2</v>
      </c>
      <c r="R2784">
        <v>0.98930216998638498</v>
      </c>
      <c r="S2784" t="s">
        <v>7524</v>
      </c>
      <c r="T2784" t="s">
        <v>9478</v>
      </c>
      <c r="U2784" t="s">
        <v>9478</v>
      </c>
      <c r="V2784" t="s">
        <v>9478</v>
      </c>
      <c r="W2784">
        <v>2</v>
      </c>
      <c r="X2784" t="s">
        <v>12262</v>
      </c>
      <c r="Y2784">
        <v>0.42121131623723762</v>
      </c>
      <c r="Z2784" t="str">
        <f>HYPERLINK("Melting_Curves/meltCurve_sp_Q92748_THRSP_HUMAN_.pdf", "Melting_Curves/meltCurve_sp_Q92748_THRSP_HUMAN_.pdf")</f>
        <v>Melting_Curves/meltCurve_sp_Q92748_THRSP_HUMAN_.pdf</v>
      </c>
      <c r="AA2784" t="s">
        <v>16954</v>
      </c>
      <c r="AB2784" t="s">
        <v>21618</v>
      </c>
    </row>
    <row r="2785" spans="1:28" x14ac:dyDescent="0.25">
      <c r="A2785" t="s">
        <v>2789</v>
      </c>
      <c r="B2785">
        <v>0.99904790336628502</v>
      </c>
      <c r="C2785">
        <v>1.0821093092840099</v>
      </c>
      <c r="D2785">
        <v>1.0327803210759801</v>
      </c>
      <c r="E2785">
        <v>1.0412310241662499</v>
      </c>
      <c r="F2785">
        <v>1.0150011311961</v>
      </c>
      <c r="G2785">
        <v>0.64147661232836795</v>
      </c>
      <c r="H2785">
        <v>0.48590740043525099</v>
      </c>
      <c r="I2785">
        <v>0.50712749695662096</v>
      </c>
      <c r="J2785">
        <v>0.491672891410466</v>
      </c>
      <c r="K2785">
        <v>0.46862627706336801</v>
      </c>
      <c r="L2785">
        <v>14201.514596822</v>
      </c>
      <c r="M2785">
        <v>250</v>
      </c>
      <c r="N2785">
        <v>57.6729725084178</v>
      </c>
      <c r="O2785">
        <v>56.802413905546601</v>
      </c>
      <c r="P2785">
        <v>-0.56298928324151698</v>
      </c>
      <c r="Q2785">
        <v>0.48833351221940502</v>
      </c>
      <c r="R2785">
        <v>0.98470837376938003</v>
      </c>
      <c r="S2785" t="s">
        <v>7525</v>
      </c>
      <c r="T2785" t="s">
        <v>9478</v>
      </c>
      <c r="U2785" t="s">
        <v>9478</v>
      </c>
      <c r="V2785" t="s">
        <v>9478</v>
      </c>
      <c r="W2785">
        <v>4</v>
      </c>
      <c r="X2785" t="s">
        <v>12263</v>
      </c>
      <c r="Y2785">
        <v>0.77502108445146356</v>
      </c>
      <c r="Z2785" t="str">
        <f>HYPERLINK("Melting_Curves/meltCurve_sp_Q92766_RREB1_HUMAN_.pdf", "Melting_Curves/meltCurve_sp_Q92766_RREB1_HUMAN_.pdf")</f>
        <v>Melting_Curves/meltCurve_sp_Q92766_RREB1_HUMAN_.pdf</v>
      </c>
      <c r="AA2785" t="s">
        <v>16955</v>
      </c>
      <c r="AB2785" t="s">
        <v>21619</v>
      </c>
    </row>
    <row r="2786" spans="1:28" x14ac:dyDescent="0.25">
      <c r="A2786" t="s">
        <v>2790</v>
      </c>
      <c r="B2786">
        <v>0.99904790336628502</v>
      </c>
      <c r="C2786">
        <v>0.99941466264853895</v>
      </c>
      <c r="D2786">
        <v>0.98549415228663195</v>
      </c>
      <c r="E2786">
        <v>0.89560264386649402</v>
      </c>
      <c r="F2786">
        <v>0.77380272273675699</v>
      </c>
      <c r="G2786">
        <v>0.55881887681240805</v>
      </c>
      <c r="H2786">
        <v>0.367397492080414</v>
      </c>
      <c r="I2786">
        <v>0.353352326162026</v>
      </c>
      <c r="J2786">
        <v>0.33912066441185001</v>
      </c>
      <c r="K2786">
        <v>0.28640491604504797</v>
      </c>
      <c r="L2786">
        <v>992.81679242217297</v>
      </c>
      <c r="M2786">
        <v>17.978430764393501</v>
      </c>
      <c r="N2786">
        <v>57.968555687194197</v>
      </c>
      <c r="O2786">
        <v>54.553035994557597</v>
      </c>
      <c r="P2786">
        <v>-5.8776647619322601E-2</v>
      </c>
      <c r="Q2786">
        <v>0.28663731982733398</v>
      </c>
      <c r="R2786">
        <v>0.99752496182829298</v>
      </c>
      <c r="S2786" t="s">
        <v>7526</v>
      </c>
      <c r="T2786" t="s">
        <v>9478</v>
      </c>
      <c r="U2786" t="s">
        <v>9478</v>
      </c>
      <c r="V2786" t="s">
        <v>9478</v>
      </c>
      <c r="W2786">
        <v>8</v>
      </c>
      <c r="X2786" t="s">
        <v>12264</v>
      </c>
      <c r="Y2786">
        <v>0.65956327286418037</v>
      </c>
      <c r="Z2786" t="str">
        <f>HYPERLINK("Melting_Curves/meltCurve_sp_Q92783_2_STAM1_HUMAN_.pdf", "Melting_Curves/meltCurve_sp_Q92783_2_STAM1_HUMAN_.pdf")</f>
        <v>Melting_Curves/meltCurve_sp_Q92783_2_STAM1_HUMAN_.pdf</v>
      </c>
      <c r="AA2786" t="s">
        <v>16956</v>
      </c>
      <c r="AB2786" t="s">
        <v>21620</v>
      </c>
    </row>
    <row r="2787" spans="1:28" x14ac:dyDescent="0.25">
      <c r="A2787" t="s">
        <v>2791</v>
      </c>
      <c r="B2787">
        <v>0.99904790336628502</v>
      </c>
      <c r="C2787">
        <v>0.93521300371043903</v>
      </c>
      <c r="D2787">
        <v>0.99860710116352203</v>
      </c>
      <c r="E2787">
        <v>0.61520460205313299</v>
      </c>
      <c r="F2787">
        <v>0.53060130088576396</v>
      </c>
      <c r="G2787">
        <v>0.457694177512387</v>
      </c>
      <c r="H2787">
        <v>0.370419667223016</v>
      </c>
      <c r="I2787">
        <v>0.374795732135142</v>
      </c>
      <c r="J2787">
        <v>0.31004505875886701</v>
      </c>
      <c r="K2787">
        <v>0.33315266944037403</v>
      </c>
      <c r="L2787">
        <v>1035.35979258986</v>
      </c>
      <c r="M2787">
        <v>20.6663513692334</v>
      </c>
      <c r="N2787">
        <v>53.227033761258397</v>
      </c>
      <c r="O2787">
        <v>49.636811421026103</v>
      </c>
      <c r="P2787">
        <v>-6.7494092763725103E-2</v>
      </c>
      <c r="Q2787">
        <v>0.35158447582320101</v>
      </c>
      <c r="R2787">
        <v>0.97116308454393596</v>
      </c>
      <c r="S2787" t="s">
        <v>7527</v>
      </c>
      <c r="T2787" t="s">
        <v>9478</v>
      </c>
      <c r="U2787" t="s">
        <v>9478</v>
      </c>
      <c r="V2787" t="s">
        <v>9478</v>
      </c>
      <c r="W2787">
        <v>3</v>
      </c>
      <c r="X2787" t="s">
        <v>12265</v>
      </c>
      <c r="Y2787">
        <v>0.57832379826367131</v>
      </c>
      <c r="Z2787" t="str">
        <f>HYPERLINK("Melting_Curves/meltCurve_sp_Q92785_REQU_HUMAN_.pdf", "Melting_Curves/meltCurve_sp_Q92785_REQU_HUMAN_.pdf")</f>
        <v>Melting_Curves/meltCurve_sp_Q92785_REQU_HUMAN_.pdf</v>
      </c>
      <c r="AA2787" t="s">
        <v>16957</v>
      </c>
      <c r="AB2787" t="s">
        <v>21621</v>
      </c>
    </row>
    <row r="2788" spans="1:28" x14ac:dyDescent="0.25">
      <c r="A2788" t="s">
        <v>2792</v>
      </c>
      <c r="B2788">
        <v>0.99904790336628502</v>
      </c>
      <c r="C2788">
        <v>1.1182011057616199</v>
      </c>
      <c r="D2788">
        <v>0.97353194334559601</v>
      </c>
      <c r="E2788">
        <v>0.79698661307284602</v>
      </c>
      <c r="F2788">
        <v>0.56836321847883398</v>
      </c>
      <c r="G2788">
        <v>0.232991057420492</v>
      </c>
      <c r="H2788">
        <v>0.109497231671013</v>
      </c>
      <c r="I2788">
        <v>8.6851960059473599E-2</v>
      </c>
      <c r="J2788">
        <v>3.3835650545926001E-2</v>
      </c>
      <c r="K2788">
        <v>5.2522433626892601E-2</v>
      </c>
      <c r="L2788">
        <v>1138.4666526152</v>
      </c>
      <c r="M2788">
        <v>21.330468216650502</v>
      </c>
      <c r="N2788">
        <v>53.599074154835598</v>
      </c>
      <c r="O2788">
        <v>52.910330879295898</v>
      </c>
      <c r="P2788">
        <v>-9.6448715886703701E-2</v>
      </c>
      <c r="Q2788">
        <v>4.3058096098808903E-2</v>
      </c>
      <c r="R2788">
        <v>0.99059017704850405</v>
      </c>
      <c r="S2788" t="s">
        <v>7528</v>
      </c>
      <c r="T2788" t="s">
        <v>9478</v>
      </c>
      <c r="U2788" t="s">
        <v>9478</v>
      </c>
      <c r="V2788" t="s">
        <v>9478</v>
      </c>
      <c r="W2788">
        <v>5</v>
      </c>
      <c r="X2788" t="s">
        <v>12266</v>
      </c>
      <c r="Y2788">
        <v>0.48137564542095368</v>
      </c>
      <c r="Z2788" t="str">
        <f>HYPERLINK("Melting_Curves/meltCurve_sp_Q92786_PROX1_HUMAN_.pdf", "Melting_Curves/meltCurve_sp_Q92786_PROX1_HUMAN_.pdf")</f>
        <v>Melting_Curves/meltCurve_sp_Q92786_PROX1_HUMAN_.pdf</v>
      </c>
      <c r="AA2788" t="s">
        <v>16958</v>
      </c>
      <c r="AB2788" t="s">
        <v>21622</v>
      </c>
    </row>
    <row r="2789" spans="1:28" x14ac:dyDescent="0.25">
      <c r="A2789" t="s">
        <v>2793</v>
      </c>
      <c r="B2789">
        <v>0.99904790336628502</v>
      </c>
      <c r="C2789">
        <v>1.4508382768134001</v>
      </c>
      <c r="D2789">
        <v>1.32896496448512</v>
      </c>
      <c r="E2789">
        <v>0.92207954019007998</v>
      </c>
      <c r="F2789">
        <v>0.472460730424618</v>
      </c>
      <c r="G2789">
        <v>0.166053671618553</v>
      </c>
      <c r="H2789">
        <v>8.0752553320109E-2</v>
      </c>
      <c r="I2789">
        <v>7.2623212746936394E-2</v>
      </c>
      <c r="J2789">
        <v>5.3509890746784999E-2</v>
      </c>
      <c r="K2789">
        <v>4.9197208453539698E-2</v>
      </c>
      <c r="L2789">
        <v>2220.6189954644601</v>
      </c>
      <c r="M2789">
        <v>42.1194260952769</v>
      </c>
      <c r="N2789">
        <v>52.9245565198758</v>
      </c>
      <c r="O2789">
        <v>52.603534647273499</v>
      </c>
      <c r="P2789">
        <v>-0.18527095957355699</v>
      </c>
      <c r="Q2789">
        <v>7.4451632295960704E-2</v>
      </c>
      <c r="R2789">
        <v>0.888990551563554</v>
      </c>
      <c r="S2789" t="s">
        <v>7529</v>
      </c>
      <c r="T2789" t="s">
        <v>9478</v>
      </c>
      <c r="U2789" t="s">
        <v>9478</v>
      </c>
      <c r="V2789" t="s">
        <v>9478</v>
      </c>
      <c r="W2789">
        <v>8</v>
      </c>
      <c r="X2789" t="s">
        <v>12267</v>
      </c>
      <c r="Y2789">
        <v>0.46998291532823849</v>
      </c>
      <c r="Z2789" t="str">
        <f>HYPERLINK("Melting_Curves/meltCurve_sp_Q92793_2_CBP_HUMAN_.pdf", "Melting_Curves/meltCurve_sp_Q92793_2_CBP_HUMAN_.pdf")</f>
        <v>Melting_Curves/meltCurve_sp_Q92793_2_CBP_HUMAN_.pdf</v>
      </c>
      <c r="AA2789" t="s">
        <v>16959</v>
      </c>
      <c r="AB2789" t="s">
        <v>21623</v>
      </c>
    </row>
    <row r="2790" spans="1:28" x14ac:dyDescent="0.25">
      <c r="A2790" t="s">
        <v>2794</v>
      </c>
      <c r="B2790">
        <v>0.99904790336628502</v>
      </c>
      <c r="C2790">
        <v>1.02383440875611</v>
      </c>
      <c r="D2790">
        <v>0.93590045660582799</v>
      </c>
      <c r="E2790">
        <v>0.65932734706057305</v>
      </c>
      <c r="F2790">
        <v>0.58321755936592201</v>
      </c>
      <c r="G2790">
        <v>0.43566449344564601</v>
      </c>
      <c r="H2790">
        <v>0.39224302730430599</v>
      </c>
      <c r="I2790">
        <v>0.36753516712437301</v>
      </c>
      <c r="J2790">
        <v>0.46164817685139797</v>
      </c>
      <c r="K2790">
        <v>0.48806922774376599</v>
      </c>
      <c r="L2790">
        <v>1187.12576098919</v>
      </c>
      <c r="M2790">
        <v>23.893275835093199</v>
      </c>
      <c r="N2790">
        <v>54.043138289068501</v>
      </c>
      <c r="O2790">
        <v>49.340403942798503</v>
      </c>
      <c r="P2790">
        <v>-6.9345253422962494E-2</v>
      </c>
      <c r="Q2790">
        <v>0.427208269056017</v>
      </c>
      <c r="R2790">
        <v>0.97367936288204604</v>
      </c>
      <c r="S2790" t="s">
        <v>7530</v>
      </c>
      <c r="T2790" t="s">
        <v>9478</v>
      </c>
      <c r="U2790" t="s">
        <v>9478</v>
      </c>
      <c r="V2790" t="s">
        <v>9478</v>
      </c>
      <c r="W2790">
        <v>6</v>
      </c>
      <c r="X2790" t="s">
        <v>12268</v>
      </c>
      <c r="Y2790">
        <v>0.61770853408916682</v>
      </c>
      <c r="Z2790" t="str">
        <f>HYPERLINK("Melting_Curves/meltCurve_sp_Q92797_SYMPK_HUMAN_.pdf", "Melting_Curves/meltCurve_sp_Q92797_SYMPK_HUMAN_.pdf")</f>
        <v>Melting_Curves/meltCurve_sp_Q92797_SYMPK_HUMAN_.pdf</v>
      </c>
      <c r="AA2790" t="s">
        <v>16960</v>
      </c>
      <c r="AB2790" t="s">
        <v>21624</v>
      </c>
    </row>
    <row r="2791" spans="1:28" x14ac:dyDescent="0.25">
      <c r="A2791" t="s">
        <v>2795</v>
      </c>
      <c r="B2791">
        <v>0.99904790336628502</v>
      </c>
      <c r="C2791">
        <v>0.90891525774649395</v>
      </c>
      <c r="D2791">
        <v>0.91010499883027196</v>
      </c>
      <c r="E2791">
        <v>0.77458983140232496</v>
      </c>
      <c r="F2791">
        <v>0.73817462572205095</v>
      </c>
      <c r="G2791">
        <v>0.53625159524576804</v>
      </c>
      <c r="H2791">
        <v>0.51117118031433595</v>
      </c>
      <c r="I2791">
        <v>0.49098489898222197</v>
      </c>
      <c r="J2791">
        <v>0.52342035015382304</v>
      </c>
      <c r="K2791">
        <v>0.49588621063759603</v>
      </c>
      <c r="L2791">
        <v>655.17242360406306</v>
      </c>
      <c r="M2791">
        <v>12.7432204879493</v>
      </c>
      <c r="N2791">
        <v>65.236449509672497</v>
      </c>
      <c r="O2791">
        <v>50.196639872136302</v>
      </c>
      <c r="P2791">
        <v>-3.3871989363310602E-2</v>
      </c>
      <c r="Q2791">
        <v>0.46640317521347702</v>
      </c>
      <c r="R2791">
        <v>0.97216164035156205</v>
      </c>
      <c r="S2791" t="s">
        <v>7531</v>
      </c>
      <c r="T2791" t="s">
        <v>9478</v>
      </c>
      <c r="U2791" t="s">
        <v>9478</v>
      </c>
      <c r="V2791" t="s">
        <v>9478</v>
      </c>
      <c r="W2791">
        <v>7</v>
      </c>
      <c r="X2791" t="s">
        <v>12269</v>
      </c>
      <c r="Y2791">
        <v>0.68499926475873207</v>
      </c>
      <c r="Z2791" t="str">
        <f>HYPERLINK("Melting_Curves/meltCurve_sp_Q92804_2_RBP56_HUMAN_.pdf", "Melting_Curves/meltCurve_sp_Q92804_2_RBP56_HUMAN_.pdf")</f>
        <v>Melting_Curves/meltCurve_sp_Q92804_2_RBP56_HUMAN_.pdf</v>
      </c>
      <c r="AA2791" t="s">
        <v>16961</v>
      </c>
      <c r="AB2791" t="s">
        <v>21625</v>
      </c>
    </row>
    <row r="2792" spans="1:28" x14ac:dyDescent="0.25">
      <c r="A2792" t="s">
        <v>2796</v>
      </c>
      <c r="B2792">
        <v>0.99904790336628502</v>
      </c>
      <c r="C2792">
        <v>1.07004915652369</v>
      </c>
      <c r="D2792">
        <v>1.0389253949435699</v>
      </c>
      <c r="E2792">
        <v>0.93195584783602603</v>
      </c>
      <c r="F2792">
        <v>0.81807227372876501</v>
      </c>
      <c r="G2792">
        <v>0.49747132077514999</v>
      </c>
      <c r="H2792">
        <v>0.36727992641667501</v>
      </c>
      <c r="I2792">
        <v>0.30980868903153302</v>
      </c>
      <c r="J2792">
        <v>0.28236999116778599</v>
      </c>
      <c r="K2792">
        <v>0.24351208654805701</v>
      </c>
      <c r="L2792">
        <v>1270.9710632904601</v>
      </c>
      <c r="M2792">
        <v>22.945420550804801</v>
      </c>
      <c r="N2792">
        <v>57.271096060759398</v>
      </c>
      <c r="O2792">
        <v>54.975480789428197</v>
      </c>
      <c r="P2792">
        <v>-7.6738198550124301E-2</v>
      </c>
      <c r="Q2792">
        <v>0.264578422700675</v>
      </c>
      <c r="R2792">
        <v>0.99144197853649296</v>
      </c>
      <c r="S2792" t="s">
        <v>7532</v>
      </c>
      <c r="T2792" t="s">
        <v>9478</v>
      </c>
      <c r="U2792" t="s">
        <v>9478</v>
      </c>
      <c r="V2792" t="s">
        <v>9478</v>
      </c>
      <c r="W2792">
        <v>17</v>
      </c>
      <c r="X2792" t="s">
        <v>12270</v>
      </c>
      <c r="Y2792">
        <v>0.64971358327180562</v>
      </c>
      <c r="Z2792" t="str">
        <f>HYPERLINK("Melting_Curves/meltCurve_sp_Q92805_GOGA1_HUMAN_.pdf", "Melting_Curves/meltCurve_sp_Q92805_GOGA1_HUMAN_.pdf")</f>
        <v>Melting_Curves/meltCurve_sp_Q92805_GOGA1_HUMAN_.pdf</v>
      </c>
      <c r="AA2792" t="s">
        <v>16962</v>
      </c>
      <c r="AB2792" t="s">
        <v>21626</v>
      </c>
    </row>
    <row r="2793" spans="1:28" x14ac:dyDescent="0.25">
      <c r="A2793" t="s">
        <v>2797</v>
      </c>
      <c r="B2793">
        <v>0.99904790336628502</v>
      </c>
      <c r="C2793">
        <v>1.0164229937037299</v>
      </c>
      <c r="D2793">
        <v>1.0343917949591599</v>
      </c>
      <c r="E2793">
        <v>0.97676371073486601</v>
      </c>
      <c r="F2793">
        <v>0.99141879044089198</v>
      </c>
      <c r="G2793">
        <v>0.71605423438040505</v>
      </c>
      <c r="H2793">
        <v>0.55421627088716796</v>
      </c>
      <c r="I2793">
        <v>0.491499865287925</v>
      </c>
      <c r="J2793">
        <v>0.50593482260837896</v>
      </c>
      <c r="K2793">
        <v>0.48315344179337599</v>
      </c>
      <c r="L2793">
        <v>2194.7940353679101</v>
      </c>
      <c r="M2793">
        <v>38.684514670086998</v>
      </c>
      <c r="N2793">
        <v>65.687464478734697</v>
      </c>
      <c r="O2793">
        <v>56.584745056246803</v>
      </c>
      <c r="P2793">
        <v>-8.5895974941657099E-2</v>
      </c>
      <c r="Q2793">
        <v>0.49743294703794</v>
      </c>
      <c r="R2793">
        <v>0.99362602305564296</v>
      </c>
      <c r="S2793" t="s">
        <v>7533</v>
      </c>
      <c r="T2793" t="s">
        <v>9478</v>
      </c>
      <c r="U2793" t="s">
        <v>9478</v>
      </c>
      <c r="V2793" t="s">
        <v>9478</v>
      </c>
      <c r="W2793">
        <v>1</v>
      </c>
      <c r="X2793" t="s">
        <v>12271</v>
      </c>
      <c r="Y2793">
        <v>0.77987669936845638</v>
      </c>
      <c r="Z2793" t="str">
        <f>HYPERLINK("Melting_Curves/meltCurve_sp_Q92817_EVPL_HUMAN_.pdf", "Melting_Curves/meltCurve_sp_Q92817_EVPL_HUMAN_.pdf")</f>
        <v>Melting_Curves/meltCurve_sp_Q92817_EVPL_HUMAN_.pdf</v>
      </c>
      <c r="AA2793" t="s">
        <v>16963</v>
      </c>
      <c r="AB2793" t="s">
        <v>21627</v>
      </c>
    </row>
    <row r="2794" spans="1:28" x14ac:dyDescent="0.25">
      <c r="A2794" t="s">
        <v>2798</v>
      </c>
      <c r="B2794">
        <v>0.99904790336628502</v>
      </c>
      <c r="C2794">
        <v>1.0104987328545301</v>
      </c>
      <c r="D2794">
        <v>1.0300025732306901</v>
      </c>
      <c r="E2794">
        <v>0.99698145059639398</v>
      </c>
      <c r="F2794">
        <v>1.01147680236251</v>
      </c>
      <c r="G2794">
        <v>0.83566708036692905</v>
      </c>
      <c r="H2794">
        <v>0.54433088304980004</v>
      </c>
      <c r="I2794">
        <v>0.30688694378797099</v>
      </c>
      <c r="J2794">
        <v>0.12750129073358099</v>
      </c>
      <c r="K2794">
        <v>8.4744244522552706E-2</v>
      </c>
      <c r="L2794">
        <v>1401.5427924379201</v>
      </c>
      <c r="M2794">
        <v>22.846457894658499</v>
      </c>
      <c r="N2794">
        <v>61.464029042953399</v>
      </c>
      <c r="O2794">
        <v>60.881970428392002</v>
      </c>
      <c r="P2794">
        <v>-9.1806188983528297E-2</v>
      </c>
      <c r="Q2794">
        <v>2.1426547119679298E-2</v>
      </c>
      <c r="R2794">
        <v>0.99757747788811302</v>
      </c>
      <c r="S2794" t="s">
        <v>7534</v>
      </c>
      <c r="T2794" t="s">
        <v>9478</v>
      </c>
      <c r="U2794" t="s">
        <v>9478</v>
      </c>
      <c r="V2794" t="s">
        <v>9478</v>
      </c>
      <c r="W2794">
        <v>7</v>
      </c>
      <c r="X2794" t="s">
        <v>12272</v>
      </c>
      <c r="Y2794">
        <v>0.72332023615945429</v>
      </c>
      <c r="Z2794" t="str">
        <f>HYPERLINK("Melting_Curves/meltCurve_sp_Q92820_GGH_HUMAN_.pdf", "Melting_Curves/meltCurve_sp_Q92820_GGH_HUMAN_.pdf")</f>
        <v>Melting_Curves/meltCurve_sp_Q92820_GGH_HUMAN_.pdf</v>
      </c>
      <c r="AA2794" t="s">
        <v>16964</v>
      </c>
      <c r="AB2794" t="s">
        <v>21628</v>
      </c>
    </row>
    <row r="2795" spans="1:28" x14ac:dyDescent="0.25">
      <c r="A2795" t="s">
        <v>2799</v>
      </c>
      <c r="B2795">
        <v>0.99904790336628502</v>
      </c>
      <c r="C2795">
        <v>1.0062638655306</v>
      </c>
      <c r="D2795">
        <v>0.98609953973805697</v>
      </c>
      <c r="E2795">
        <v>0.77384297321421303</v>
      </c>
      <c r="F2795">
        <v>0.32831964420739801</v>
      </c>
      <c r="G2795">
        <v>0.24330446054705501</v>
      </c>
      <c r="H2795">
        <v>0.12859843316671499</v>
      </c>
      <c r="I2795">
        <v>0.104591289940783</v>
      </c>
      <c r="J2795">
        <v>8.5164040758782006E-2</v>
      </c>
      <c r="K2795">
        <v>8.0545827800834802E-2</v>
      </c>
      <c r="L2795">
        <v>1651.74365528509</v>
      </c>
      <c r="M2795">
        <v>32.080739034593797</v>
      </c>
      <c r="N2795">
        <v>51.905631752765601</v>
      </c>
      <c r="O2795">
        <v>51.288276716414302</v>
      </c>
      <c r="P2795">
        <v>-0.138553575398361</v>
      </c>
      <c r="Q2795">
        <v>0.113968519580131</v>
      </c>
      <c r="R2795">
        <v>0.99190923345731197</v>
      </c>
      <c r="S2795" t="s">
        <v>7535</v>
      </c>
      <c r="T2795" t="s">
        <v>9478</v>
      </c>
      <c r="U2795" t="s">
        <v>9478</v>
      </c>
      <c r="V2795" t="s">
        <v>9478</v>
      </c>
      <c r="W2795">
        <v>26</v>
      </c>
      <c r="X2795" t="s">
        <v>12273</v>
      </c>
      <c r="Y2795">
        <v>0.4581435073267911</v>
      </c>
      <c r="Z2795" t="str">
        <f>HYPERLINK("Melting_Curves/meltCurve_sp_Q92841_DDX17_HUMAN_.pdf", "Melting_Curves/meltCurve_sp_Q92841_DDX17_HUMAN_.pdf")</f>
        <v>Melting_Curves/meltCurve_sp_Q92841_DDX17_HUMAN_.pdf</v>
      </c>
      <c r="AA2795" t="s">
        <v>16965</v>
      </c>
      <c r="AB2795" t="s">
        <v>21629</v>
      </c>
    </row>
    <row r="2796" spans="1:28" x14ac:dyDescent="0.25">
      <c r="A2796" t="s">
        <v>2800</v>
      </c>
      <c r="B2796">
        <v>0.99904790336628502</v>
      </c>
      <c r="C2796">
        <v>0.93334776108524298</v>
      </c>
      <c r="D2796">
        <v>0.92637295305161405</v>
      </c>
      <c r="E2796">
        <v>0.76442972572791801</v>
      </c>
      <c r="F2796">
        <v>0.56518631621963999</v>
      </c>
      <c r="G2796">
        <v>0.28590671325855699</v>
      </c>
      <c r="H2796">
        <v>0.20353947046578</v>
      </c>
      <c r="I2796">
        <v>0.11829431409332999</v>
      </c>
      <c r="J2796">
        <v>0.16420941408709699</v>
      </c>
      <c r="K2796">
        <v>0.132424957611152</v>
      </c>
      <c r="L2796">
        <v>919.70674062060698</v>
      </c>
      <c r="M2796">
        <v>17.401385030323102</v>
      </c>
      <c r="N2796">
        <v>53.649592932900703</v>
      </c>
      <c r="O2796">
        <v>52.169351148691398</v>
      </c>
      <c r="P2796">
        <v>-7.3894283790025897E-2</v>
      </c>
      <c r="Q2796">
        <v>0.113910101581037</v>
      </c>
      <c r="R2796">
        <v>0.99511224995582304</v>
      </c>
      <c r="S2796" t="s">
        <v>7536</v>
      </c>
      <c r="T2796" t="s">
        <v>9478</v>
      </c>
      <c r="U2796" t="s">
        <v>9478</v>
      </c>
      <c r="V2796" t="s">
        <v>9478</v>
      </c>
      <c r="W2796">
        <v>3</v>
      </c>
      <c r="X2796" t="s">
        <v>12274</v>
      </c>
      <c r="Y2796">
        <v>0.50888310541664716</v>
      </c>
      <c r="Z2796" t="str">
        <f>HYPERLINK("Melting_Curves/meltCurve_sp_Q92851_CASPA_HUMAN_.pdf", "Melting_Curves/meltCurve_sp_Q92851_CASPA_HUMAN_.pdf")</f>
        <v>Melting_Curves/meltCurve_sp_Q92851_CASPA_HUMAN_.pdf</v>
      </c>
      <c r="AA2796" t="s">
        <v>16966</v>
      </c>
      <c r="AB2796" t="s">
        <v>21630</v>
      </c>
    </row>
    <row r="2797" spans="1:28" x14ac:dyDescent="0.25">
      <c r="A2797" t="s">
        <v>2801</v>
      </c>
      <c r="B2797">
        <v>0.99904790336628502</v>
      </c>
      <c r="C2797">
        <v>0.98972232455531095</v>
      </c>
      <c r="D2797">
        <v>0.90432122330200804</v>
      </c>
      <c r="E2797">
        <v>0.51588522869977504</v>
      </c>
      <c r="F2797">
        <v>0.256478874153929</v>
      </c>
      <c r="G2797">
        <v>0.116893942541409</v>
      </c>
      <c r="H2797">
        <v>6.6878793971345801E-2</v>
      </c>
      <c r="I2797">
        <v>4.4991725600410599E-2</v>
      </c>
      <c r="J2797">
        <v>3.5929919653536403E-2</v>
      </c>
      <c r="K2797">
        <v>2.7636055728259501E-2</v>
      </c>
      <c r="L2797">
        <v>1145.4442465091099</v>
      </c>
      <c r="M2797">
        <v>22.8697605413115</v>
      </c>
      <c r="N2797">
        <v>50.274133349125002</v>
      </c>
      <c r="O2797">
        <v>49.707304592569997</v>
      </c>
      <c r="P2797">
        <v>-0.11029566633797799</v>
      </c>
      <c r="Q2797">
        <v>4.1110143606410403E-2</v>
      </c>
      <c r="R2797">
        <v>0.99916069734297797</v>
      </c>
      <c r="S2797" t="s">
        <v>7537</v>
      </c>
      <c r="T2797" t="s">
        <v>9478</v>
      </c>
      <c r="U2797" t="s">
        <v>9478</v>
      </c>
      <c r="V2797" t="s">
        <v>9478</v>
      </c>
      <c r="W2797">
        <v>24</v>
      </c>
      <c r="X2797" t="s">
        <v>12275</v>
      </c>
      <c r="Y2797">
        <v>0.37372318715931219</v>
      </c>
      <c r="Z2797" t="str">
        <f>HYPERLINK("Melting_Curves/meltCurve_sp_Q92878_RAD50_HUMAN_.pdf", "Melting_Curves/meltCurve_sp_Q92878_RAD50_HUMAN_.pdf")</f>
        <v>Melting_Curves/meltCurve_sp_Q92878_RAD50_HUMAN_.pdf</v>
      </c>
      <c r="AA2797" t="s">
        <v>16967</v>
      </c>
      <c r="AB2797" t="s">
        <v>21631</v>
      </c>
    </row>
    <row r="2798" spans="1:28" x14ac:dyDescent="0.25">
      <c r="A2798" t="s">
        <v>2802</v>
      </c>
      <c r="B2798">
        <v>0.99904790336628502</v>
      </c>
      <c r="C2798">
        <v>0.863129771638806</v>
      </c>
      <c r="D2798">
        <v>0.78578295049737101</v>
      </c>
      <c r="E2798">
        <v>0.59466865711440897</v>
      </c>
      <c r="F2798">
        <v>0.42777519193771402</v>
      </c>
      <c r="G2798">
        <v>0.28048765176830998</v>
      </c>
      <c r="H2798">
        <v>0.16127305482418999</v>
      </c>
      <c r="I2798">
        <v>0.11798294926029999</v>
      </c>
      <c r="J2798">
        <v>6.1268184471609699E-2</v>
      </c>
      <c r="K2798">
        <v>4.2384684151603E-2</v>
      </c>
      <c r="L2798">
        <v>553.77421979336498</v>
      </c>
      <c r="M2798">
        <v>10.7237898692618</v>
      </c>
      <c r="N2798">
        <v>51.6397724743073</v>
      </c>
      <c r="O2798">
        <v>49.941249620436302</v>
      </c>
      <c r="P2798">
        <v>-5.3701999751003898E-2</v>
      </c>
      <c r="Q2798">
        <v>0</v>
      </c>
      <c r="R2798">
        <v>0.99668807052798103</v>
      </c>
      <c r="S2798" t="s">
        <v>7538</v>
      </c>
      <c r="T2798" t="s">
        <v>9478</v>
      </c>
      <c r="U2798" t="s">
        <v>9478</v>
      </c>
      <c r="V2798" t="s">
        <v>9478</v>
      </c>
      <c r="W2798">
        <v>5</v>
      </c>
      <c r="X2798" t="s">
        <v>12276</v>
      </c>
      <c r="Y2798">
        <v>0.42416929757730659</v>
      </c>
      <c r="Z2798" t="str">
        <f>HYPERLINK("Melting_Curves/meltCurve_sp_Q92879_5_CELF1_HUMAN_.pdf", "Melting_Curves/meltCurve_sp_Q92879_5_CELF1_HUMAN_.pdf")</f>
        <v>Melting_Curves/meltCurve_sp_Q92879_5_CELF1_HUMAN_.pdf</v>
      </c>
      <c r="AA2798" t="s">
        <v>16968</v>
      </c>
      <c r="AB2798" t="s">
        <v>21632</v>
      </c>
    </row>
    <row r="2799" spans="1:28" x14ac:dyDescent="0.25">
      <c r="A2799" t="s">
        <v>2803</v>
      </c>
      <c r="B2799">
        <v>0.99904790336628502</v>
      </c>
      <c r="C2799">
        <v>0.93288666142415699</v>
      </c>
      <c r="D2799">
        <v>0.86324117306724502</v>
      </c>
      <c r="E2799">
        <v>0.85341027081892495</v>
      </c>
      <c r="F2799">
        <v>0.64307648486834501</v>
      </c>
      <c r="G2799">
        <v>0.35466740412875902</v>
      </c>
      <c r="H2799">
        <v>0.25953873248880999</v>
      </c>
      <c r="I2799">
        <v>0.22284728666704101</v>
      </c>
      <c r="J2799">
        <v>0.31461487557670398</v>
      </c>
      <c r="K2799">
        <v>0.29115280940404198</v>
      </c>
      <c r="L2799">
        <v>1163.60355804187</v>
      </c>
      <c r="M2799">
        <v>22.010964666435999</v>
      </c>
      <c r="N2799">
        <v>54.630704808095103</v>
      </c>
      <c r="O2799">
        <v>52.4341664478384</v>
      </c>
      <c r="P2799">
        <v>-7.8233332760782495E-2</v>
      </c>
      <c r="Q2799">
        <v>0.25455177127066297</v>
      </c>
      <c r="R2799">
        <v>0.97215097173908505</v>
      </c>
      <c r="S2799" t="s">
        <v>7539</v>
      </c>
      <c r="T2799" t="s">
        <v>9478</v>
      </c>
      <c r="U2799" t="s">
        <v>9478</v>
      </c>
      <c r="V2799" t="s">
        <v>9478</v>
      </c>
      <c r="W2799">
        <v>5</v>
      </c>
      <c r="X2799" t="s">
        <v>12277</v>
      </c>
      <c r="Y2799">
        <v>0.58288928154185671</v>
      </c>
      <c r="Z2799" t="str">
        <f>HYPERLINK("Melting_Curves/meltCurve_sp_Q92882_OSTF1_HUMAN_.pdf", "Melting_Curves/meltCurve_sp_Q92882_OSTF1_HUMAN_.pdf")</f>
        <v>Melting_Curves/meltCurve_sp_Q92882_OSTF1_HUMAN_.pdf</v>
      </c>
      <c r="AA2799" t="s">
        <v>16969</v>
      </c>
      <c r="AB2799" t="s">
        <v>21633</v>
      </c>
    </row>
    <row r="2800" spans="1:28" x14ac:dyDescent="0.25">
      <c r="A2800" t="s">
        <v>2804</v>
      </c>
      <c r="B2800">
        <v>0.99904790336628502</v>
      </c>
      <c r="C2800">
        <v>0.93616973804953296</v>
      </c>
      <c r="D2800">
        <v>0.91952693561760701</v>
      </c>
      <c r="E2800">
        <v>0.60764170795722305</v>
      </c>
      <c r="F2800">
        <v>0.43361854190564397</v>
      </c>
      <c r="G2800">
        <v>0.19277533406803099</v>
      </c>
      <c r="H2800">
        <v>0.23427474207520599</v>
      </c>
      <c r="I2800">
        <v>8.2300331932355503E-2</v>
      </c>
      <c r="J2800">
        <v>7.5261185268026207E-2</v>
      </c>
      <c r="K2800">
        <v>8.5627771976180905E-2</v>
      </c>
      <c r="L2800">
        <v>840.30787128418604</v>
      </c>
      <c r="M2800">
        <v>16.388893108543201</v>
      </c>
      <c r="N2800">
        <v>51.821056915738801</v>
      </c>
      <c r="O2800">
        <v>50.527864761598998</v>
      </c>
      <c r="P2800">
        <v>-7.4641733742865299E-2</v>
      </c>
      <c r="Q2800">
        <v>7.9567305899227198E-2</v>
      </c>
      <c r="R2800">
        <v>0.98870488480975405</v>
      </c>
      <c r="S2800" t="s">
        <v>7540</v>
      </c>
      <c r="T2800" t="s">
        <v>9478</v>
      </c>
      <c r="U2800" t="s">
        <v>9478</v>
      </c>
      <c r="V2800" t="s">
        <v>9478</v>
      </c>
      <c r="W2800">
        <v>15</v>
      </c>
      <c r="X2800" t="s">
        <v>12278</v>
      </c>
      <c r="Y2800">
        <v>0.44363401565246308</v>
      </c>
      <c r="Z2800" t="str">
        <f>HYPERLINK("Melting_Curves/meltCurve_sp_Q92888_2_ARHG1_HUMAN_.pdf", "Melting_Curves/meltCurve_sp_Q92888_2_ARHG1_HUMAN_.pdf")</f>
        <v>Melting_Curves/meltCurve_sp_Q92888_2_ARHG1_HUMAN_.pdf</v>
      </c>
      <c r="AA2800" t="s">
        <v>16970</v>
      </c>
      <c r="AB2800" t="s">
        <v>21634</v>
      </c>
    </row>
    <row r="2801" spans="1:28" x14ac:dyDescent="0.25">
      <c r="A2801" t="s">
        <v>2805</v>
      </c>
      <c r="B2801">
        <v>0.99904790336628502</v>
      </c>
      <c r="C2801">
        <v>0.89365825118793396</v>
      </c>
      <c r="D2801">
        <v>0.91823760100265195</v>
      </c>
      <c r="E2801">
        <v>0.73224455317343795</v>
      </c>
      <c r="F2801">
        <v>0.58414287077956295</v>
      </c>
      <c r="G2801">
        <v>0.44836437717250999</v>
      </c>
      <c r="H2801">
        <v>0.287327266329999</v>
      </c>
      <c r="I2801">
        <v>0.27718612205430998</v>
      </c>
      <c r="J2801">
        <v>0.15441191640982699</v>
      </c>
      <c r="K2801">
        <v>6.7553521079545098E-2</v>
      </c>
      <c r="L2801">
        <v>529.90981138802204</v>
      </c>
      <c r="M2801">
        <v>9.5557994336495593</v>
      </c>
      <c r="N2801">
        <v>55.454262620119003</v>
      </c>
      <c r="O2801">
        <v>53.188738206215</v>
      </c>
      <c r="P2801">
        <v>-4.49405611944158E-2</v>
      </c>
      <c r="Q2801">
        <v>0</v>
      </c>
      <c r="R2801">
        <v>0.98847855323309697</v>
      </c>
      <c r="S2801" t="s">
        <v>7541</v>
      </c>
      <c r="T2801" t="s">
        <v>9478</v>
      </c>
      <c r="U2801" t="s">
        <v>9478</v>
      </c>
      <c r="V2801" t="s">
        <v>9478</v>
      </c>
      <c r="W2801">
        <v>2</v>
      </c>
      <c r="X2801" t="s">
        <v>12279</v>
      </c>
      <c r="Y2801">
        <v>0.53910370671048613</v>
      </c>
      <c r="Z2801" t="str">
        <f>HYPERLINK("Melting_Curves/meltCurve_sp_Q92889_XPF_HUMAN_.pdf", "Melting_Curves/meltCurve_sp_Q92889_XPF_HUMAN_.pdf")</f>
        <v>Melting_Curves/meltCurve_sp_Q92889_XPF_HUMAN_.pdf</v>
      </c>
      <c r="AA2801" t="s">
        <v>16971</v>
      </c>
      <c r="AB2801" t="s">
        <v>21635</v>
      </c>
    </row>
    <row r="2802" spans="1:28" x14ac:dyDescent="0.25">
      <c r="A2802" t="s">
        <v>2806</v>
      </c>
      <c r="B2802">
        <v>0.99904790336628502</v>
      </c>
      <c r="C2802">
        <v>1.0086535804447301</v>
      </c>
      <c r="D2802">
        <v>0.98012383408704595</v>
      </c>
      <c r="E2802">
        <v>0.96119426737231395</v>
      </c>
      <c r="F2802">
        <v>0.91618788155124398</v>
      </c>
      <c r="G2802">
        <v>0.72638195972207897</v>
      </c>
      <c r="H2802">
        <v>0.56564922129957196</v>
      </c>
      <c r="I2802">
        <v>0.42358710749710798</v>
      </c>
      <c r="J2802">
        <v>0.32127217635834698</v>
      </c>
      <c r="K2802">
        <v>0.319089165282891</v>
      </c>
      <c r="L2802">
        <v>941.12006708341301</v>
      </c>
      <c r="M2802">
        <v>15.82323130106</v>
      </c>
      <c r="N2802">
        <v>61.997760229887199</v>
      </c>
      <c r="O2802">
        <v>58.551449378065499</v>
      </c>
      <c r="P2802">
        <v>-5.1537876902359801E-2</v>
      </c>
      <c r="Q2802">
        <v>0.23723033933757101</v>
      </c>
      <c r="R2802">
        <v>0.99707023550469098</v>
      </c>
      <c r="S2802" t="s">
        <v>7542</v>
      </c>
      <c r="T2802" t="s">
        <v>9478</v>
      </c>
      <c r="U2802" t="s">
        <v>9478</v>
      </c>
      <c r="V2802" t="s">
        <v>9478</v>
      </c>
      <c r="W2802">
        <v>8</v>
      </c>
      <c r="X2802" t="s">
        <v>12280</v>
      </c>
      <c r="Y2802">
        <v>0.73948851540149019</v>
      </c>
      <c r="Z2802" t="str">
        <f>HYPERLINK("Melting_Curves/meltCurve_sp_Q92890_UFD1_HUMAN_.pdf", "Melting_Curves/meltCurve_sp_Q92890_UFD1_HUMAN_.pdf")</f>
        <v>Melting_Curves/meltCurve_sp_Q92890_UFD1_HUMAN_.pdf</v>
      </c>
      <c r="AA2802" t="s">
        <v>16972</v>
      </c>
      <c r="AB2802" t="s">
        <v>21636</v>
      </c>
    </row>
    <row r="2803" spans="1:28" x14ac:dyDescent="0.25">
      <c r="A2803" t="s">
        <v>2807</v>
      </c>
      <c r="B2803">
        <v>0.99904790336628502</v>
      </c>
      <c r="C2803">
        <v>0.98224760890113205</v>
      </c>
      <c r="D2803">
        <v>0.96406339130827201</v>
      </c>
      <c r="E2803">
        <v>0.86055760864307895</v>
      </c>
      <c r="F2803">
        <v>0.84834016736262996</v>
      </c>
      <c r="G2803">
        <v>0.64295516030483402</v>
      </c>
      <c r="H2803">
        <v>0.48614227056235398</v>
      </c>
      <c r="I2803">
        <v>0.46174693899034902</v>
      </c>
      <c r="J2803">
        <v>0.54033118210662701</v>
      </c>
      <c r="K2803">
        <v>0.39245945431551199</v>
      </c>
      <c r="L2803">
        <v>833.58180600392404</v>
      </c>
      <c r="M2803">
        <v>15.064557137764901</v>
      </c>
      <c r="N2803">
        <v>62.552586702995299</v>
      </c>
      <c r="O2803">
        <v>54.386386206418997</v>
      </c>
      <c r="P2803">
        <v>-4.0714548799982403E-2</v>
      </c>
      <c r="Q2803">
        <v>0.41210426283273499</v>
      </c>
      <c r="R2803">
        <v>0.96844316428270305</v>
      </c>
      <c r="S2803" t="s">
        <v>7543</v>
      </c>
      <c r="T2803" t="s">
        <v>9478</v>
      </c>
      <c r="U2803" t="s">
        <v>9478</v>
      </c>
      <c r="V2803" t="s">
        <v>9478</v>
      </c>
      <c r="W2803">
        <v>3</v>
      </c>
      <c r="X2803" t="s">
        <v>12281</v>
      </c>
      <c r="Y2803">
        <v>0.72360529922947925</v>
      </c>
      <c r="Z2803" t="str">
        <f>HYPERLINK("Melting_Curves/meltCurve_sp_Q92896_GSLG1_HUMAN_.pdf", "Melting_Curves/meltCurve_sp_Q92896_GSLG1_HUMAN_.pdf")</f>
        <v>Melting_Curves/meltCurve_sp_Q92896_GSLG1_HUMAN_.pdf</v>
      </c>
      <c r="AA2803" t="s">
        <v>16973</v>
      </c>
      <c r="AB2803" t="s">
        <v>21637</v>
      </c>
    </row>
    <row r="2804" spans="1:28" x14ac:dyDescent="0.25">
      <c r="A2804" t="s">
        <v>2808</v>
      </c>
      <c r="B2804">
        <v>0.99904790336628502</v>
      </c>
      <c r="C2804">
        <v>0.89349811984625405</v>
      </c>
      <c r="D2804">
        <v>0.71113563533537405</v>
      </c>
      <c r="E2804">
        <v>0.42168063248375398</v>
      </c>
      <c r="F2804">
        <v>0.28434352620090497</v>
      </c>
      <c r="G2804">
        <v>0.216361917981547</v>
      </c>
      <c r="H2804">
        <v>0.15296949730308801</v>
      </c>
      <c r="I2804">
        <v>9.4292414046779197E-2</v>
      </c>
      <c r="J2804">
        <v>5.41431134326456E-2</v>
      </c>
      <c r="K2804">
        <v>4.4440870662397103E-2</v>
      </c>
      <c r="L2804">
        <v>684.14249173845405</v>
      </c>
      <c r="M2804">
        <v>14.036148577204401</v>
      </c>
      <c r="N2804">
        <v>49.205865034559103</v>
      </c>
      <c r="O2804">
        <v>47.784115627810102</v>
      </c>
      <c r="P2804">
        <v>-6.8888666484040101E-2</v>
      </c>
      <c r="Q2804">
        <v>6.2035743620059099E-2</v>
      </c>
      <c r="R2804">
        <v>0.99304553230739201</v>
      </c>
      <c r="S2804" t="s">
        <v>7544</v>
      </c>
      <c r="T2804" t="s">
        <v>9478</v>
      </c>
      <c r="U2804" t="s">
        <v>9478</v>
      </c>
      <c r="V2804" t="s">
        <v>9478</v>
      </c>
      <c r="W2804">
        <v>29</v>
      </c>
      <c r="X2804" t="s">
        <v>12282</v>
      </c>
      <c r="Y2804">
        <v>0.36183231575535352</v>
      </c>
      <c r="Z2804" t="str">
        <f>HYPERLINK("Melting_Curves/meltCurve_sp_Q92900_2_RENT1_HUMAN_.pdf", "Melting_Curves/meltCurve_sp_Q92900_2_RENT1_HUMAN_.pdf")</f>
        <v>Melting_Curves/meltCurve_sp_Q92900_2_RENT1_HUMAN_.pdf</v>
      </c>
      <c r="AA2804" t="s">
        <v>16974</v>
      </c>
      <c r="AB2804" t="s">
        <v>21638</v>
      </c>
    </row>
    <row r="2805" spans="1:28" x14ac:dyDescent="0.25">
      <c r="A2805" t="s">
        <v>2809</v>
      </c>
      <c r="B2805">
        <v>0.99904790336628502</v>
      </c>
      <c r="C2805">
        <v>1.04776107659975</v>
      </c>
      <c r="D2805">
        <v>1.0830149417968</v>
      </c>
      <c r="E2805">
        <v>1.0214186264523699</v>
      </c>
      <c r="F2805">
        <v>0.72723423403667797</v>
      </c>
      <c r="G2805">
        <v>0.36939980011853701</v>
      </c>
      <c r="H2805">
        <v>0.123258598892418</v>
      </c>
      <c r="I2805">
        <v>7.4573770219611604E-2</v>
      </c>
      <c r="J2805">
        <v>3.9879619477855198E-2</v>
      </c>
      <c r="K2805">
        <v>3.8906271169670097E-2</v>
      </c>
      <c r="L2805">
        <v>1446.5899146515301</v>
      </c>
      <c r="M2805">
        <v>26.109231327789601</v>
      </c>
      <c r="N2805">
        <v>55.5814289800933</v>
      </c>
      <c r="O2805">
        <v>55.0833439431388</v>
      </c>
      <c r="P2805">
        <v>-0.113795399851066</v>
      </c>
      <c r="Q2805">
        <v>3.9702068050277602E-2</v>
      </c>
      <c r="R2805">
        <v>0.99052972171239795</v>
      </c>
      <c r="S2805" t="s">
        <v>7545</v>
      </c>
      <c r="T2805" t="s">
        <v>9478</v>
      </c>
      <c r="U2805" t="s">
        <v>9478</v>
      </c>
      <c r="V2805" t="s">
        <v>9478</v>
      </c>
      <c r="W2805">
        <v>6</v>
      </c>
      <c r="X2805" t="s">
        <v>12283</v>
      </c>
      <c r="Y2805">
        <v>0.54104610522851193</v>
      </c>
      <c r="Z2805" t="str">
        <f>HYPERLINK("Melting_Curves/meltCurve_sp_Q92905_CSN5_HUMAN_.pdf", "Melting_Curves/meltCurve_sp_Q92905_CSN5_HUMAN_.pdf")</f>
        <v>Melting_Curves/meltCurve_sp_Q92905_CSN5_HUMAN_.pdf</v>
      </c>
      <c r="AA2805" t="s">
        <v>16975</v>
      </c>
      <c r="AB2805" t="s">
        <v>21639</v>
      </c>
    </row>
    <row r="2806" spans="1:28" x14ac:dyDescent="0.25">
      <c r="A2806" t="s">
        <v>2810</v>
      </c>
      <c r="B2806">
        <v>0.99904790336628502</v>
      </c>
      <c r="C2806">
        <v>0.94523025595409405</v>
      </c>
      <c r="D2806">
        <v>0.90516118057151695</v>
      </c>
      <c r="E2806">
        <v>0.77069826952079001</v>
      </c>
      <c r="F2806">
        <v>0.624954229322914</v>
      </c>
      <c r="G2806">
        <v>0.41984203320621299</v>
      </c>
      <c r="H2806">
        <v>0.37505848323498098</v>
      </c>
      <c r="I2806">
        <v>0.31441131747477002</v>
      </c>
      <c r="J2806">
        <v>0.35549221585273999</v>
      </c>
      <c r="K2806">
        <v>0.33541004334596403</v>
      </c>
      <c r="L2806">
        <v>821.74476285061405</v>
      </c>
      <c r="M2806">
        <v>15.807845018824899</v>
      </c>
      <c r="N2806">
        <v>55.398783773435198</v>
      </c>
      <c r="O2806">
        <v>51.172784055580202</v>
      </c>
      <c r="P2806">
        <v>-5.3189283327098102E-2</v>
      </c>
      <c r="Q2806">
        <v>0.31132425562201999</v>
      </c>
      <c r="R2806">
        <v>0.99369978825416805</v>
      </c>
      <c r="S2806" t="s">
        <v>7546</v>
      </c>
      <c r="T2806" t="s">
        <v>9478</v>
      </c>
      <c r="U2806" t="s">
        <v>9478</v>
      </c>
      <c r="V2806" t="s">
        <v>9478</v>
      </c>
      <c r="W2806">
        <v>10</v>
      </c>
      <c r="X2806" t="s">
        <v>12284</v>
      </c>
      <c r="Y2806">
        <v>0.60060922735699618</v>
      </c>
      <c r="Z2806" t="str">
        <f>HYPERLINK("Melting_Curves/meltCurve_sp_Q92917_GPKOW_HUMAN_.pdf", "Melting_Curves/meltCurve_sp_Q92917_GPKOW_HUMAN_.pdf")</f>
        <v>Melting_Curves/meltCurve_sp_Q92917_GPKOW_HUMAN_.pdf</v>
      </c>
      <c r="AA2806" t="s">
        <v>16976</v>
      </c>
      <c r="AB2806" t="s">
        <v>21640</v>
      </c>
    </row>
    <row r="2807" spans="1:28" x14ac:dyDescent="0.25">
      <c r="A2807" t="s">
        <v>2811</v>
      </c>
      <c r="B2807">
        <v>0.99904790336628502</v>
      </c>
      <c r="C2807">
        <v>1.07655463800933</v>
      </c>
      <c r="D2807">
        <v>0.90308137007106004</v>
      </c>
      <c r="E2807">
        <v>0.79231346993880802</v>
      </c>
      <c r="F2807">
        <v>0.47188639364771301</v>
      </c>
      <c r="G2807">
        <v>0.26894349759232899</v>
      </c>
      <c r="H2807">
        <v>0.195454839489592</v>
      </c>
      <c r="I2807">
        <v>0.205349974388253</v>
      </c>
      <c r="J2807">
        <v>0.18027344074403401</v>
      </c>
      <c r="K2807">
        <v>0.170375056051283</v>
      </c>
      <c r="L2807">
        <v>1262.9042483968301</v>
      </c>
      <c r="M2807">
        <v>24.335290257382599</v>
      </c>
      <c r="N2807">
        <v>52.861775561930997</v>
      </c>
      <c r="O2807">
        <v>51.5493813921954</v>
      </c>
      <c r="P2807">
        <v>-9.6840692934122993E-2</v>
      </c>
      <c r="Q2807">
        <v>0.179462917678854</v>
      </c>
      <c r="R2807">
        <v>0.99058858033422204</v>
      </c>
      <c r="S2807" t="s">
        <v>7547</v>
      </c>
      <c r="T2807" t="s">
        <v>9478</v>
      </c>
      <c r="U2807" t="s">
        <v>9478</v>
      </c>
      <c r="V2807" t="s">
        <v>9478</v>
      </c>
      <c r="W2807">
        <v>6</v>
      </c>
      <c r="X2807" t="s">
        <v>12285</v>
      </c>
      <c r="Y2807">
        <v>0.51271438379162959</v>
      </c>
      <c r="Z2807" t="str">
        <f>HYPERLINK("Melting_Curves/meltCurve_sp_Q92922_SMRC1_HUMAN_.pdf", "Melting_Curves/meltCurve_sp_Q92922_SMRC1_HUMAN_.pdf")</f>
        <v>Melting_Curves/meltCurve_sp_Q92922_SMRC1_HUMAN_.pdf</v>
      </c>
      <c r="AA2807" t="s">
        <v>16977</v>
      </c>
      <c r="AB2807" t="s">
        <v>21641</v>
      </c>
    </row>
    <row r="2808" spans="1:28" x14ac:dyDescent="0.25">
      <c r="A2808" t="s">
        <v>2812</v>
      </c>
      <c r="B2808">
        <v>0.99904790336628502</v>
      </c>
      <c r="C2808">
        <v>1.10081508397217</v>
      </c>
      <c r="D2808">
        <v>1.0441369938551801</v>
      </c>
      <c r="E2808">
        <v>1.05428610709507</v>
      </c>
      <c r="F2808">
        <v>1.03218160098222</v>
      </c>
      <c r="G2808">
        <v>0.83192030084076196</v>
      </c>
      <c r="H2808">
        <v>0.741366990717648</v>
      </c>
      <c r="I2808">
        <v>0.77725919009831101</v>
      </c>
      <c r="J2808">
        <v>0.74175370221005099</v>
      </c>
      <c r="K2808">
        <v>0.56418144792878699</v>
      </c>
      <c r="L2808">
        <v>962.37230641697101</v>
      </c>
      <c r="M2808">
        <v>15.844813479977701</v>
      </c>
      <c r="O2808">
        <v>59.794603766098902</v>
      </c>
      <c r="P2808">
        <v>-2.68827892860212E-2</v>
      </c>
      <c r="Q2808">
        <v>0.594235741511286</v>
      </c>
      <c r="R2808">
        <v>0.85669172771345403</v>
      </c>
      <c r="S2808" t="s">
        <v>7548</v>
      </c>
      <c r="T2808" t="s">
        <v>9478</v>
      </c>
      <c r="U2808" t="s">
        <v>9478</v>
      </c>
      <c r="V2808" t="s">
        <v>9478</v>
      </c>
      <c r="W2808">
        <v>2</v>
      </c>
      <c r="X2808" t="s">
        <v>12286</v>
      </c>
      <c r="Y2808">
        <v>0.87660745145524666</v>
      </c>
      <c r="Z2808" t="str">
        <f>HYPERLINK("Melting_Curves/meltCurve_sp_Q92934_BAD_HUMAN_.pdf", "Melting_Curves/meltCurve_sp_Q92934_BAD_HUMAN_.pdf")</f>
        <v>Melting_Curves/meltCurve_sp_Q92934_BAD_HUMAN_.pdf</v>
      </c>
      <c r="AA2808" t="s">
        <v>16978</v>
      </c>
      <c r="AB2808" t="s">
        <v>21642</v>
      </c>
    </row>
    <row r="2809" spans="1:28" x14ac:dyDescent="0.25">
      <c r="A2809" t="s">
        <v>2813</v>
      </c>
      <c r="B2809">
        <v>0.99904790336628502</v>
      </c>
      <c r="C2809">
        <v>1.0265694740734099</v>
      </c>
      <c r="D2809">
        <v>0.97604536599165304</v>
      </c>
      <c r="E2809">
        <v>0.98421480853792997</v>
      </c>
      <c r="F2809">
        <v>1.02421013226406</v>
      </c>
      <c r="G2809">
        <v>0.74795278167687995</v>
      </c>
      <c r="H2809">
        <v>0.70959195536259201</v>
      </c>
      <c r="I2809">
        <v>0.68679478276026396</v>
      </c>
      <c r="J2809">
        <v>0.72700103367883595</v>
      </c>
      <c r="K2809">
        <v>0.67026495217303705</v>
      </c>
      <c r="L2809">
        <v>14157.2699019097</v>
      </c>
      <c r="M2809">
        <v>250</v>
      </c>
      <c r="O2809">
        <v>56.625465201310902</v>
      </c>
      <c r="P2809">
        <v>-0.332874607947931</v>
      </c>
      <c r="Q2809">
        <v>0.69841317824756399</v>
      </c>
      <c r="R2809">
        <v>0.98201260697718495</v>
      </c>
      <c r="S2809" t="s">
        <v>7549</v>
      </c>
      <c r="T2809" t="s">
        <v>9478</v>
      </c>
      <c r="U2809" t="s">
        <v>9478</v>
      </c>
      <c r="V2809" t="s">
        <v>9478</v>
      </c>
      <c r="W2809">
        <v>39</v>
      </c>
      <c r="X2809" t="s">
        <v>12287</v>
      </c>
      <c r="Y2809">
        <v>0.8656135264814584</v>
      </c>
      <c r="Z2809" t="str">
        <f>HYPERLINK("Melting_Curves/meltCurve_sp_Q92945_FUBP2_HUMAN_.pdf", "Melting_Curves/meltCurve_sp_Q92945_FUBP2_HUMAN_.pdf")</f>
        <v>Melting_Curves/meltCurve_sp_Q92945_FUBP2_HUMAN_.pdf</v>
      </c>
      <c r="AA2809" t="s">
        <v>16979</v>
      </c>
      <c r="AB2809" t="s">
        <v>21643</v>
      </c>
    </row>
    <row r="2810" spans="1:28" x14ac:dyDescent="0.25">
      <c r="A2810" t="s">
        <v>2814</v>
      </c>
      <c r="B2810">
        <v>0.99904790336628502</v>
      </c>
      <c r="C2810">
        <v>0.83755358157850401</v>
      </c>
      <c r="D2810">
        <v>0.63807333319918802</v>
      </c>
      <c r="E2810">
        <v>0.37129884647341799</v>
      </c>
      <c r="F2810">
        <v>0.241808006818683</v>
      </c>
      <c r="G2810">
        <v>0.15763366268741699</v>
      </c>
      <c r="H2810">
        <v>8.95617926642997E-2</v>
      </c>
      <c r="I2810">
        <v>5.3508391212702101E-2</v>
      </c>
      <c r="J2810">
        <v>2.7560326281759199E-2</v>
      </c>
      <c r="K2810">
        <v>1.6764739106380201E-2</v>
      </c>
      <c r="L2810">
        <v>656.80744851934901</v>
      </c>
      <c r="M2810">
        <v>13.672221421603201</v>
      </c>
      <c r="N2810">
        <v>48.209722590547997</v>
      </c>
      <c r="O2810">
        <v>47.046797350410301</v>
      </c>
      <c r="P2810">
        <v>-7.09511115502897E-2</v>
      </c>
      <c r="Q2810">
        <v>2.3556313180946802E-2</v>
      </c>
      <c r="R2810">
        <v>0.99502809672868597</v>
      </c>
      <c r="S2810" t="s">
        <v>7550</v>
      </c>
      <c r="T2810" t="s">
        <v>9478</v>
      </c>
      <c r="U2810" t="s">
        <v>9478</v>
      </c>
      <c r="V2810" t="s">
        <v>9478</v>
      </c>
      <c r="W2810">
        <v>19</v>
      </c>
      <c r="X2810" t="s">
        <v>12288</v>
      </c>
      <c r="Y2810">
        <v>0.31524159373897931</v>
      </c>
      <c r="Z2810" t="str">
        <f>HYPERLINK("Melting_Curves/meltCurve_sp_Q92947_GCDH_HUMAN_.pdf", "Melting_Curves/meltCurve_sp_Q92947_GCDH_HUMAN_.pdf")</f>
        <v>Melting_Curves/meltCurve_sp_Q92947_GCDH_HUMAN_.pdf</v>
      </c>
      <c r="AA2810" t="s">
        <v>16980</v>
      </c>
      <c r="AB2810" t="s">
        <v>21644</v>
      </c>
    </row>
    <row r="2811" spans="1:28" x14ac:dyDescent="0.25">
      <c r="A2811" t="s">
        <v>2815</v>
      </c>
      <c r="B2811">
        <v>0.99904790336628502</v>
      </c>
      <c r="C2811">
        <v>0.88825330528939905</v>
      </c>
      <c r="D2811">
        <v>0.915162610926475</v>
      </c>
      <c r="E2811">
        <v>0.81993011011761796</v>
      </c>
      <c r="F2811">
        <v>0.48939773241789902</v>
      </c>
      <c r="G2811">
        <v>0.14465506067636799</v>
      </c>
      <c r="H2811">
        <v>9.8126866179545802E-2</v>
      </c>
      <c r="I2811">
        <v>0.10176744540130001</v>
      </c>
      <c r="J2811">
        <v>9.2332367063789694E-2</v>
      </c>
      <c r="K2811">
        <v>9.9180589475483402E-2</v>
      </c>
      <c r="L2811">
        <v>1461.02424455138</v>
      </c>
      <c r="M2811">
        <v>27.8598549559531</v>
      </c>
      <c r="N2811">
        <v>52.800011944151301</v>
      </c>
      <c r="O2811">
        <v>52.173941066262799</v>
      </c>
      <c r="P2811">
        <v>-0.122004255941199</v>
      </c>
      <c r="Q2811">
        <v>8.6084369695518498E-2</v>
      </c>
      <c r="R2811">
        <v>0.987491005758103</v>
      </c>
      <c r="S2811" t="s">
        <v>7551</v>
      </c>
      <c r="T2811" t="s">
        <v>9478</v>
      </c>
      <c r="U2811" t="s">
        <v>9478</v>
      </c>
      <c r="V2811" t="s">
        <v>9478</v>
      </c>
      <c r="W2811">
        <v>7</v>
      </c>
      <c r="X2811" t="s">
        <v>12289</v>
      </c>
      <c r="Y2811">
        <v>0.47191100518938672</v>
      </c>
      <c r="Z2811" t="str">
        <f>HYPERLINK("Melting_Curves/meltCurve_sp_Q92954_3_PRG4_HUMAN_.pdf", "Melting_Curves/meltCurve_sp_Q92954_3_PRG4_HUMAN_.pdf")</f>
        <v>Melting_Curves/meltCurve_sp_Q92954_3_PRG4_HUMAN_.pdf</v>
      </c>
      <c r="AA2811" t="s">
        <v>16981</v>
      </c>
      <c r="AB2811" t="s">
        <v>21645</v>
      </c>
    </row>
    <row r="2812" spans="1:28" x14ac:dyDescent="0.25">
      <c r="A2812" t="s">
        <v>2816</v>
      </c>
      <c r="B2812">
        <v>0.99904790336628502</v>
      </c>
      <c r="C2812">
        <v>0.99936843394643204</v>
      </c>
      <c r="D2812">
        <v>1.06160819450326</v>
      </c>
      <c r="E2812">
        <v>0.93489653507025094</v>
      </c>
      <c r="F2812">
        <v>0.69151239147969801</v>
      </c>
      <c r="G2812">
        <v>0.23388261638837801</v>
      </c>
      <c r="H2812">
        <v>9.5708224577233297E-2</v>
      </c>
      <c r="I2812">
        <v>5.7400178565399501E-2</v>
      </c>
      <c r="J2812">
        <v>4.1936225498023803E-2</v>
      </c>
      <c r="K2812">
        <v>3.3992289956745199E-2</v>
      </c>
      <c r="L2812">
        <v>1614.84672347829</v>
      </c>
      <c r="M2812">
        <v>29.711542172834999</v>
      </c>
      <c r="N2812">
        <v>54.518615325657201</v>
      </c>
      <c r="O2812">
        <v>54.106400589851901</v>
      </c>
      <c r="P2812">
        <v>-0.131285148644044</v>
      </c>
      <c r="Q2812">
        <v>4.3695854247577597E-2</v>
      </c>
      <c r="R2812">
        <v>0.99747922267232003</v>
      </c>
      <c r="S2812" t="s">
        <v>7552</v>
      </c>
      <c r="T2812" t="s">
        <v>9478</v>
      </c>
      <c r="U2812" t="s">
        <v>9478</v>
      </c>
      <c r="V2812" t="s">
        <v>9478</v>
      </c>
      <c r="W2812">
        <v>19</v>
      </c>
      <c r="X2812" t="s">
        <v>12290</v>
      </c>
      <c r="Y2812">
        <v>0.50757774178748005</v>
      </c>
      <c r="Z2812" t="str">
        <f>HYPERLINK("Melting_Curves/meltCurve_sp_Q92973_2_TNPO1_HUMAN_.pdf", "Melting_Curves/meltCurve_sp_Q92973_2_TNPO1_HUMAN_.pdf")</f>
        <v>Melting_Curves/meltCurve_sp_Q92973_2_TNPO1_HUMAN_.pdf</v>
      </c>
      <c r="AA2812" t="s">
        <v>16982</v>
      </c>
      <c r="AB2812" t="s">
        <v>21646</v>
      </c>
    </row>
    <row r="2813" spans="1:28" x14ac:dyDescent="0.25">
      <c r="A2813" t="s">
        <v>2817</v>
      </c>
      <c r="B2813">
        <v>0.99904790336628502</v>
      </c>
      <c r="C2813">
        <v>0.96280750985130503</v>
      </c>
      <c r="D2813">
        <v>0.79881857842494997</v>
      </c>
      <c r="E2813">
        <v>0.75483348867604105</v>
      </c>
      <c r="F2813">
        <v>0.90953803730855698</v>
      </c>
      <c r="G2813">
        <v>0.36755362855134999</v>
      </c>
      <c r="H2813">
        <v>4.8649591558823702E-2</v>
      </c>
      <c r="I2813">
        <v>0</v>
      </c>
      <c r="J2813">
        <v>4.3021842017362102E-2</v>
      </c>
      <c r="K2813">
        <v>5.4428656338979503E-2</v>
      </c>
      <c r="L2813">
        <v>1697.8684524412099</v>
      </c>
      <c r="M2813">
        <v>30.368280291987698</v>
      </c>
      <c r="N2813">
        <v>55.957871492895002</v>
      </c>
      <c r="O2813">
        <v>55.668517692059901</v>
      </c>
      <c r="P2813">
        <v>-0.13460580940761299</v>
      </c>
      <c r="Q2813">
        <v>1.3015027058325499E-2</v>
      </c>
      <c r="R2813">
        <v>0.94103963865771201</v>
      </c>
      <c r="S2813" t="s">
        <v>7553</v>
      </c>
      <c r="T2813" t="s">
        <v>9478</v>
      </c>
      <c r="U2813" t="s">
        <v>9478</v>
      </c>
      <c r="V2813" t="s">
        <v>9478</v>
      </c>
      <c r="W2813">
        <v>1</v>
      </c>
      <c r="X2813" t="s">
        <v>12291</v>
      </c>
      <c r="Y2813">
        <v>0.54285588821992126</v>
      </c>
      <c r="Z2813" t="str">
        <f>HYPERLINK("Melting_Curves/meltCurve_sp_Q92989_2_CLP1_HUMAN_.pdf", "Melting_Curves/meltCurve_sp_Q92989_2_CLP1_HUMAN_.pdf")</f>
        <v>Melting_Curves/meltCurve_sp_Q92989_2_CLP1_HUMAN_.pdf</v>
      </c>
      <c r="AA2813" t="s">
        <v>16983</v>
      </c>
      <c r="AB2813" t="s">
        <v>21647</v>
      </c>
    </row>
    <row r="2814" spans="1:28" x14ac:dyDescent="0.25">
      <c r="A2814" t="s">
        <v>2818</v>
      </c>
      <c r="B2814">
        <v>0.99904790336628502</v>
      </c>
      <c r="C2814">
        <v>1.21809259319745</v>
      </c>
      <c r="D2814">
        <v>1.0546388196547301</v>
      </c>
      <c r="E2814">
        <v>0.72474365404882601</v>
      </c>
      <c r="F2814">
        <v>0.53939704380918596</v>
      </c>
      <c r="G2814">
        <v>0.27104383107900998</v>
      </c>
      <c r="H2814">
        <v>0.163036168363943</v>
      </c>
      <c r="I2814">
        <v>8.80062213101198E-2</v>
      </c>
      <c r="J2814">
        <v>6.6212706960149206E-2</v>
      </c>
      <c r="K2814">
        <v>6.8607568636403798E-2</v>
      </c>
      <c r="L2814">
        <v>1082.2149745772299</v>
      </c>
      <c r="M2814">
        <v>20.4238693174795</v>
      </c>
      <c r="N2814">
        <v>53.396299461900497</v>
      </c>
      <c r="O2814">
        <v>52.487612627474597</v>
      </c>
      <c r="P2814">
        <v>-9.0245630645336306E-2</v>
      </c>
      <c r="Q2814">
        <v>7.2333244162140806E-2</v>
      </c>
      <c r="R2814">
        <v>0.96397747646941401</v>
      </c>
      <c r="S2814" t="s">
        <v>7554</v>
      </c>
      <c r="T2814" t="s">
        <v>9478</v>
      </c>
      <c r="U2814" t="s">
        <v>9478</v>
      </c>
      <c r="V2814" t="s">
        <v>9478</v>
      </c>
      <c r="W2814">
        <v>3</v>
      </c>
      <c r="X2814" t="s">
        <v>12292</v>
      </c>
      <c r="Y2814">
        <v>0.48625239780608942</v>
      </c>
      <c r="Z2814" t="str">
        <f>HYPERLINK("Melting_Curves/meltCurve_sp_Q92990_GLMN_HUMAN_.pdf", "Melting_Curves/meltCurve_sp_Q92990_GLMN_HUMAN_.pdf")</f>
        <v>Melting_Curves/meltCurve_sp_Q92990_GLMN_HUMAN_.pdf</v>
      </c>
      <c r="AA2814" t="s">
        <v>16984</v>
      </c>
      <c r="AB2814" t="s">
        <v>21648</v>
      </c>
    </row>
    <row r="2815" spans="1:28" x14ac:dyDescent="0.25">
      <c r="A2815" t="s">
        <v>2819</v>
      </c>
      <c r="B2815">
        <v>0.99904790336628502</v>
      </c>
      <c r="C2815">
        <v>1.0024830858373801</v>
      </c>
      <c r="D2815">
        <v>1.0260930997030699</v>
      </c>
      <c r="E2815">
        <v>0.70196435021986403</v>
      </c>
      <c r="F2815">
        <v>0.23758004414626399</v>
      </c>
      <c r="G2815">
        <v>0.11260131203148099</v>
      </c>
      <c r="H2815">
        <v>9.7315623459662201E-2</v>
      </c>
      <c r="I2815">
        <v>7.17626116315358E-2</v>
      </c>
      <c r="J2815">
        <v>5.8093431122520203E-2</v>
      </c>
      <c r="K2815">
        <v>2.5394390193991499E-2</v>
      </c>
      <c r="L2815">
        <v>2004.4984423192</v>
      </c>
      <c r="M2815">
        <v>39.3195359051658</v>
      </c>
      <c r="N2815">
        <v>51.173864900218398</v>
      </c>
      <c r="O2815">
        <v>50.848374836682503</v>
      </c>
      <c r="P2815">
        <v>-0.17992228606586499</v>
      </c>
      <c r="Q2815">
        <v>6.9293638365297006E-2</v>
      </c>
      <c r="R2815">
        <v>0.99706942617243399</v>
      </c>
      <c r="S2815" t="s">
        <v>7555</v>
      </c>
      <c r="T2815" t="s">
        <v>9478</v>
      </c>
      <c r="U2815" t="s">
        <v>9478</v>
      </c>
      <c r="V2815" t="s">
        <v>9478</v>
      </c>
      <c r="W2815">
        <v>4</v>
      </c>
      <c r="X2815" t="s">
        <v>12293</v>
      </c>
      <c r="Y2815">
        <v>0.41331792721477068</v>
      </c>
      <c r="Z2815" t="str">
        <f>HYPERLINK("Melting_Curves/meltCurve_sp_Q92995_UBP13_HUMAN_.pdf", "Melting_Curves/meltCurve_sp_Q92995_UBP13_HUMAN_.pdf")</f>
        <v>Melting_Curves/meltCurve_sp_Q92995_UBP13_HUMAN_.pdf</v>
      </c>
      <c r="AA2815" t="s">
        <v>16985</v>
      </c>
      <c r="AB2815" t="s">
        <v>21649</v>
      </c>
    </row>
    <row r="2816" spans="1:28" x14ac:dyDescent="0.25">
      <c r="A2816" t="s">
        <v>2820</v>
      </c>
      <c r="B2816">
        <v>0.99904790336628502</v>
      </c>
      <c r="C2816">
        <v>0.70096982907775296</v>
      </c>
      <c r="D2816">
        <v>1.0678898108777199</v>
      </c>
      <c r="E2816">
        <v>0.84126720644004105</v>
      </c>
      <c r="F2816">
        <v>0.42633060536874201</v>
      </c>
      <c r="G2816">
        <v>0.16046614519979199</v>
      </c>
      <c r="H2816">
        <v>7.4289033742139701E-2</v>
      </c>
      <c r="I2816">
        <v>5.33321633265849E-2</v>
      </c>
      <c r="J2816">
        <v>4.1200753688579901E-2</v>
      </c>
      <c r="K2816">
        <v>3.14727444626327E-2</v>
      </c>
      <c r="L2816">
        <v>1633.1779580830901</v>
      </c>
      <c r="M2816">
        <v>31.148643850891801</v>
      </c>
      <c r="N2816">
        <v>52.616981380675398</v>
      </c>
      <c r="O2816">
        <v>52.217075507279297</v>
      </c>
      <c r="P2816">
        <v>-0.141387336135432</v>
      </c>
      <c r="Q2816">
        <v>5.1927869213491497E-2</v>
      </c>
      <c r="R2816">
        <v>0.93972192704503599</v>
      </c>
      <c r="S2816" t="s">
        <v>7556</v>
      </c>
      <c r="T2816" t="s">
        <v>9478</v>
      </c>
      <c r="U2816" t="s">
        <v>9478</v>
      </c>
      <c r="V2816" t="s">
        <v>9478</v>
      </c>
      <c r="W2816">
        <v>44</v>
      </c>
      <c r="X2816" t="s">
        <v>12294</v>
      </c>
      <c r="Y2816">
        <v>0.45046218517670178</v>
      </c>
      <c r="Z2816" t="str">
        <f>HYPERLINK("Melting_Curves/meltCurve_sp_Q93008_USP9X_HUMAN_.pdf", "Melting_Curves/meltCurve_sp_Q93008_USP9X_HUMAN_.pdf")</f>
        <v>Melting_Curves/meltCurve_sp_Q93008_USP9X_HUMAN_.pdf</v>
      </c>
      <c r="AA2816" t="s">
        <v>16986</v>
      </c>
      <c r="AB2816" t="s">
        <v>21650</v>
      </c>
    </row>
    <row r="2817" spans="1:28" x14ac:dyDescent="0.25">
      <c r="A2817" t="s">
        <v>2821</v>
      </c>
      <c r="B2817">
        <v>0.99904790336628502</v>
      </c>
      <c r="C2817">
        <v>0.78129190194090303</v>
      </c>
      <c r="D2817">
        <v>0.55882555595220296</v>
      </c>
      <c r="E2817">
        <v>0.49140443032791797</v>
      </c>
      <c r="F2817">
        <v>0.35944261488954998</v>
      </c>
      <c r="G2817">
        <v>0.35103570188042799</v>
      </c>
      <c r="H2817">
        <v>0.28927919075103298</v>
      </c>
      <c r="I2817">
        <v>0.24792220335989601</v>
      </c>
      <c r="J2817">
        <v>0.287589226937012</v>
      </c>
      <c r="K2817">
        <v>0.17792856984330199</v>
      </c>
      <c r="L2817">
        <v>601.17817019873405</v>
      </c>
      <c r="M2817">
        <v>13.0231655982424</v>
      </c>
      <c r="N2817">
        <v>48.665394776099802</v>
      </c>
      <c r="O2817">
        <v>45.1144274320405</v>
      </c>
      <c r="P2817">
        <v>-5.4560054856441401E-2</v>
      </c>
      <c r="Q2817">
        <v>0.24411159352976999</v>
      </c>
      <c r="R2817">
        <v>0.95976826724011499</v>
      </c>
      <c r="S2817" t="s">
        <v>7557</v>
      </c>
      <c r="T2817" t="s">
        <v>9478</v>
      </c>
      <c r="U2817" t="s">
        <v>9478</v>
      </c>
      <c r="V2817" t="s">
        <v>9478</v>
      </c>
      <c r="W2817">
        <v>1</v>
      </c>
      <c r="X2817" t="s">
        <v>12295</v>
      </c>
      <c r="Y2817">
        <v>0.42839788722329453</v>
      </c>
      <c r="Z2817" t="str">
        <f>HYPERLINK("Melting_Curves/meltCurve_sp_Q93015_NAT6_HUMAN_.pdf", "Melting_Curves/meltCurve_sp_Q93015_NAT6_HUMAN_.pdf")</f>
        <v>Melting_Curves/meltCurve_sp_Q93015_NAT6_HUMAN_.pdf</v>
      </c>
      <c r="AA2817" t="s">
        <v>16987</v>
      </c>
      <c r="AB2817" t="s">
        <v>21651</v>
      </c>
    </row>
    <row r="2818" spans="1:28" x14ac:dyDescent="0.25">
      <c r="A2818" t="s">
        <v>2822</v>
      </c>
      <c r="B2818">
        <v>0.99904790336628502</v>
      </c>
      <c r="C2818">
        <v>1.00562493197605</v>
      </c>
      <c r="D2818">
        <v>1.08606758811379</v>
      </c>
      <c r="E2818">
        <v>1.0082878844646801</v>
      </c>
      <c r="F2818">
        <v>0.90690381020805999</v>
      </c>
      <c r="G2818">
        <v>0.55068710276534805</v>
      </c>
      <c r="H2818">
        <v>9.7369261072698707E-2</v>
      </c>
      <c r="I2818">
        <v>7.7470972392970003E-2</v>
      </c>
      <c r="J2818">
        <v>5.2221701929933299E-2</v>
      </c>
      <c r="K2818">
        <v>4.5449326462715503E-2</v>
      </c>
      <c r="L2818">
        <v>2042.49082536584</v>
      </c>
      <c r="M2818">
        <v>35.7800642726219</v>
      </c>
      <c r="N2818">
        <v>57.2249528564126</v>
      </c>
      <c r="O2818">
        <v>56.907180687413899</v>
      </c>
      <c r="P2818">
        <v>-0.15058375459162399</v>
      </c>
      <c r="Q2818">
        <v>4.2006485270846702E-2</v>
      </c>
      <c r="R2818">
        <v>0.99458753759468599</v>
      </c>
      <c r="S2818" t="s">
        <v>7558</v>
      </c>
      <c r="T2818" t="s">
        <v>9478</v>
      </c>
      <c r="U2818" t="s">
        <v>9478</v>
      </c>
      <c r="V2818" t="s">
        <v>9478</v>
      </c>
      <c r="W2818">
        <v>21</v>
      </c>
      <c r="X2818" t="s">
        <v>12296</v>
      </c>
      <c r="Y2818">
        <v>0.5921954926783175</v>
      </c>
      <c r="Z2818" t="str">
        <f>HYPERLINK("Melting_Curves/meltCurve_sp_Q93034_CUL5_HUMAN_.pdf", "Melting_Curves/meltCurve_sp_Q93034_CUL5_HUMAN_.pdf")</f>
        <v>Melting_Curves/meltCurve_sp_Q93034_CUL5_HUMAN_.pdf</v>
      </c>
      <c r="AA2818" t="s">
        <v>16988</v>
      </c>
      <c r="AB2818" t="s">
        <v>21652</v>
      </c>
    </row>
    <row r="2819" spans="1:28" x14ac:dyDescent="0.25">
      <c r="A2819" t="s">
        <v>2823</v>
      </c>
      <c r="B2819">
        <v>0.99904790336628502</v>
      </c>
      <c r="C2819">
        <v>0.96344141914136205</v>
      </c>
      <c r="D2819">
        <v>0.95065519653663699</v>
      </c>
      <c r="E2819">
        <v>0.92874470473172899</v>
      </c>
      <c r="F2819">
        <v>0.91672815905100902</v>
      </c>
      <c r="G2819">
        <v>0.71062569231253603</v>
      </c>
      <c r="H2819">
        <v>0.62854104772993602</v>
      </c>
      <c r="I2819">
        <v>0.60035197222666903</v>
      </c>
      <c r="J2819">
        <v>0.58917060274474498</v>
      </c>
      <c r="K2819">
        <v>0.56989554194223102</v>
      </c>
      <c r="L2819">
        <v>1090.4283981932001</v>
      </c>
      <c r="M2819">
        <v>19.631589222523701</v>
      </c>
      <c r="O2819">
        <v>54.977870397485503</v>
      </c>
      <c r="P2819">
        <v>-3.8681456780745103E-2</v>
      </c>
      <c r="Q2819">
        <v>0.56670861920679005</v>
      </c>
      <c r="R2819">
        <v>0.98050897138386195</v>
      </c>
      <c r="S2819" t="s">
        <v>7559</v>
      </c>
      <c r="T2819" t="s">
        <v>9478</v>
      </c>
      <c r="U2819" t="s">
        <v>9478</v>
      </c>
      <c r="V2819" t="s">
        <v>9478</v>
      </c>
      <c r="W2819">
        <v>23</v>
      </c>
      <c r="X2819" t="s">
        <v>12297</v>
      </c>
      <c r="Y2819">
        <v>0.79704731577946908</v>
      </c>
      <c r="Z2819" t="str">
        <f>HYPERLINK("Melting_Curves/meltCurve_sp_Q93052_LPP_HUMAN_.pdf", "Melting_Curves/meltCurve_sp_Q93052_LPP_HUMAN_.pdf")</f>
        <v>Melting_Curves/meltCurve_sp_Q93052_LPP_HUMAN_.pdf</v>
      </c>
      <c r="AA2819" t="s">
        <v>16989</v>
      </c>
      <c r="AB2819" t="s">
        <v>21653</v>
      </c>
    </row>
    <row r="2820" spans="1:28" x14ac:dyDescent="0.25">
      <c r="A2820" t="s">
        <v>2824</v>
      </c>
      <c r="B2820">
        <v>0.99904790336628502</v>
      </c>
      <c r="C2820">
        <v>1.0129713670583</v>
      </c>
      <c r="D2820">
        <v>0.91856702549454206</v>
      </c>
      <c r="E2820">
        <v>0.82491923388110699</v>
      </c>
      <c r="F2820">
        <v>0.65723745404164302</v>
      </c>
      <c r="G2820">
        <v>0.489392367255435</v>
      </c>
      <c r="H2820">
        <v>0.39286878584860502</v>
      </c>
      <c r="I2820">
        <v>0.35433411856186198</v>
      </c>
      <c r="J2820">
        <v>0.32813771984731599</v>
      </c>
      <c r="K2820">
        <v>0.43541100289538598</v>
      </c>
      <c r="L2820">
        <v>957.94633775720501</v>
      </c>
      <c r="M2820">
        <v>18.2372639900519</v>
      </c>
      <c r="N2820">
        <v>56.4185032936388</v>
      </c>
      <c r="O2820">
        <v>51.907527434831401</v>
      </c>
      <c r="P2820">
        <v>-5.6403056363249597E-2</v>
      </c>
      <c r="Q2820">
        <v>0.35788481945765799</v>
      </c>
      <c r="R2820">
        <v>0.98584705925873894</v>
      </c>
      <c r="S2820" t="s">
        <v>7560</v>
      </c>
      <c r="T2820" t="s">
        <v>9478</v>
      </c>
      <c r="U2820" t="s">
        <v>9478</v>
      </c>
      <c r="V2820" t="s">
        <v>9478</v>
      </c>
      <c r="W2820">
        <v>3</v>
      </c>
      <c r="X2820" t="s">
        <v>12298</v>
      </c>
      <c r="Y2820">
        <v>0.63638188911185389</v>
      </c>
      <c r="Z2820" t="str">
        <f>HYPERLINK("Melting_Curves/meltCurve_sp_Q93062_4_RBPMS_HUMAN_.pdf", "Melting_Curves/meltCurve_sp_Q93062_4_RBPMS_HUMAN_.pdf")</f>
        <v>Melting_Curves/meltCurve_sp_Q93062_4_RBPMS_HUMAN_.pdf</v>
      </c>
      <c r="AA2820" t="s">
        <v>16990</v>
      </c>
      <c r="AB2820" t="s">
        <v>21654</v>
      </c>
    </row>
    <row r="2821" spans="1:28" x14ac:dyDescent="0.25">
      <c r="A2821" t="s">
        <v>2825</v>
      </c>
      <c r="B2821">
        <v>0.99904790336628502</v>
      </c>
      <c r="C2821">
        <v>0.95566305560084697</v>
      </c>
      <c r="D2821">
        <v>0.91563316258682503</v>
      </c>
      <c r="E2821">
        <v>0.83548943752647298</v>
      </c>
      <c r="F2821">
        <v>0.81154953084019799</v>
      </c>
      <c r="G2821">
        <v>0.60815807961430701</v>
      </c>
      <c r="H2821">
        <v>0.53130633576458397</v>
      </c>
      <c r="I2821">
        <v>0.49935054182002298</v>
      </c>
      <c r="J2821">
        <v>0.484131799630376</v>
      </c>
      <c r="K2821">
        <v>0.49234062153871899</v>
      </c>
      <c r="L2821">
        <v>659.39745552824195</v>
      </c>
      <c r="M2821">
        <v>12.185243169655701</v>
      </c>
      <c r="N2821">
        <v>65.032841560622998</v>
      </c>
      <c r="O2821">
        <v>52.718850110644503</v>
      </c>
      <c r="P2821">
        <v>-3.26345650785528E-2</v>
      </c>
      <c r="Q2821">
        <v>0.435360947283569</v>
      </c>
      <c r="R2821">
        <v>0.984112266772601</v>
      </c>
      <c r="S2821" t="s">
        <v>7561</v>
      </c>
      <c r="T2821" t="s">
        <v>9478</v>
      </c>
      <c r="U2821" t="s">
        <v>9478</v>
      </c>
      <c r="V2821" t="s">
        <v>9478</v>
      </c>
      <c r="W2821">
        <v>1</v>
      </c>
      <c r="X2821" t="s">
        <v>12299</v>
      </c>
      <c r="Y2821">
        <v>0.71539554688745022</v>
      </c>
      <c r="Z2821" t="str">
        <f>HYPERLINK("Melting_Curves/meltCurve_sp_Q93073_2_SBP2L_HUMAN_.pdf", "Melting_Curves/meltCurve_sp_Q93073_2_SBP2L_HUMAN_.pdf")</f>
        <v>Melting_Curves/meltCurve_sp_Q93073_2_SBP2L_HUMAN_.pdf</v>
      </c>
      <c r="AA2821" t="s">
        <v>16991</v>
      </c>
      <c r="AB2821" t="s">
        <v>21655</v>
      </c>
    </row>
    <row r="2822" spans="1:28" x14ac:dyDescent="0.25">
      <c r="A2822" t="s">
        <v>2826</v>
      </c>
      <c r="B2822">
        <v>0.99904790336628502</v>
      </c>
      <c r="C2822">
        <v>1.0703999366580099</v>
      </c>
      <c r="D2822">
        <v>1.06273351284939</v>
      </c>
      <c r="E2822">
        <v>0.96953269100696005</v>
      </c>
      <c r="F2822">
        <v>0.75362083941200397</v>
      </c>
      <c r="G2822">
        <v>0.59931025482398004</v>
      </c>
      <c r="H2822">
        <v>0.39826839114401602</v>
      </c>
      <c r="I2822">
        <v>0.35774222683651902</v>
      </c>
      <c r="J2822">
        <v>0.22367690971325899</v>
      </c>
      <c r="K2822">
        <v>8.21019194641332E-2</v>
      </c>
      <c r="L2822">
        <v>742.61174378753003</v>
      </c>
      <c r="M2822">
        <v>12.536596156174999</v>
      </c>
      <c r="N2822">
        <v>59.330888493637701</v>
      </c>
      <c r="O2822">
        <v>57.7889055998589</v>
      </c>
      <c r="P2822">
        <v>-5.3704364540301801E-2</v>
      </c>
      <c r="Q2822">
        <v>9.9752181474937092E-3</v>
      </c>
      <c r="R2822">
        <v>0.97532842117197005</v>
      </c>
      <c r="S2822" t="s">
        <v>7562</v>
      </c>
      <c r="T2822" t="s">
        <v>9478</v>
      </c>
      <c r="U2822" t="s">
        <v>9478</v>
      </c>
      <c r="V2822" t="s">
        <v>9478</v>
      </c>
      <c r="W2822">
        <v>5</v>
      </c>
      <c r="X2822" t="s">
        <v>12300</v>
      </c>
      <c r="Y2822">
        <v>0.65221459797386883</v>
      </c>
      <c r="Z2822" t="str">
        <f>HYPERLINK("Melting_Curves/meltCurve_sp_Q93077_H2A1C_HUMAN_.pdf", "Melting_Curves/meltCurve_sp_Q93077_H2A1C_HUMAN_.pdf")</f>
        <v>Melting_Curves/meltCurve_sp_Q93077_H2A1C_HUMAN_.pdf</v>
      </c>
      <c r="AA2822" t="s">
        <v>16992</v>
      </c>
      <c r="AB2822" t="s">
        <v>21656</v>
      </c>
    </row>
    <row r="2823" spans="1:28" x14ac:dyDescent="0.25">
      <c r="A2823" t="s">
        <v>2827</v>
      </c>
      <c r="B2823">
        <v>0.99904790336628502</v>
      </c>
      <c r="C2823">
        <v>0.96579666853527102</v>
      </c>
      <c r="D2823">
        <v>1.0580373093078299</v>
      </c>
      <c r="E2823">
        <v>1.06231566795284</v>
      </c>
      <c r="F2823">
        <v>0.93335918157522901</v>
      </c>
      <c r="G2823">
        <v>0.87944719661751602</v>
      </c>
      <c r="H2823">
        <v>0.69523973126143401</v>
      </c>
      <c r="I2823">
        <v>0.59652418353598702</v>
      </c>
      <c r="J2823">
        <v>0.523656807313439</v>
      </c>
      <c r="K2823">
        <v>0.398063496677244</v>
      </c>
      <c r="L2823">
        <v>976.76332618185495</v>
      </c>
      <c r="M2823">
        <v>15.653106036794201</v>
      </c>
      <c r="N2823">
        <v>66.648778170471502</v>
      </c>
      <c r="O2823">
        <v>61.408778202233002</v>
      </c>
      <c r="P2823">
        <v>-4.3614497227676602E-2</v>
      </c>
      <c r="Q2823">
        <v>0.315641463212672</v>
      </c>
      <c r="R2823">
        <v>0.97362056246106499</v>
      </c>
      <c r="S2823" t="s">
        <v>7563</v>
      </c>
      <c r="T2823" t="s">
        <v>9478</v>
      </c>
      <c r="U2823" t="s">
        <v>9478</v>
      </c>
      <c r="V2823" t="s">
        <v>9478</v>
      </c>
      <c r="W2823">
        <v>46</v>
      </c>
      <c r="X2823" t="s">
        <v>12301</v>
      </c>
      <c r="Y2823">
        <v>0.82400025034613</v>
      </c>
      <c r="Z2823" t="str">
        <f>HYPERLINK("Melting_Curves/meltCurve_sp_Q93088_BHMT1_HUMAN_.pdf", "Melting_Curves/meltCurve_sp_Q93088_BHMT1_HUMAN_.pdf")</f>
        <v>Melting_Curves/meltCurve_sp_Q93088_BHMT1_HUMAN_.pdf</v>
      </c>
      <c r="AA2823" t="s">
        <v>16993</v>
      </c>
      <c r="AB2823" t="s">
        <v>21657</v>
      </c>
    </row>
    <row r="2824" spans="1:28" x14ac:dyDescent="0.25">
      <c r="A2824" t="s">
        <v>2828</v>
      </c>
      <c r="B2824">
        <v>0.99904790336628502</v>
      </c>
      <c r="C2824">
        <v>1.0672269287338201</v>
      </c>
      <c r="D2824">
        <v>0.95351553893532404</v>
      </c>
      <c r="E2824">
        <v>0.91943922580258097</v>
      </c>
      <c r="F2824">
        <v>0.91359671809078702</v>
      </c>
      <c r="G2824">
        <v>0.60578698238761697</v>
      </c>
      <c r="H2824">
        <v>0.29609333733953502</v>
      </c>
      <c r="I2824">
        <v>0.104180721203452</v>
      </c>
      <c r="J2824">
        <v>4.2510075011380502E-2</v>
      </c>
      <c r="K2824">
        <v>2.4999969220006499E-2</v>
      </c>
      <c r="L2824">
        <v>1252.3813497071301</v>
      </c>
      <c r="M2824">
        <v>21.509112762981001</v>
      </c>
      <c r="N2824">
        <v>58.225620050370402</v>
      </c>
      <c r="O2824">
        <v>57.729334434647598</v>
      </c>
      <c r="P2824">
        <v>-9.3148648779030202E-2</v>
      </c>
      <c r="Q2824">
        <v>0</v>
      </c>
      <c r="R2824">
        <v>0.99354861130109995</v>
      </c>
      <c r="S2824" t="s">
        <v>7564</v>
      </c>
      <c r="T2824" t="s">
        <v>9478</v>
      </c>
      <c r="U2824" t="s">
        <v>9478</v>
      </c>
      <c r="V2824" t="s">
        <v>9478</v>
      </c>
      <c r="W2824">
        <v>2</v>
      </c>
      <c r="X2824" t="s">
        <v>12302</v>
      </c>
      <c r="Y2824">
        <v>0.61783945177347255</v>
      </c>
      <c r="Z2824" t="str">
        <f>HYPERLINK("Melting_Curves/meltCurve_sp_Q93096_TP4A1_HUMAN_.pdf", "Melting_Curves/meltCurve_sp_Q93096_TP4A1_HUMAN_.pdf")</f>
        <v>Melting_Curves/meltCurve_sp_Q93096_TP4A1_HUMAN_.pdf</v>
      </c>
      <c r="AA2824" t="s">
        <v>16994</v>
      </c>
      <c r="AB2824" t="s">
        <v>21658</v>
      </c>
    </row>
    <row r="2825" spans="1:28" x14ac:dyDescent="0.25">
      <c r="A2825" t="s">
        <v>2829</v>
      </c>
      <c r="B2825">
        <v>0.99904790336628502</v>
      </c>
      <c r="C2825">
        <v>1.04032093490188</v>
      </c>
      <c r="D2825">
        <v>1.1051449717839299</v>
      </c>
      <c r="E2825">
        <v>1.0374240044007299</v>
      </c>
      <c r="F2825">
        <v>0.91899864977186196</v>
      </c>
      <c r="G2825">
        <v>0.79982469988135196</v>
      </c>
      <c r="H2825">
        <v>0.52575395884027798</v>
      </c>
      <c r="I2825">
        <v>0.29863094113945599</v>
      </c>
      <c r="J2825">
        <v>8.6496108413414804E-2</v>
      </c>
      <c r="K2825">
        <v>3.2349419240994798E-2</v>
      </c>
      <c r="L2825">
        <v>1318.0054820933401</v>
      </c>
      <c r="M2825">
        <v>21.586012680844199</v>
      </c>
      <c r="N2825">
        <v>61.058325404766101</v>
      </c>
      <c r="O2825">
        <v>60.541555438324103</v>
      </c>
      <c r="P2825">
        <v>-8.9139351132695999E-2</v>
      </c>
      <c r="Q2825">
        <v>0</v>
      </c>
      <c r="R2825">
        <v>0.986316670522007</v>
      </c>
      <c r="S2825" t="s">
        <v>7565</v>
      </c>
      <c r="T2825" t="s">
        <v>9478</v>
      </c>
      <c r="U2825" t="s">
        <v>9478</v>
      </c>
      <c r="V2825" t="s">
        <v>9478</v>
      </c>
      <c r="W2825">
        <v>19</v>
      </c>
      <c r="X2825" t="s">
        <v>12303</v>
      </c>
      <c r="Y2825">
        <v>0.70815438660305285</v>
      </c>
      <c r="Z2825" t="str">
        <f>HYPERLINK("Melting_Curves/meltCurve_sp_Q93099_HGD_HUMAN_.pdf", "Melting_Curves/meltCurve_sp_Q93099_HGD_HUMAN_.pdf")</f>
        <v>Melting_Curves/meltCurve_sp_Q93099_HGD_HUMAN_.pdf</v>
      </c>
      <c r="AA2825" t="s">
        <v>16995</v>
      </c>
      <c r="AB2825" t="s">
        <v>21659</v>
      </c>
    </row>
    <row r="2826" spans="1:28" x14ac:dyDescent="0.25">
      <c r="A2826" t="s">
        <v>2830</v>
      </c>
      <c r="B2826">
        <v>0.99904790336628502</v>
      </c>
      <c r="C2826">
        <v>1.0639802357442101</v>
      </c>
      <c r="D2826">
        <v>0.94510924378936001</v>
      </c>
      <c r="E2826">
        <v>0.48238946262914201</v>
      </c>
      <c r="F2826">
        <v>0.26594972107937198</v>
      </c>
      <c r="G2826">
        <v>0.13839305529509899</v>
      </c>
      <c r="H2826">
        <v>8.33799314121976E-2</v>
      </c>
      <c r="I2826">
        <v>5.88386258735311E-2</v>
      </c>
      <c r="J2826">
        <v>4.0667683524237101E-2</v>
      </c>
      <c r="K2826">
        <v>2.9027782788060001E-2</v>
      </c>
      <c r="L2826">
        <v>1292.5398752083299</v>
      </c>
      <c r="M2826">
        <v>25.875624792234099</v>
      </c>
      <c r="N2826">
        <v>50.206442317952202</v>
      </c>
      <c r="O2826">
        <v>49.656547729306098</v>
      </c>
      <c r="P2826">
        <v>-0.122269848607218</v>
      </c>
      <c r="Q2826">
        <v>6.1444646095499399E-2</v>
      </c>
      <c r="R2826">
        <v>0.99192021264768004</v>
      </c>
      <c r="S2826" t="s">
        <v>7566</v>
      </c>
      <c r="T2826" t="s">
        <v>9478</v>
      </c>
      <c r="U2826" t="s">
        <v>9478</v>
      </c>
      <c r="V2826" t="s">
        <v>9478</v>
      </c>
      <c r="W2826">
        <v>11</v>
      </c>
      <c r="X2826" t="s">
        <v>12304</v>
      </c>
      <c r="Y2826">
        <v>0.38061812460862188</v>
      </c>
      <c r="Z2826" t="str">
        <f>HYPERLINK("Melting_Curves/meltCurve_sp_Q93100_4_KPBB_HUMAN_.pdf", "Melting_Curves/meltCurve_sp_Q93100_4_KPBB_HUMAN_.pdf")</f>
        <v>Melting_Curves/meltCurve_sp_Q93100_4_KPBB_HUMAN_.pdf</v>
      </c>
      <c r="AA2826" t="s">
        <v>16996</v>
      </c>
      <c r="AB2826" t="s">
        <v>21660</v>
      </c>
    </row>
    <row r="2827" spans="1:28" x14ac:dyDescent="0.25">
      <c r="A2827" t="s">
        <v>2831</v>
      </c>
      <c r="B2827">
        <v>0.99904790336628502</v>
      </c>
      <c r="C2827">
        <v>0.78695668151730203</v>
      </c>
      <c r="D2827">
        <v>0.51463411651726598</v>
      </c>
      <c r="E2827">
        <v>0.225501210790123</v>
      </c>
      <c r="F2827">
        <v>7.9667997744877497E-2</v>
      </c>
      <c r="G2827">
        <v>7.5957644113148495E-2</v>
      </c>
      <c r="H2827">
        <v>3.2461366590457001E-2</v>
      </c>
      <c r="I2827">
        <v>1.1474536997635299E-2</v>
      </c>
      <c r="J2827">
        <v>3.8357147955575398E-2</v>
      </c>
      <c r="K2827">
        <v>9.1860070392665596E-2</v>
      </c>
      <c r="L2827">
        <v>910.438359473216</v>
      </c>
      <c r="M2827">
        <v>19.816159576236299</v>
      </c>
      <c r="N2827">
        <v>46.1475376352927</v>
      </c>
      <c r="O2827">
        <v>45.484024978066401</v>
      </c>
      <c r="P2827">
        <v>-0.104369139518285</v>
      </c>
      <c r="Q2827">
        <v>4.1798534505987001E-2</v>
      </c>
      <c r="R2827">
        <v>0.99290647905090401</v>
      </c>
      <c r="S2827" t="s">
        <v>7567</v>
      </c>
      <c r="T2827" t="s">
        <v>9478</v>
      </c>
      <c r="U2827" t="s">
        <v>9478</v>
      </c>
      <c r="V2827" t="s">
        <v>9478</v>
      </c>
      <c r="W2827">
        <v>1</v>
      </c>
      <c r="X2827" t="s">
        <v>12305</v>
      </c>
      <c r="Y2827">
        <v>0.24684792278310641</v>
      </c>
      <c r="Z2827" t="str">
        <f>HYPERLINK("Melting_Curves/meltCurve_sp_Q969G6_RIFK_HUMAN_.pdf", "Melting_Curves/meltCurve_sp_Q969G6_RIFK_HUMAN_.pdf")</f>
        <v>Melting_Curves/meltCurve_sp_Q969G6_RIFK_HUMAN_.pdf</v>
      </c>
      <c r="AA2827" t="s">
        <v>16997</v>
      </c>
      <c r="AB2827" t="s">
        <v>21661</v>
      </c>
    </row>
    <row r="2828" spans="1:28" x14ac:dyDescent="0.25">
      <c r="A2828" t="s">
        <v>2832</v>
      </c>
      <c r="B2828">
        <v>0.99904790336628502</v>
      </c>
      <c r="C2828">
        <v>0.95540455324268903</v>
      </c>
      <c r="D2828">
        <v>0.95427928781822502</v>
      </c>
      <c r="E2828">
        <v>1.01865229629665</v>
      </c>
      <c r="F2828">
        <v>1.0959320985766201</v>
      </c>
      <c r="G2828">
        <v>0.97164100226095595</v>
      </c>
      <c r="H2828">
        <v>0.79243022824600995</v>
      </c>
      <c r="I2828">
        <v>0.64327838044103403</v>
      </c>
      <c r="J2828">
        <v>0.32993301573887301</v>
      </c>
      <c r="K2828">
        <v>8.9339349312308206E-2</v>
      </c>
      <c r="L2828">
        <v>1705.2363260694999</v>
      </c>
      <c r="M2828">
        <v>26.222658272384301</v>
      </c>
      <c r="N2828">
        <v>65.029116008553999</v>
      </c>
      <c r="O2828">
        <v>64.654471319206806</v>
      </c>
      <c r="P2828">
        <v>-0.10139651815891799</v>
      </c>
      <c r="Q2828">
        <v>0</v>
      </c>
      <c r="R2828">
        <v>0.97879885956277901</v>
      </c>
      <c r="S2828" t="s">
        <v>7568</v>
      </c>
      <c r="T2828" t="s">
        <v>9478</v>
      </c>
      <c r="U2828" t="s">
        <v>9478</v>
      </c>
      <c r="V2828" t="s">
        <v>9478</v>
      </c>
      <c r="W2828">
        <v>4</v>
      </c>
      <c r="X2828" t="s">
        <v>12306</v>
      </c>
      <c r="Y2828">
        <v>0.82970676370156038</v>
      </c>
      <c r="Z2828" t="str">
        <f>HYPERLINK("Melting_Curves/meltCurve_sp_Q969H8_CS010_HUMAN_.pdf", "Melting_Curves/meltCurve_sp_Q969H8_CS010_HUMAN_.pdf")</f>
        <v>Melting_Curves/meltCurve_sp_Q969H8_CS010_HUMAN_.pdf</v>
      </c>
      <c r="AA2828" t="s">
        <v>16998</v>
      </c>
      <c r="AB2828" t="s">
        <v>21662</v>
      </c>
    </row>
    <row r="2829" spans="1:28" x14ac:dyDescent="0.25">
      <c r="A2829" t="s">
        <v>2833</v>
      </c>
      <c r="B2829">
        <v>0.99904790336628502</v>
      </c>
      <c r="C2829">
        <v>0.99255802727098397</v>
      </c>
      <c r="D2829">
        <v>0.94509307991067804</v>
      </c>
      <c r="E2829">
        <v>0.94143121348326497</v>
      </c>
      <c r="F2829">
        <v>0.89536660528940604</v>
      </c>
      <c r="G2829">
        <v>0.490481961196919</v>
      </c>
      <c r="H2829">
        <v>0.115018577528941</v>
      </c>
      <c r="I2829">
        <v>6.5536426626410099E-2</v>
      </c>
      <c r="J2829">
        <v>4.6548301177610399E-2</v>
      </c>
      <c r="K2829">
        <v>4.4271156283935402E-2</v>
      </c>
      <c r="L2829">
        <v>1714.7621855948</v>
      </c>
      <c r="M2829">
        <v>30.237458083994198</v>
      </c>
      <c r="N2829">
        <v>56.839594894056802</v>
      </c>
      <c r="O2829">
        <v>56.463559599107498</v>
      </c>
      <c r="P2829">
        <v>-0.129417744385426</v>
      </c>
      <c r="Q2829">
        <v>3.3339340205436503E-2</v>
      </c>
      <c r="R2829">
        <v>0.996930406538864</v>
      </c>
      <c r="S2829" t="s">
        <v>7569</v>
      </c>
      <c r="T2829" t="s">
        <v>9478</v>
      </c>
      <c r="U2829" t="s">
        <v>9478</v>
      </c>
      <c r="V2829" t="s">
        <v>9478</v>
      </c>
      <c r="W2829">
        <v>18</v>
      </c>
      <c r="X2829" t="s">
        <v>12307</v>
      </c>
      <c r="Y2829">
        <v>0.57812016659877485</v>
      </c>
      <c r="Z2829" t="str">
        <f>HYPERLINK("Melting_Curves/meltCurve_sp_Q969I3_GLYL1_HUMAN_.pdf", "Melting_Curves/meltCurve_sp_Q969I3_GLYL1_HUMAN_.pdf")</f>
        <v>Melting_Curves/meltCurve_sp_Q969I3_GLYL1_HUMAN_.pdf</v>
      </c>
      <c r="AA2829" t="s">
        <v>16999</v>
      </c>
      <c r="AB2829" t="s">
        <v>21663</v>
      </c>
    </row>
    <row r="2830" spans="1:28" x14ac:dyDescent="0.25">
      <c r="A2830" t="s">
        <v>2834</v>
      </c>
      <c r="B2830">
        <v>0.99904790336628502</v>
      </c>
      <c r="C2830">
        <v>0.90545671898470903</v>
      </c>
      <c r="D2830">
        <v>0.88586461629202795</v>
      </c>
      <c r="E2830">
        <v>0.72262343511513005</v>
      </c>
      <c r="F2830">
        <v>0.565154270712944</v>
      </c>
      <c r="G2830">
        <v>0.48142451980557499</v>
      </c>
      <c r="H2830">
        <v>0.51775936135178502</v>
      </c>
      <c r="I2830">
        <v>0.43890269100631102</v>
      </c>
      <c r="J2830">
        <v>0.41218929309244801</v>
      </c>
      <c r="K2830">
        <v>0.391517677747381</v>
      </c>
      <c r="L2830">
        <v>676.20257798817704</v>
      </c>
      <c r="M2830">
        <v>13.4957271355778</v>
      </c>
      <c r="N2830">
        <v>57.093548502671901</v>
      </c>
      <c r="O2830">
        <v>49.043197569433303</v>
      </c>
      <c r="P2830">
        <v>-4.0996897871258299E-2</v>
      </c>
      <c r="Q2830">
        <v>0.40416341639518899</v>
      </c>
      <c r="R2830">
        <v>0.980699509430489</v>
      </c>
      <c r="S2830" t="s">
        <v>7570</v>
      </c>
      <c r="T2830" t="s">
        <v>9478</v>
      </c>
      <c r="U2830" t="s">
        <v>9478</v>
      </c>
      <c r="V2830" t="s">
        <v>9478</v>
      </c>
      <c r="W2830">
        <v>1</v>
      </c>
      <c r="X2830" t="s">
        <v>12308</v>
      </c>
      <c r="Y2830">
        <v>0.62183094644625947</v>
      </c>
      <c r="Z2830" t="str">
        <f>HYPERLINK("Melting_Curves/meltCurve_sp_Q969K3_RNF34_HUMAN_.pdf", "Melting_Curves/meltCurve_sp_Q969K3_RNF34_HUMAN_.pdf")</f>
        <v>Melting_Curves/meltCurve_sp_Q969K3_RNF34_HUMAN_.pdf</v>
      </c>
      <c r="AA2830" t="s">
        <v>17000</v>
      </c>
      <c r="AB2830" t="s">
        <v>21664</v>
      </c>
    </row>
    <row r="2831" spans="1:28" x14ac:dyDescent="0.25">
      <c r="A2831" t="s">
        <v>2835</v>
      </c>
      <c r="B2831">
        <v>0.99904790336628502</v>
      </c>
      <c r="C2831">
        <v>0.84365993383081095</v>
      </c>
      <c r="D2831">
        <v>0.78720190814688396</v>
      </c>
      <c r="E2831">
        <v>0.81562100571265606</v>
      </c>
      <c r="F2831">
        <v>0.71514810781999105</v>
      </c>
      <c r="G2831">
        <v>0.61060951683883102</v>
      </c>
      <c r="H2831">
        <v>0.50677447768203598</v>
      </c>
      <c r="I2831">
        <v>0.537396283601283</v>
      </c>
      <c r="J2831">
        <v>0.58014598771817505</v>
      </c>
      <c r="K2831">
        <v>0.59834727660759601</v>
      </c>
      <c r="L2831">
        <v>442.74973790437201</v>
      </c>
      <c r="M2831">
        <v>8.9814450440544995</v>
      </c>
      <c r="O2831">
        <v>47.036150090954102</v>
      </c>
      <c r="P2831">
        <v>-2.3189270922793399E-2</v>
      </c>
      <c r="Q2831">
        <v>0.51458297299472999</v>
      </c>
      <c r="R2831">
        <v>0.88803705567205804</v>
      </c>
      <c r="S2831" t="s">
        <v>7571</v>
      </c>
      <c r="T2831" t="s">
        <v>9478</v>
      </c>
      <c r="U2831" t="s">
        <v>9478</v>
      </c>
      <c r="V2831" t="s">
        <v>9478</v>
      </c>
      <c r="W2831">
        <v>1</v>
      </c>
      <c r="X2831" t="s">
        <v>12309</v>
      </c>
      <c r="Y2831">
        <v>0.69191848407271594</v>
      </c>
      <c r="Z2831" t="str">
        <f>HYPERLINK("Melting_Curves/meltCurve_sp_Q969M3_YIPF5_HUMAN_.pdf", "Melting_Curves/meltCurve_sp_Q969M3_YIPF5_HUMAN_.pdf")</f>
        <v>Melting_Curves/meltCurve_sp_Q969M3_YIPF5_HUMAN_.pdf</v>
      </c>
      <c r="AA2831" t="s">
        <v>17001</v>
      </c>
      <c r="AB2831" t="s">
        <v>21665</v>
      </c>
    </row>
    <row r="2832" spans="1:28" x14ac:dyDescent="0.25">
      <c r="A2832" t="s">
        <v>2836</v>
      </c>
      <c r="B2832">
        <v>0.99904790336628502</v>
      </c>
      <c r="C2832">
        <v>1.1625615926578801</v>
      </c>
      <c r="D2832">
        <v>1.24149585787658</v>
      </c>
      <c r="E2832">
        <v>1.04334177959442</v>
      </c>
      <c r="F2832">
        <v>1.03993395787969</v>
      </c>
      <c r="G2832">
        <v>0.70903202233429297</v>
      </c>
      <c r="H2832">
        <v>0.63378036477672695</v>
      </c>
      <c r="I2832">
        <v>0.63438143408620296</v>
      </c>
      <c r="J2832">
        <v>0.67120664291809196</v>
      </c>
      <c r="K2832">
        <v>0.432097321270493</v>
      </c>
      <c r="L2832">
        <v>11259.9364370115</v>
      </c>
      <c r="M2832">
        <v>198.46093440544001</v>
      </c>
      <c r="O2832">
        <v>56.730521527389399</v>
      </c>
      <c r="P2832">
        <v>-0.35606993979706802</v>
      </c>
      <c r="Q2832">
        <v>0.59286627768025402</v>
      </c>
      <c r="R2832">
        <v>0.814386806741078</v>
      </c>
      <c r="S2832" t="s">
        <v>7572</v>
      </c>
      <c r="T2832" t="s">
        <v>9478</v>
      </c>
      <c r="U2832" t="s">
        <v>9478</v>
      </c>
      <c r="V2832" t="s">
        <v>9478</v>
      </c>
      <c r="W2832">
        <v>2</v>
      </c>
      <c r="X2832" t="s">
        <v>12310</v>
      </c>
      <c r="Y2832">
        <v>0.82006083513256622</v>
      </c>
      <c r="Z2832" t="str">
        <f>HYPERLINK("Melting_Curves/meltCurve_sp_Q969Q0_RL36L_HUMAN_.pdf", "Melting_Curves/meltCurve_sp_Q969Q0_RL36L_HUMAN_.pdf")</f>
        <v>Melting_Curves/meltCurve_sp_Q969Q0_RL36L_HUMAN_.pdf</v>
      </c>
      <c r="AA2832" t="s">
        <v>17002</v>
      </c>
      <c r="AB2832" t="s">
        <v>21666</v>
      </c>
    </row>
    <row r="2833" spans="1:28" x14ac:dyDescent="0.25">
      <c r="A2833" t="s">
        <v>2837</v>
      </c>
      <c r="B2833">
        <v>0.99904790336628502</v>
      </c>
      <c r="C2833">
        <v>0.91280992991727505</v>
      </c>
      <c r="D2833">
        <v>0.81479837625918305</v>
      </c>
      <c r="E2833">
        <v>0.50994190660030303</v>
      </c>
      <c r="F2833">
        <v>0.236071837204541</v>
      </c>
      <c r="G2833">
        <v>0.16599533297642999</v>
      </c>
      <c r="H2833">
        <v>9.8157998168797903E-2</v>
      </c>
      <c r="I2833">
        <v>7.5839771827634295E-2</v>
      </c>
      <c r="J2833">
        <v>7.2627060894190604E-2</v>
      </c>
      <c r="K2833">
        <v>4.5609060245444803E-2</v>
      </c>
      <c r="L2833">
        <v>886.80500734724399</v>
      </c>
      <c r="M2833">
        <v>17.918610526209001</v>
      </c>
      <c r="N2833">
        <v>49.838504018121398</v>
      </c>
      <c r="O2833">
        <v>48.886660884936198</v>
      </c>
      <c r="P2833">
        <v>-8.6252592683805696E-2</v>
      </c>
      <c r="Q2833">
        <v>5.8768528676429302E-2</v>
      </c>
      <c r="R2833">
        <v>0.99647685811730702</v>
      </c>
      <c r="S2833" t="s">
        <v>7573</v>
      </c>
      <c r="T2833" t="s">
        <v>9478</v>
      </c>
      <c r="U2833" t="s">
        <v>9478</v>
      </c>
      <c r="V2833" t="s">
        <v>9478</v>
      </c>
      <c r="W2833">
        <v>8</v>
      </c>
      <c r="X2833" t="s">
        <v>12311</v>
      </c>
      <c r="Y2833">
        <v>0.37284463795364647</v>
      </c>
      <c r="Z2833" t="str">
        <f>HYPERLINK("Melting_Curves/meltCurve_sp_Q969S9_2_RRF2M_HUMAN_.pdf", "Melting_Curves/meltCurve_sp_Q969S9_2_RRF2M_HUMAN_.pdf")</f>
        <v>Melting_Curves/meltCurve_sp_Q969S9_2_RRF2M_HUMAN_.pdf</v>
      </c>
      <c r="AA2833" t="s">
        <v>17003</v>
      </c>
      <c r="AB2833" t="s">
        <v>21667</v>
      </c>
    </row>
    <row r="2834" spans="1:28" x14ac:dyDescent="0.25">
      <c r="A2834" t="s">
        <v>2838</v>
      </c>
      <c r="B2834">
        <v>0.99904790336628502</v>
      </c>
      <c r="C2834">
        <v>1.05835916694395</v>
      </c>
      <c r="D2834">
        <v>0.96517622173821505</v>
      </c>
      <c r="E2834">
        <v>0.76985352644129201</v>
      </c>
      <c r="F2834">
        <v>0.42787716331289399</v>
      </c>
      <c r="G2834">
        <v>0.25114853964978501</v>
      </c>
      <c r="H2834">
        <v>0.107289506576926</v>
      </c>
      <c r="I2834">
        <v>7.4812918815927706E-2</v>
      </c>
      <c r="J2834">
        <v>3.72947686823656E-2</v>
      </c>
      <c r="K2834">
        <v>1.25865560732157E-2</v>
      </c>
      <c r="L2834">
        <v>1056.5831900630201</v>
      </c>
      <c r="M2834">
        <v>20.091850194461401</v>
      </c>
      <c r="N2834">
        <v>52.787493659495603</v>
      </c>
      <c r="O2834">
        <v>52.075015995276502</v>
      </c>
      <c r="P2834">
        <v>-9.2926891155494601E-2</v>
      </c>
      <c r="Q2834">
        <v>3.66213980815117E-2</v>
      </c>
      <c r="R2834">
        <v>0.99303061070514598</v>
      </c>
      <c r="S2834" t="s">
        <v>7574</v>
      </c>
      <c r="T2834" t="s">
        <v>9478</v>
      </c>
      <c r="U2834" t="s">
        <v>9478</v>
      </c>
      <c r="V2834" t="s">
        <v>9478</v>
      </c>
      <c r="W2834">
        <v>4</v>
      </c>
      <c r="X2834" t="s">
        <v>12312</v>
      </c>
      <c r="Y2834">
        <v>0.45402898970890071</v>
      </c>
      <c r="Z2834" t="str">
        <f>HYPERLINK("Melting_Curves/meltCurve_sp_Q969T7_2_5NT3B_HUMAN_.pdf", "Melting_Curves/meltCurve_sp_Q969T7_2_5NT3B_HUMAN_.pdf")</f>
        <v>Melting_Curves/meltCurve_sp_Q969T7_2_5NT3B_HUMAN_.pdf</v>
      </c>
      <c r="AA2834" t="s">
        <v>17004</v>
      </c>
      <c r="AB2834" t="s">
        <v>21668</v>
      </c>
    </row>
    <row r="2835" spans="1:28" x14ac:dyDescent="0.25">
      <c r="A2835" t="s">
        <v>2839</v>
      </c>
      <c r="B2835">
        <v>0.99904790336628502</v>
      </c>
      <c r="C2835">
        <v>0.83253360185985104</v>
      </c>
      <c r="D2835">
        <v>0.59726717285862796</v>
      </c>
      <c r="E2835">
        <v>0.17139298227324401</v>
      </c>
      <c r="F2835">
        <v>0.18723633222469399</v>
      </c>
      <c r="G2835">
        <v>0.119615132018799</v>
      </c>
      <c r="H2835">
        <v>0</v>
      </c>
      <c r="I2835">
        <v>0</v>
      </c>
      <c r="J2835">
        <v>0</v>
      </c>
      <c r="K2835">
        <v>0</v>
      </c>
      <c r="L2835">
        <v>864.98367953111699</v>
      </c>
      <c r="M2835">
        <v>18.503749362122999</v>
      </c>
      <c r="N2835">
        <v>46.8243735916557</v>
      </c>
      <c r="O2835">
        <v>46.210669608755801</v>
      </c>
      <c r="P2835">
        <v>-9.8590985890229202E-2</v>
      </c>
      <c r="Q2835">
        <v>1.5171498662174701E-2</v>
      </c>
      <c r="R2835">
        <v>0.98504507519384299</v>
      </c>
      <c r="S2835" t="s">
        <v>7575</v>
      </c>
      <c r="T2835" t="s">
        <v>9478</v>
      </c>
      <c r="U2835" t="s">
        <v>9478</v>
      </c>
      <c r="V2835" t="s">
        <v>9478</v>
      </c>
      <c r="W2835">
        <v>3</v>
      </c>
      <c r="X2835" t="s">
        <v>12313</v>
      </c>
      <c r="Y2835">
        <v>0.25396555924084441</v>
      </c>
      <c r="Z2835" t="str">
        <f>HYPERLINK("Melting_Curves/meltCurve_sp_Q969Y2_3_GTPB3_HUMAN_.pdf", "Melting_Curves/meltCurve_sp_Q969Y2_3_GTPB3_HUMAN_.pdf")</f>
        <v>Melting_Curves/meltCurve_sp_Q969Y2_3_GTPB3_HUMAN_.pdf</v>
      </c>
      <c r="AA2835" t="s">
        <v>17005</v>
      </c>
      <c r="AB2835" t="s">
        <v>21669</v>
      </c>
    </row>
    <row r="2836" spans="1:28" x14ac:dyDescent="0.25">
      <c r="A2836" t="s">
        <v>2840</v>
      </c>
      <c r="B2836">
        <v>0.99904790336628502</v>
      </c>
      <c r="C2836">
        <v>0.84045198287813905</v>
      </c>
      <c r="D2836">
        <v>0.58731309965319001</v>
      </c>
      <c r="E2836">
        <v>0.26416475621492702</v>
      </c>
      <c r="F2836">
        <v>0.166776809794356</v>
      </c>
      <c r="G2836">
        <v>0.100930762204295</v>
      </c>
      <c r="H2836">
        <v>5.49969834021099E-2</v>
      </c>
      <c r="I2836">
        <v>3.9812246355106898E-2</v>
      </c>
      <c r="J2836">
        <v>3.30390248385493E-2</v>
      </c>
      <c r="K2836">
        <v>2.7507850300217102E-2</v>
      </c>
      <c r="L2836">
        <v>834.283587915147</v>
      </c>
      <c r="M2836">
        <v>17.8109530694245</v>
      </c>
      <c r="N2836">
        <v>47.054690848578304</v>
      </c>
      <c r="O2836">
        <v>46.2625200071111</v>
      </c>
      <c r="P2836">
        <v>-9.25154706521924E-2</v>
      </c>
      <c r="Q2836">
        <v>3.8843112249010402E-2</v>
      </c>
      <c r="R2836">
        <v>0.99720208826453105</v>
      </c>
      <c r="S2836" t="s">
        <v>7576</v>
      </c>
      <c r="T2836" t="s">
        <v>9478</v>
      </c>
      <c r="U2836" t="s">
        <v>9478</v>
      </c>
      <c r="V2836" t="s">
        <v>9478</v>
      </c>
      <c r="W2836">
        <v>10</v>
      </c>
      <c r="X2836" t="s">
        <v>12314</v>
      </c>
      <c r="Y2836">
        <v>0.27631495229256181</v>
      </c>
      <c r="Z2836" t="str">
        <f>HYPERLINK("Melting_Curves/meltCurve_sp_Q969Z0_TBRG4_HUMAN_.pdf", "Melting_Curves/meltCurve_sp_Q969Z0_TBRG4_HUMAN_.pdf")</f>
        <v>Melting_Curves/meltCurve_sp_Q969Z0_TBRG4_HUMAN_.pdf</v>
      </c>
      <c r="AA2836" t="s">
        <v>17006</v>
      </c>
      <c r="AB2836" t="s">
        <v>21670</v>
      </c>
    </row>
    <row r="2837" spans="1:28" x14ac:dyDescent="0.25">
      <c r="A2837" t="s">
        <v>2841</v>
      </c>
      <c r="B2837">
        <v>0.99904790336628502</v>
      </c>
      <c r="C2837">
        <v>1.0313752990059899</v>
      </c>
      <c r="D2837">
        <v>0.95568273171054796</v>
      </c>
      <c r="E2837">
        <v>0.744932165340496</v>
      </c>
      <c r="F2837">
        <v>0.60350881142129797</v>
      </c>
      <c r="G2837">
        <v>0.42889965171817002</v>
      </c>
      <c r="H2837">
        <v>0.294688112940453</v>
      </c>
      <c r="I2837">
        <v>0.25647827690302799</v>
      </c>
      <c r="J2837">
        <v>0.17028892738405699</v>
      </c>
      <c r="K2837">
        <v>0.12362472720790001</v>
      </c>
      <c r="L2837">
        <v>694.88679828780198</v>
      </c>
      <c r="M2837">
        <v>12.7991655371506</v>
      </c>
      <c r="N2837">
        <v>55.328229205855699</v>
      </c>
      <c r="O2837">
        <v>53.017475730357802</v>
      </c>
      <c r="P2837">
        <v>-5.3929348218074498E-2</v>
      </c>
      <c r="Q2837">
        <v>0.10661036669071999</v>
      </c>
      <c r="R2837">
        <v>0.991978470615411</v>
      </c>
      <c r="S2837" t="s">
        <v>7577</v>
      </c>
      <c r="T2837" t="s">
        <v>9478</v>
      </c>
      <c r="U2837" t="s">
        <v>9478</v>
      </c>
      <c r="V2837" t="s">
        <v>9478</v>
      </c>
      <c r="W2837">
        <v>3</v>
      </c>
      <c r="X2837" t="s">
        <v>12315</v>
      </c>
      <c r="Y2837">
        <v>0.55359045283771802</v>
      </c>
      <c r="Z2837" t="str">
        <f>HYPERLINK("Melting_Curves/meltCurve_sp_Q969Z3_MOSC2_HUMAN_.pdf", "Melting_Curves/meltCurve_sp_Q969Z3_MOSC2_HUMAN_.pdf")</f>
        <v>Melting_Curves/meltCurve_sp_Q969Z3_MOSC2_HUMAN_.pdf</v>
      </c>
      <c r="AA2837" t="s">
        <v>17007</v>
      </c>
      <c r="AB2837" t="s">
        <v>21671</v>
      </c>
    </row>
    <row r="2838" spans="1:28" x14ac:dyDescent="0.25">
      <c r="A2838" t="s">
        <v>2842</v>
      </c>
      <c r="B2838">
        <v>0.99904790336628502</v>
      </c>
      <c r="C2838">
        <v>1.12914242450876</v>
      </c>
      <c r="D2838">
        <v>0.89420664578006603</v>
      </c>
      <c r="E2838">
        <v>0.66066545817448497</v>
      </c>
      <c r="F2838">
        <v>0.49137936251487702</v>
      </c>
      <c r="G2838">
        <v>0.36584352836867401</v>
      </c>
      <c r="H2838">
        <v>0.31312779833058901</v>
      </c>
      <c r="I2838">
        <v>0.28858896229313102</v>
      </c>
      <c r="J2838">
        <v>0.283469224175603</v>
      </c>
      <c r="K2838">
        <v>0.24300860920437001</v>
      </c>
      <c r="L2838">
        <v>1035.3685430743501</v>
      </c>
      <c r="M2838">
        <v>20.462986776410801</v>
      </c>
      <c r="N2838">
        <v>52.676530925073401</v>
      </c>
      <c r="O2838">
        <v>50.121358998511901</v>
      </c>
      <c r="P2838">
        <v>-7.3789202294907805E-2</v>
      </c>
      <c r="Q2838">
        <v>0.27707422707171597</v>
      </c>
      <c r="R2838">
        <v>0.97499457175366999</v>
      </c>
      <c r="S2838" t="s">
        <v>7578</v>
      </c>
      <c r="T2838" t="s">
        <v>9478</v>
      </c>
      <c r="U2838" t="s">
        <v>9478</v>
      </c>
      <c r="V2838" t="s">
        <v>9478</v>
      </c>
      <c r="W2838">
        <v>4</v>
      </c>
      <c r="X2838" t="s">
        <v>12316</v>
      </c>
      <c r="Y2838">
        <v>0.54205494960386624</v>
      </c>
      <c r="Z2838" t="str">
        <f>HYPERLINK("Melting_Curves/meltCurve_sp_Q96A33_CCD47_HUMAN_.pdf", "Melting_Curves/meltCurve_sp_Q96A33_CCD47_HUMAN_.pdf")</f>
        <v>Melting_Curves/meltCurve_sp_Q96A33_CCD47_HUMAN_.pdf</v>
      </c>
      <c r="AA2838" t="s">
        <v>17008</v>
      </c>
      <c r="AB2838" t="s">
        <v>21672</v>
      </c>
    </row>
    <row r="2839" spans="1:28" x14ac:dyDescent="0.25">
      <c r="A2839" t="s">
        <v>2843</v>
      </c>
      <c r="B2839">
        <v>0.99904790336628502</v>
      </c>
      <c r="C2839">
        <v>1.09893113906003</v>
      </c>
      <c r="D2839">
        <v>0.96378691452341003</v>
      </c>
      <c r="E2839">
        <v>0.98700331430869004</v>
      </c>
      <c r="F2839">
        <v>0.91199223094486104</v>
      </c>
      <c r="G2839">
        <v>0.70469010538769605</v>
      </c>
      <c r="H2839">
        <v>0.57996745444875197</v>
      </c>
      <c r="I2839">
        <v>0.464726619601119</v>
      </c>
      <c r="J2839">
        <v>0.44389378131378299</v>
      </c>
      <c r="K2839">
        <v>0.387461870473639</v>
      </c>
      <c r="L2839">
        <v>1041.55370254479</v>
      </c>
      <c r="M2839">
        <v>17.988628999263899</v>
      </c>
      <c r="N2839">
        <v>62.8212367753328</v>
      </c>
      <c r="O2839">
        <v>57.199348891764501</v>
      </c>
      <c r="P2839">
        <v>-4.8921012754232697E-2</v>
      </c>
      <c r="Q2839">
        <v>0.37780435222106701</v>
      </c>
      <c r="R2839">
        <v>0.97919904090193299</v>
      </c>
      <c r="S2839" t="s">
        <v>7579</v>
      </c>
      <c r="T2839" t="s">
        <v>9478</v>
      </c>
      <c r="U2839" t="s">
        <v>9478</v>
      </c>
      <c r="V2839" t="s">
        <v>9478</v>
      </c>
      <c r="W2839">
        <v>12</v>
      </c>
      <c r="X2839" t="s">
        <v>12317</v>
      </c>
      <c r="Y2839">
        <v>0.75685628511233716</v>
      </c>
      <c r="Z2839" t="str">
        <f>HYPERLINK("Melting_Curves/meltCurve_sp_Q96A49_SYAP1_HUMAN_.pdf", "Melting_Curves/meltCurve_sp_Q96A49_SYAP1_HUMAN_.pdf")</f>
        <v>Melting_Curves/meltCurve_sp_Q96A49_SYAP1_HUMAN_.pdf</v>
      </c>
      <c r="AA2839" t="s">
        <v>17009</v>
      </c>
      <c r="AB2839" t="s">
        <v>21673</v>
      </c>
    </row>
    <row r="2840" spans="1:28" x14ac:dyDescent="0.25">
      <c r="A2840" t="s">
        <v>2844</v>
      </c>
      <c r="B2840">
        <v>0.99904790336628502</v>
      </c>
      <c r="C2840">
        <v>1.0209612610188801</v>
      </c>
      <c r="D2840">
        <v>0.98091094884588204</v>
      </c>
      <c r="E2840">
        <v>0.48250826161732502</v>
      </c>
      <c r="F2840">
        <v>0.25853632580831698</v>
      </c>
      <c r="G2840">
        <v>0.11731511488605</v>
      </c>
      <c r="H2840">
        <v>7.27343950188519E-2</v>
      </c>
      <c r="I2840">
        <v>5.3930156345909301E-2</v>
      </c>
      <c r="J2840">
        <v>3.9906146595764302E-2</v>
      </c>
      <c r="K2840">
        <v>3.3728665240957599E-2</v>
      </c>
      <c r="L2840">
        <v>1395.4199206246701</v>
      </c>
      <c r="M2840">
        <v>27.9174461076041</v>
      </c>
      <c r="N2840">
        <v>50.208818277958997</v>
      </c>
      <c r="O2840">
        <v>49.729453664034303</v>
      </c>
      <c r="P2840">
        <v>-0.13209490605945401</v>
      </c>
      <c r="Q2840">
        <v>5.8803798029081901E-2</v>
      </c>
      <c r="R2840">
        <v>0.99411607248912004</v>
      </c>
      <c r="S2840" t="s">
        <v>7580</v>
      </c>
      <c r="T2840" t="s">
        <v>9478</v>
      </c>
      <c r="U2840" t="s">
        <v>9478</v>
      </c>
      <c r="V2840" t="s">
        <v>9478</v>
      </c>
      <c r="W2840">
        <v>15</v>
      </c>
      <c r="X2840" t="s">
        <v>12318</v>
      </c>
      <c r="Y2840">
        <v>0.37875925063442673</v>
      </c>
      <c r="Z2840" t="str">
        <f>HYPERLINK("Melting_Curves/meltCurve_sp_Q96A65_EXOC4_HUMAN_.pdf", "Melting_Curves/meltCurve_sp_Q96A65_EXOC4_HUMAN_.pdf")</f>
        <v>Melting_Curves/meltCurve_sp_Q96A65_EXOC4_HUMAN_.pdf</v>
      </c>
      <c r="AA2840" t="s">
        <v>17010</v>
      </c>
      <c r="AB2840" t="s">
        <v>21674</v>
      </c>
    </row>
    <row r="2841" spans="1:28" x14ac:dyDescent="0.25">
      <c r="A2841" t="s">
        <v>2845</v>
      </c>
      <c r="B2841">
        <v>0.99904790336628502</v>
      </c>
      <c r="C2841">
        <v>0.96899796504351299</v>
      </c>
      <c r="D2841">
        <v>0.95328155670077697</v>
      </c>
      <c r="E2841">
        <v>0.84770382266723399</v>
      </c>
      <c r="F2841">
        <v>0.67515467987157696</v>
      </c>
      <c r="G2841">
        <v>0.47645174428661102</v>
      </c>
      <c r="H2841">
        <v>0.25499974991574598</v>
      </c>
      <c r="I2841">
        <v>0.13462545333140999</v>
      </c>
      <c r="J2841">
        <v>6.33172438481934E-2</v>
      </c>
      <c r="K2841">
        <v>3.7312241223180102E-2</v>
      </c>
      <c r="L2841">
        <v>798.97352311478301</v>
      </c>
      <c r="M2841">
        <v>14.2396723906609</v>
      </c>
      <c r="N2841">
        <v>56.108981609875897</v>
      </c>
      <c r="O2841">
        <v>55.037199461818297</v>
      </c>
      <c r="P2841">
        <v>-6.4690057282531396E-2</v>
      </c>
      <c r="Q2841">
        <v>0</v>
      </c>
      <c r="R2841">
        <v>0.99766688416902904</v>
      </c>
      <c r="S2841" t="s">
        <v>7581</v>
      </c>
      <c r="T2841" t="s">
        <v>9478</v>
      </c>
      <c r="U2841" t="s">
        <v>9478</v>
      </c>
      <c r="V2841" t="s">
        <v>9478</v>
      </c>
      <c r="W2841">
        <v>7</v>
      </c>
      <c r="X2841" t="s">
        <v>12319</v>
      </c>
      <c r="Y2841">
        <v>0.55523507980964326</v>
      </c>
      <c r="Z2841" t="str">
        <f>HYPERLINK("Melting_Curves/meltCurve_sp_Q96AB3_ISOC2_HUMAN_.pdf", "Melting_Curves/meltCurve_sp_Q96AB3_ISOC2_HUMAN_.pdf")</f>
        <v>Melting_Curves/meltCurve_sp_Q96AB3_ISOC2_HUMAN_.pdf</v>
      </c>
      <c r="AA2841" t="s">
        <v>17011</v>
      </c>
      <c r="AB2841" t="s">
        <v>21675</v>
      </c>
    </row>
    <row r="2842" spans="1:28" x14ac:dyDescent="0.25">
      <c r="A2842" t="s">
        <v>2846</v>
      </c>
      <c r="B2842">
        <v>0.99904790336628502</v>
      </c>
      <c r="C2842">
        <v>1.0186039069927</v>
      </c>
      <c r="D2842">
        <v>1.0410216418493901</v>
      </c>
      <c r="E2842">
        <v>0.99942938248716096</v>
      </c>
      <c r="F2842">
        <v>0.96406063324247304</v>
      </c>
      <c r="G2842">
        <v>0.55809745100375197</v>
      </c>
      <c r="H2842">
        <v>0.121882311477154</v>
      </c>
      <c r="I2842">
        <v>6.01491427496453E-2</v>
      </c>
      <c r="J2842">
        <v>4.1607911744138699E-2</v>
      </c>
      <c r="K2842">
        <v>3.6286679066457397E-2</v>
      </c>
      <c r="L2842">
        <v>2228.8043506867598</v>
      </c>
      <c r="M2842">
        <v>38.935356193731998</v>
      </c>
      <c r="N2842">
        <v>57.366165896239501</v>
      </c>
      <c r="O2842">
        <v>57.093329872162101</v>
      </c>
      <c r="P2842">
        <v>-0.163691969398813</v>
      </c>
      <c r="Q2842">
        <v>3.9875406093911402E-2</v>
      </c>
      <c r="R2842">
        <v>0.99892498714302802</v>
      </c>
      <c r="S2842" t="s">
        <v>7582</v>
      </c>
      <c r="T2842" t="s">
        <v>9478</v>
      </c>
      <c r="U2842" t="s">
        <v>9478</v>
      </c>
      <c r="V2842" t="s">
        <v>9478</v>
      </c>
      <c r="W2842">
        <v>27</v>
      </c>
      <c r="X2842" t="s">
        <v>12320</v>
      </c>
      <c r="Y2842">
        <v>0.59569628188615198</v>
      </c>
      <c r="Z2842" t="str">
        <f>HYPERLINK("Melting_Curves/meltCurve_sp_Q96AC1_FERM2_HUMAN_.pdf", "Melting_Curves/meltCurve_sp_Q96AC1_FERM2_HUMAN_.pdf")</f>
        <v>Melting_Curves/meltCurve_sp_Q96AC1_FERM2_HUMAN_.pdf</v>
      </c>
      <c r="AA2842" t="s">
        <v>17012</v>
      </c>
      <c r="AB2842" t="s">
        <v>21676</v>
      </c>
    </row>
    <row r="2843" spans="1:28" x14ac:dyDescent="0.25">
      <c r="A2843" t="s">
        <v>2847</v>
      </c>
      <c r="B2843">
        <v>0.99904790336628502</v>
      </c>
      <c r="C2843">
        <v>1.0095429053840099</v>
      </c>
      <c r="D2843">
        <v>1.00319866875876</v>
      </c>
      <c r="E2843">
        <v>0.96058213932103798</v>
      </c>
      <c r="F2843">
        <v>0.94180590378132401</v>
      </c>
      <c r="G2843">
        <v>0.70957837860371997</v>
      </c>
      <c r="H2843">
        <v>0.65231023375224795</v>
      </c>
      <c r="I2843">
        <v>0.63797231038980495</v>
      </c>
      <c r="J2843">
        <v>0.66098128905207598</v>
      </c>
      <c r="K2843">
        <v>0.586229761090722</v>
      </c>
      <c r="L2843">
        <v>1989.11538637535</v>
      </c>
      <c r="M2843">
        <v>36.063543690405098</v>
      </c>
      <c r="O2843">
        <v>54.987070624696401</v>
      </c>
      <c r="P2843">
        <v>-6.0757232557261898E-2</v>
      </c>
      <c r="Q2843">
        <v>0.62944825080736899</v>
      </c>
      <c r="R2843">
        <v>0.985354203364465</v>
      </c>
      <c r="S2843" t="s">
        <v>7583</v>
      </c>
      <c r="T2843" t="s">
        <v>9478</v>
      </c>
      <c r="U2843" t="s">
        <v>9478</v>
      </c>
      <c r="V2843" t="s">
        <v>9478</v>
      </c>
      <c r="W2843">
        <v>34</v>
      </c>
      <c r="X2843" t="s">
        <v>12321</v>
      </c>
      <c r="Y2843">
        <v>0.81837555034343035</v>
      </c>
      <c r="Z2843" t="str">
        <f>HYPERLINK("Melting_Curves/meltCurve_sp_Q96AE4_2_FUBP1_HUMAN_.pdf", "Melting_Curves/meltCurve_sp_Q96AE4_2_FUBP1_HUMAN_.pdf")</f>
        <v>Melting_Curves/meltCurve_sp_Q96AE4_2_FUBP1_HUMAN_.pdf</v>
      </c>
      <c r="AA2843" t="s">
        <v>17013</v>
      </c>
      <c r="AB2843" t="s">
        <v>21677</v>
      </c>
    </row>
    <row r="2844" spans="1:28" x14ac:dyDescent="0.25">
      <c r="A2844" t="s">
        <v>2848</v>
      </c>
      <c r="B2844">
        <v>0.99904790336628502</v>
      </c>
      <c r="C2844">
        <v>1.0675117487369701</v>
      </c>
      <c r="D2844">
        <v>0.81515509698800803</v>
      </c>
      <c r="E2844">
        <v>0.70451172029918196</v>
      </c>
      <c r="F2844">
        <v>0.62830162226520803</v>
      </c>
      <c r="G2844">
        <v>0.49551987606969</v>
      </c>
      <c r="H2844">
        <v>0.44632973374408202</v>
      </c>
      <c r="I2844">
        <v>0.416240015134341</v>
      </c>
      <c r="J2844">
        <v>0.28403606511835899</v>
      </c>
      <c r="K2844">
        <v>0.31588502783567901</v>
      </c>
      <c r="L2844">
        <v>580.22014268266696</v>
      </c>
      <c r="M2844">
        <v>11.052369436867099</v>
      </c>
      <c r="N2844">
        <v>56.783608031508003</v>
      </c>
      <c r="O2844">
        <v>50.8665873868378</v>
      </c>
      <c r="P2844">
        <v>-3.89657173149624E-2</v>
      </c>
      <c r="Q2844">
        <v>0.282905907132598</v>
      </c>
      <c r="R2844">
        <v>0.95955523405562304</v>
      </c>
      <c r="S2844" t="s">
        <v>7584</v>
      </c>
      <c r="T2844" t="s">
        <v>9478</v>
      </c>
      <c r="U2844" t="s">
        <v>9478</v>
      </c>
      <c r="V2844" t="s">
        <v>9478</v>
      </c>
      <c r="W2844">
        <v>33</v>
      </c>
      <c r="X2844" t="s">
        <v>12322</v>
      </c>
      <c r="Y2844">
        <v>0.6049467712865304</v>
      </c>
      <c r="Z2844" t="str">
        <f>HYPERLINK("Melting_Curves/meltCurve_sp_Q96AE4_FUBP1_HUMAN_.pdf", "Melting_Curves/meltCurve_sp_Q96AE4_FUBP1_HUMAN_.pdf")</f>
        <v>Melting_Curves/meltCurve_sp_Q96AE4_FUBP1_HUMAN_.pdf</v>
      </c>
      <c r="AA2844" t="s">
        <v>17013</v>
      </c>
      <c r="AB2844" t="s">
        <v>21678</v>
      </c>
    </row>
    <row r="2845" spans="1:28" x14ac:dyDescent="0.25">
      <c r="A2845" t="s">
        <v>2849</v>
      </c>
      <c r="B2845">
        <v>0.99904790336628502</v>
      </c>
      <c r="C2845">
        <v>0.99200270314223804</v>
      </c>
      <c r="D2845">
        <v>0.952852426600172</v>
      </c>
      <c r="E2845">
        <v>0.85604057513602405</v>
      </c>
      <c r="F2845">
        <v>0.62610273954183204</v>
      </c>
      <c r="G2845">
        <v>0.20740597594629701</v>
      </c>
      <c r="H2845">
        <v>0.12874214803979001</v>
      </c>
      <c r="I2845">
        <v>8.3319065863536407E-2</v>
      </c>
      <c r="J2845">
        <v>0.112904708769359</v>
      </c>
      <c r="K2845">
        <v>8.9027921598355403E-2</v>
      </c>
      <c r="L2845">
        <v>1436.0286389396899</v>
      </c>
      <c r="M2845">
        <v>26.8473270102082</v>
      </c>
      <c r="N2845">
        <v>53.875275653410903</v>
      </c>
      <c r="O2845">
        <v>53.194575382995602</v>
      </c>
      <c r="P2845">
        <v>-0.115122025552835</v>
      </c>
      <c r="Q2845">
        <v>8.7610376699401596E-2</v>
      </c>
      <c r="R2845">
        <v>0.99743382055231</v>
      </c>
      <c r="S2845" t="s">
        <v>7585</v>
      </c>
      <c r="T2845" t="s">
        <v>9478</v>
      </c>
      <c r="U2845" t="s">
        <v>9478</v>
      </c>
      <c r="V2845" t="s">
        <v>9478</v>
      </c>
      <c r="W2845">
        <v>6</v>
      </c>
      <c r="X2845" t="s">
        <v>12323</v>
      </c>
      <c r="Y2845">
        <v>0.50521432496892837</v>
      </c>
      <c r="Z2845" t="str">
        <f>HYPERLINK("Melting_Curves/meltCurve_sp_Q96AG4_LRC59_HUMAN_.pdf", "Melting_Curves/meltCurve_sp_Q96AG4_LRC59_HUMAN_.pdf")</f>
        <v>Melting_Curves/meltCurve_sp_Q96AG4_LRC59_HUMAN_.pdf</v>
      </c>
      <c r="AA2845" t="s">
        <v>17014</v>
      </c>
      <c r="AB2845" t="s">
        <v>21679</v>
      </c>
    </row>
    <row r="2846" spans="1:28" x14ac:dyDescent="0.25">
      <c r="A2846" t="s">
        <v>2850</v>
      </c>
      <c r="B2846">
        <v>0.99904790336628502</v>
      </c>
      <c r="C2846">
        <v>1.03025109153144</v>
      </c>
      <c r="D2846">
        <v>1.1304690984416299</v>
      </c>
      <c r="E2846">
        <v>0.93158173638432196</v>
      </c>
      <c r="F2846">
        <v>0.72425036562239897</v>
      </c>
      <c r="G2846">
        <v>0.52662902751219098</v>
      </c>
      <c r="H2846">
        <v>0.36108217018837502</v>
      </c>
      <c r="I2846">
        <v>0.34586800461280398</v>
      </c>
      <c r="J2846">
        <v>0.33616765945573102</v>
      </c>
      <c r="K2846">
        <v>0.30166423415788801</v>
      </c>
      <c r="L2846">
        <v>1261.09106312893</v>
      </c>
      <c r="M2846">
        <v>23.172384940458201</v>
      </c>
      <c r="N2846">
        <v>56.908988637458201</v>
      </c>
      <c r="O2846">
        <v>54.021705291165702</v>
      </c>
      <c r="P2846">
        <v>-7.3097733765516801E-2</v>
      </c>
      <c r="Q2846">
        <v>0.31836235880321501</v>
      </c>
      <c r="R2846">
        <v>0.97599756414703998</v>
      </c>
      <c r="S2846" t="s">
        <v>7586</v>
      </c>
      <c r="T2846" t="s">
        <v>9478</v>
      </c>
      <c r="U2846" t="s">
        <v>9478</v>
      </c>
      <c r="V2846" t="s">
        <v>9478</v>
      </c>
      <c r="W2846">
        <v>3</v>
      </c>
      <c r="X2846" t="s">
        <v>12324</v>
      </c>
      <c r="Y2846">
        <v>0.65326615320225978</v>
      </c>
      <c r="Z2846" t="str">
        <f>HYPERLINK("Melting_Curves/meltCurve_sp_Q96AJ9_1_VTI1A_HUMAN_.pdf", "Melting_Curves/meltCurve_sp_Q96AJ9_1_VTI1A_HUMAN_.pdf")</f>
        <v>Melting_Curves/meltCurve_sp_Q96AJ9_1_VTI1A_HUMAN_.pdf</v>
      </c>
      <c r="AA2846" t="s">
        <v>17015</v>
      </c>
      <c r="AB2846" t="s">
        <v>21680</v>
      </c>
    </row>
    <row r="2847" spans="1:28" x14ac:dyDescent="0.25">
      <c r="A2847" t="s">
        <v>2851</v>
      </c>
      <c r="B2847">
        <v>0.99904790336628502</v>
      </c>
      <c r="C2847">
        <v>1.0103438831117499</v>
      </c>
      <c r="D2847">
        <v>0.93869167118130303</v>
      </c>
      <c r="E2847">
        <v>0.82494026493287897</v>
      </c>
      <c r="F2847">
        <v>0.76980126969144902</v>
      </c>
      <c r="G2847">
        <v>0.53041667508660995</v>
      </c>
      <c r="H2847">
        <v>0.487563831470609</v>
      </c>
      <c r="I2847">
        <v>0.44196307923385197</v>
      </c>
      <c r="J2847">
        <v>0.49692533465083699</v>
      </c>
      <c r="K2847">
        <v>0.48808860954441002</v>
      </c>
      <c r="L2847">
        <v>977.59728486139602</v>
      </c>
      <c r="M2847">
        <v>18.5533335836184</v>
      </c>
      <c r="N2847">
        <v>60.821603366185698</v>
      </c>
      <c r="O2847">
        <v>52.090524372282502</v>
      </c>
      <c r="P2847">
        <v>-4.8251871839768E-2</v>
      </c>
      <c r="Q2847">
        <v>0.45813415804496499</v>
      </c>
      <c r="R2847">
        <v>0.98161325343449501</v>
      </c>
      <c r="S2847" t="s">
        <v>7587</v>
      </c>
      <c r="T2847" t="s">
        <v>9478</v>
      </c>
      <c r="U2847" t="s">
        <v>9478</v>
      </c>
      <c r="V2847" t="s">
        <v>9478</v>
      </c>
      <c r="W2847">
        <v>3</v>
      </c>
      <c r="X2847" t="s">
        <v>12325</v>
      </c>
      <c r="Y2847">
        <v>0.69585243877568481</v>
      </c>
      <c r="Z2847" t="str">
        <f>HYPERLINK("Melting_Curves/meltCurve_sp_Q96AT1_K1143_HUMAN_.pdf", "Melting_Curves/meltCurve_sp_Q96AT1_K1143_HUMAN_.pdf")</f>
        <v>Melting_Curves/meltCurve_sp_Q96AT1_K1143_HUMAN_.pdf</v>
      </c>
      <c r="AA2847" t="s">
        <v>17016</v>
      </c>
      <c r="AB2847" t="s">
        <v>21681</v>
      </c>
    </row>
    <row r="2848" spans="1:28" x14ac:dyDescent="0.25">
      <c r="A2848" t="s">
        <v>2852</v>
      </c>
      <c r="B2848">
        <v>0.99904790336628502</v>
      </c>
      <c r="C2848">
        <v>0.96206180445909195</v>
      </c>
      <c r="D2848">
        <v>0.96445827461912204</v>
      </c>
      <c r="E2848">
        <v>0.952574170132788</v>
      </c>
      <c r="F2848">
        <v>0.85913446903665602</v>
      </c>
      <c r="G2848">
        <v>0.419357622437947</v>
      </c>
      <c r="H2848">
        <v>0.17152580213680599</v>
      </c>
      <c r="I2848">
        <v>9.9030884571713204E-2</v>
      </c>
      <c r="J2848">
        <v>7.96975055306888E-2</v>
      </c>
      <c r="K2848">
        <v>6.9233796375294199E-2</v>
      </c>
      <c r="L2848">
        <v>1558.61244608224</v>
      </c>
      <c r="M2848">
        <v>27.8063998950919</v>
      </c>
      <c r="N2848">
        <v>56.362348328650199</v>
      </c>
      <c r="O2848">
        <v>55.764787009635597</v>
      </c>
      <c r="P2848">
        <v>-0.11581972880758901</v>
      </c>
      <c r="Q2848">
        <v>7.0918058728683994E-2</v>
      </c>
      <c r="R2848">
        <v>0.99793700674892405</v>
      </c>
      <c r="S2848" t="s">
        <v>7588</v>
      </c>
      <c r="T2848" t="s">
        <v>9478</v>
      </c>
      <c r="U2848" t="s">
        <v>9478</v>
      </c>
      <c r="V2848" t="s">
        <v>9478</v>
      </c>
      <c r="W2848">
        <v>7</v>
      </c>
      <c r="X2848" t="s">
        <v>12326</v>
      </c>
      <c r="Y2848">
        <v>0.57515082133256501</v>
      </c>
      <c r="Z2848" t="str">
        <f>HYPERLINK("Melting_Curves/meltCurve_sp_Q96AT9_RPE_HUMAN_.pdf", "Melting_Curves/meltCurve_sp_Q96AT9_RPE_HUMAN_.pdf")</f>
        <v>Melting_Curves/meltCurve_sp_Q96AT9_RPE_HUMAN_.pdf</v>
      </c>
      <c r="AA2848" t="s">
        <v>17017</v>
      </c>
      <c r="AB2848" t="s">
        <v>21682</v>
      </c>
    </row>
    <row r="2849" spans="1:28" x14ac:dyDescent="0.25">
      <c r="A2849" t="s">
        <v>2853</v>
      </c>
      <c r="B2849">
        <v>0.99904790336628502</v>
      </c>
      <c r="C2849">
        <v>1.01201855036704</v>
      </c>
      <c r="D2849">
        <v>0.99450929920500797</v>
      </c>
      <c r="E2849">
        <v>0.923951725458385</v>
      </c>
      <c r="F2849">
        <v>0.84914748237538396</v>
      </c>
      <c r="G2849">
        <v>0.39223111845643999</v>
      </c>
      <c r="H2849">
        <v>0.13033534745204101</v>
      </c>
      <c r="I2849">
        <v>8.0201465507913003E-2</v>
      </c>
      <c r="J2849">
        <v>6.7854785086863503E-2</v>
      </c>
      <c r="K2849">
        <v>6.9089912195767794E-2</v>
      </c>
      <c r="L2849">
        <v>1605.3883946911701</v>
      </c>
      <c r="M2849">
        <v>28.757369066400699</v>
      </c>
      <c r="N2849">
        <v>56.073052706187902</v>
      </c>
      <c r="O2849">
        <v>55.557440886465102</v>
      </c>
      <c r="P2849">
        <v>-0.12168416209023</v>
      </c>
      <c r="Q2849">
        <v>5.9662693730582202E-2</v>
      </c>
      <c r="R2849">
        <v>0.99857997255442399</v>
      </c>
      <c r="S2849" t="s">
        <v>7589</v>
      </c>
      <c r="T2849" t="s">
        <v>9478</v>
      </c>
      <c r="U2849" t="s">
        <v>9478</v>
      </c>
      <c r="V2849" t="s">
        <v>9478</v>
      </c>
      <c r="W2849">
        <v>4</v>
      </c>
      <c r="X2849" t="s">
        <v>12327</v>
      </c>
      <c r="Y2849">
        <v>0.56247084771449507</v>
      </c>
      <c r="Z2849" t="str">
        <f>HYPERLINK("Melting_Curves/meltCurve_sp_Q96B26_EXOS8_HUMAN_.pdf", "Melting_Curves/meltCurve_sp_Q96B26_EXOS8_HUMAN_.pdf")</f>
        <v>Melting_Curves/meltCurve_sp_Q96B26_EXOS8_HUMAN_.pdf</v>
      </c>
      <c r="AA2849" t="s">
        <v>17018</v>
      </c>
      <c r="AB2849" t="s">
        <v>21683</v>
      </c>
    </row>
    <row r="2850" spans="1:28" x14ac:dyDescent="0.25">
      <c r="A2850" t="s">
        <v>2854</v>
      </c>
      <c r="B2850">
        <v>0.99904790336628502</v>
      </c>
      <c r="C2850">
        <v>0.95337060407008301</v>
      </c>
      <c r="D2850">
        <v>0.930951257261318</v>
      </c>
      <c r="E2850">
        <v>0.87769141017743801</v>
      </c>
      <c r="F2850">
        <v>0.82160238861417501</v>
      </c>
      <c r="G2850">
        <v>0.58642547548773905</v>
      </c>
      <c r="H2850">
        <v>0.51966421969187804</v>
      </c>
      <c r="I2850">
        <v>0.46088157239059602</v>
      </c>
      <c r="J2850">
        <v>0.48885952620908601</v>
      </c>
      <c r="K2850">
        <v>0.474021563481826</v>
      </c>
      <c r="L2850">
        <v>907.23503159667098</v>
      </c>
      <c r="M2850">
        <v>16.750515881871198</v>
      </c>
      <c r="N2850">
        <v>62.641514518611999</v>
      </c>
      <c r="O2850">
        <v>53.407336843509498</v>
      </c>
      <c r="P2850">
        <v>-4.3267714096826101E-2</v>
      </c>
      <c r="Q2850">
        <v>0.44821710327470099</v>
      </c>
      <c r="R2850">
        <v>0.98252924459021396</v>
      </c>
      <c r="S2850" t="s">
        <v>7590</v>
      </c>
      <c r="T2850" t="s">
        <v>9478</v>
      </c>
      <c r="U2850" t="s">
        <v>9478</v>
      </c>
      <c r="V2850" t="s">
        <v>9478</v>
      </c>
      <c r="W2850">
        <v>6</v>
      </c>
      <c r="X2850" t="s">
        <v>12328</v>
      </c>
      <c r="Y2850">
        <v>0.71841880742005815</v>
      </c>
      <c r="Z2850" t="str">
        <f>HYPERLINK("Melting_Curves/meltCurve_sp_Q96B36_AKTS1_HUMAN_.pdf", "Melting_Curves/meltCurve_sp_Q96B36_AKTS1_HUMAN_.pdf")</f>
        <v>Melting_Curves/meltCurve_sp_Q96B36_AKTS1_HUMAN_.pdf</v>
      </c>
      <c r="AA2850" t="s">
        <v>17019</v>
      </c>
      <c r="AB2850" t="s">
        <v>21684</v>
      </c>
    </row>
    <row r="2851" spans="1:28" x14ac:dyDescent="0.25">
      <c r="A2851" t="s">
        <v>2855</v>
      </c>
      <c r="B2851">
        <v>0.99904790336628502</v>
      </c>
      <c r="C2851">
        <v>1.03644937273431</v>
      </c>
      <c r="D2851">
        <v>0.98937822511278395</v>
      </c>
      <c r="E2851">
        <v>0.95852623163260198</v>
      </c>
      <c r="F2851">
        <v>0.91138588263632503</v>
      </c>
      <c r="G2851">
        <v>0.56086185646457698</v>
      </c>
      <c r="H2851">
        <v>0.42159706310226402</v>
      </c>
      <c r="I2851">
        <v>0.295373001508485</v>
      </c>
      <c r="J2851">
        <v>0.25796502470660898</v>
      </c>
      <c r="K2851">
        <v>0.31321744036424998</v>
      </c>
      <c r="L2851">
        <v>1457.1682271517</v>
      </c>
      <c r="M2851">
        <v>25.851543647653699</v>
      </c>
      <c r="N2851">
        <v>58.253746427419799</v>
      </c>
      <c r="O2851">
        <v>56.032724994671</v>
      </c>
      <c r="P2851">
        <v>-8.2633713062423897E-2</v>
      </c>
      <c r="Q2851">
        <v>0.28358038508161498</v>
      </c>
      <c r="R2851">
        <v>0.99177618563377601</v>
      </c>
      <c r="S2851" t="s">
        <v>7591</v>
      </c>
      <c r="T2851" t="s">
        <v>9478</v>
      </c>
      <c r="U2851" t="s">
        <v>9478</v>
      </c>
      <c r="V2851" t="s">
        <v>9478</v>
      </c>
      <c r="W2851">
        <v>3</v>
      </c>
      <c r="X2851" t="s">
        <v>12329</v>
      </c>
      <c r="Y2851">
        <v>0.68062070254783646</v>
      </c>
      <c r="Z2851" t="str">
        <f>HYPERLINK("Melting_Curves/meltCurve_sp_Q96B45_CJ032_HUMAN_.pdf", "Melting_Curves/meltCurve_sp_Q96B45_CJ032_HUMAN_.pdf")</f>
        <v>Melting_Curves/meltCurve_sp_Q96B45_CJ032_HUMAN_.pdf</v>
      </c>
      <c r="AA2851" t="s">
        <v>17020</v>
      </c>
      <c r="AB2851" t="s">
        <v>21685</v>
      </c>
    </row>
    <row r="2852" spans="1:28" x14ac:dyDescent="0.25">
      <c r="A2852" t="s">
        <v>2856</v>
      </c>
      <c r="B2852">
        <v>0.99904790336628502</v>
      </c>
      <c r="C2852">
        <v>0.97129543230819004</v>
      </c>
      <c r="D2852">
        <v>1.0150965448086899</v>
      </c>
      <c r="E2852">
        <v>0.97820425573323</v>
      </c>
      <c r="F2852">
        <v>0.99630584226220698</v>
      </c>
      <c r="G2852">
        <v>0.86461731763004102</v>
      </c>
      <c r="H2852">
        <v>0.75016667373076695</v>
      </c>
      <c r="I2852">
        <v>0.71035989734607297</v>
      </c>
      <c r="J2852">
        <v>0.773367796972669</v>
      </c>
      <c r="K2852">
        <v>0.83041703287017599</v>
      </c>
      <c r="L2852">
        <v>14231.894044770699</v>
      </c>
      <c r="M2852">
        <v>250</v>
      </c>
      <c r="O2852">
        <v>56.923933221759903</v>
      </c>
      <c r="P2852">
        <v>-0.25683633786052701</v>
      </c>
      <c r="Q2852">
        <v>0.76607784767260201</v>
      </c>
      <c r="R2852">
        <v>0.92598638362549202</v>
      </c>
      <c r="S2852" t="s">
        <v>7592</v>
      </c>
      <c r="T2852" t="s">
        <v>9478</v>
      </c>
      <c r="U2852" t="s">
        <v>9478</v>
      </c>
      <c r="V2852" t="s">
        <v>9478</v>
      </c>
      <c r="W2852">
        <v>3</v>
      </c>
      <c r="X2852" t="s">
        <v>12330</v>
      </c>
      <c r="Y2852">
        <v>0.89809238658536317</v>
      </c>
      <c r="Z2852" t="str">
        <f>HYPERLINK("Melting_Curves/meltCurve_sp_Q96B54_ZN428_HUMAN_.pdf", "Melting_Curves/meltCurve_sp_Q96B54_ZN428_HUMAN_.pdf")</f>
        <v>Melting_Curves/meltCurve_sp_Q96B54_ZN428_HUMAN_.pdf</v>
      </c>
      <c r="AA2852" t="s">
        <v>17021</v>
      </c>
      <c r="AB2852" t="s">
        <v>21686</v>
      </c>
    </row>
    <row r="2853" spans="1:28" x14ac:dyDescent="0.25">
      <c r="A2853" t="s">
        <v>2857</v>
      </c>
      <c r="B2853">
        <v>0.99904790336628502</v>
      </c>
      <c r="C2853">
        <v>0.87446794149188201</v>
      </c>
      <c r="D2853">
        <v>0.88472963388261505</v>
      </c>
      <c r="E2853">
        <v>0.80434164698924104</v>
      </c>
      <c r="F2853">
        <v>0.78577224836478099</v>
      </c>
      <c r="G2853">
        <v>0.55622476707216695</v>
      </c>
      <c r="H2853">
        <v>0.54230414961834605</v>
      </c>
      <c r="I2853">
        <v>0.40050073303528799</v>
      </c>
      <c r="J2853">
        <v>0.50252351584849897</v>
      </c>
      <c r="K2853">
        <v>0.535294772880475</v>
      </c>
      <c r="L2853">
        <v>550.55772785689805</v>
      </c>
      <c r="M2853">
        <v>10.4465966109044</v>
      </c>
      <c r="N2853">
        <v>64.530201490406995</v>
      </c>
      <c r="O2853">
        <v>50.880701261735702</v>
      </c>
      <c r="P2853">
        <v>-2.9458707644127499E-2</v>
      </c>
      <c r="Q2853">
        <v>0.42631528402373298</v>
      </c>
      <c r="R2853">
        <v>0.91498650608688104</v>
      </c>
      <c r="S2853" t="s">
        <v>7593</v>
      </c>
      <c r="T2853" t="s">
        <v>9478</v>
      </c>
      <c r="U2853" t="s">
        <v>9478</v>
      </c>
      <c r="V2853" t="s">
        <v>9478</v>
      </c>
      <c r="W2853">
        <v>1</v>
      </c>
      <c r="X2853" t="s">
        <v>12331</v>
      </c>
      <c r="Y2853">
        <v>0.6886426240482687</v>
      </c>
      <c r="Z2853" t="str">
        <f>HYPERLINK("Melting_Curves/meltCurve_sp_Q96B70_LENG9_HUMAN_.pdf", "Melting_Curves/meltCurve_sp_Q96B70_LENG9_HUMAN_.pdf")</f>
        <v>Melting_Curves/meltCurve_sp_Q96B70_LENG9_HUMAN_.pdf</v>
      </c>
      <c r="AA2853" t="s">
        <v>17022</v>
      </c>
      <c r="AB2853" t="s">
        <v>21687</v>
      </c>
    </row>
    <row r="2854" spans="1:28" x14ac:dyDescent="0.25">
      <c r="A2854" t="s">
        <v>2858</v>
      </c>
      <c r="B2854">
        <v>0.99904790336628502</v>
      </c>
      <c r="C2854">
        <v>0.92359981297151605</v>
      </c>
      <c r="D2854">
        <v>0.91902396262677799</v>
      </c>
      <c r="E2854">
        <v>0.80644680682769698</v>
      </c>
      <c r="F2854">
        <v>0.71803083209898999</v>
      </c>
      <c r="G2854">
        <v>0.54523262599484401</v>
      </c>
      <c r="H2854">
        <v>0.42679170522573201</v>
      </c>
      <c r="I2854">
        <v>0.36577294888401501</v>
      </c>
      <c r="J2854">
        <v>0.39181749502784802</v>
      </c>
      <c r="K2854">
        <v>0.34857425494585098</v>
      </c>
      <c r="L2854">
        <v>633.145017399415</v>
      </c>
      <c r="M2854">
        <v>11.6907393958156</v>
      </c>
      <c r="N2854">
        <v>58.636216911361501</v>
      </c>
      <c r="O2854">
        <v>52.645995736851603</v>
      </c>
      <c r="P2854">
        <v>-3.9134368191805602E-2</v>
      </c>
      <c r="Q2854">
        <v>0.29526474125716101</v>
      </c>
      <c r="R2854">
        <v>0.99182322642440102</v>
      </c>
      <c r="S2854" t="s">
        <v>7594</v>
      </c>
      <c r="T2854" t="s">
        <v>9478</v>
      </c>
      <c r="U2854" t="s">
        <v>9478</v>
      </c>
      <c r="V2854" t="s">
        <v>9478</v>
      </c>
      <c r="W2854">
        <v>10</v>
      </c>
      <c r="X2854" t="s">
        <v>12332</v>
      </c>
      <c r="Y2854">
        <v>0.64639126033507188</v>
      </c>
      <c r="Z2854" t="str">
        <f>HYPERLINK("Melting_Curves/meltCurve_sp_Q96B97_SH3K1_HUMAN_.pdf", "Melting_Curves/meltCurve_sp_Q96B97_SH3K1_HUMAN_.pdf")</f>
        <v>Melting_Curves/meltCurve_sp_Q96B97_SH3K1_HUMAN_.pdf</v>
      </c>
      <c r="AA2854" t="s">
        <v>17023</v>
      </c>
      <c r="AB2854" t="s">
        <v>21688</v>
      </c>
    </row>
    <row r="2855" spans="1:28" x14ac:dyDescent="0.25">
      <c r="A2855" t="s">
        <v>2859</v>
      </c>
      <c r="B2855">
        <v>0.99904790336628502</v>
      </c>
      <c r="C2855">
        <v>1.0986296094933199</v>
      </c>
      <c r="D2855">
        <v>1.031431800072</v>
      </c>
      <c r="E2855">
        <v>0.99180685787518696</v>
      </c>
      <c r="F2855">
        <v>0.86303223432917098</v>
      </c>
      <c r="G2855">
        <v>0.73617802325603898</v>
      </c>
      <c r="H2855">
        <v>0.52160187077185804</v>
      </c>
      <c r="I2855">
        <v>0.39745271077607702</v>
      </c>
      <c r="J2855">
        <v>0.34678846381749601</v>
      </c>
      <c r="K2855">
        <v>0.336564013903562</v>
      </c>
      <c r="L2855">
        <v>1059.4362589858599</v>
      </c>
      <c r="M2855">
        <v>18.154130715009199</v>
      </c>
      <c r="N2855">
        <v>61.323909265102102</v>
      </c>
      <c r="O2855">
        <v>57.663578480711699</v>
      </c>
      <c r="P2855">
        <v>-5.5711111465288898E-2</v>
      </c>
      <c r="Q2855">
        <v>0.29220543342509597</v>
      </c>
      <c r="R2855">
        <v>0.98324756049014195</v>
      </c>
      <c r="S2855" t="s">
        <v>7595</v>
      </c>
      <c r="T2855" t="s">
        <v>9478</v>
      </c>
      <c r="U2855" t="s">
        <v>9478</v>
      </c>
      <c r="V2855" t="s">
        <v>9478</v>
      </c>
      <c r="W2855">
        <v>4</v>
      </c>
      <c r="X2855" t="s">
        <v>12333</v>
      </c>
      <c r="Y2855">
        <v>0.73362543033308503</v>
      </c>
      <c r="Z2855" t="str">
        <f>HYPERLINK("Melting_Curves/meltCurve_sp_Q96BH1_RNF25_HUMAN_.pdf", "Melting_Curves/meltCurve_sp_Q96BH1_RNF25_HUMAN_.pdf")</f>
        <v>Melting_Curves/meltCurve_sp_Q96BH1_RNF25_HUMAN_.pdf</v>
      </c>
      <c r="AA2855" t="s">
        <v>17024</v>
      </c>
      <c r="AB2855" t="s">
        <v>21689</v>
      </c>
    </row>
    <row r="2856" spans="1:28" x14ac:dyDescent="0.25">
      <c r="A2856" t="s">
        <v>2860</v>
      </c>
      <c r="B2856">
        <v>0.99904790336628502</v>
      </c>
      <c r="C2856">
        <v>0.99281909082518405</v>
      </c>
      <c r="D2856">
        <v>0.93890592096382297</v>
      </c>
      <c r="E2856">
        <v>0.89656263373615597</v>
      </c>
      <c r="F2856">
        <v>0.76820152045982204</v>
      </c>
      <c r="G2856">
        <v>0.39558384680695202</v>
      </c>
      <c r="H2856">
        <v>9.0803723745666601E-2</v>
      </c>
      <c r="I2856">
        <v>4.3291377000896199E-2</v>
      </c>
      <c r="J2856">
        <v>3.2087900381015798E-2</v>
      </c>
      <c r="K2856">
        <v>4.0888924147548002E-2</v>
      </c>
      <c r="L2856">
        <v>1251.49440193343</v>
      </c>
      <c r="M2856">
        <v>22.479940981619801</v>
      </c>
      <c r="N2856">
        <v>55.696246470525203</v>
      </c>
      <c r="O2856">
        <v>55.236680049903001</v>
      </c>
      <c r="P2856">
        <v>-0.101242365961728</v>
      </c>
      <c r="Q2856">
        <v>4.9481451538274396E-3</v>
      </c>
      <c r="R2856">
        <v>0.99623834465035499</v>
      </c>
      <c r="S2856" t="s">
        <v>7596</v>
      </c>
      <c r="T2856" t="s">
        <v>9478</v>
      </c>
      <c r="U2856" t="s">
        <v>9478</v>
      </c>
      <c r="V2856" t="s">
        <v>9478</v>
      </c>
      <c r="W2856">
        <v>10</v>
      </c>
      <c r="X2856" t="s">
        <v>12334</v>
      </c>
      <c r="Y2856">
        <v>0.53565432635636667</v>
      </c>
      <c r="Z2856" t="str">
        <f>HYPERLINK("Melting_Curves/meltCurve_sp_Q96BJ3_AIDA_HUMAN_.pdf", "Melting_Curves/meltCurve_sp_Q96BJ3_AIDA_HUMAN_.pdf")</f>
        <v>Melting_Curves/meltCurve_sp_Q96BJ3_AIDA_HUMAN_.pdf</v>
      </c>
      <c r="AA2856" t="s">
        <v>17025</v>
      </c>
      <c r="AB2856" t="s">
        <v>21690</v>
      </c>
    </row>
    <row r="2857" spans="1:28" x14ac:dyDescent="0.25">
      <c r="A2857" t="s">
        <v>2861</v>
      </c>
      <c r="B2857">
        <v>0.99904790336628502</v>
      </c>
      <c r="C2857">
        <v>0.86006736199752898</v>
      </c>
      <c r="D2857">
        <v>0.86570993233554505</v>
      </c>
      <c r="E2857">
        <v>0.777674046347968</v>
      </c>
      <c r="F2857">
        <v>0.56275120655643296</v>
      </c>
      <c r="G2857">
        <v>0.11054069356917801</v>
      </c>
      <c r="H2857">
        <v>5.5507162637578503E-2</v>
      </c>
      <c r="I2857">
        <v>3.7428701775073701E-2</v>
      </c>
      <c r="J2857">
        <v>3.0004327654295199E-2</v>
      </c>
      <c r="K2857">
        <v>2.74843738448259E-2</v>
      </c>
      <c r="L2857">
        <v>1106.82137244829</v>
      </c>
      <c r="M2857">
        <v>20.893818979006902</v>
      </c>
      <c r="N2857">
        <v>52.986111762768303</v>
      </c>
      <c r="O2857">
        <v>52.495526320848498</v>
      </c>
      <c r="P2857">
        <v>-9.9260875637345397E-2</v>
      </c>
      <c r="Q2857">
        <v>2.4591493909856201E-3</v>
      </c>
      <c r="R2857">
        <v>0.97605840064124805</v>
      </c>
      <c r="S2857" t="s">
        <v>7597</v>
      </c>
      <c r="T2857" t="s">
        <v>9478</v>
      </c>
      <c r="U2857" t="s">
        <v>9478</v>
      </c>
      <c r="V2857" t="s">
        <v>9478</v>
      </c>
      <c r="W2857">
        <v>10</v>
      </c>
      <c r="X2857" t="s">
        <v>12335</v>
      </c>
      <c r="Y2857">
        <v>0.44657391012663561</v>
      </c>
      <c r="Z2857" t="str">
        <f>HYPERLINK("Melting_Curves/meltCurve_sp_Q96BN8_F105B_HUMAN_.pdf", "Melting_Curves/meltCurve_sp_Q96BN8_F105B_HUMAN_.pdf")</f>
        <v>Melting_Curves/meltCurve_sp_Q96BN8_F105B_HUMAN_.pdf</v>
      </c>
      <c r="AA2857" t="s">
        <v>17026</v>
      </c>
      <c r="AB2857" t="s">
        <v>21691</v>
      </c>
    </row>
    <row r="2858" spans="1:28" x14ac:dyDescent="0.25">
      <c r="A2858" t="s">
        <v>2862</v>
      </c>
      <c r="B2858">
        <v>0.99904790336628502</v>
      </c>
      <c r="C2858">
        <v>1.13868154425081</v>
      </c>
      <c r="D2858">
        <v>1.1115066396937801</v>
      </c>
      <c r="E2858">
        <v>0.97801637846267997</v>
      </c>
      <c r="F2858">
        <v>0.51103460839695403</v>
      </c>
      <c r="G2858">
        <v>0.27734686191003399</v>
      </c>
      <c r="H2858">
        <v>0.175503165058253</v>
      </c>
      <c r="I2858">
        <v>0.15348171586690701</v>
      </c>
      <c r="J2858">
        <v>0.135686990777143</v>
      </c>
      <c r="K2858">
        <v>0.11848312528721</v>
      </c>
      <c r="L2858">
        <v>2450.6250332281002</v>
      </c>
      <c r="M2858">
        <v>46.475941303885001</v>
      </c>
      <c r="N2858">
        <v>53.185135296458697</v>
      </c>
      <c r="O2858">
        <v>52.631568084259598</v>
      </c>
      <c r="P2858">
        <v>-0.184468113957065</v>
      </c>
      <c r="Q2858">
        <v>0.164399349733339</v>
      </c>
      <c r="R2858">
        <v>0.97478760101952699</v>
      </c>
      <c r="S2858" t="s">
        <v>7598</v>
      </c>
      <c r="T2858" t="s">
        <v>9478</v>
      </c>
      <c r="U2858" t="s">
        <v>9478</v>
      </c>
      <c r="V2858" t="s">
        <v>9478</v>
      </c>
      <c r="W2858">
        <v>6</v>
      </c>
      <c r="X2858" t="s">
        <v>12336</v>
      </c>
      <c r="Y2858">
        <v>0.52119260123867539</v>
      </c>
      <c r="Z2858" t="str">
        <f>HYPERLINK("Melting_Curves/meltCurve_sp_Q96BP3_PPWD1_HUMAN_.pdf", "Melting_Curves/meltCurve_sp_Q96BP3_PPWD1_HUMAN_.pdf")</f>
        <v>Melting_Curves/meltCurve_sp_Q96BP3_PPWD1_HUMAN_.pdf</v>
      </c>
      <c r="AA2858" t="s">
        <v>17027</v>
      </c>
      <c r="AB2858" t="s">
        <v>21692</v>
      </c>
    </row>
    <row r="2859" spans="1:28" x14ac:dyDescent="0.25">
      <c r="A2859" t="s">
        <v>2863</v>
      </c>
      <c r="B2859">
        <v>0.99904790336628502</v>
      </c>
      <c r="C2859">
        <v>0.86130787970736</v>
      </c>
      <c r="D2859">
        <v>0.86306380515117898</v>
      </c>
      <c r="E2859">
        <v>0.88664982530615599</v>
      </c>
      <c r="F2859">
        <v>0.87390276829412705</v>
      </c>
      <c r="G2859">
        <v>0.652649518961673</v>
      </c>
      <c r="H2859">
        <v>0.55499441755389001</v>
      </c>
      <c r="I2859">
        <v>0.56750441913862604</v>
      </c>
      <c r="J2859">
        <v>0.49693065865665698</v>
      </c>
      <c r="K2859">
        <v>0.48654241180138003</v>
      </c>
      <c r="L2859">
        <v>371.33765682714102</v>
      </c>
      <c r="M2859">
        <v>6.0561662058839296</v>
      </c>
      <c r="N2859">
        <v>67.363461213220901</v>
      </c>
      <c r="O2859">
        <v>55.635795490568498</v>
      </c>
      <c r="P2859">
        <v>-2.1573963037879399E-2</v>
      </c>
      <c r="Q2859">
        <v>0.209706902682367</v>
      </c>
      <c r="R2859">
        <v>0.91925389834586302</v>
      </c>
      <c r="S2859" t="s">
        <v>7599</v>
      </c>
      <c r="T2859" t="s">
        <v>9478</v>
      </c>
      <c r="U2859" t="s">
        <v>9478</v>
      </c>
      <c r="V2859" t="s">
        <v>9478</v>
      </c>
      <c r="W2859">
        <v>7</v>
      </c>
      <c r="X2859" t="s">
        <v>12337</v>
      </c>
      <c r="Y2859">
        <v>0.73093332668724353</v>
      </c>
      <c r="Z2859" t="str">
        <f>HYPERLINK("Melting_Curves/meltCurve_sp_Q96BR5_SELR1_HUMAN_.pdf", "Melting_Curves/meltCurve_sp_Q96BR5_SELR1_HUMAN_.pdf")</f>
        <v>Melting_Curves/meltCurve_sp_Q96BR5_SELR1_HUMAN_.pdf</v>
      </c>
      <c r="AA2859" t="s">
        <v>17028</v>
      </c>
      <c r="AB2859" t="s">
        <v>21693</v>
      </c>
    </row>
    <row r="2860" spans="1:28" x14ac:dyDescent="0.25">
      <c r="A2860" t="s">
        <v>2864</v>
      </c>
      <c r="B2860">
        <v>0.99904790336628502</v>
      </c>
      <c r="C2860">
        <v>1.02743537126913</v>
      </c>
      <c r="D2860">
        <v>1.06055297693044</v>
      </c>
      <c r="E2860">
        <v>1.0978981292408601</v>
      </c>
      <c r="F2860">
        <v>1.0392414913950401</v>
      </c>
      <c r="G2860">
        <v>0.93877698415795596</v>
      </c>
      <c r="H2860">
        <v>0.64005715762859505</v>
      </c>
      <c r="I2860">
        <v>0.30996302503289103</v>
      </c>
      <c r="J2860">
        <v>7.7100587211863303E-2</v>
      </c>
      <c r="K2860">
        <v>5.0408056446591201E-2</v>
      </c>
      <c r="L2860">
        <v>1947.5753066314601</v>
      </c>
      <c r="M2860">
        <v>31.3357888340208</v>
      </c>
      <c r="N2860">
        <v>62.184978355540203</v>
      </c>
      <c r="O2860">
        <v>61.900312135729102</v>
      </c>
      <c r="P2860">
        <v>-0.12550938141460999</v>
      </c>
      <c r="Q2860">
        <v>8.2869978736706297E-3</v>
      </c>
      <c r="R2860">
        <v>0.989415888361734</v>
      </c>
      <c r="S2860" t="s">
        <v>7600</v>
      </c>
      <c r="T2860" t="s">
        <v>9478</v>
      </c>
      <c r="U2860" t="s">
        <v>9478</v>
      </c>
      <c r="V2860" t="s">
        <v>9478</v>
      </c>
      <c r="W2860">
        <v>17</v>
      </c>
      <c r="X2860" t="s">
        <v>12338</v>
      </c>
      <c r="Y2860">
        <v>0.74490306703143283</v>
      </c>
      <c r="Z2860" t="str">
        <f>HYPERLINK("Melting_Curves/meltCurve_sp_Q96BW5_2_PTER_HUMAN_.pdf", "Melting_Curves/meltCurve_sp_Q96BW5_2_PTER_HUMAN_.pdf")</f>
        <v>Melting_Curves/meltCurve_sp_Q96BW5_2_PTER_HUMAN_.pdf</v>
      </c>
      <c r="AA2860" t="s">
        <v>17029</v>
      </c>
      <c r="AB2860" t="s">
        <v>21694</v>
      </c>
    </row>
    <row r="2861" spans="1:28" x14ac:dyDescent="0.25">
      <c r="A2861" t="s">
        <v>2865</v>
      </c>
      <c r="B2861">
        <v>0.99904790336628502</v>
      </c>
      <c r="C2861">
        <v>0.99327654207580696</v>
      </c>
      <c r="D2861">
        <v>0.91427313523971099</v>
      </c>
      <c r="E2861">
        <v>0.82356389896834903</v>
      </c>
      <c r="F2861">
        <v>0.67011220484626999</v>
      </c>
      <c r="G2861">
        <v>0.48436064205962598</v>
      </c>
      <c r="H2861">
        <v>0.28961212032696898</v>
      </c>
      <c r="I2861">
        <v>0.179883287459293</v>
      </c>
      <c r="J2861">
        <v>0.121088984564811</v>
      </c>
      <c r="K2861">
        <v>0.118371175938076</v>
      </c>
      <c r="L2861">
        <v>675.57749041450495</v>
      </c>
      <c r="M2861">
        <v>12.0152758667315</v>
      </c>
      <c r="N2861">
        <v>56.333877341202502</v>
      </c>
      <c r="O2861">
        <v>54.736987961727898</v>
      </c>
      <c r="P2861">
        <v>-5.4269348374300502E-2</v>
      </c>
      <c r="Q2861">
        <v>1.13158325646582E-2</v>
      </c>
      <c r="R2861">
        <v>0.99809771944987202</v>
      </c>
      <c r="S2861" t="s">
        <v>7601</v>
      </c>
      <c r="T2861" t="s">
        <v>9478</v>
      </c>
      <c r="U2861" t="s">
        <v>9478</v>
      </c>
      <c r="V2861" t="s">
        <v>9478</v>
      </c>
      <c r="W2861">
        <v>7</v>
      </c>
      <c r="X2861" t="s">
        <v>12339</v>
      </c>
      <c r="Y2861">
        <v>0.56547570717894402</v>
      </c>
      <c r="Z2861" t="str">
        <f>HYPERLINK("Melting_Curves/meltCurve_sp_Q96BY7_ATG2B_HUMAN_.pdf", "Melting_Curves/meltCurve_sp_Q96BY7_ATG2B_HUMAN_.pdf")</f>
        <v>Melting_Curves/meltCurve_sp_Q96BY7_ATG2B_HUMAN_.pdf</v>
      </c>
      <c r="AA2861" t="s">
        <v>17030</v>
      </c>
      <c r="AB2861" t="s">
        <v>21695</v>
      </c>
    </row>
    <row r="2862" spans="1:28" x14ac:dyDescent="0.25">
      <c r="A2862" t="s">
        <v>2866</v>
      </c>
      <c r="B2862">
        <v>0.99904790336628502</v>
      </c>
      <c r="C2862">
        <v>0.94066304767411701</v>
      </c>
      <c r="D2862">
        <v>0.82371592230038604</v>
      </c>
      <c r="E2862">
        <v>0.68391121295177104</v>
      </c>
      <c r="F2862">
        <v>0.93526116582501095</v>
      </c>
      <c r="G2862">
        <v>0.50359935862956695</v>
      </c>
      <c r="H2862">
        <v>0.45321336858799999</v>
      </c>
      <c r="I2862">
        <v>0.54390793838113005</v>
      </c>
      <c r="J2862">
        <v>0.68766073176259401</v>
      </c>
      <c r="K2862">
        <v>0.72752658097561496</v>
      </c>
      <c r="L2862">
        <v>646.71101113149405</v>
      </c>
      <c r="M2862">
        <v>13.405678367298</v>
      </c>
      <c r="O2862">
        <v>47.206025668520802</v>
      </c>
      <c r="P2862">
        <v>-2.8713299221421899E-2</v>
      </c>
      <c r="Q2862">
        <v>0.59562558975883995</v>
      </c>
      <c r="R2862">
        <v>0.57933184379515801</v>
      </c>
      <c r="S2862" t="s">
        <v>7602</v>
      </c>
      <c r="T2862" t="s">
        <v>9478</v>
      </c>
      <c r="U2862" t="s">
        <v>9478</v>
      </c>
      <c r="V2862" t="s">
        <v>9478</v>
      </c>
      <c r="W2862">
        <v>1</v>
      </c>
      <c r="X2862" t="s">
        <v>12340</v>
      </c>
      <c r="Y2862">
        <v>0.71947027711019351</v>
      </c>
      <c r="Z2862" t="str">
        <f>HYPERLINK("Melting_Curves/meltCurve_sp_Q96BZ8_LENG1_HUMAN_.pdf", "Melting_Curves/meltCurve_sp_Q96BZ8_LENG1_HUMAN_.pdf")</f>
        <v>Melting_Curves/meltCurve_sp_Q96BZ8_LENG1_HUMAN_.pdf</v>
      </c>
      <c r="AA2862" t="s">
        <v>17031</v>
      </c>
      <c r="AB2862" t="s">
        <v>21696</v>
      </c>
    </row>
    <row r="2863" spans="1:28" x14ac:dyDescent="0.25">
      <c r="A2863" t="s">
        <v>2867</v>
      </c>
      <c r="B2863">
        <v>0.99904790336628502</v>
      </c>
      <c r="C2863">
        <v>0.96769199546787599</v>
      </c>
      <c r="D2863">
        <v>0.93850865133495798</v>
      </c>
      <c r="E2863">
        <v>0.89374657666038704</v>
      </c>
      <c r="F2863">
        <v>0.87739807530001901</v>
      </c>
      <c r="G2863">
        <v>0.68725675424966304</v>
      </c>
      <c r="H2863">
        <v>0.599539139645347</v>
      </c>
      <c r="I2863">
        <v>0.57799464083486296</v>
      </c>
      <c r="J2863">
        <v>0.637661194688105</v>
      </c>
      <c r="K2863">
        <v>0.57467939018958603</v>
      </c>
      <c r="L2863">
        <v>906.16502018199799</v>
      </c>
      <c r="M2863">
        <v>16.703175058159999</v>
      </c>
      <c r="O2863">
        <v>53.491348801397798</v>
      </c>
      <c r="P2863">
        <v>-3.3575161342153603E-2</v>
      </c>
      <c r="Q2863">
        <v>0.56993524563045295</v>
      </c>
      <c r="R2863">
        <v>0.96477293803771802</v>
      </c>
      <c r="S2863" t="s">
        <v>7603</v>
      </c>
      <c r="T2863" t="s">
        <v>9478</v>
      </c>
      <c r="U2863" t="s">
        <v>9478</v>
      </c>
      <c r="V2863" t="s">
        <v>9478</v>
      </c>
      <c r="W2863">
        <v>13</v>
      </c>
      <c r="X2863" t="s">
        <v>12341</v>
      </c>
      <c r="Y2863">
        <v>0.78181730070547961</v>
      </c>
      <c r="Z2863" t="str">
        <f>HYPERLINK("Melting_Curves/meltCurve_sp_Q96C01_F136A_HUMAN_.pdf", "Melting_Curves/meltCurve_sp_Q96C01_F136A_HUMAN_.pdf")</f>
        <v>Melting_Curves/meltCurve_sp_Q96C01_F136A_HUMAN_.pdf</v>
      </c>
      <c r="AA2863" t="s">
        <v>17032</v>
      </c>
      <c r="AB2863" t="s">
        <v>21697</v>
      </c>
    </row>
    <row r="2864" spans="1:28" x14ac:dyDescent="0.25">
      <c r="A2864" t="s">
        <v>2868</v>
      </c>
      <c r="B2864">
        <v>0.99904790336628502</v>
      </c>
      <c r="C2864">
        <v>0.96871649550509797</v>
      </c>
      <c r="D2864">
        <v>0.99948886642562895</v>
      </c>
      <c r="E2864">
        <v>1.00906071376314</v>
      </c>
      <c r="F2864">
        <v>0.97552545158348203</v>
      </c>
      <c r="G2864">
        <v>0.75931508534387704</v>
      </c>
      <c r="H2864">
        <v>0.29207676835291702</v>
      </c>
      <c r="I2864">
        <v>8.3386034712020399E-2</v>
      </c>
      <c r="J2864">
        <v>4.3713896893888E-2</v>
      </c>
      <c r="K2864">
        <v>3.7882902342658897E-2</v>
      </c>
      <c r="L2864">
        <v>1876.1758934145601</v>
      </c>
      <c r="M2864">
        <v>31.770587724604301</v>
      </c>
      <c r="N2864">
        <v>59.137721582505101</v>
      </c>
      <c r="O2864">
        <v>58.821395951782598</v>
      </c>
      <c r="P2864">
        <v>-0.13205648639522999</v>
      </c>
      <c r="Q2864">
        <v>2.2025825272935701E-2</v>
      </c>
      <c r="R2864">
        <v>0.99910946477453899</v>
      </c>
      <c r="S2864" t="s">
        <v>7604</v>
      </c>
      <c r="T2864" t="s">
        <v>9478</v>
      </c>
      <c r="U2864" t="s">
        <v>9478</v>
      </c>
      <c r="V2864" t="s">
        <v>9478</v>
      </c>
      <c r="W2864">
        <v>19</v>
      </c>
      <c r="X2864" t="s">
        <v>12342</v>
      </c>
      <c r="Y2864">
        <v>0.6488883828963895</v>
      </c>
      <c r="Z2864" t="str">
        <f>HYPERLINK("Melting_Curves/meltCurve_sp_Q96C11_FGGY_HUMAN_.pdf", "Melting_Curves/meltCurve_sp_Q96C11_FGGY_HUMAN_.pdf")</f>
        <v>Melting_Curves/meltCurve_sp_Q96C11_FGGY_HUMAN_.pdf</v>
      </c>
      <c r="AA2864" t="s">
        <v>17033</v>
      </c>
      <c r="AB2864" t="s">
        <v>21698</v>
      </c>
    </row>
    <row r="2865" spans="1:28" x14ac:dyDescent="0.25">
      <c r="A2865" t="s">
        <v>2869</v>
      </c>
      <c r="B2865">
        <v>0.99904790336628502</v>
      </c>
      <c r="C2865">
        <v>1.0300873702578199</v>
      </c>
      <c r="D2865">
        <v>1.0510641596255901</v>
      </c>
      <c r="E2865">
        <v>1.0138243884873099</v>
      </c>
      <c r="F2865">
        <v>0.92509975390061405</v>
      </c>
      <c r="G2865">
        <v>0.86194199065791</v>
      </c>
      <c r="H2865">
        <v>0.68932498980976598</v>
      </c>
      <c r="I2865">
        <v>0.61158926729749996</v>
      </c>
      <c r="J2865">
        <v>0.52436939255217996</v>
      </c>
      <c r="K2865">
        <v>0.48322886169294799</v>
      </c>
      <c r="L2865">
        <v>1013.52040116093</v>
      </c>
      <c r="M2865">
        <v>16.7208690122104</v>
      </c>
      <c r="N2865">
        <v>68.781002055343805</v>
      </c>
      <c r="O2865">
        <v>59.767031452589798</v>
      </c>
      <c r="P2865">
        <v>-3.9775964894332799E-2</v>
      </c>
      <c r="Q2865">
        <v>0.431337081572432</v>
      </c>
      <c r="R2865">
        <v>0.98662660426745297</v>
      </c>
      <c r="S2865" t="s">
        <v>7605</v>
      </c>
      <c r="T2865" t="s">
        <v>9478</v>
      </c>
      <c r="U2865" t="s">
        <v>9478</v>
      </c>
      <c r="V2865" t="s">
        <v>9478</v>
      </c>
      <c r="W2865">
        <v>9</v>
      </c>
      <c r="X2865" t="s">
        <v>12343</v>
      </c>
      <c r="Y2865">
        <v>0.82541100120008737</v>
      </c>
      <c r="Z2865" t="str">
        <f>HYPERLINK("Melting_Curves/meltCurve_sp_Q96C19_EFHD2_HUMAN_.pdf", "Melting_Curves/meltCurve_sp_Q96C19_EFHD2_HUMAN_.pdf")</f>
        <v>Melting_Curves/meltCurve_sp_Q96C19_EFHD2_HUMAN_.pdf</v>
      </c>
      <c r="AA2865" t="s">
        <v>17034</v>
      </c>
      <c r="AB2865" t="s">
        <v>21699</v>
      </c>
    </row>
    <row r="2866" spans="1:28" x14ac:dyDescent="0.25">
      <c r="A2866" t="s">
        <v>2870</v>
      </c>
      <c r="B2866">
        <v>0.99904790336628502</v>
      </c>
      <c r="C2866">
        <v>0.96448980345570301</v>
      </c>
      <c r="D2866">
        <v>0.94203054607640102</v>
      </c>
      <c r="E2866">
        <v>0.84619493856345795</v>
      </c>
      <c r="F2866">
        <v>0.52977148330814805</v>
      </c>
      <c r="G2866">
        <v>0.14617406030271099</v>
      </c>
      <c r="H2866">
        <v>6.3691805022763504E-2</v>
      </c>
      <c r="I2866">
        <v>3.3943220272883198E-2</v>
      </c>
      <c r="J2866">
        <v>2.3603676186331399E-2</v>
      </c>
      <c r="K2866">
        <v>1.6676137471525299E-2</v>
      </c>
      <c r="L2866">
        <v>1392.50933922169</v>
      </c>
      <c r="M2866">
        <v>26.213838161816401</v>
      </c>
      <c r="N2866">
        <v>53.202415197974403</v>
      </c>
      <c r="O2866">
        <v>52.814901927970901</v>
      </c>
      <c r="P2866">
        <v>-0.121649875073696</v>
      </c>
      <c r="Q2866">
        <v>1.9623968357234001E-2</v>
      </c>
      <c r="R2866">
        <v>0.99812885583823896</v>
      </c>
      <c r="S2866" t="s">
        <v>7606</v>
      </c>
      <c r="T2866" t="s">
        <v>9478</v>
      </c>
      <c r="U2866" t="s">
        <v>9478</v>
      </c>
      <c r="V2866" t="s">
        <v>9478</v>
      </c>
      <c r="W2866">
        <v>16</v>
      </c>
      <c r="X2866" t="s">
        <v>12344</v>
      </c>
      <c r="Y2866">
        <v>0.45667445114061023</v>
      </c>
      <c r="Z2866" t="str">
        <f>HYPERLINK("Melting_Curves/meltCurve_sp_Q96C23_GALM_HUMAN_.pdf", "Melting_Curves/meltCurve_sp_Q96C23_GALM_HUMAN_.pdf")</f>
        <v>Melting_Curves/meltCurve_sp_Q96C23_GALM_HUMAN_.pdf</v>
      </c>
      <c r="AA2866" t="s">
        <v>17035</v>
      </c>
      <c r="AB2866" t="s">
        <v>21700</v>
      </c>
    </row>
    <row r="2867" spans="1:28" x14ac:dyDescent="0.25">
      <c r="A2867" t="s">
        <v>2871</v>
      </c>
      <c r="B2867">
        <v>0.99904790336628502</v>
      </c>
      <c r="C2867">
        <v>0.89282971027202496</v>
      </c>
      <c r="D2867">
        <v>0.86866196413955699</v>
      </c>
      <c r="E2867">
        <v>0.63848608617200198</v>
      </c>
      <c r="F2867">
        <v>0.54689088864009505</v>
      </c>
      <c r="G2867">
        <v>0.328686358832396</v>
      </c>
      <c r="H2867">
        <v>0.266867050586583</v>
      </c>
      <c r="I2867">
        <v>0.23261771583829599</v>
      </c>
      <c r="J2867">
        <v>0.226167002236554</v>
      </c>
      <c r="K2867">
        <v>0.23311781621295699</v>
      </c>
      <c r="L2867">
        <v>668.32139680743603</v>
      </c>
      <c r="M2867">
        <v>13.054327833003899</v>
      </c>
      <c r="N2867">
        <v>53.112776808916998</v>
      </c>
      <c r="O2867">
        <v>50.038693471625102</v>
      </c>
      <c r="P2867">
        <v>-5.2975683283521403E-2</v>
      </c>
      <c r="Q2867">
        <v>0.18789399462397</v>
      </c>
      <c r="R2867">
        <v>0.99230321306197899</v>
      </c>
      <c r="S2867" t="s">
        <v>7607</v>
      </c>
      <c r="T2867" t="s">
        <v>9478</v>
      </c>
      <c r="U2867" t="s">
        <v>9478</v>
      </c>
      <c r="V2867" t="s">
        <v>9478</v>
      </c>
      <c r="W2867">
        <v>2</v>
      </c>
      <c r="X2867" t="s">
        <v>12345</v>
      </c>
      <c r="Y2867">
        <v>0.51412214695192604</v>
      </c>
      <c r="Z2867" t="str">
        <f>HYPERLINK("Melting_Curves/meltCurve_sp_Q96C24_SYTL4_HUMAN_.pdf", "Melting_Curves/meltCurve_sp_Q96C24_SYTL4_HUMAN_.pdf")</f>
        <v>Melting_Curves/meltCurve_sp_Q96C24_SYTL4_HUMAN_.pdf</v>
      </c>
      <c r="AA2867" t="s">
        <v>17036</v>
      </c>
      <c r="AB2867" t="s">
        <v>21701</v>
      </c>
    </row>
    <row r="2868" spans="1:28" x14ac:dyDescent="0.25">
      <c r="A2868" t="s">
        <v>2872</v>
      </c>
      <c r="B2868">
        <v>0.99904790336628502</v>
      </c>
      <c r="C2868">
        <v>0.98764070053308695</v>
      </c>
      <c r="D2868">
        <v>1.0038663507208101</v>
      </c>
      <c r="E2868">
        <v>0.98309294117189605</v>
      </c>
      <c r="F2868">
        <v>0.93620016743118895</v>
      </c>
      <c r="G2868">
        <v>0.47778267788128598</v>
      </c>
      <c r="H2868">
        <v>0.106679543878914</v>
      </c>
      <c r="I2868">
        <v>6.0325192904152301E-2</v>
      </c>
      <c r="J2868">
        <v>4.37156833650875E-2</v>
      </c>
      <c r="K2868">
        <v>4.3116639717533399E-2</v>
      </c>
      <c r="L2868">
        <v>2110.2746443487699</v>
      </c>
      <c r="M2868">
        <v>37.205077050575902</v>
      </c>
      <c r="N2868">
        <v>56.856431092578198</v>
      </c>
      <c r="O2868">
        <v>56.556949466458398</v>
      </c>
      <c r="P2868">
        <v>-0.15743957267111</v>
      </c>
      <c r="Q2868">
        <v>4.26814376269515E-2</v>
      </c>
      <c r="R2868">
        <v>0.99983823060528099</v>
      </c>
      <c r="S2868" t="s">
        <v>7608</v>
      </c>
      <c r="T2868" t="s">
        <v>9478</v>
      </c>
      <c r="U2868" t="s">
        <v>9478</v>
      </c>
      <c r="V2868" t="s">
        <v>9478</v>
      </c>
      <c r="W2868">
        <v>17</v>
      </c>
      <c r="X2868" t="s">
        <v>12346</v>
      </c>
      <c r="Y2868">
        <v>0.58050656255065181</v>
      </c>
      <c r="Z2868" t="str">
        <f>HYPERLINK("Melting_Curves/meltCurve_sp_Q96C86_DCPS_HUMAN_.pdf", "Melting_Curves/meltCurve_sp_Q96C86_DCPS_HUMAN_.pdf")</f>
        <v>Melting_Curves/meltCurve_sp_Q96C86_DCPS_HUMAN_.pdf</v>
      </c>
      <c r="AA2868" t="s">
        <v>17037</v>
      </c>
      <c r="AB2868" t="s">
        <v>21702</v>
      </c>
    </row>
    <row r="2869" spans="1:28" x14ac:dyDescent="0.25">
      <c r="A2869" t="s">
        <v>2873</v>
      </c>
      <c r="B2869">
        <v>0.99904790336628502</v>
      </c>
      <c r="C2869">
        <v>0.79928131136287395</v>
      </c>
      <c r="D2869">
        <v>0.78854961120726197</v>
      </c>
      <c r="E2869">
        <v>0.57406895204057495</v>
      </c>
      <c r="F2869">
        <v>0.47366631997799402</v>
      </c>
      <c r="G2869">
        <v>0.38870370469888499</v>
      </c>
      <c r="H2869">
        <v>0.40358231762750602</v>
      </c>
      <c r="I2869">
        <v>0.30770458735609302</v>
      </c>
      <c r="J2869">
        <v>0.301076746019596</v>
      </c>
      <c r="K2869">
        <v>0.28529489627728499</v>
      </c>
      <c r="L2869">
        <v>537.22822391434602</v>
      </c>
      <c r="M2869">
        <v>11.0340158106446</v>
      </c>
      <c r="N2869">
        <v>52.4955426943202</v>
      </c>
      <c r="O2869">
        <v>47.171134005339098</v>
      </c>
      <c r="P2869">
        <v>-4.2388546595812003E-2</v>
      </c>
      <c r="Q2869">
        <v>0.27538606171020502</v>
      </c>
      <c r="R2869">
        <v>0.97565223283663305</v>
      </c>
      <c r="S2869" t="s">
        <v>7609</v>
      </c>
      <c r="T2869" t="s">
        <v>9478</v>
      </c>
      <c r="U2869" t="s">
        <v>9478</v>
      </c>
      <c r="V2869" t="s">
        <v>9478</v>
      </c>
      <c r="W2869">
        <v>1</v>
      </c>
      <c r="X2869" t="s">
        <v>12347</v>
      </c>
      <c r="Y2869">
        <v>0.51643185182418205</v>
      </c>
      <c r="Z2869" t="str">
        <f>HYPERLINK("Melting_Curves/meltCurve_sp_Q96C90_PP14B_HUMAN_.pdf", "Melting_Curves/meltCurve_sp_Q96C90_PP14B_HUMAN_.pdf")</f>
        <v>Melting_Curves/meltCurve_sp_Q96C90_PP14B_HUMAN_.pdf</v>
      </c>
      <c r="AA2869" t="s">
        <v>17038</v>
      </c>
      <c r="AB2869" t="s">
        <v>21703</v>
      </c>
    </row>
    <row r="2870" spans="1:28" x14ac:dyDescent="0.25">
      <c r="A2870" t="s">
        <v>2874</v>
      </c>
      <c r="B2870">
        <v>0.99904790336628502</v>
      </c>
      <c r="C2870">
        <v>0.98511711123188905</v>
      </c>
      <c r="D2870">
        <v>1.0485686886730501</v>
      </c>
      <c r="E2870">
        <v>0.82359296575869001</v>
      </c>
      <c r="F2870">
        <v>0.80840156383753103</v>
      </c>
      <c r="G2870">
        <v>0.50407408591663005</v>
      </c>
      <c r="H2870">
        <v>0.49672173833240602</v>
      </c>
      <c r="I2870">
        <v>0.41804334420161798</v>
      </c>
      <c r="J2870">
        <v>0.34646714707977899</v>
      </c>
      <c r="K2870">
        <v>0.48164695401534102</v>
      </c>
      <c r="L2870">
        <v>1115.9434841084801</v>
      </c>
      <c r="M2870">
        <v>20.764512558804199</v>
      </c>
      <c r="N2870">
        <v>58.592081157792897</v>
      </c>
      <c r="O2870">
        <v>53.251813809241597</v>
      </c>
      <c r="P2870">
        <v>-5.7483673304379097E-2</v>
      </c>
      <c r="Q2870">
        <v>0.41033551131023999</v>
      </c>
      <c r="R2870">
        <v>0.95826777750365599</v>
      </c>
      <c r="S2870" t="s">
        <v>7610</v>
      </c>
      <c r="T2870" t="s">
        <v>9478</v>
      </c>
      <c r="U2870" t="s">
        <v>9478</v>
      </c>
      <c r="V2870" t="s">
        <v>9478</v>
      </c>
      <c r="W2870">
        <v>3</v>
      </c>
      <c r="X2870" t="s">
        <v>12348</v>
      </c>
      <c r="Y2870">
        <v>0.68801721409152117</v>
      </c>
      <c r="Z2870" t="str">
        <f>HYPERLINK("Melting_Curves/meltCurve_sp_Q96CB8_INT12_HUMAN_.pdf", "Melting_Curves/meltCurve_sp_Q96CB8_INT12_HUMAN_.pdf")</f>
        <v>Melting_Curves/meltCurve_sp_Q96CB8_INT12_HUMAN_.pdf</v>
      </c>
      <c r="AA2870" t="s">
        <v>17039</v>
      </c>
      <c r="AB2870" t="s">
        <v>21704</v>
      </c>
    </row>
    <row r="2871" spans="1:28" x14ac:dyDescent="0.25">
      <c r="A2871" t="s">
        <v>2875</v>
      </c>
      <c r="B2871">
        <v>0.99904790336628502</v>
      </c>
      <c r="C2871">
        <v>1.0182512734066</v>
      </c>
      <c r="D2871">
        <v>0.97863254656018295</v>
      </c>
      <c r="E2871">
        <v>0.81530339534316598</v>
      </c>
      <c r="F2871">
        <v>0.48057135255710298</v>
      </c>
      <c r="G2871">
        <v>0.14541555615753399</v>
      </c>
      <c r="H2871">
        <v>6.4265617825379207E-2</v>
      </c>
      <c r="I2871">
        <v>5.3403513606376102E-2</v>
      </c>
      <c r="J2871">
        <v>2.9623112630450699E-2</v>
      </c>
      <c r="K2871">
        <v>8.0726714666951895E-3</v>
      </c>
      <c r="L2871">
        <v>1380.12357192428</v>
      </c>
      <c r="M2871">
        <v>26.168208506855599</v>
      </c>
      <c r="N2871">
        <v>52.854625249495399</v>
      </c>
      <c r="O2871">
        <v>52.435346723632001</v>
      </c>
      <c r="P2871">
        <v>-0.12133751346853</v>
      </c>
      <c r="Q2871">
        <v>2.7475679132253999E-2</v>
      </c>
      <c r="R2871">
        <v>0.99931431556737305</v>
      </c>
      <c r="S2871" t="s">
        <v>7611</v>
      </c>
      <c r="T2871" t="s">
        <v>9478</v>
      </c>
      <c r="U2871" t="s">
        <v>9478</v>
      </c>
      <c r="V2871" t="s">
        <v>9478</v>
      </c>
      <c r="W2871">
        <v>4</v>
      </c>
      <c r="X2871" t="s">
        <v>12349</v>
      </c>
      <c r="Y2871">
        <v>0.44868270158419571</v>
      </c>
      <c r="Z2871" t="str">
        <f>HYPERLINK("Melting_Curves/meltCurve_sp_Q96CD0_FBXL8_HUMAN_.pdf", "Melting_Curves/meltCurve_sp_Q96CD0_FBXL8_HUMAN_.pdf")</f>
        <v>Melting_Curves/meltCurve_sp_Q96CD0_FBXL8_HUMAN_.pdf</v>
      </c>
      <c r="AA2871" t="s">
        <v>17040</v>
      </c>
      <c r="AB2871" t="s">
        <v>21705</v>
      </c>
    </row>
    <row r="2872" spans="1:28" x14ac:dyDescent="0.25">
      <c r="A2872" t="s">
        <v>2876</v>
      </c>
      <c r="B2872">
        <v>0.99904790336628502</v>
      </c>
      <c r="C2872">
        <v>1.1551230286248999</v>
      </c>
      <c r="D2872">
        <v>1.0084031385355099</v>
      </c>
      <c r="E2872">
        <v>1.0063408753596801</v>
      </c>
      <c r="F2872">
        <v>0.97424998324980705</v>
      </c>
      <c r="G2872">
        <v>0.65388109226873703</v>
      </c>
      <c r="H2872">
        <v>0.62549519736940196</v>
      </c>
      <c r="I2872">
        <v>0.56269806051316495</v>
      </c>
      <c r="J2872">
        <v>0.489144608889368</v>
      </c>
      <c r="K2872">
        <v>0.55267762424250899</v>
      </c>
      <c r="L2872">
        <v>2700.6355318035498</v>
      </c>
      <c r="M2872">
        <v>48.509011753229103</v>
      </c>
      <c r="O2872">
        <v>55.578493059553303</v>
      </c>
      <c r="P2872">
        <v>-9.7329620924395593E-2</v>
      </c>
      <c r="Q2872">
        <v>0.55394445074408705</v>
      </c>
      <c r="R2872">
        <v>0.93994181131705901</v>
      </c>
      <c r="S2872" t="s">
        <v>7612</v>
      </c>
      <c r="T2872" t="s">
        <v>9478</v>
      </c>
      <c r="U2872" t="s">
        <v>9478</v>
      </c>
      <c r="V2872" t="s">
        <v>9478</v>
      </c>
      <c r="W2872">
        <v>3</v>
      </c>
      <c r="X2872" t="s">
        <v>12350</v>
      </c>
      <c r="Y2872">
        <v>0.78813948641016651</v>
      </c>
      <c r="Z2872" t="str">
        <f>HYPERLINK("Melting_Curves/meltCurve_sp_Q96CF2_CHM4C_HUMAN_.pdf", "Melting_Curves/meltCurve_sp_Q96CF2_CHM4C_HUMAN_.pdf")</f>
        <v>Melting_Curves/meltCurve_sp_Q96CF2_CHM4C_HUMAN_.pdf</v>
      </c>
      <c r="AA2872" t="s">
        <v>17041</v>
      </c>
      <c r="AB2872" t="s">
        <v>21706</v>
      </c>
    </row>
    <row r="2873" spans="1:28" x14ac:dyDescent="0.25">
      <c r="A2873" t="s">
        <v>2877</v>
      </c>
      <c r="B2873">
        <v>0.99904790336628502</v>
      </c>
      <c r="C2873">
        <v>1.0236300834424199</v>
      </c>
      <c r="D2873">
        <v>0.97338295891899695</v>
      </c>
      <c r="E2873">
        <v>0.78244738071274</v>
      </c>
      <c r="F2873">
        <v>0.64395089091504598</v>
      </c>
      <c r="G2873">
        <v>0.41937815607901202</v>
      </c>
      <c r="H2873">
        <v>0.230470752771221</v>
      </c>
      <c r="I2873">
        <v>0.21495964815028701</v>
      </c>
      <c r="J2873">
        <v>0.20527692761458699</v>
      </c>
      <c r="K2873">
        <v>0.17039253961732001</v>
      </c>
      <c r="L2873">
        <v>887.68940801737403</v>
      </c>
      <c r="M2873">
        <v>16.483354809692401</v>
      </c>
      <c r="N2873">
        <v>55.103199961432097</v>
      </c>
      <c r="O2873">
        <v>53.079789370904798</v>
      </c>
      <c r="P2873">
        <v>-6.55335001353681E-2</v>
      </c>
      <c r="Q2873">
        <v>0.155933892413257</v>
      </c>
      <c r="R2873">
        <v>0.99592687341158503</v>
      </c>
      <c r="S2873" t="s">
        <v>7613</v>
      </c>
      <c r="T2873" t="s">
        <v>9478</v>
      </c>
      <c r="U2873" t="s">
        <v>9478</v>
      </c>
      <c r="V2873" t="s">
        <v>9478</v>
      </c>
      <c r="W2873">
        <v>2</v>
      </c>
      <c r="X2873" t="s">
        <v>12351</v>
      </c>
      <c r="Y2873">
        <v>0.56111455705897595</v>
      </c>
      <c r="Z2873" t="str">
        <f>HYPERLINK("Melting_Curves/meltCurve_sp_Q96CG3_TIFA_HUMAN_.pdf", "Melting_Curves/meltCurve_sp_Q96CG3_TIFA_HUMAN_.pdf")</f>
        <v>Melting_Curves/meltCurve_sp_Q96CG3_TIFA_HUMAN_.pdf</v>
      </c>
      <c r="AA2873" t="s">
        <v>17042</v>
      </c>
      <c r="AB2873" t="s">
        <v>21707</v>
      </c>
    </row>
    <row r="2874" spans="1:28" x14ac:dyDescent="0.25">
      <c r="A2874" t="s">
        <v>2878</v>
      </c>
      <c r="B2874">
        <v>0.99904790336628502</v>
      </c>
      <c r="C2874">
        <v>1.03806800630809</v>
      </c>
      <c r="D2874">
        <v>1.10781039117678</v>
      </c>
      <c r="E2874">
        <v>1.09615727351584</v>
      </c>
      <c r="F2874">
        <v>1.0593612442789999</v>
      </c>
      <c r="G2874">
        <v>0.71019277861616603</v>
      </c>
      <c r="H2874">
        <v>0.19367656710672301</v>
      </c>
      <c r="I2874">
        <v>9.0383010883432993E-2</v>
      </c>
      <c r="J2874">
        <v>5.1218592773224103E-2</v>
      </c>
      <c r="K2874">
        <v>3.2839417135276598E-2</v>
      </c>
      <c r="L2874">
        <v>2352.63238587043</v>
      </c>
      <c r="M2874">
        <v>40.375883386210397</v>
      </c>
      <c r="N2874">
        <v>58.4197163028321</v>
      </c>
      <c r="O2874">
        <v>58.125874879366101</v>
      </c>
      <c r="P2874">
        <v>-0.16502808854117601</v>
      </c>
      <c r="Q2874">
        <v>4.9691936326336499E-2</v>
      </c>
      <c r="R2874">
        <v>0.98613826161817797</v>
      </c>
      <c r="S2874" t="s">
        <v>7614</v>
      </c>
      <c r="T2874" t="s">
        <v>9478</v>
      </c>
      <c r="U2874" t="s">
        <v>9478</v>
      </c>
      <c r="V2874" t="s">
        <v>9478</v>
      </c>
      <c r="W2874">
        <v>10</v>
      </c>
      <c r="X2874" t="s">
        <v>12352</v>
      </c>
      <c r="Y2874">
        <v>0.63205052355437497</v>
      </c>
      <c r="Z2874" t="str">
        <f>HYPERLINK("Melting_Curves/meltCurve_sp_Q96CN7_ISOC1_HUMAN_.pdf", "Melting_Curves/meltCurve_sp_Q96CN7_ISOC1_HUMAN_.pdf")</f>
        <v>Melting_Curves/meltCurve_sp_Q96CN7_ISOC1_HUMAN_.pdf</v>
      </c>
      <c r="AA2874" t="s">
        <v>17043</v>
      </c>
      <c r="AB2874" t="s">
        <v>21708</v>
      </c>
    </row>
    <row r="2875" spans="1:28" x14ac:dyDescent="0.25">
      <c r="A2875" t="s">
        <v>2879</v>
      </c>
      <c r="B2875">
        <v>0.99904790336628502</v>
      </c>
      <c r="C2875">
        <v>0.98395834782870895</v>
      </c>
      <c r="D2875">
        <v>0.94624591796420299</v>
      </c>
      <c r="E2875">
        <v>0.91153792520144095</v>
      </c>
      <c r="F2875">
        <v>0.94939619499379502</v>
      </c>
      <c r="G2875">
        <v>0.801488747637634</v>
      </c>
      <c r="H2875">
        <v>0.67349475641850598</v>
      </c>
      <c r="I2875">
        <v>0.72672862117524195</v>
      </c>
      <c r="J2875">
        <v>0.729060047285503</v>
      </c>
      <c r="K2875">
        <v>0.84408841151766401</v>
      </c>
      <c r="L2875">
        <v>1646.6314255301099</v>
      </c>
      <c r="M2875">
        <v>30.280584076832099</v>
      </c>
      <c r="O2875">
        <v>54.143602271081797</v>
      </c>
      <c r="P2875">
        <v>-3.5888108987673299E-2</v>
      </c>
      <c r="Q2875">
        <v>0.74332077045071199</v>
      </c>
      <c r="R2875">
        <v>0.79345399963169305</v>
      </c>
      <c r="S2875" t="s">
        <v>7615</v>
      </c>
      <c r="T2875" t="s">
        <v>9478</v>
      </c>
      <c r="U2875" t="s">
        <v>9478</v>
      </c>
      <c r="V2875" t="s">
        <v>9478</v>
      </c>
      <c r="W2875">
        <v>4</v>
      </c>
      <c r="X2875" t="s">
        <v>12353</v>
      </c>
      <c r="Y2875">
        <v>0.86801122874495584</v>
      </c>
      <c r="Z2875" t="str">
        <f>HYPERLINK("Melting_Curves/meltCurve_sp_Q96CP2_FWCH2_HUMAN_.pdf", "Melting_Curves/meltCurve_sp_Q96CP2_FWCH2_HUMAN_.pdf")</f>
        <v>Melting_Curves/meltCurve_sp_Q96CP2_FWCH2_HUMAN_.pdf</v>
      </c>
      <c r="AA2875" t="s">
        <v>17044</v>
      </c>
      <c r="AB2875" t="s">
        <v>21709</v>
      </c>
    </row>
    <row r="2876" spans="1:28" x14ac:dyDescent="0.25">
      <c r="A2876" t="s">
        <v>2880</v>
      </c>
      <c r="B2876">
        <v>0.99904790336628502</v>
      </c>
      <c r="C2876">
        <v>0.99118507245090803</v>
      </c>
      <c r="D2876">
        <v>1.0094199593278399</v>
      </c>
      <c r="E2876">
        <v>0.96167281459261</v>
      </c>
      <c r="F2876">
        <v>1.10797495802551</v>
      </c>
      <c r="G2876">
        <v>0.80292759747582598</v>
      </c>
      <c r="H2876">
        <v>0.76476440593119299</v>
      </c>
      <c r="I2876">
        <v>0.73045024300223105</v>
      </c>
      <c r="J2876">
        <v>0.84891558168203696</v>
      </c>
      <c r="K2876">
        <v>0.764289851456873</v>
      </c>
      <c r="L2876">
        <v>14134.1578325265</v>
      </c>
      <c r="M2876">
        <v>250</v>
      </c>
      <c r="O2876">
        <v>56.533008961624802</v>
      </c>
      <c r="P2876">
        <v>-0.246421271725597</v>
      </c>
      <c r="Q2876">
        <v>0.77710500749088596</v>
      </c>
      <c r="R2876">
        <v>0.86452516514194999</v>
      </c>
      <c r="S2876" t="s">
        <v>7616</v>
      </c>
      <c r="T2876" t="s">
        <v>9478</v>
      </c>
      <c r="U2876" t="s">
        <v>9478</v>
      </c>
      <c r="V2876" t="s">
        <v>9478</v>
      </c>
      <c r="W2876">
        <v>2</v>
      </c>
      <c r="X2876" t="s">
        <v>12354</v>
      </c>
      <c r="Y2876">
        <v>0.89999153388278119</v>
      </c>
      <c r="Z2876" t="str">
        <f>HYPERLINK("Melting_Curves/meltCurve_sp_Q96CS3_FAF2_HUMAN_.pdf", "Melting_Curves/meltCurve_sp_Q96CS3_FAF2_HUMAN_.pdf")</f>
        <v>Melting_Curves/meltCurve_sp_Q96CS3_FAF2_HUMAN_.pdf</v>
      </c>
      <c r="AA2876" t="s">
        <v>17045</v>
      </c>
      <c r="AB2876" t="s">
        <v>21710</v>
      </c>
    </row>
    <row r="2877" spans="1:28" x14ac:dyDescent="0.25">
      <c r="A2877" t="s">
        <v>2881</v>
      </c>
      <c r="B2877">
        <v>0.99904790336628502</v>
      </c>
      <c r="C2877">
        <v>1.0776857871916901</v>
      </c>
      <c r="D2877">
        <v>0.99736560648412997</v>
      </c>
      <c r="E2877">
        <v>0.97972261392426996</v>
      </c>
      <c r="F2877">
        <v>1.0021428439018301</v>
      </c>
      <c r="G2877">
        <v>0.659906814918232</v>
      </c>
      <c r="H2877">
        <v>0.555584643570044</v>
      </c>
      <c r="I2877">
        <v>0.57349335723413697</v>
      </c>
      <c r="J2877">
        <v>0.67306094102333602</v>
      </c>
      <c r="K2877">
        <v>0.69129512861377695</v>
      </c>
      <c r="L2877">
        <v>14122.856642845099</v>
      </c>
      <c r="M2877">
        <v>250</v>
      </c>
      <c r="O2877">
        <v>56.4878116089644</v>
      </c>
      <c r="P2877">
        <v>-0.41672870724882</v>
      </c>
      <c r="Q2877">
        <v>0.62335851788890395</v>
      </c>
      <c r="R2877">
        <v>0.94615983807474902</v>
      </c>
      <c r="S2877" t="s">
        <v>7617</v>
      </c>
      <c r="T2877" t="s">
        <v>9478</v>
      </c>
      <c r="U2877" t="s">
        <v>9478</v>
      </c>
      <c r="V2877" t="s">
        <v>9478</v>
      </c>
      <c r="W2877">
        <v>8</v>
      </c>
      <c r="X2877" t="s">
        <v>12355</v>
      </c>
      <c r="Y2877">
        <v>0.8304410369174724</v>
      </c>
      <c r="Z2877" t="str">
        <f>HYPERLINK("Melting_Curves/meltCurve_sp_Q96CT7_CC124_HUMAN_.pdf", "Melting_Curves/meltCurve_sp_Q96CT7_CC124_HUMAN_.pdf")</f>
        <v>Melting_Curves/meltCurve_sp_Q96CT7_CC124_HUMAN_.pdf</v>
      </c>
      <c r="AA2877" t="s">
        <v>17046</v>
      </c>
      <c r="AB2877" t="s">
        <v>21711</v>
      </c>
    </row>
    <row r="2878" spans="1:28" x14ac:dyDescent="0.25">
      <c r="A2878" t="s">
        <v>2882</v>
      </c>
      <c r="B2878">
        <v>0.99904790336628502</v>
      </c>
      <c r="C2878">
        <v>0.97828694176218201</v>
      </c>
      <c r="D2878">
        <v>0.84195450824817597</v>
      </c>
      <c r="E2878">
        <v>0.61718684491476505</v>
      </c>
      <c r="F2878">
        <v>0.27860354467017601</v>
      </c>
      <c r="G2878">
        <v>0.189526469805812</v>
      </c>
      <c r="H2878">
        <v>0.124904464304369</v>
      </c>
      <c r="I2878">
        <v>9.4444321348960303E-2</v>
      </c>
      <c r="J2878">
        <v>7.6394041189160794E-2</v>
      </c>
      <c r="K2878">
        <v>7.6050461174751796E-2</v>
      </c>
      <c r="L2878">
        <v>981.88101512046899</v>
      </c>
      <c r="M2878">
        <v>19.502349095211901</v>
      </c>
      <c r="N2878">
        <v>50.797765291500703</v>
      </c>
      <c r="O2878">
        <v>49.826416309323498</v>
      </c>
      <c r="P2878">
        <v>-9.00768018640518E-2</v>
      </c>
      <c r="Q2878">
        <v>7.9486749530175593E-2</v>
      </c>
      <c r="R2878">
        <v>0.994824790015294</v>
      </c>
      <c r="S2878" t="s">
        <v>7618</v>
      </c>
      <c r="T2878" t="s">
        <v>9478</v>
      </c>
      <c r="U2878" t="s">
        <v>9478</v>
      </c>
      <c r="V2878" t="s">
        <v>9478</v>
      </c>
      <c r="W2878">
        <v>4</v>
      </c>
      <c r="X2878" t="s">
        <v>12356</v>
      </c>
      <c r="Y2878">
        <v>0.41039916277219202</v>
      </c>
      <c r="Z2878" t="str">
        <f>HYPERLINK("Melting_Curves/meltCurve_sp_Q96CU9_3_FXRD1_HUMAN_.pdf", "Melting_Curves/meltCurve_sp_Q96CU9_3_FXRD1_HUMAN_.pdf")</f>
        <v>Melting_Curves/meltCurve_sp_Q96CU9_3_FXRD1_HUMAN_.pdf</v>
      </c>
      <c r="AA2878" t="s">
        <v>17047</v>
      </c>
      <c r="AB2878" t="s">
        <v>21712</v>
      </c>
    </row>
    <row r="2879" spans="1:28" x14ac:dyDescent="0.25">
      <c r="A2879" t="s">
        <v>2883</v>
      </c>
      <c r="B2879">
        <v>0.99904790336628502</v>
      </c>
      <c r="C2879">
        <v>1.0375245654437699</v>
      </c>
      <c r="D2879">
        <v>1.01215961024321</v>
      </c>
      <c r="E2879">
        <v>0.96225418126541595</v>
      </c>
      <c r="F2879">
        <v>1.05690418494423</v>
      </c>
      <c r="G2879">
        <v>0.74720080473102202</v>
      </c>
      <c r="H2879">
        <v>0.68785372508093101</v>
      </c>
      <c r="I2879">
        <v>0.74781757389930803</v>
      </c>
      <c r="J2879">
        <v>0.75281618474724998</v>
      </c>
      <c r="K2879">
        <v>0.689022226129687</v>
      </c>
      <c r="L2879">
        <v>14124.2171416287</v>
      </c>
      <c r="M2879">
        <v>250</v>
      </c>
      <c r="O2879">
        <v>56.493253245614802</v>
      </c>
      <c r="P2879">
        <v>-0.310460283777105</v>
      </c>
      <c r="Q2879">
        <v>0.719377417899281</v>
      </c>
      <c r="R2879">
        <v>0.95385231311174501</v>
      </c>
      <c r="S2879" t="s">
        <v>7619</v>
      </c>
      <c r="T2879" t="s">
        <v>9478</v>
      </c>
      <c r="U2879" t="s">
        <v>9478</v>
      </c>
      <c r="V2879" t="s">
        <v>9478</v>
      </c>
      <c r="W2879">
        <v>19</v>
      </c>
      <c r="X2879" t="s">
        <v>12357</v>
      </c>
      <c r="Y2879">
        <v>0.8737183704010637</v>
      </c>
      <c r="Z2879" t="str">
        <f>HYPERLINK("Melting_Curves/meltCurve_sp_Q96CV9_OPTN_HUMAN_.pdf", "Melting_Curves/meltCurve_sp_Q96CV9_OPTN_HUMAN_.pdf")</f>
        <v>Melting_Curves/meltCurve_sp_Q96CV9_OPTN_HUMAN_.pdf</v>
      </c>
      <c r="AA2879" t="s">
        <v>17048</v>
      </c>
      <c r="AB2879" t="s">
        <v>21713</v>
      </c>
    </row>
    <row r="2880" spans="1:28" x14ac:dyDescent="0.25">
      <c r="A2880" t="s">
        <v>2884</v>
      </c>
      <c r="B2880">
        <v>0.99904790336628502</v>
      </c>
      <c r="C2880">
        <v>1.02210357021481</v>
      </c>
      <c r="D2880">
        <v>1.04722963712557</v>
      </c>
      <c r="E2880">
        <v>0.95597123820475705</v>
      </c>
      <c r="F2880">
        <v>0.75770227981442995</v>
      </c>
      <c r="G2880">
        <v>0.38400072718338002</v>
      </c>
      <c r="H2880">
        <v>0.15431448383310101</v>
      </c>
      <c r="I2880">
        <v>8.2774563483908506E-2</v>
      </c>
      <c r="J2880">
        <v>4.3115403314088398E-2</v>
      </c>
      <c r="K2880">
        <v>3.8933467923372003E-2</v>
      </c>
      <c r="L2880">
        <v>1312.4963024357801</v>
      </c>
      <c r="M2880">
        <v>23.5917240569722</v>
      </c>
      <c r="N2880">
        <v>55.806653281520298</v>
      </c>
      <c r="O2880">
        <v>55.238650273200903</v>
      </c>
      <c r="P2880">
        <v>-0.10301088534104801</v>
      </c>
      <c r="Q2880">
        <v>3.5240332423512502E-2</v>
      </c>
      <c r="R2880">
        <v>0.99761902447140405</v>
      </c>
      <c r="S2880" t="s">
        <v>7620</v>
      </c>
      <c r="T2880" t="s">
        <v>9478</v>
      </c>
      <c r="U2880" t="s">
        <v>9478</v>
      </c>
      <c r="V2880" t="s">
        <v>9478</v>
      </c>
      <c r="W2880">
        <v>19</v>
      </c>
      <c r="X2880" t="s">
        <v>12358</v>
      </c>
      <c r="Y2880">
        <v>0.54779333053550383</v>
      </c>
      <c r="Z2880" t="str">
        <f>HYPERLINK("Melting_Curves/meltCurve_sp_Q96CW1_2_AP2M1_HUMAN_.pdf", "Melting_Curves/meltCurve_sp_Q96CW1_2_AP2M1_HUMAN_.pdf")</f>
        <v>Melting_Curves/meltCurve_sp_Q96CW1_2_AP2M1_HUMAN_.pdf</v>
      </c>
      <c r="AA2880" t="s">
        <v>17049</v>
      </c>
      <c r="AB2880" t="s">
        <v>21714</v>
      </c>
    </row>
    <row r="2881" spans="1:28" x14ac:dyDescent="0.25">
      <c r="A2881" t="s">
        <v>2885</v>
      </c>
      <c r="B2881">
        <v>0.99904790336628502</v>
      </c>
      <c r="C2881">
        <v>0.84601878627709703</v>
      </c>
      <c r="D2881">
        <v>1.0846182104183399</v>
      </c>
      <c r="E2881">
        <v>0.85914596245046004</v>
      </c>
      <c r="F2881">
        <v>0.74106740565055795</v>
      </c>
      <c r="G2881">
        <v>0.86894788711902904</v>
      </c>
      <c r="H2881">
        <v>0.42253473395237501</v>
      </c>
      <c r="I2881">
        <v>0.20006421311698899</v>
      </c>
      <c r="J2881">
        <v>0.116043124875067</v>
      </c>
      <c r="K2881">
        <v>6.0081709253694701E-2</v>
      </c>
      <c r="L2881">
        <v>1106.28843100828</v>
      </c>
      <c r="M2881">
        <v>18.417413431828301</v>
      </c>
      <c r="N2881">
        <v>60.067524675853598</v>
      </c>
      <c r="O2881">
        <v>59.372810568673401</v>
      </c>
      <c r="P2881">
        <v>-7.7553376519660003E-2</v>
      </c>
      <c r="Q2881">
        <v>0</v>
      </c>
      <c r="R2881">
        <v>0.92536685115753203</v>
      </c>
      <c r="S2881" t="s">
        <v>7621</v>
      </c>
      <c r="T2881" t="s">
        <v>9478</v>
      </c>
      <c r="U2881" t="s">
        <v>9478</v>
      </c>
      <c r="V2881" t="s">
        <v>9478</v>
      </c>
      <c r="W2881">
        <v>1</v>
      </c>
      <c r="X2881" t="s">
        <v>12359</v>
      </c>
      <c r="Y2881">
        <v>0.677075212022346</v>
      </c>
      <c r="Z2881" t="str">
        <f>HYPERLINK("Melting_Curves/meltCurve_sp_Q96CW5_2_GCP3_HUMAN_.pdf", "Melting_Curves/meltCurve_sp_Q96CW5_2_GCP3_HUMAN_.pdf")</f>
        <v>Melting_Curves/meltCurve_sp_Q96CW5_2_GCP3_HUMAN_.pdf</v>
      </c>
      <c r="AA2881" t="s">
        <v>17050</v>
      </c>
      <c r="AB2881" t="s">
        <v>21715</v>
      </c>
    </row>
    <row r="2882" spans="1:28" x14ac:dyDescent="0.25">
      <c r="A2882" t="s">
        <v>2886</v>
      </c>
      <c r="B2882">
        <v>0.99904790336628502</v>
      </c>
      <c r="C2882">
        <v>0.82975303591132599</v>
      </c>
      <c r="D2882">
        <v>0.80437392537338104</v>
      </c>
      <c r="E2882">
        <v>0.74894984246930496</v>
      </c>
      <c r="F2882">
        <v>0.772128648864983</v>
      </c>
      <c r="G2882">
        <v>0.54520116622139303</v>
      </c>
      <c r="H2882">
        <v>0.401161191528974</v>
      </c>
      <c r="I2882">
        <v>0.39779707891884702</v>
      </c>
      <c r="J2882">
        <v>0.41009293718409801</v>
      </c>
      <c r="K2882">
        <v>0.37461640752334102</v>
      </c>
      <c r="L2882">
        <v>371.49067948125099</v>
      </c>
      <c r="M2882">
        <v>6.6490108571656004</v>
      </c>
      <c r="N2882">
        <v>59.8369725676855</v>
      </c>
      <c r="O2882">
        <v>51.466898840494203</v>
      </c>
      <c r="P2882">
        <v>-2.6601959649241801E-2</v>
      </c>
      <c r="Q2882">
        <v>0.178184789755992</v>
      </c>
      <c r="R2882">
        <v>0.935998525188381</v>
      </c>
      <c r="S2882" t="s">
        <v>7622</v>
      </c>
      <c r="T2882" t="s">
        <v>9478</v>
      </c>
      <c r="U2882" t="s">
        <v>9478</v>
      </c>
      <c r="V2882" t="s">
        <v>9478</v>
      </c>
      <c r="W2882">
        <v>3</v>
      </c>
      <c r="X2882" t="s">
        <v>12360</v>
      </c>
      <c r="Y2882">
        <v>0.62802149158442266</v>
      </c>
      <c r="Z2882" t="str">
        <f>HYPERLINK("Melting_Curves/meltCurve_sp_Q96CW6_S7A6O_HUMAN_.pdf", "Melting_Curves/meltCurve_sp_Q96CW6_S7A6O_HUMAN_.pdf")</f>
        <v>Melting_Curves/meltCurve_sp_Q96CW6_S7A6O_HUMAN_.pdf</v>
      </c>
      <c r="AA2882" t="s">
        <v>17051</v>
      </c>
      <c r="AB2882" t="s">
        <v>21716</v>
      </c>
    </row>
    <row r="2883" spans="1:28" x14ac:dyDescent="0.25">
      <c r="A2883" t="s">
        <v>2887</v>
      </c>
      <c r="B2883">
        <v>0.99904790336628502</v>
      </c>
      <c r="C2883">
        <v>0.91683811247330504</v>
      </c>
      <c r="D2883">
        <v>1.04811586646925</v>
      </c>
      <c r="E2883">
        <v>0.81368341152169299</v>
      </c>
      <c r="F2883">
        <v>0.72424815349600902</v>
      </c>
      <c r="G2883">
        <v>0.438798832816504</v>
      </c>
      <c r="H2883">
        <v>0.30846308128878602</v>
      </c>
      <c r="I2883">
        <v>0.21520309743823299</v>
      </c>
      <c r="J2883">
        <v>7.9057039471929699E-2</v>
      </c>
      <c r="K2883">
        <v>9.2326228726555395E-2</v>
      </c>
      <c r="L2883">
        <v>751.28934616760796</v>
      </c>
      <c r="M2883">
        <v>13.3189629853692</v>
      </c>
      <c r="N2883">
        <v>56.5426257147234</v>
      </c>
      <c r="O2883">
        <v>55.181385197533302</v>
      </c>
      <c r="P2883">
        <v>-5.9406024139315401E-2</v>
      </c>
      <c r="Q2883">
        <v>1.5664748800813401E-2</v>
      </c>
      <c r="R2883">
        <v>0.98448889918379401</v>
      </c>
      <c r="S2883" t="s">
        <v>7623</v>
      </c>
      <c r="T2883" t="s">
        <v>9478</v>
      </c>
      <c r="U2883" t="s">
        <v>9478</v>
      </c>
      <c r="V2883" t="s">
        <v>9478</v>
      </c>
      <c r="W2883">
        <v>6</v>
      </c>
      <c r="X2883" t="s">
        <v>12361</v>
      </c>
      <c r="Y2883">
        <v>0.57202667405807761</v>
      </c>
      <c r="Z2883" t="str">
        <f>HYPERLINK("Melting_Curves/meltCurve_sp_Q96CX2_KCD12_HUMAN_.pdf", "Melting_Curves/meltCurve_sp_Q96CX2_KCD12_HUMAN_.pdf")</f>
        <v>Melting_Curves/meltCurve_sp_Q96CX2_KCD12_HUMAN_.pdf</v>
      </c>
      <c r="AA2883" t="s">
        <v>17052</v>
      </c>
      <c r="AB2883" t="s">
        <v>21717</v>
      </c>
    </row>
    <row r="2884" spans="1:28" x14ac:dyDescent="0.25">
      <c r="A2884" t="s">
        <v>2888</v>
      </c>
      <c r="B2884">
        <v>0.99904790336628502</v>
      </c>
      <c r="C2884">
        <v>0.99915962797787305</v>
      </c>
      <c r="D2884">
        <v>0.94161319093793205</v>
      </c>
      <c r="E2884">
        <v>0.82652946882633305</v>
      </c>
      <c r="F2884">
        <v>0.46509045008754901</v>
      </c>
      <c r="G2884">
        <v>0.16247962331219101</v>
      </c>
      <c r="H2884">
        <v>0.101873769561152</v>
      </c>
      <c r="I2884">
        <v>7.3796430400400098E-2</v>
      </c>
      <c r="J2884">
        <v>7.5490344769735596E-2</v>
      </c>
      <c r="K2884">
        <v>5.3133625642995501E-2</v>
      </c>
      <c r="L2884">
        <v>1441.3989421255501</v>
      </c>
      <c r="M2884">
        <v>27.4589820981302</v>
      </c>
      <c r="N2884">
        <v>52.772981300834402</v>
      </c>
      <c r="O2884">
        <v>52.216764767271101</v>
      </c>
      <c r="P2884">
        <v>-0.122550113971027</v>
      </c>
      <c r="Q2884">
        <v>6.7829840558039103E-2</v>
      </c>
      <c r="R2884">
        <v>0.99856126645039101</v>
      </c>
      <c r="S2884" t="s">
        <v>7624</v>
      </c>
      <c r="T2884" t="s">
        <v>9478</v>
      </c>
      <c r="U2884" t="s">
        <v>9478</v>
      </c>
      <c r="V2884" t="s">
        <v>9478</v>
      </c>
      <c r="W2884">
        <v>12</v>
      </c>
      <c r="X2884" t="s">
        <v>12362</v>
      </c>
      <c r="Y2884">
        <v>0.46314713561756471</v>
      </c>
      <c r="Z2884" t="str">
        <f>HYPERLINK("Melting_Curves/meltCurve_sp_Q96D46_NMD3_HUMAN_.pdf", "Melting_Curves/meltCurve_sp_Q96D46_NMD3_HUMAN_.pdf")</f>
        <v>Melting_Curves/meltCurve_sp_Q96D46_NMD3_HUMAN_.pdf</v>
      </c>
      <c r="AA2884" t="s">
        <v>17053</v>
      </c>
      <c r="AB2884" t="s">
        <v>21718</v>
      </c>
    </row>
    <row r="2885" spans="1:28" x14ac:dyDescent="0.25">
      <c r="A2885" t="s">
        <v>2889</v>
      </c>
      <c r="B2885">
        <v>0.99904790336628502</v>
      </c>
      <c r="C2885">
        <v>1.01396362687394</v>
      </c>
      <c r="D2885">
        <v>0.93862793717738402</v>
      </c>
      <c r="E2885">
        <v>0.72795933043896899</v>
      </c>
      <c r="F2885">
        <v>0.57377948950106406</v>
      </c>
      <c r="G2885">
        <v>0.396679229549874</v>
      </c>
      <c r="H2885">
        <v>0.34405075252903</v>
      </c>
      <c r="I2885">
        <v>0.31529859622926598</v>
      </c>
      <c r="J2885">
        <v>0.306010475011044</v>
      </c>
      <c r="K2885">
        <v>0.29210458417848201</v>
      </c>
      <c r="L2885">
        <v>946.95233511446099</v>
      </c>
      <c r="M2885">
        <v>18.364850232359998</v>
      </c>
      <c r="N2885">
        <v>54.204952261157999</v>
      </c>
      <c r="O2885">
        <v>50.963580551425601</v>
      </c>
      <c r="P2885">
        <v>-6.3452221748956594E-2</v>
      </c>
      <c r="Q2885">
        <v>0.29569694719482498</v>
      </c>
      <c r="R2885">
        <v>0.99798750299948003</v>
      </c>
      <c r="S2885" t="s">
        <v>7625</v>
      </c>
      <c r="T2885" t="s">
        <v>9478</v>
      </c>
      <c r="U2885" t="s">
        <v>9478</v>
      </c>
      <c r="V2885" t="s">
        <v>9478</v>
      </c>
      <c r="W2885">
        <v>10</v>
      </c>
      <c r="X2885" t="s">
        <v>12363</v>
      </c>
      <c r="Y2885">
        <v>0.5785448671822877</v>
      </c>
      <c r="Z2885" t="str">
        <f>HYPERLINK("Melting_Curves/meltCurve_sp_Q96D71_2_REPS1_HUMAN_.pdf", "Melting_Curves/meltCurve_sp_Q96D71_2_REPS1_HUMAN_.pdf")</f>
        <v>Melting_Curves/meltCurve_sp_Q96D71_2_REPS1_HUMAN_.pdf</v>
      </c>
      <c r="AA2885" t="s">
        <v>17054</v>
      </c>
      <c r="AB2885" t="s">
        <v>21719</v>
      </c>
    </row>
    <row r="2886" spans="1:28" x14ac:dyDescent="0.25">
      <c r="A2886" t="s">
        <v>2890</v>
      </c>
      <c r="B2886">
        <v>0.99904790336628502</v>
      </c>
      <c r="C2886">
        <v>1.0448304715430901</v>
      </c>
      <c r="D2886">
        <v>1.1706995139101899</v>
      </c>
      <c r="E2886">
        <v>1.0200651842602499</v>
      </c>
      <c r="F2886">
        <v>0.86307653068717105</v>
      </c>
      <c r="G2886">
        <v>0.55162629154193099</v>
      </c>
      <c r="H2886">
        <v>0.63399542654085195</v>
      </c>
      <c r="I2886">
        <v>0.43559419107214797</v>
      </c>
      <c r="J2886">
        <v>0.14453950561950801</v>
      </c>
      <c r="K2886">
        <v>0.267733454068105</v>
      </c>
      <c r="L2886">
        <v>820.43209770156795</v>
      </c>
      <c r="M2886">
        <v>13.681046744017699</v>
      </c>
      <c r="N2886">
        <v>61.089620729579302</v>
      </c>
      <c r="O2886">
        <v>58.730802877688902</v>
      </c>
      <c r="P2886">
        <v>-5.1778564270966297E-2</v>
      </c>
      <c r="Q2886">
        <v>0.11101657414353699</v>
      </c>
      <c r="R2886">
        <v>0.90606966780403098</v>
      </c>
      <c r="S2886" t="s">
        <v>7626</v>
      </c>
      <c r="T2886" t="s">
        <v>9478</v>
      </c>
      <c r="U2886" t="s">
        <v>9478</v>
      </c>
      <c r="V2886" t="s">
        <v>9478</v>
      </c>
      <c r="W2886">
        <v>1</v>
      </c>
      <c r="X2886" t="s">
        <v>12364</v>
      </c>
      <c r="Y2886">
        <v>0.70769703325443656</v>
      </c>
      <c r="Z2886" t="str">
        <f>HYPERLINK("Melting_Curves/meltCurve_sp_Q96DC7_TMCO6_HUMAN_.pdf", "Melting_Curves/meltCurve_sp_Q96DC7_TMCO6_HUMAN_.pdf")</f>
        <v>Melting_Curves/meltCurve_sp_Q96DC7_TMCO6_HUMAN_.pdf</v>
      </c>
      <c r="AA2886" t="s">
        <v>17055</v>
      </c>
      <c r="AB2886" t="s">
        <v>21720</v>
      </c>
    </row>
    <row r="2887" spans="1:28" x14ac:dyDescent="0.25">
      <c r="A2887" t="s">
        <v>2891</v>
      </c>
      <c r="B2887">
        <v>0.99904790336628502</v>
      </c>
      <c r="C2887">
        <v>1.0405089290951599</v>
      </c>
      <c r="D2887">
        <v>1.031213651966</v>
      </c>
      <c r="E2887">
        <v>1.0192263456099999</v>
      </c>
      <c r="F2887">
        <v>0.847934807599942</v>
      </c>
      <c r="G2887">
        <v>0.56159610852883202</v>
      </c>
      <c r="H2887">
        <v>0.224323964986126</v>
      </c>
      <c r="I2887">
        <v>0.105147086254163</v>
      </c>
      <c r="J2887">
        <v>6.1316941896953803E-2</v>
      </c>
      <c r="K2887">
        <v>5.0084316950545403E-2</v>
      </c>
      <c r="L2887">
        <v>1351.20885764534</v>
      </c>
      <c r="M2887">
        <v>23.551156635724301</v>
      </c>
      <c r="N2887">
        <v>57.535076127990003</v>
      </c>
      <c r="O2887">
        <v>56.964513570994797</v>
      </c>
      <c r="P2887">
        <v>-0.10005076603819001</v>
      </c>
      <c r="Q2887">
        <v>3.2022916498163301E-2</v>
      </c>
      <c r="R2887">
        <v>0.99645048716937701</v>
      </c>
      <c r="S2887" t="s">
        <v>7627</v>
      </c>
      <c r="T2887" t="s">
        <v>9478</v>
      </c>
      <c r="U2887" t="s">
        <v>9478</v>
      </c>
      <c r="V2887" t="s">
        <v>9478</v>
      </c>
      <c r="W2887">
        <v>20</v>
      </c>
      <c r="X2887" t="s">
        <v>12365</v>
      </c>
      <c r="Y2887">
        <v>0.60199465073217839</v>
      </c>
      <c r="Z2887" t="str">
        <f>HYPERLINK("Melting_Curves/meltCurve_sp_Q96DC8_ECHD3_HUMAN_.pdf", "Melting_Curves/meltCurve_sp_Q96DC8_ECHD3_HUMAN_.pdf")</f>
        <v>Melting_Curves/meltCurve_sp_Q96DC8_ECHD3_HUMAN_.pdf</v>
      </c>
      <c r="AA2887" t="s">
        <v>17056</v>
      </c>
      <c r="AB2887" t="s">
        <v>21721</v>
      </c>
    </row>
    <row r="2888" spans="1:28" x14ac:dyDescent="0.25">
      <c r="A2888" t="s">
        <v>2892</v>
      </c>
      <c r="B2888">
        <v>0.99904790336628502</v>
      </c>
      <c r="C2888">
        <v>0.88229383232331304</v>
      </c>
      <c r="D2888">
        <v>0.75250325409036001</v>
      </c>
      <c r="E2888">
        <v>0.58582483571314203</v>
      </c>
      <c r="F2888">
        <v>0.369318191321933</v>
      </c>
      <c r="G2888">
        <v>0.166887796164955</v>
      </c>
      <c r="H2888">
        <v>9.4868426935679803E-2</v>
      </c>
      <c r="I2888">
        <v>8.3258220725324697E-2</v>
      </c>
      <c r="J2888">
        <v>6.1657721417164503E-2</v>
      </c>
      <c r="K2888">
        <v>5.35305324101479E-2</v>
      </c>
      <c r="L2888">
        <v>648.03334203877102</v>
      </c>
      <c r="M2888">
        <v>12.8195148804603</v>
      </c>
      <c r="N2888">
        <v>50.656445141779002</v>
      </c>
      <c r="O2888">
        <v>49.367837290888801</v>
      </c>
      <c r="P2888">
        <v>-6.4071962373636604E-2</v>
      </c>
      <c r="Q2888">
        <v>1.32218667921575E-2</v>
      </c>
      <c r="R2888">
        <v>0.99483318006033405</v>
      </c>
      <c r="S2888" t="s">
        <v>7628</v>
      </c>
      <c r="T2888" t="s">
        <v>9478</v>
      </c>
      <c r="U2888" t="s">
        <v>9478</v>
      </c>
      <c r="V2888" t="s">
        <v>9478</v>
      </c>
      <c r="W2888">
        <v>10</v>
      </c>
      <c r="X2888" t="s">
        <v>12366</v>
      </c>
      <c r="Y2888">
        <v>0.39015163643763551</v>
      </c>
      <c r="Z2888" t="str">
        <f>HYPERLINK("Melting_Curves/meltCurve_sp_Q96DE0_NUD16_HUMAN_.pdf", "Melting_Curves/meltCurve_sp_Q96DE0_NUD16_HUMAN_.pdf")</f>
        <v>Melting_Curves/meltCurve_sp_Q96DE0_NUD16_HUMAN_.pdf</v>
      </c>
      <c r="AA2888" t="s">
        <v>17057</v>
      </c>
      <c r="AB2888" t="s">
        <v>21722</v>
      </c>
    </row>
    <row r="2889" spans="1:28" x14ac:dyDescent="0.25">
      <c r="A2889" t="s">
        <v>2893</v>
      </c>
      <c r="B2889">
        <v>0.99904790336628502</v>
      </c>
      <c r="C2889">
        <v>1.0679571341999401</v>
      </c>
      <c r="D2889">
        <v>0.993774441893991</v>
      </c>
      <c r="E2889">
        <v>1.0171045433085499</v>
      </c>
      <c r="F2889">
        <v>0.90540128434570999</v>
      </c>
      <c r="G2889">
        <v>0.41625046387598402</v>
      </c>
      <c r="H2889">
        <v>0.15368456925656901</v>
      </c>
      <c r="I2889">
        <v>9.5405854239590707E-2</v>
      </c>
      <c r="J2889">
        <v>6.06875098101263E-2</v>
      </c>
      <c r="K2889">
        <v>5.1889883742693099E-2</v>
      </c>
      <c r="L2889">
        <v>1936.1240716652301</v>
      </c>
      <c r="M2889">
        <v>34.433989524220699</v>
      </c>
      <c r="N2889">
        <v>56.471000063409797</v>
      </c>
      <c r="O2889">
        <v>56.038495764101498</v>
      </c>
      <c r="P2889">
        <v>-0.143004647008981</v>
      </c>
      <c r="Q2889">
        <v>6.9090133357200795E-2</v>
      </c>
      <c r="R2889">
        <v>0.99625694466756798</v>
      </c>
      <c r="S2889" t="s">
        <v>7629</v>
      </c>
      <c r="T2889" t="s">
        <v>9478</v>
      </c>
      <c r="U2889" t="s">
        <v>9478</v>
      </c>
      <c r="V2889" t="s">
        <v>9478</v>
      </c>
      <c r="W2889">
        <v>17</v>
      </c>
      <c r="X2889" t="s">
        <v>12367</v>
      </c>
      <c r="Y2889">
        <v>0.57742508659272251</v>
      </c>
      <c r="Z2889" t="str">
        <f>HYPERLINK("Melting_Curves/meltCurve_sp_Q96DG6_CMBL_HUMAN_.pdf", "Melting_Curves/meltCurve_sp_Q96DG6_CMBL_HUMAN_.pdf")</f>
        <v>Melting_Curves/meltCurve_sp_Q96DG6_CMBL_HUMAN_.pdf</v>
      </c>
      <c r="AA2889" t="s">
        <v>17058</v>
      </c>
      <c r="AB2889" t="s">
        <v>21723</v>
      </c>
    </row>
    <row r="2890" spans="1:28" x14ac:dyDescent="0.25">
      <c r="A2890" t="s">
        <v>2894</v>
      </c>
      <c r="B2890">
        <v>0.99904790336628502</v>
      </c>
      <c r="C2890">
        <v>1.0167154256375099</v>
      </c>
      <c r="D2890">
        <v>0.97619799602644997</v>
      </c>
      <c r="E2890">
        <v>0.788541885829946</v>
      </c>
      <c r="F2890">
        <v>0.61690631524262396</v>
      </c>
      <c r="G2890">
        <v>0.23974605843942901</v>
      </c>
      <c r="H2890">
        <v>0.123575775714338</v>
      </c>
      <c r="I2890">
        <v>8.3154023641205194E-2</v>
      </c>
      <c r="J2890">
        <v>6.05731430506374E-2</v>
      </c>
      <c r="K2890">
        <v>3.8625728759934003E-2</v>
      </c>
      <c r="L2890">
        <v>1078.01255294457</v>
      </c>
      <c r="M2890">
        <v>20.078083181934701</v>
      </c>
      <c r="N2890">
        <v>53.9029452061325</v>
      </c>
      <c r="O2890">
        <v>53.166913764752898</v>
      </c>
      <c r="P2890">
        <v>-9.0830309076077698E-2</v>
      </c>
      <c r="Q2890">
        <v>3.7953514187137501E-2</v>
      </c>
      <c r="R2890">
        <v>0.99761492292107601</v>
      </c>
      <c r="S2890" t="s">
        <v>7630</v>
      </c>
      <c r="T2890" t="s">
        <v>9478</v>
      </c>
      <c r="U2890" t="s">
        <v>9478</v>
      </c>
      <c r="V2890" t="s">
        <v>9478</v>
      </c>
      <c r="W2890">
        <v>3</v>
      </c>
      <c r="X2890" t="s">
        <v>12368</v>
      </c>
      <c r="Y2890">
        <v>0.49004976939189859</v>
      </c>
      <c r="Z2890" t="str">
        <f>HYPERLINK("Melting_Curves/meltCurve_sp_Q96DI7_SNR40_HUMAN_.pdf", "Melting_Curves/meltCurve_sp_Q96DI7_SNR40_HUMAN_.pdf")</f>
        <v>Melting_Curves/meltCurve_sp_Q96DI7_SNR40_HUMAN_.pdf</v>
      </c>
      <c r="AA2890" t="s">
        <v>17059</v>
      </c>
      <c r="AB2890" t="s">
        <v>21724</v>
      </c>
    </row>
    <row r="2891" spans="1:28" x14ac:dyDescent="0.25">
      <c r="A2891" t="s">
        <v>2895</v>
      </c>
      <c r="B2891">
        <v>0.99904790336628502</v>
      </c>
      <c r="C2891">
        <v>0.480660466340529</v>
      </c>
      <c r="D2891">
        <v>0.26043874983280901</v>
      </c>
      <c r="E2891">
        <v>0.188670658088469</v>
      </c>
      <c r="F2891">
        <v>0.10898606755163</v>
      </c>
      <c r="G2891">
        <v>9.9335985717351999E-2</v>
      </c>
      <c r="H2891">
        <v>7.2492320827146503E-2</v>
      </c>
      <c r="I2891">
        <v>6.0274805941882302E-2</v>
      </c>
      <c r="J2891">
        <v>8.3012679635323203E-2</v>
      </c>
      <c r="K2891">
        <v>6.5038337695036197E-2</v>
      </c>
      <c r="L2891">
        <v>1356.8220840739</v>
      </c>
      <c r="M2891">
        <v>31.679440123234901</v>
      </c>
      <c r="N2891">
        <v>43.1360780075821</v>
      </c>
      <c r="O2891">
        <v>42.660134131100001</v>
      </c>
      <c r="P2891">
        <v>-0.16694972343540801</v>
      </c>
      <c r="Q2891">
        <v>0.100733624879578</v>
      </c>
      <c r="R2891">
        <v>0.96755930406378599</v>
      </c>
      <c r="S2891" t="s">
        <v>7631</v>
      </c>
      <c r="T2891" t="s">
        <v>9478</v>
      </c>
      <c r="U2891" t="s">
        <v>9478</v>
      </c>
      <c r="V2891" t="s">
        <v>9478</v>
      </c>
      <c r="W2891">
        <v>2</v>
      </c>
      <c r="X2891" t="s">
        <v>12369</v>
      </c>
      <c r="Y2891">
        <v>0.19319793264335569</v>
      </c>
      <c r="Z2891" t="str">
        <f>HYPERLINK("Melting_Curves/meltCurve_sp_Q96DP5_FMT_HUMAN_.pdf", "Melting_Curves/meltCurve_sp_Q96DP5_FMT_HUMAN_.pdf")</f>
        <v>Melting_Curves/meltCurve_sp_Q96DP5_FMT_HUMAN_.pdf</v>
      </c>
      <c r="AA2891" t="s">
        <v>17060</v>
      </c>
      <c r="AB2891" t="s">
        <v>21725</v>
      </c>
    </row>
    <row r="2892" spans="1:28" x14ac:dyDescent="0.25">
      <c r="A2892" t="s">
        <v>2896</v>
      </c>
      <c r="B2892">
        <v>0.99904790336628502</v>
      </c>
      <c r="C2892">
        <v>0.81792179079623595</v>
      </c>
      <c r="D2892">
        <v>0.61343285390862501</v>
      </c>
      <c r="E2892">
        <v>0.36371354808218098</v>
      </c>
      <c r="F2892">
        <v>0.19913018209143599</v>
      </c>
      <c r="G2892">
        <v>9.57250918384462E-2</v>
      </c>
      <c r="H2892">
        <v>7.4343204112334596E-2</v>
      </c>
      <c r="I2892">
        <v>8.0170964347676094E-2</v>
      </c>
      <c r="J2892">
        <v>8.0822386526129206E-2</v>
      </c>
      <c r="K2892">
        <v>3.5791819861624899E-2</v>
      </c>
      <c r="L2892">
        <v>731.06538034274797</v>
      </c>
      <c r="M2892">
        <v>15.4494685888983</v>
      </c>
      <c r="N2892">
        <v>47.644536855956602</v>
      </c>
      <c r="O2892">
        <v>46.548249172960702</v>
      </c>
      <c r="P2892">
        <v>-7.8835834469015806E-2</v>
      </c>
      <c r="Q2892">
        <v>4.9976788991755498E-2</v>
      </c>
      <c r="R2892">
        <v>0.99512906156950298</v>
      </c>
      <c r="S2892" t="s">
        <v>7632</v>
      </c>
      <c r="T2892" t="s">
        <v>9478</v>
      </c>
      <c r="U2892" t="s">
        <v>9478</v>
      </c>
      <c r="V2892" t="s">
        <v>9478</v>
      </c>
      <c r="W2892">
        <v>2</v>
      </c>
      <c r="X2892" t="s">
        <v>12370</v>
      </c>
      <c r="Y2892">
        <v>0.30561444946323768</v>
      </c>
      <c r="Z2892" t="str">
        <f>HYPERLINK("Melting_Curves/meltCurve_sp_Q96DR7_ARHGQ_HUMAN_.pdf", "Melting_Curves/meltCurve_sp_Q96DR7_ARHGQ_HUMAN_.pdf")</f>
        <v>Melting_Curves/meltCurve_sp_Q96DR7_ARHGQ_HUMAN_.pdf</v>
      </c>
      <c r="AA2892" t="s">
        <v>17061</v>
      </c>
      <c r="AB2892" t="s">
        <v>21726</v>
      </c>
    </row>
    <row r="2893" spans="1:28" x14ac:dyDescent="0.25">
      <c r="A2893" t="s">
        <v>2897</v>
      </c>
      <c r="B2893">
        <v>0.99904790336628502</v>
      </c>
      <c r="C2893">
        <v>0.96029390420692495</v>
      </c>
      <c r="D2893">
        <v>0.93913075430322501</v>
      </c>
      <c r="E2893">
        <v>0.88135939252776796</v>
      </c>
      <c r="F2893">
        <v>0.72548394646791303</v>
      </c>
      <c r="G2893">
        <v>0.41304116219291398</v>
      </c>
      <c r="H2893">
        <v>0.15951332449845901</v>
      </c>
      <c r="I2893">
        <v>9.6185151601135097E-2</v>
      </c>
      <c r="J2893">
        <v>4.7601140307954301E-2</v>
      </c>
      <c r="K2893">
        <v>4.07906233272783E-2</v>
      </c>
      <c r="L2893">
        <v>987.32597011267501</v>
      </c>
      <c r="M2893">
        <v>17.7118899664308</v>
      </c>
      <c r="N2893">
        <v>55.757492338216601</v>
      </c>
      <c r="O2893">
        <v>55.047657084025502</v>
      </c>
      <c r="P2893">
        <v>-8.0267236809720602E-2</v>
      </c>
      <c r="Q2893">
        <v>2.1863496485001999E-3</v>
      </c>
      <c r="R2893">
        <v>0.99777822934690297</v>
      </c>
      <c r="S2893" t="s">
        <v>7633</v>
      </c>
      <c r="T2893" t="s">
        <v>9478</v>
      </c>
      <c r="U2893" t="s">
        <v>9478</v>
      </c>
      <c r="V2893" t="s">
        <v>9478</v>
      </c>
      <c r="W2893">
        <v>2</v>
      </c>
      <c r="X2893" t="s">
        <v>12371</v>
      </c>
      <c r="Y2893">
        <v>0.5410352005603033</v>
      </c>
      <c r="Z2893" t="str">
        <f>HYPERLINK("Melting_Curves/meltCurve_sp_Q96DT5_DYH11_HUMAN_.pdf", "Melting_Curves/meltCurve_sp_Q96DT5_DYH11_HUMAN_.pdf")</f>
        <v>Melting_Curves/meltCurve_sp_Q96DT5_DYH11_HUMAN_.pdf</v>
      </c>
      <c r="AA2893" t="s">
        <v>17062</v>
      </c>
      <c r="AB2893" t="s">
        <v>21727</v>
      </c>
    </row>
    <row r="2894" spans="1:28" x14ac:dyDescent="0.25">
      <c r="A2894" t="s">
        <v>2898</v>
      </c>
      <c r="B2894">
        <v>0.99904790336628502</v>
      </c>
      <c r="C2894">
        <v>0.94315221249806702</v>
      </c>
      <c r="D2894">
        <v>0.68587216444703103</v>
      </c>
      <c r="E2894">
        <v>0.69293540731311698</v>
      </c>
      <c r="F2894">
        <v>0.54089059618555402</v>
      </c>
      <c r="G2894">
        <v>0.212321229466086</v>
      </c>
      <c r="H2894">
        <v>0.12196172331546</v>
      </c>
      <c r="I2894">
        <v>0.111772598648072</v>
      </c>
      <c r="J2894">
        <v>3.8432353181539598E-2</v>
      </c>
      <c r="K2894">
        <v>0</v>
      </c>
      <c r="L2894">
        <v>626.54449674106604</v>
      </c>
      <c r="M2894">
        <v>12.0011645528368</v>
      </c>
      <c r="N2894">
        <v>52.206950050276603</v>
      </c>
      <c r="O2894">
        <v>50.820789095631902</v>
      </c>
      <c r="P2894">
        <v>-5.9050915883338502E-2</v>
      </c>
      <c r="Q2894">
        <v>0</v>
      </c>
      <c r="R2894">
        <v>0.96879891264474005</v>
      </c>
      <c r="S2894" t="s">
        <v>7634</v>
      </c>
      <c r="T2894" t="s">
        <v>9478</v>
      </c>
      <c r="U2894" t="s">
        <v>9478</v>
      </c>
      <c r="V2894" t="s">
        <v>9478</v>
      </c>
      <c r="W2894">
        <v>1</v>
      </c>
      <c r="X2894" t="s">
        <v>12372</v>
      </c>
      <c r="Y2894">
        <v>0.43707094127000651</v>
      </c>
      <c r="Z2894" t="str">
        <f>HYPERLINK("Melting_Curves/meltCurve_sp_Q96DV4_RM38_HUMAN_.pdf", "Melting_Curves/meltCurve_sp_Q96DV4_RM38_HUMAN_.pdf")</f>
        <v>Melting_Curves/meltCurve_sp_Q96DV4_RM38_HUMAN_.pdf</v>
      </c>
      <c r="AA2894" t="s">
        <v>17063</v>
      </c>
      <c r="AB2894" t="s">
        <v>21728</v>
      </c>
    </row>
    <row r="2895" spans="1:28" x14ac:dyDescent="0.25">
      <c r="A2895" t="s">
        <v>2899</v>
      </c>
      <c r="B2895">
        <v>0.99904790336628502</v>
      </c>
      <c r="C2895">
        <v>0.96301814614717696</v>
      </c>
      <c r="D2895">
        <v>0.79106444722488201</v>
      </c>
      <c r="E2895">
        <v>0.52244142099719104</v>
      </c>
      <c r="F2895">
        <v>0.420446580007175</v>
      </c>
      <c r="G2895">
        <v>0.229403064008949</v>
      </c>
      <c r="H2895">
        <v>0.15457773068526101</v>
      </c>
      <c r="I2895">
        <v>0.106256276160535</v>
      </c>
      <c r="J2895">
        <v>9.0112892670022399E-2</v>
      </c>
      <c r="K2895">
        <v>4.6801883928844601E-2</v>
      </c>
      <c r="L2895">
        <v>667.77913790480397</v>
      </c>
      <c r="M2895">
        <v>13.1786710000595</v>
      </c>
      <c r="N2895">
        <v>51.057891363188297</v>
      </c>
      <c r="O2895">
        <v>49.547089619786703</v>
      </c>
      <c r="P2895">
        <v>-6.3348105808143096E-2</v>
      </c>
      <c r="Q2895">
        <v>4.7494663995687303E-2</v>
      </c>
      <c r="R2895">
        <v>0.99479131027110002</v>
      </c>
      <c r="S2895" t="s">
        <v>7635</v>
      </c>
      <c r="T2895" t="s">
        <v>9478</v>
      </c>
      <c r="U2895" t="s">
        <v>9478</v>
      </c>
      <c r="V2895" t="s">
        <v>9478</v>
      </c>
      <c r="W2895">
        <v>5</v>
      </c>
      <c r="X2895" t="s">
        <v>12373</v>
      </c>
      <c r="Y2895">
        <v>0.41377916273519882</v>
      </c>
      <c r="Z2895" t="str">
        <f>HYPERLINK("Melting_Curves/meltCurve_sp_Q96DX5_ASB9_HUMAN_.pdf", "Melting_Curves/meltCurve_sp_Q96DX5_ASB9_HUMAN_.pdf")</f>
        <v>Melting_Curves/meltCurve_sp_Q96DX5_ASB9_HUMAN_.pdf</v>
      </c>
      <c r="AA2895" t="s">
        <v>17064</v>
      </c>
      <c r="AB2895" t="s">
        <v>21729</v>
      </c>
    </row>
    <row r="2896" spans="1:28" x14ac:dyDescent="0.25">
      <c r="A2896" t="s">
        <v>2900</v>
      </c>
      <c r="B2896">
        <v>0.99904790336628502</v>
      </c>
      <c r="C2896">
        <v>1.0029735973478799</v>
      </c>
      <c r="D2896">
        <v>0.97723277398290898</v>
      </c>
      <c r="E2896">
        <v>0.82055491946967196</v>
      </c>
      <c r="F2896">
        <v>0.75106943564288098</v>
      </c>
      <c r="G2896">
        <v>0.56889922384770897</v>
      </c>
      <c r="H2896">
        <v>0.48180479338358501</v>
      </c>
      <c r="I2896">
        <v>0.45302202387873203</v>
      </c>
      <c r="J2896">
        <v>0.49230886581525801</v>
      </c>
      <c r="K2896">
        <v>0.53689598341574596</v>
      </c>
      <c r="L2896">
        <v>1024.8045513004699</v>
      </c>
      <c r="M2896">
        <v>19.533031953647701</v>
      </c>
      <c r="N2896">
        <v>62.737086746814903</v>
      </c>
      <c r="O2896">
        <v>51.924613722367901</v>
      </c>
      <c r="P2896">
        <v>-4.8944688637756702E-2</v>
      </c>
      <c r="Q2896">
        <v>0.47958061897295301</v>
      </c>
      <c r="R2896">
        <v>0.98238703470255695</v>
      </c>
      <c r="S2896" t="s">
        <v>7636</v>
      </c>
      <c r="T2896" t="s">
        <v>9478</v>
      </c>
      <c r="U2896" t="s">
        <v>9478</v>
      </c>
      <c r="V2896" t="s">
        <v>9478</v>
      </c>
      <c r="W2896">
        <v>5</v>
      </c>
      <c r="X2896" t="s">
        <v>12374</v>
      </c>
      <c r="Y2896">
        <v>0.7033058252869554</v>
      </c>
      <c r="Z2896" t="str">
        <f>HYPERLINK("Melting_Curves/meltCurve_sp_Q96E09_F122A_HUMAN_.pdf", "Melting_Curves/meltCurve_sp_Q96E09_F122A_HUMAN_.pdf")</f>
        <v>Melting_Curves/meltCurve_sp_Q96E09_F122A_HUMAN_.pdf</v>
      </c>
      <c r="AA2896" t="s">
        <v>17065</v>
      </c>
      <c r="AB2896" t="s">
        <v>21730</v>
      </c>
    </row>
    <row r="2897" spans="1:28" x14ac:dyDescent="0.25">
      <c r="A2897" t="s">
        <v>2901</v>
      </c>
      <c r="B2897">
        <v>0.99904790336628502</v>
      </c>
      <c r="C2897">
        <v>1.0146459611831999</v>
      </c>
      <c r="D2897">
        <v>1.00331969442284</v>
      </c>
      <c r="E2897">
        <v>0.91269236660878295</v>
      </c>
      <c r="F2897">
        <v>0.77665319383950204</v>
      </c>
      <c r="G2897">
        <v>0.398791562942797</v>
      </c>
      <c r="H2897">
        <v>0.24597746726952299</v>
      </c>
      <c r="I2897">
        <v>0.24221701892011999</v>
      </c>
      <c r="J2897">
        <v>0.21790800088281201</v>
      </c>
      <c r="K2897">
        <v>0.19869549629557301</v>
      </c>
      <c r="L2897">
        <v>1459.16474643932</v>
      </c>
      <c r="M2897">
        <v>26.694350677242699</v>
      </c>
      <c r="N2897">
        <v>55.785284434165</v>
      </c>
      <c r="O2897">
        <v>54.357923608513502</v>
      </c>
      <c r="P2897">
        <v>-9.7246642077294193E-2</v>
      </c>
      <c r="Q2897">
        <v>0.20791153014243499</v>
      </c>
      <c r="R2897">
        <v>0.99845551687576295</v>
      </c>
      <c r="S2897" t="s">
        <v>7637</v>
      </c>
      <c r="T2897" t="s">
        <v>9478</v>
      </c>
      <c r="U2897" t="s">
        <v>9478</v>
      </c>
      <c r="V2897" t="s">
        <v>9478</v>
      </c>
      <c r="W2897">
        <v>10</v>
      </c>
      <c r="X2897" t="s">
        <v>12375</v>
      </c>
      <c r="Y2897">
        <v>0.60154564469455685</v>
      </c>
      <c r="Z2897" t="str">
        <f>HYPERLINK("Melting_Curves/meltCurve_sp_Q96E11_3_RRFM_HUMAN_.pdf", "Melting_Curves/meltCurve_sp_Q96E11_3_RRFM_HUMAN_.pdf")</f>
        <v>Melting_Curves/meltCurve_sp_Q96E11_3_RRFM_HUMAN_.pdf</v>
      </c>
      <c r="AA2897" t="s">
        <v>17066</v>
      </c>
      <c r="AB2897" t="s">
        <v>21731</v>
      </c>
    </row>
    <row r="2898" spans="1:28" x14ac:dyDescent="0.25">
      <c r="A2898" t="s">
        <v>2902</v>
      </c>
      <c r="B2898">
        <v>0.99904790336628502</v>
      </c>
      <c r="C2898">
        <v>0.93126667733952895</v>
      </c>
      <c r="D2898">
        <v>0.90994472174307806</v>
      </c>
      <c r="E2898">
        <v>0.90277279779734199</v>
      </c>
      <c r="F2898">
        <v>0.86690976432420097</v>
      </c>
      <c r="G2898">
        <v>0.72726686819068798</v>
      </c>
      <c r="H2898">
        <v>0.61005303701375602</v>
      </c>
      <c r="I2898">
        <v>0.54694061350409096</v>
      </c>
      <c r="J2898">
        <v>0.60582178350757399</v>
      </c>
      <c r="K2898">
        <v>0.76383090145244004</v>
      </c>
      <c r="L2898">
        <v>933.89629667172596</v>
      </c>
      <c r="M2898">
        <v>17.5049614379523</v>
      </c>
      <c r="O2898">
        <v>52.668731439742899</v>
      </c>
      <c r="P2898">
        <v>-3.1457063246665903E-2</v>
      </c>
      <c r="Q2898">
        <v>0.62143020399884097</v>
      </c>
      <c r="R2898">
        <v>0.81651237508575703</v>
      </c>
      <c r="S2898" t="s">
        <v>7638</v>
      </c>
      <c r="T2898" t="s">
        <v>9478</v>
      </c>
      <c r="U2898" t="s">
        <v>9478</v>
      </c>
      <c r="V2898" t="s">
        <v>9478</v>
      </c>
      <c r="W2898">
        <v>15</v>
      </c>
      <c r="X2898" t="s">
        <v>12376</v>
      </c>
      <c r="Y2898">
        <v>0.79632425402646778</v>
      </c>
      <c r="Z2898" t="str">
        <f>HYPERLINK("Melting_Curves/meltCurve_sp_Q96E39_RMXL1_HUMAN_.pdf", "Melting_Curves/meltCurve_sp_Q96E39_RMXL1_HUMAN_.pdf")</f>
        <v>Melting_Curves/meltCurve_sp_Q96E39_RMXL1_HUMAN_.pdf</v>
      </c>
      <c r="AA2898" t="s">
        <v>17067</v>
      </c>
      <c r="AB2898" t="s">
        <v>21732</v>
      </c>
    </row>
    <row r="2899" spans="1:28" x14ac:dyDescent="0.25">
      <c r="A2899" t="s">
        <v>2903</v>
      </c>
      <c r="B2899">
        <v>0.99904790336628502</v>
      </c>
      <c r="C2899">
        <v>0.89496177048620795</v>
      </c>
      <c r="D2899">
        <v>0.88136749499005096</v>
      </c>
      <c r="E2899">
        <v>0.71722641481521299</v>
      </c>
      <c r="F2899">
        <v>0.51053458643849003</v>
      </c>
      <c r="G2899">
        <v>0.32988125947598801</v>
      </c>
      <c r="H2899">
        <v>0.22049220371161601</v>
      </c>
      <c r="I2899">
        <v>0.15264553286777099</v>
      </c>
      <c r="J2899">
        <v>0.119294684827736</v>
      </c>
      <c r="K2899">
        <v>8.2336710460718901E-2</v>
      </c>
      <c r="L2899">
        <v>623.79452601420201</v>
      </c>
      <c r="M2899">
        <v>11.7198852029561</v>
      </c>
      <c r="N2899">
        <v>53.547176221176798</v>
      </c>
      <c r="O2899">
        <v>51.746571872264902</v>
      </c>
      <c r="P2899">
        <v>-5.4710192445583401E-2</v>
      </c>
      <c r="Q2899">
        <v>3.4011946428608997E-2</v>
      </c>
      <c r="R2899">
        <v>0.99618991942791701</v>
      </c>
      <c r="S2899" t="s">
        <v>7639</v>
      </c>
      <c r="T2899" t="s">
        <v>9478</v>
      </c>
      <c r="U2899" t="s">
        <v>9478</v>
      </c>
      <c r="V2899" t="s">
        <v>9478</v>
      </c>
      <c r="W2899">
        <v>5</v>
      </c>
      <c r="X2899" t="s">
        <v>12377</v>
      </c>
      <c r="Y2899">
        <v>0.4875594220188999</v>
      </c>
      <c r="Z2899" t="str">
        <f>HYPERLINK("Melting_Curves/meltCurve_sp_Q96EB1_ELP4_HUMAN_.pdf", "Melting_Curves/meltCurve_sp_Q96EB1_ELP4_HUMAN_.pdf")</f>
        <v>Melting_Curves/meltCurve_sp_Q96EB1_ELP4_HUMAN_.pdf</v>
      </c>
      <c r="AA2899" t="s">
        <v>17068</v>
      </c>
      <c r="AB2899" t="s">
        <v>21733</v>
      </c>
    </row>
    <row r="2900" spans="1:28" x14ac:dyDescent="0.25">
      <c r="A2900" t="s">
        <v>2904</v>
      </c>
      <c r="B2900">
        <v>0.99904790336628502</v>
      </c>
      <c r="C2900">
        <v>1.00026660724214</v>
      </c>
      <c r="D2900">
        <v>1.0003733111723101</v>
      </c>
      <c r="E2900">
        <v>0.83601434812711695</v>
      </c>
      <c r="F2900">
        <v>0.51447775458241096</v>
      </c>
      <c r="G2900">
        <v>0.30350496147849998</v>
      </c>
      <c r="H2900">
        <v>0.22199241579295301</v>
      </c>
      <c r="I2900">
        <v>0.17670535892658501</v>
      </c>
      <c r="J2900">
        <v>0.205392638027451</v>
      </c>
      <c r="K2900">
        <v>0.15673804842817099</v>
      </c>
      <c r="L2900">
        <v>1368.6335502007701</v>
      </c>
      <c r="M2900">
        <v>26.094888321546801</v>
      </c>
      <c r="N2900">
        <v>53.399465576295299</v>
      </c>
      <c r="O2900">
        <v>52.143230501966599</v>
      </c>
      <c r="P2900">
        <v>-0.101858687204765</v>
      </c>
      <c r="Q2900">
        <v>0.18586650462177701</v>
      </c>
      <c r="R2900">
        <v>0.99713063752550302</v>
      </c>
      <c r="S2900" t="s">
        <v>7640</v>
      </c>
      <c r="T2900" t="s">
        <v>9478</v>
      </c>
      <c r="U2900" t="s">
        <v>9478</v>
      </c>
      <c r="V2900" t="s">
        <v>9478</v>
      </c>
      <c r="W2900">
        <v>5</v>
      </c>
      <c r="X2900" t="s">
        <v>12378</v>
      </c>
      <c r="Y2900">
        <v>0.53056195442771437</v>
      </c>
      <c r="Z2900" t="str">
        <f>HYPERLINK("Melting_Curves/meltCurve_sp_Q96EB6_SIR1_HUMAN_.pdf", "Melting_Curves/meltCurve_sp_Q96EB6_SIR1_HUMAN_.pdf")</f>
        <v>Melting_Curves/meltCurve_sp_Q96EB6_SIR1_HUMAN_.pdf</v>
      </c>
      <c r="AA2900" t="s">
        <v>17069</v>
      </c>
      <c r="AB2900" t="s">
        <v>21734</v>
      </c>
    </row>
    <row r="2901" spans="1:28" x14ac:dyDescent="0.25">
      <c r="A2901" t="s">
        <v>2905</v>
      </c>
      <c r="B2901">
        <v>0.99904790336628502</v>
      </c>
      <c r="C2901">
        <v>1.0229587588167299</v>
      </c>
      <c r="D2901">
        <v>0.94536341135843005</v>
      </c>
      <c r="E2901">
        <v>0.75269640031391905</v>
      </c>
      <c r="F2901">
        <v>0.49154372505521998</v>
      </c>
      <c r="G2901">
        <v>0.30609313528064502</v>
      </c>
      <c r="H2901">
        <v>0.19087503608584699</v>
      </c>
      <c r="I2901">
        <v>0.144852096796621</v>
      </c>
      <c r="J2901">
        <v>0.12394244840259901</v>
      </c>
      <c r="K2901">
        <v>0.123246668972121</v>
      </c>
      <c r="L2901">
        <v>973.35026710080695</v>
      </c>
      <c r="M2901">
        <v>18.560873166982802</v>
      </c>
      <c r="N2901">
        <v>53.222520023817999</v>
      </c>
      <c r="O2901">
        <v>51.843618844300501</v>
      </c>
      <c r="P2901">
        <v>-7.8831188880849695E-2</v>
      </c>
      <c r="Q2901">
        <v>0.11928382420835899</v>
      </c>
      <c r="R2901">
        <v>0.99779303837571898</v>
      </c>
      <c r="S2901" t="s">
        <v>7641</v>
      </c>
      <c r="T2901" t="s">
        <v>9478</v>
      </c>
      <c r="U2901" t="s">
        <v>9478</v>
      </c>
      <c r="V2901" t="s">
        <v>9478</v>
      </c>
      <c r="W2901">
        <v>12</v>
      </c>
      <c r="X2901" t="s">
        <v>12379</v>
      </c>
      <c r="Y2901">
        <v>0.49834760504235381</v>
      </c>
      <c r="Z2901" t="str">
        <f>HYPERLINK("Melting_Curves/meltCurve_sp_Q96ED9_2_HOOK2_HUMAN_.pdf", "Melting_Curves/meltCurve_sp_Q96ED9_2_HOOK2_HUMAN_.pdf")</f>
        <v>Melting_Curves/meltCurve_sp_Q96ED9_2_HOOK2_HUMAN_.pdf</v>
      </c>
      <c r="AA2901" t="s">
        <v>17070</v>
      </c>
      <c r="AB2901" t="s">
        <v>21735</v>
      </c>
    </row>
    <row r="2902" spans="1:28" x14ac:dyDescent="0.25">
      <c r="A2902" t="s">
        <v>2906</v>
      </c>
      <c r="B2902">
        <v>0.99904790336628502</v>
      </c>
      <c r="C2902">
        <v>0.93407396563147005</v>
      </c>
      <c r="D2902">
        <v>0.94188928533001903</v>
      </c>
      <c r="E2902">
        <v>0.90099172495730595</v>
      </c>
      <c r="F2902">
        <v>0.661041934670621</v>
      </c>
      <c r="G2902">
        <v>0.35820079785509001</v>
      </c>
      <c r="H2902">
        <v>0.133718716788506</v>
      </c>
      <c r="I2902">
        <v>8.8367216132857307E-2</v>
      </c>
      <c r="J2902">
        <v>5.5827491471399503E-2</v>
      </c>
      <c r="K2902">
        <v>5.2898757358934602E-2</v>
      </c>
      <c r="L2902">
        <v>1070.8985134964701</v>
      </c>
      <c r="M2902">
        <v>19.518563133733</v>
      </c>
      <c r="N2902">
        <v>55.042461007908898</v>
      </c>
      <c r="O2902">
        <v>54.299470899208799</v>
      </c>
      <c r="P2902">
        <v>-8.7137643260476003E-2</v>
      </c>
      <c r="Q2902">
        <v>3.0388030117472799E-2</v>
      </c>
      <c r="R2902">
        <v>0.99573481239303896</v>
      </c>
      <c r="S2902" t="s">
        <v>7642</v>
      </c>
      <c r="T2902" t="s">
        <v>9478</v>
      </c>
      <c r="U2902" t="s">
        <v>9478</v>
      </c>
      <c r="V2902" t="s">
        <v>9478</v>
      </c>
      <c r="W2902">
        <v>5</v>
      </c>
      <c r="X2902" t="s">
        <v>12380</v>
      </c>
      <c r="Y2902">
        <v>0.52428682398034554</v>
      </c>
      <c r="Z2902" t="str">
        <f>HYPERLINK("Melting_Curves/meltCurve_sp_Q96EE3_SEH1_HUMAN_.pdf", "Melting_Curves/meltCurve_sp_Q96EE3_SEH1_HUMAN_.pdf")</f>
        <v>Melting_Curves/meltCurve_sp_Q96EE3_SEH1_HUMAN_.pdf</v>
      </c>
      <c r="AA2902" t="s">
        <v>17071</v>
      </c>
      <c r="AB2902" t="s">
        <v>21736</v>
      </c>
    </row>
    <row r="2903" spans="1:28" x14ac:dyDescent="0.25">
      <c r="A2903" t="s">
        <v>2907</v>
      </c>
      <c r="B2903">
        <v>0.99904790336628502</v>
      </c>
      <c r="C2903">
        <v>0.99751624027889196</v>
      </c>
      <c r="D2903">
        <v>1.0186723745992601</v>
      </c>
      <c r="E2903">
        <v>0.98137692716852498</v>
      </c>
      <c r="F2903">
        <v>0.99743319790844398</v>
      </c>
      <c r="G2903">
        <v>0.77831208318296596</v>
      </c>
      <c r="H2903">
        <v>0.67094877024044697</v>
      </c>
      <c r="I2903">
        <v>0.66928841576286002</v>
      </c>
      <c r="J2903">
        <v>0.75619654339066</v>
      </c>
      <c r="K2903">
        <v>0.80737114284990197</v>
      </c>
      <c r="L2903">
        <v>14167.742654531699</v>
      </c>
      <c r="M2903">
        <v>250</v>
      </c>
      <c r="O2903">
        <v>56.667342108037197</v>
      </c>
      <c r="P2903">
        <v>-0.30225607279754801</v>
      </c>
      <c r="Q2903">
        <v>0.72595121841222299</v>
      </c>
      <c r="R2903">
        <v>0.92325350491033997</v>
      </c>
      <c r="S2903" t="s">
        <v>7643</v>
      </c>
      <c r="T2903" t="s">
        <v>9478</v>
      </c>
      <c r="U2903" t="s">
        <v>9478</v>
      </c>
      <c r="V2903" t="s">
        <v>9478</v>
      </c>
      <c r="W2903">
        <v>9</v>
      </c>
      <c r="X2903" t="s">
        <v>12381</v>
      </c>
      <c r="Y2903">
        <v>0.87826711391796108</v>
      </c>
      <c r="Z2903" t="str">
        <f>HYPERLINK("Melting_Curves/meltCurve_sp_Q96EI5_TCAL4_HUMAN_.pdf", "Melting_Curves/meltCurve_sp_Q96EI5_TCAL4_HUMAN_.pdf")</f>
        <v>Melting_Curves/meltCurve_sp_Q96EI5_TCAL4_HUMAN_.pdf</v>
      </c>
      <c r="AA2903" t="s">
        <v>17072</v>
      </c>
      <c r="AB2903" t="s">
        <v>21737</v>
      </c>
    </row>
    <row r="2904" spans="1:28" x14ac:dyDescent="0.25">
      <c r="A2904" t="s">
        <v>2908</v>
      </c>
      <c r="B2904">
        <v>0.99904790336628502</v>
      </c>
      <c r="C2904">
        <v>0.92842955396484494</v>
      </c>
      <c r="D2904">
        <v>0.70081299873268599</v>
      </c>
      <c r="E2904">
        <v>0.28820459034782703</v>
      </c>
      <c r="F2904">
        <v>0.180749301518072</v>
      </c>
      <c r="G2904">
        <v>0.10377397129545</v>
      </c>
      <c r="H2904">
        <v>6.0457365151862001E-2</v>
      </c>
      <c r="I2904">
        <v>5.2642238792459398E-2</v>
      </c>
      <c r="J2904">
        <v>3.9958587379354302E-2</v>
      </c>
      <c r="K2904">
        <v>3.4947255803723501E-2</v>
      </c>
      <c r="L2904">
        <v>1004.06513969171</v>
      </c>
      <c r="M2904">
        <v>21.054309888606898</v>
      </c>
      <c r="N2904">
        <v>47.932742476749198</v>
      </c>
      <c r="O2904">
        <v>47.265329953395401</v>
      </c>
      <c r="P2904">
        <v>-0.105718202167934</v>
      </c>
      <c r="Q2904">
        <v>5.0707876077246999E-2</v>
      </c>
      <c r="R2904">
        <v>0.99802415401385602</v>
      </c>
      <c r="S2904" t="s">
        <v>7644</v>
      </c>
      <c r="T2904" t="s">
        <v>9478</v>
      </c>
      <c r="U2904" t="s">
        <v>9478</v>
      </c>
      <c r="V2904" t="s">
        <v>9478</v>
      </c>
      <c r="W2904">
        <v>8</v>
      </c>
      <c r="X2904" t="s">
        <v>12382</v>
      </c>
      <c r="Y2904">
        <v>0.3061863202243732</v>
      </c>
      <c r="Z2904" t="str">
        <f>HYPERLINK("Melting_Curves/meltCurve_sp_Q96EK5_KBP_HUMAN_.pdf", "Melting_Curves/meltCurve_sp_Q96EK5_KBP_HUMAN_.pdf")</f>
        <v>Melting_Curves/meltCurve_sp_Q96EK5_KBP_HUMAN_.pdf</v>
      </c>
      <c r="AA2904" t="s">
        <v>17073</v>
      </c>
      <c r="AB2904" t="s">
        <v>21738</v>
      </c>
    </row>
    <row r="2905" spans="1:28" x14ac:dyDescent="0.25">
      <c r="A2905" t="s">
        <v>2909</v>
      </c>
      <c r="B2905">
        <v>0.99904790336628502</v>
      </c>
      <c r="C2905">
        <v>0.96288050092780797</v>
      </c>
      <c r="D2905">
        <v>0.96337265274138895</v>
      </c>
      <c r="E2905">
        <v>0.95990303635150998</v>
      </c>
      <c r="F2905">
        <v>0.97784464840117302</v>
      </c>
      <c r="G2905">
        <v>0.70665655683681905</v>
      </c>
      <c r="H2905">
        <v>0.204181586934228</v>
      </c>
      <c r="I2905">
        <v>8.5874662895322806E-2</v>
      </c>
      <c r="J2905">
        <v>5.1651801341185598E-2</v>
      </c>
      <c r="K2905">
        <v>4.0193136672866801E-2</v>
      </c>
      <c r="L2905">
        <v>2068.06013010282</v>
      </c>
      <c r="M2905">
        <v>35.467481622704298</v>
      </c>
      <c r="N2905">
        <v>58.4508671354561</v>
      </c>
      <c r="O2905">
        <v>58.124196080233602</v>
      </c>
      <c r="P2905">
        <v>-0.14624368952797301</v>
      </c>
      <c r="Q2905">
        <v>4.1345179763506802E-2</v>
      </c>
      <c r="R2905">
        <v>0.99759347855791203</v>
      </c>
      <c r="S2905" t="s">
        <v>7645</v>
      </c>
      <c r="T2905" t="s">
        <v>9478</v>
      </c>
      <c r="U2905" t="s">
        <v>9478</v>
      </c>
      <c r="V2905" t="s">
        <v>9478</v>
      </c>
      <c r="W2905">
        <v>15</v>
      </c>
      <c r="X2905" t="s">
        <v>12383</v>
      </c>
      <c r="Y2905">
        <v>0.63111054515203868</v>
      </c>
      <c r="Z2905" t="str">
        <f>HYPERLINK("Melting_Curves/meltCurve_sp_Q96EK6_GNA1_HUMAN_.pdf", "Melting_Curves/meltCurve_sp_Q96EK6_GNA1_HUMAN_.pdf")</f>
        <v>Melting_Curves/meltCurve_sp_Q96EK6_GNA1_HUMAN_.pdf</v>
      </c>
      <c r="AA2905" t="s">
        <v>17074</v>
      </c>
      <c r="AB2905" t="s">
        <v>21739</v>
      </c>
    </row>
    <row r="2906" spans="1:28" x14ac:dyDescent="0.25">
      <c r="A2906" t="s">
        <v>2910</v>
      </c>
      <c r="B2906">
        <v>0.99904790336628502</v>
      </c>
      <c r="C2906">
        <v>0.99142497519063799</v>
      </c>
      <c r="D2906">
        <v>0.93769525350333904</v>
      </c>
      <c r="E2906">
        <v>0.74356469222420796</v>
      </c>
      <c r="F2906">
        <v>0.38552809673170502</v>
      </c>
      <c r="G2906">
        <v>0.13981886889592501</v>
      </c>
      <c r="H2906">
        <v>5.2868941390686701E-2</v>
      </c>
      <c r="I2906">
        <v>2.92372252400524E-2</v>
      </c>
      <c r="J2906">
        <v>1.7791719218952999E-2</v>
      </c>
      <c r="K2906">
        <v>1.56086981969745E-2</v>
      </c>
      <c r="L2906">
        <v>1224.85688253336</v>
      </c>
      <c r="M2906">
        <v>23.549709994952</v>
      </c>
      <c r="N2906">
        <v>52.0907972178018</v>
      </c>
      <c r="O2906">
        <v>51.640873259424303</v>
      </c>
      <c r="P2906">
        <v>-0.112002920294083</v>
      </c>
      <c r="Q2906">
        <v>1.75966334396109E-2</v>
      </c>
      <c r="R2906">
        <v>0.99931314400251403</v>
      </c>
      <c r="S2906" t="s">
        <v>7646</v>
      </c>
      <c r="T2906" t="s">
        <v>9478</v>
      </c>
      <c r="U2906" t="s">
        <v>9478</v>
      </c>
      <c r="V2906" t="s">
        <v>9478</v>
      </c>
      <c r="W2906">
        <v>4</v>
      </c>
      <c r="X2906" t="s">
        <v>12384</v>
      </c>
      <c r="Y2906">
        <v>0.42099027547406048</v>
      </c>
      <c r="Z2906" t="str">
        <f>HYPERLINK("Melting_Curves/meltCurve_sp_Q96EM0_T3HPD_HUMAN_.pdf", "Melting_Curves/meltCurve_sp_Q96EM0_T3HPD_HUMAN_.pdf")</f>
        <v>Melting_Curves/meltCurve_sp_Q96EM0_T3HPD_HUMAN_.pdf</v>
      </c>
      <c r="AA2906" t="s">
        <v>17075</v>
      </c>
      <c r="AB2906" t="s">
        <v>21740</v>
      </c>
    </row>
    <row r="2907" spans="1:28" x14ac:dyDescent="0.25">
      <c r="A2907" t="s">
        <v>2911</v>
      </c>
      <c r="B2907">
        <v>0.99904790336628502</v>
      </c>
      <c r="C2907">
        <v>1.01313762556855</v>
      </c>
      <c r="D2907">
        <v>1.0036522881776999</v>
      </c>
      <c r="E2907">
        <v>0.920110293935124</v>
      </c>
      <c r="F2907">
        <v>0.79451763812760101</v>
      </c>
      <c r="G2907">
        <v>0.50793147463335397</v>
      </c>
      <c r="H2907">
        <v>0.24412962727135001</v>
      </c>
      <c r="I2907">
        <v>0.110304407881935</v>
      </c>
      <c r="J2907">
        <v>6.7356500577831699E-2</v>
      </c>
      <c r="K2907">
        <v>4.7916186157723299E-2</v>
      </c>
      <c r="L2907">
        <v>1036.39881750942</v>
      </c>
      <c r="M2907">
        <v>18.183676125217101</v>
      </c>
      <c r="N2907">
        <v>57.037334609976398</v>
      </c>
      <c r="O2907">
        <v>56.320179639459298</v>
      </c>
      <c r="P2907">
        <v>-8.0192507918787598E-2</v>
      </c>
      <c r="Q2907">
        <v>6.5280897879390603E-3</v>
      </c>
      <c r="R2907">
        <v>0.999384707478986</v>
      </c>
      <c r="S2907" t="s">
        <v>7647</v>
      </c>
      <c r="T2907" t="s">
        <v>9478</v>
      </c>
      <c r="U2907" t="s">
        <v>9478</v>
      </c>
      <c r="V2907" t="s">
        <v>9478</v>
      </c>
      <c r="W2907">
        <v>15</v>
      </c>
      <c r="X2907" t="s">
        <v>12385</v>
      </c>
      <c r="Y2907">
        <v>0.58286729105816437</v>
      </c>
      <c r="Z2907" t="str">
        <f>HYPERLINK("Melting_Curves/meltCurve_sp_Q96EN8_MOCOS_HUMAN_.pdf", "Melting_Curves/meltCurve_sp_Q96EN8_MOCOS_HUMAN_.pdf")</f>
        <v>Melting_Curves/meltCurve_sp_Q96EN8_MOCOS_HUMAN_.pdf</v>
      </c>
      <c r="AA2907" t="s">
        <v>17076</v>
      </c>
      <c r="AB2907" t="s">
        <v>21741</v>
      </c>
    </row>
    <row r="2908" spans="1:28" x14ac:dyDescent="0.25">
      <c r="A2908" t="s">
        <v>2912</v>
      </c>
      <c r="B2908">
        <v>0.99904790336628502</v>
      </c>
      <c r="C2908">
        <v>1.0203350880384301</v>
      </c>
      <c r="D2908">
        <v>1.0436398308327901</v>
      </c>
      <c r="E2908">
        <v>0.90951483281290801</v>
      </c>
      <c r="F2908">
        <v>0.70265575273454295</v>
      </c>
      <c r="G2908">
        <v>0.44482072558639701</v>
      </c>
      <c r="H2908">
        <v>0.18254027395186301</v>
      </c>
      <c r="I2908">
        <v>6.7622517108677394E-2</v>
      </c>
      <c r="J2908">
        <v>1.74056409071995E-2</v>
      </c>
      <c r="K2908">
        <v>3.3400214057602601E-2</v>
      </c>
      <c r="L2908">
        <v>1049.9212447357199</v>
      </c>
      <c r="M2908">
        <v>18.759809096701499</v>
      </c>
      <c r="N2908">
        <v>55.966520727049598</v>
      </c>
      <c r="O2908">
        <v>55.342199404176199</v>
      </c>
      <c r="P2908">
        <v>-8.4748138928638903E-2</v>
      </c>
      <c r="Q2908">
        <v>0</v>
      </c>
      <c r="R2908">
        <v>0.99555766044065896</v>
      </c>
      <c r="S2908" t="s">
        <v>7648</v>
      </c>
      <c r="T2908" t="s">
        <v>9478</v>
      </c>
      <c r="U2908" t="s">
        <v>9478</v>
      </c>
      <c r="V2908" t="s">
        <v>9478</v>
      </c>
      <c r="W2908">
        <v>3</v>
      </c>
      <c r="X2908" t="s">
        <v>12386</v>
      </c>
      <c r="Y2908">
        <v>0.54624761152088708</v>
      </c>
      <c r="Z2908" t="str">
        <f>HYPERLINK("Melting_Curves/meltCurve_sp_Q96EP0_RNF31_HUMAN_.pdf", "Melting_Curves/meltCurve_sp_Q96EP0_RNF31_HUMAN_.pdf")</f>
        <v>Melting_Curves/meltCurve_sp_Q96EP0_RNF31_HUMAN_.pdf</v>
      </c>
      <c r="AA2908" t="s">
        <v>17077</v>
      </c>
      <c r="AB2908" t="s">
        <v>21742</v>
      </c>
    </row>
    <row r="2909" spans="1:28" x14ac:dyDescent="0.25">
      <c r="A2909" t="s">
        <v>2913</v>
      </c>
      <c r="B2909">
        <v>0.99904790336628502</v>
      </c>
      <c r="C2909">
        <v>0.85552740412158002</v>
      </c>
      <c r="D2909">
        <v>0.80493953126978901</v>
      </c>
      <c r="E2909">
        <v>0.77252536366920799</v>
      </c>
      <c r="F2909">
        <v>0.67789008693890096</v>
      </c>
      <c r="G2909">
        <v>0.55614938298947203</v>
      </c>
      <c r="H2909">
        <v>0.46346399976741698</v>
      </c>
      <c r="I2909">
        <v>0.324457668637953</v>
      </c>
      <c r="J2909">
        <v>0.249317834062009</v>
      </c>
      <c r="K2909">
        <v>0.181008144480795</v>
      </c>
      <c r="L2909">
        <v>411.29400607275102</v>
      </c>
      <c r="M2909">
        <v>7.0998724942787996</v>
      </c>
      <c r="N2909">
        <v>57.929793102997799</v>
      </c>
      <c r="O2909">
        <v>53.861138405313</v>
      </c>
      <c r="P2909">
        <v>-3.3012514642530799E-2</v>
      </c>
      <c r="Q2909">
        <v>0</v>
      </c>
      <c r="R2909">
        <v>0.97612838945987301</v>
      </c>
      <c r="S2909" t="s">
        <v>7649</v>
      </c>
      <c r="T2909" t="s">
        <v>9478</v>
      </c>
      <c r="U2909" t="s">
        <v>9478</v>
      </c>
      <c r="V2909" t="s">
        <v>9478</v>
      </c>
      <c r="W2909">
        <v>7</v>
      </c>
      <c r="X2909" t="s">
        <v>12387</v>
      </c>
      <c r="Y2909">
        <v>0.5973780019759225</v>
      </c>
      <c r="Z2909" t="str">
        <f>HYPERLINK("Melting_Curves/meltCurve_sp_Q96EP5_2_DAZP1_HUMAN_.pdf", "Melting_Curves/meltCurve_sp_Q96EP5_2_DAZP1_HUMAN_.pdf")</f>
        <v>Melting_Curves/meltCurve_sp_Q96EP5_2_DAZP1_HUMAN_.pdf</v>
      </c>
      <c r="AA2909" t="s">
        <v>17078</v>
      </c>
      <c r="AB2909" t="s">
        <v>21743</v>
      </c>
    </row>
    <row r="2910" spans="1:28" x14ac:dyDescent="0.25">
      <c r="A2910" t="s">
        <v>2914</v>
      </c>
      <c r="B2910">
        <v>0.99904790336628502</v>
      </c>
      <c r="C2910">
        <v>1.0146041210841299</v>
      </c>
      <c r="D2910">
        <v>0.97441861852955203</v>
      </c>
      <c r="E2910">
        <v>0.916086389848079</v>
      </c>
      <c r="F2910">
        <v>0.95220453956073003</v>
      </c>
      <c r="G2910">
        <v>0.72452220997483296</v>
      </c>
      <c r="H2910">
        <v>0.66888521312193405</v>
      </c>
      <c r="I2910">
        <v>0.62430729917255801</v>
      </c>
      <c r="J2910">
        <v>0.66106406969764897</v>
      </c>
      <c r="K2910">
        <v>0.65163831245366899</v>
      </c>
      <c r="L2910">
        <v>1795.3278062381601</v>
      </c>
      <c r="M2910">
        <v>32.555304719101102</v>
      </c>
      <c r="O2910">
        <v>54.940180869547497</v>
      </c>
      <c r="P2910">
        <v>-5.2596265354058799E-2</v>
      </c>
      <c r="Q2910">
        <v>0.64495681979533703</v>
      </c>
      <c r="R2910">
        <v>0.96793023874538897</v>
      </c>
      <c r="S2910" t="s">
        <v>7650</v>
      </c>
      <c r="T2910" t="s">
        <v>9478</v>
      </c>
      <c r="U2910" t="s">
        <v>9478</v>
      </c>
      <c r="V2910" t="s">
        <v>9478</v>
      </c>
      <c r="W2910">
        <v>9</v>
      </c>
      <c r="X2910" t="s">
        <v>12388</v>
      </c>
      <c r="Y2910">
        <v>0.82623629325407422</v>
      </c>
      <c r="Z2910" t="str">
        <f>HYPERLINK("Melting_Curves/meltCurve_sp_Q96EV2_RBM33_HUMAN_.pdf", "Melting_Curves/meltCurve_sp_Q96EV2_RBM33_HUMAN_.pdf")</f>
        <v>Melting_Curves/meltCurve_sp_Q96EV2_RBM33_HUMAN_.pdf</v>
      </c>
      <c r="AA2910" t="s">
        <v>17079</v>
      </c>
      <c r="AB2910" t="s">
        <v>21744</v>
      </c>
    </row>
    <row r="2911" spans="1:28" x14ac:dyDescent="0.25">
      <c r="A2911" t="s">
        <v>2915</v>
      </c>
      <c r="B2911">
        <v>0.99904790336628502</v>
      </c>
      <c r="C2911">
        <v>1.0605034577536201</v>
      </c>
      <c r="D2911">
        <v>1.0535455127261</v>
      </c>
      <c r="E2911">
        <v>0.90939284286081401</v>
      </c>
      <c r="F2911">
        <v>0.76963223049097296</v>
      </c>
      <c r="G2911">
        <v>0.52655023196199002</v>
      </c>
      <c r="H2911">
        <v>0.37221020674855299</v>
      </c>
      <c r="I2911">
        <v>0.31898776873789703</v>
      </c>
      <c r="J2911">
        <v>0.331017305384806</v>
      </c>
      <c r="K2911">
        <v>0.29628857062307901</v>
      </c>
      <c r="L2911">
        <v>1177.7599141419701</v>
      </c>
      <c r="M2911">
        <v>21.4602361460182</v>
      </c>
      <c r="N2911">
        <v>57.320017786099001</v>
      </c>
      <c r="O2911">
        <v>54.4111339886691</v>
      </c>
      <c r="P2911">
        <v>-6.9085473275848103E-2</v>
      </c>
      <c r="Q2911">
        <v>0.29936879789368498</v>
      </c>
      <c r="R2911">
        <v>0.99073036123466096</v>
      </c>
      <c r="S2911" t="s">
        <v>7651</v>
      </c>
      <c r="T2911" t="s">
        <v>9478</v>
      </c>
      <c r="U2911" t="s">
        <v>9478</v>
      </c>
      <c r="V2911" t="s">
        <v>9478</v>
      </c>
      <c r="W2911">
        <v>3</v>
      </c>
      <c r="X2911" t="s">
        <v>12389</v>
      </c>
      <c r="Y2911">
        <v>0.65529093797242022</v>
      </c>
      <c r="Z2911" t="str">
        <f>HYPERLINK("Melting_Curves/meltCurve_sp_Q96EV8_DTBP1_HUMAN_.pdf", "Melting_Curves/meltCurve_sp_Q96EV8_DTBP1_HUMAN_.pdf")</f>
        <v>Melting_Curves/meltCurve_sp_Q96EV8_DTBP1_HUMAN_.pdf</v>
      </c>
      <c r="AA2911" t="s">
        <v>17080</v>
      </c>
      <c r="AB2911" t="s">
        <v>21745</v>
      </c>
    </row>
    <row r="2912" spans="1:28" x14ac:dyDescent="0.25">
      <c r="A2912" t="s">
        <v>2916</v>
      </c>
      <c r="B2912">
        <v>0.99904790336628502</v>
      </c>
      <c r="C2912">
        <v>0.94071264163880697</v>
      </c>
      <c r="D2912">
        <v>0.86614975132439298</v>
      </c>
      <c r="E2912">
        <v>0.73247971897616904</v>
      </c>
      <c r="F2912">
        <v>0.64569498312451601</v>
      </c>
      <c r="G2912">
        <v>0.48948227349763501</v>
      </c>
      <c r="H2912">
        <v>0.36678093070928203</v>
      </c>
      <c r="I2912">
        <v>0.27283398663159603</v>
      </c>
      <c r="J2912">
        <v>0.28151013265166103</v>
      </c>
      <c r="K2912">
        <v>0.185568874738433</v>
      </c>
      <c r="L2912">
        <v>492.64918122466401</v>
      </c>
      <c r="M2912">
        <v>8.8732842423598193</v>
      </c>
      <c r="N2912">
        <v>56.607139969808699</v>
      </c>
      <c r="O2912">
        <v>52.917628791144097</v>
      </c>
      <c r="P2912">
        <v>-3.8667195785641803E-2</v>
      </c>
      <c r="Q2912">
        <v>7.83080275087637E-2</v>
      </c>
      <c r="R2912">
        <v>0.99560882557567099</v>
      </c>
      <c r="S2912" t="s">
        <v>7652</v>
      </c>
      <c r="T2912" t="s">
        <v>9478</v>
      </c>
      <c r="U2912" t="s">
        <v>9478</v>
      </c>
      <c r="V2912" t="s">
        <v>9478</v>
      </c>
      <c r="W2912">
        <v>2</v>
      </c>
      <c r="X2912" t="s">
        <v>12390</v>
      </c>
      <c r="Y2912">
        <v>0.57698112618492381</v>
      </c>
      <c r="Z2912" t="str">
        <f>HYPERLINK("Melting_Curves/meltCurve_sp_Q96EY1_2_DNJA3_HUMAN_.pdf", "Melting_Curves/meltCurve_sp_Q96EY1_2_DNJA3_HUMAN_.pdf")</f>
        <v>Melting_Curves/meltCurve_sp_Q96EY1_2_DNJA3_HUMAN_.pdf</v>
      </c>
      <c r="AA2912" t="s">
        <v>17081</v>
      </c>
      <c r="AB2912" t="s">
        <v>21746</v>
      </c>
    </row>
    <row r="2913" spans="1:28" x14ac:dyDescent="0.25">
      <c r="A2913" t="s">
        <v>2917</v>
      </c>
      <c r="B2913">
        <v>0.99904790336628502</v>
      </c>
      <c r="C2913">
        <v>1.1356594432160501</v>
      </c>
      <c r="D2913">
        <v>1.01297659620216</v>
      </c>
      <c r="E2913">
        <v>0.64099845610992301</v>
      </c>
      <c r="F2913">
        <v>0.39341971405682802</v>
      </c>
      <c r="G2913">
        <v>0.231815678408473</v>
      </c>
      <c r="H2913">
        <v>0.16344512512228601</v>
      </c>
      <c r="I2913">
        <v>0.106902123427581</v>
      </c>
      <c r="J2913">
        <v>0.101401296875061</v>
      </c>
      <c r="K2913">
        <v>4.8150452911532297E-2</v>
      </c>
      <c r="L2913">
        <v>1202.18497018927</v>
      </c>
      <c r="M2913">
        <v>23.428902988272799</v>
      </c>
      <c r="N2913">
        <v>51.831775068112002</v>
      </c>
      <c r="O2913">
        <v>50.942603573548404</v>
      </c>
      <c r="P2913">
        <v>-0.10294231685161</v>
      </c>
      <c r="Q2913">
        <v>0.10468553850076601</v>
      </c>
      <c r="R2913">
        <v>0.97880383006441196</v>
      </c>
      <c r="S2913" t="s">
        <v>7653</v>
      </c>
      <c r="T2913" t="s">
        <v>9478</v>
      </c>
      <c r="U2913" t="s">
        <v>9478</v>
      </c>
      <c r="V2913" t="s">
        <v>9478</v>
      </c>
      <c r="W2913">
        <v>3</v>
      </c>
      <c r="X2913" t="s">
        <v>12391</v>
      </c>
      <c r="Y2913">
        <v>0.45148639446503958</v>
      </c>
      <c r="Z2913" t="str">
        <f>HYPERLINK("Melting_Curves/meltCurve_sp_Q96EY7_PTCD3_HUMAN_.pdf", "Melting_Curves/meltCurve_sp_Q96EY7_PTCD3_HUMAN_.pdf")</f>
        <v>Melting_Curves/meltCurve_sp_Q96EY7_PTCD3_HUMAN_.pdf</v>
      </c>
      <c r="AA2913" t="s">
        <v>17082</v>
      </c>
      <c r="AB2913" t="s">
        <v>21747</v>
      </c>
    </row>
    <row r="2914" spans="1:28" x14ac:dyDescent="0.25">
      <c r="A2914" t="s">
        <v>2918</v>
      </c>
      <c r="B2914">
        <v>0.99904790336628502</v>
      </c>
      <c r="C2914">
        <v>0.93904806229906701</v>
      </c>
      <c r="D2914">
        <v>0.96190032201536002</v>
      </c>
      <c r="E2914">
        <v>0.89723550220999704</v>
      </c>
      <c r="F2914">
        <v>0.88536108831019</v>
      </c>
      <c r="G2914">
        <v>0.674778145572548</v>
      </c>
      <c r="H2914">
        <v>0.44226024576532103</v>
      </c>
      <c r="I2914">
        <v>0.26398796260171797</v>
      </c>
      <c r="J2914">
        <v>0.15829529081297</v>
      </c>
      <c r="K2914">
        <v>0.10897139582659</v>
      </c>
      <c r="L2914">
        <v>867.87030922584199</v>
      </c>
      <c r="M2914">
        <v>14.5211144492024</v>
      </c>
      <c r="N2914">
        <v>59.766095456297101</v>
      </c>
      <c r="O2914">
        <v>58.666954777142102</v>
      </c>
      <c r="P2914">
        <v>-6.1886559964884E-2</v>
      </c>
      <c r="Q2914">
        <v>0</v>
      </c>
      <c r="R2914">
        <v>0.99364261077598703</v>
      </c>
      <c r="S2914" t="s">
        <v>7654</v>
      </c>
      <c r="T2914" t="s">
        <v>9478</v>
      </c>
      <c r="U2914" t="s">
        <v>9478</v>
      </c>
      <c r="V2914" t="s">
        <v>9478</v>
      </c>
      <c r="W2914">
        <v>10</v>
      </c>
      <c r="X2914" t="s">
        <v>12392</v>
      </c>
      <c r="Y2914">
        <v>0.66626710544796242</v>
      </c>
      <c r="Z2914" t="str">
        <f>HYPERLINK("Melting_Curves/meltCurve_sp_Q96EY8_MMAB_HUMAN_.pdf", "Melting_Curves/meltCurve_sp_Q96EY8_MMAB_HUMAN_.pdf")</f>
        <v>Melting_Curves/meltCurve_sp_Q96EY8_MMAB_HUMAN_.pdf</v>
      </c>
      <c r="AA2914" t="s">
        <v>17083</v>
      </c>
      <c r="AB2914" t="s">
        <v>21748</v>
      </c>
    </row>
    <row r="2915" spans="1:28" x14ac:dyDescent="0.25">
      <c r="A2915" t="s">
        <v>2919</v>
      </c>
      <c r="B2915">
        <v>0.99904790336628502</v>
      </c>
      <c r="C2915">
        <v>1.10786441806381</v>
      </c>
      <c r="D2915">
        <v>1.15588468650426</v>
      </c>
      <c r="E2915">
        <v>0.99642627360532998</v>
      </c>
      <c r="F2915">
        <v>0.95520108138219395</v>
      </c>
      <c r="G2915">
        <v>0.65563540755181804</v>
      </c>
      <c r="H2915">
        <v>0.316198468618895</v>
      </c>
      <c r="I2915">
        <v>0.111174938814553</v>
      </c>
      <c r="J2915">
        <v>0</v>
      </c>
      <c r="K2915">
        <v>3.7386689544439099E-2</v>
      </c>
      <c r="L2915">
        <v>1459.03289113541</v>
      </c>
      <c r="M2915">
        <v>24.835615904794501</v>
      </c>
      <c r="N2915">
        <v>58.747602556040498</v>
      </c>
      <c r="O2915">
        <v>58.370692884389896</v>
      </c>
      <c r="P2915">
        <v>-0.106371700238944</v>
      </c>
      <c r="Q2915">
        <v>0</v>
      </c>
      <c r="R2915">
        <v>0.97961234890208104</v>
      </c>
      <c r="S2915" t="s">
        <v>7655</v>
      </c>
      <c r="T2915" t="s">
        <v>9478</v>
      </c>
      <c r="U2915" t="s">
        <v>9478</v>
      </c>
      <c r="V2915" t="s">
        <v>9478</v>
      </c>
      <c r="W2915">
        <v>1</v>
      </c>
      <c r="X2915" t="s">
        <v>12393</v>
      </c>
      <c r="Y2915">
        <v>0.63333163304849482</v>
      </c>
      <c r="Z2915" t="str">
        <f>HYPERLINK("Melting_Curves/meltCurve_sp_Q96EY9_ADAT3_HUMAN_.pdf", "Melting_Curves/meltCurve_sp_Q96EY9_ADAT3_HUMAN_.pdf")</f>
        <v>Melting_Curves/meltCurve_sp_Q96EY9_ADAT3_HUMAN_.pdf</v>
      </c>
      <c r="AA2915" t="s">
        <v>17084</v>
      </c>
      <c r="AB2915" t="s">
        <v>21749</v>
      </c>
    </row>
    <row r="2916" spans="1:28" x14ac:dyDescent="0.25">
      <c r="A2916" t="s">
        <v>2920</v>
      </c>
      <c r="B2916">
        <v>0.99904790336628502</v>
      </c>
      <c r="C2916">
        <v>0.88330871843367498</v>
      </c>
      <c r="D2916">
        <v>0.83506163732445204</v>
      </c>
      <c r="E2916">
        <v>0.50524212351125497</v>
      </c>
      <c r="F2916">
        <v>0.16210925300576501</v>
      </c>
      <c r="G2916">
        <v>9.2264938305582495E-2</v>
      </c>
      <c r="H2916">
        <v>5.8223686219708103E-2</v>
      </c>
      <c r="I2916">
        <v>3.9913498077738203E-2</v>
      </c>
      <c r="J2916">
        <v>2.9508198593330901E-2</v>
      </c>
      <c r="K2916">
        <v>2.57210243740017E-2</v>
      </c>
      <c r="L2916">
        <v>1022.86400463359</v>
      </c>
      <c r="M2916">
        <v>20.674639024203898</v>
      </c>
      <c r="N2916">
        <v>49.598012173129803</v>
      </c>
      <c r="O2916">
        <v>49.018434905120003</v>
      </c>
      <c r="P2916">
        <v>-0.102796940917263</v>
      </c>
      <c r="Q2916">
        <v>2.5123978849459699E-2</v>
      </c>
      <c r="R2916">
        <v>0.99178075169493596</v>
      </c>
      <c r="S2916" t="s">
        <v>7656</v>
      </c>
      <c r="T2916" t="s">
        <v>9478</v>
      </c>
      <c r="U2916" t="s">
        <v>9478</v>
      </c>
      <c r="V2916" t="s">
        <v>9478</v>
      </c>
      <c r="W2916">
        <v>14</v>
      </c>
      <c r="X2916" t="s">
        <v>12394</v>
      </c>
      <c r="Y2916">
        <v>0.34573419302649921</v>
      </c>
      <c r="Z2916" t="str">
        <f>HYPERLINK("Melting_Curves/meltCurve_sp_Q96F10_SAT2_HUMAN_.pdf", "Melting_Curves/meltCurve_sp_Q96F10_SAT2_HUMAN_.pdf")</f>
        <v>Melting_Curves/meltCurve_sp_Q96F10_SAT2_HUMAN_.pdf</v>
      </c>
      <c r="AA2916" t="s">
        <v>17085</v>
      </c>
      <c r="AB2916" t="s">
        <v>21750</v>
      </c>
    </row>
    <row r="2917" spans="1:28" x14ac:dyDescent="0.25">
      <c r="A2917" t="s">
        <v>2921</v>
      </c>
      <c r="B2917">
        <v>0.99904790336628502</v>
      </c>
      <c r="C2917">
        <v>1.11087506805543</v>
      </c>
      <c r="D2917">
        <v>0.97583730879113895</v>
      </c>
      <c r="E2917">
        <v>0.87855382929679304</v>
      </c>
      <c r="F2917">
        <v>0.83524208650263798</v>
      </c>
      <c r="G2917">
        <v>0.64646476005484499</v>
      </c>
      <c r="H2917">
        <v>0.490816069728578</v>
      </c>
      <c r="I2917">
        <v>0.51074316542105802</v>
      </c>
      <c r="J2917">
        <v>0.58716512131163601</v>
      </c>
      <c r="K2917">
        <v>0.51031769500782498</v>
      </c>
      <c r="L2917">
        <v>1155.0391497052999</v>
      </c>
      <c r="M2917">
        <v>21.394528325071999</v>
      </c>
      <c r="O2917">
        <v>53.522566255103001</v>
      </c>
      <c r="P2917">
        <v>-4.8627299217562897E-2</v>
      </c>
      <c r="Q2917">
        <v>0.51340963018078101</v>
      </c>
      <c r="R2917">
        <v>0.94913157680515803</v>
      </c>
      <c r="S2917" t="s">
        <v>7657</v>
      </c>
      <c r="T2917" t="s">
        <v>9478</v>
      </c>
      <c r="U2917" t="s">
        <v>9478</v>
      </c>
      <c r="V2917" t="s">
        <v>9478</v>
      </c>
      <c r="W2917">
        <v>3</v>
      </c>
      <c r="X2917" t="s">
        <v>12395</v>
      </c>
      <c r="Y2917">
        <v>0.74620312652755205</v>
      </c>
      <c r="Z2917" t="str">
        <f>HYPERLINK("Melting_Curves/meltCurve_sp_Q96F24_2_NRBF2_HUMAN_.pdf", "Melting_Curves/meltCurve_sp_Q96F24_2_NRBF2_HUMAN_.pdf")</f>
        <v>Melting_Curves/meltCurve_sp_Q96F24_2_NRBF2_HUMAN_.pdf</v>
      </c>
      <c r="AA2917" t="s">
        <v>17086</v>
      </c>
      <c r="AB2917" t="s">
        <v>21751</v>
      </c>
    </row>
    <row r="2918" spans="1:28" x14ac:dyDescent="0.25">
      <c r="A2918" t="s">
        <v>2922</v>
      </c>
      <c r="B2918">
        <v>0.99904790336628502</v>
      </c>
      <c r="C2918">
        <v>0.91033993326771301</v>
      </c>
      <c r="D2918">
        <v>0.85465978016454203</v>
      </c>
      <c r="E2918">
        <v>0.71921299852697296</v>
      </c>
      <c r="F2918">
        <v>0.56344489714165602</v>
      </c>
      <c r="G2918">
        <v>0.487464076443967</v>
      </c>
      <c r="H2918">
        <v>0.38232836510748702</v>
      </c>
      <c r="I2918">
        <v>0.37350980030665498</v>
      </c>
      <c r="J2918">
        <v>0.27728286817436798</v>
      </c>
      <c r="K2918">
        <v>0.25178804382533299</v>
      </c>
      <c r="L2918">
        <v>497.45273144712797</v>
      </c>
      <c r="M2918">
        <v>9.36371611423057</v>
      </c>
      <c r="N2918">
        <v>56.070131342726697</v>
      </c>
      <c r="O2918">
        <v>50.871449999475303</v>
      </c>
      <c r="P2918">
        <v>-3.7102397599190297E-2</v>
      </c>
      <c r="Q2918">
        <v>0.19421990319100199</v>
      </c>
      <c r="R2918">
        <v>0.99155925330578298</v>
      </c>
      <c r="S2918" t="s">
        <v>7658</v>
      </c>
      <c r="T2918" t="s">
        <v>9478</v>
      </c>
      <c r="U2918" t="s">
        <v>9478</v>
      </c>
      <c r="V2918" t="s">
        <v>9478</v>
      </c>
      <c r="W2918">
        <v>4</v>
      </c>
      <c r="X2918" t="s">
        <v>12396</v>
      </c>
      <c r="Y2918">
        <v>0.57547594415113557</v>
      </c>
      <c r="Z2918" t="str">
        <f>HYPERLINK("Melting_Curves/meltCurve_sp_Q96F63_CCD97_HUMAN_.pdf", "Melting_Curves/meltCurve_sp_Q96F63_CCD97_HUMAN_.pdf")</f>
        <v>Melting_Curves/meltCurve_sp_Q96F63_CCD97_HUMAN_.pdf</v>
      </c>
      <c r="AA2918" t="s">
        <v>17087</v>
      </c>
      <c r="AB2918" t="s">
        <v>21752</v>
      </c>
    </row>
    <row r="2919" spans="1:28" x14ac:dyDescent="0.25">
      <c r="A2919" t="s">
        <v>2923</v>
      </c>
      <c r="B2919">
        <v>0.99904790336628502</v>
      </c>
      <c r="C2919">
        <v>0.96063715830640295</v>
      </c>
      <c r="D2919">
        <v>0.93435774084260004</v>
      </c>
      <c r="E2919">
        <v>0.86516611622829398</v>
      </c>
      <c r="F2919">
        <v>0.69916933026141703</v>
      </c>
      <c r="G2919">
        <v>0.448719195746628</v>
      </c>
      <c r="H2919">
        <v>0.32176154989998201</v>
      </c>
      <c r="I2919">
        <v>0.210699862067357</v>
      </c>
      <c r="J2919">
        <v>0.212094643952394</v>
      </c>
      <c r="K2919">
        <v>0.21032561065007299</v>
      </c>
      <c r="L2919">
        <v>879.90152873873899</v>
      </c>
      <c r="M2919">
        <v>16.066275414270599</v>
      </c>
      <c r="N2919">
        <v>56.208753920885002</v>
      </c>
      <c r="O2919">
        <v>53.9396048384857</v>
      </c>
      <c r="P2919">
        <v>-6.1894072343642997E-2</v>
      </c>
      <c r="Q2919">
        <v>0.16887193097356501</v>
      </c>
      <c r="R2919">
        <v>0.99645276320965603</v>
      </c>
      <c r="S2919" t="s">
        <v>7659</v>
      </c>
      <c r="T2919" t="s">
        <v>9478</v>
      </c>
      <c r="U2919" t="s">
        <v>9478</v>
      </c>
      <c r="V2919" t="s">
        <v>9478</v>
      </c>
      <c r="W2919">
        <v>2</v>
      </c>
      <c r="X2919" t="s">
        <v>12397</v>
      </c>
      <c r="Y2919">
        <v>0.59301885254727582</v>
      </c>
      <c r="Z2919" t="str">
        <f>HYPERLINK("Melting_Curves/meltCurve_sp_Q96FH0_MF2NB_HUMAN_.pdf", "Melting_Curves/meltCurve_sp_Q96FH0_MF2NB_HUMAN_.pdf")</f>
        <v>Melting_Curves/meltCurve_sp_Q96FH0_MF2NB_HUMAN_.pdf</v>
      </c>
      <c r="AA2919" t="s">
        <v>17088</v>
      </c>
      <c r="AB2919" t="s">
        <v>21753</v>
      </c>
    </row>
    <row r="2920" spans="1:28" x14ac:dyDescent="0.25">
      <c r="A2920" t="s">
        <v>2924</v>
      </c>
      <c r="B2920">
        <v>0.99904790336628502</v>
      </c>
      <c r="C2920">
        <v>0.89212338844278904</v>
      </c>
      <c r="D2920">
        <v>0.848385860388706</v>
      </c>
      <c r="E2920">
        <v>0.81395599093431004</v>
      </c>
      <c r="F2920">
        <v>0.68312743367114204</v>
      </c>
      <c r="G2920">
        <v>0.69204639770684995</v>
      </c>
      <c r="H2920">
        <v>0.44829483581968199</v>
      </c>
      <c r="I2920">
        <v>0.43587003337348801</v>
      </c>
      <c r="J2920">
        <v>0.29518427219467402</v>
      </c>
      <c r="K2920">
        <v>0.18300826449316099</v>
      </c>
      <c r="L2920">
        <v>438.05930984517101</v>
      </c>
      <c r="M2920">
        <v>7.3165079497352696</v>
      </c>
      <c r="N2920">
        <v>59.872732415698998</v>
      </c>
      <c r="O2920">
        <v>55.886677011834202</v>
      </c>
      <c r="P2920">
        <v>-3.2780776669674098E-2</v>
      </c>
      <c r="Q2920">
        <v>0</v>
      </c>
      <c r="R2920">
        <v>0.960038503166459</v>
      </c>
      <c r="S2920" t="s">
        <v>7660</v>
      </c>
      <c r="T2920" t="s">
        <v>9478</v>
      </c>
      <c r="U2920" t="s">
        <v>9478</v>
      </c>
      <c r="V2920" t="s">
        <v>9478</v>
      </c>
      <c r="W2920">
        <v>7</v>
      </c>
      <c r="X2920" t="s">
        <v>12398</v>
      </c>
      <c r="Y2920">
        <v>0.64332171676589867</v>
      </c>
      <c r="Z2920" t="str">
        <f>HYPERLINK("Melting_Curves/meltCurve_sp_Q96FJ2_DYL2_HUMAN_.pdf", "Melting_Curves/meltCurve_sp_Q96FJ2_DYL2_HUMAN_.pdf")</f>
        <v>Melting_Curves/meltCurve_sp_Q96FJ2_DYL2_HUMAN_.pdf</v>
      </c>
      <c r="AA2920" t="s">
        <v>17089</v>
      </c>
      <c r="AB2920" t="s">
        <v>21754</v>
      </c>
    </row>
    <row r="2921" spans="1:28" x14ac:dyDescent="0.25">
      <c r="A2921" t="s">
        <v>2925</v>
      </c>
      <c r="B2921">
        <v>0.99904790336628502</v>
      </c>
      <c r="C2921">
        <v>0.99059201175371403</v>
      </c>
      <c r="D2921">
        <v>1.0043334210694901</v>
      </c>
      <c r="E2921">
        <v>0.92633789579533699</v>
      </c>
      <c r="F2921">
        <v>0.55386292521109104</v>
      </c>
      <c r="G2921">
        <v>0.26295382258479599</v>
      </c>
      <c r="H2921">
        <v>0.16334297010444601</v>
      </c>
      <c r="I2921">
        <v>7.7020141031254596E-2</v>
      </c>
      <c r="J2921">
        <v>5.7010144656035197E-2</v>
      </c>
      <c r="K2921">
        <v>4.24598434162917E-2</v>
      </c>
      <c r="L2921">
        <v>1335.2143110134</v>
      </c>
      <c r="M2921">
        <v>24.890386111760701</v>
      </c>
      <c r="N2921">
        <v>53.960017738803998</v>
      </c>
      <c r="O2921">
        <v>53.3011066640926</v>
      </c>
      <c r="P2921">
        <v>-0.108822665850088</v>
      </c>
      <c r="Q2921">
        <v>6.7866734701026707E-2</v>
      </c>
      <c r="R2921">
        <v>0.99384367467496604</v>
      </c>
      <c r="S2921" t="s">
        <v>7661</v>
      </c>
      <c r="T2921" t="s">
        <v>9478</v>
      </c>
      <c r="U2921" t="s">
        <v>9478</v>
      </c>
      <c r="V2921" t="s">
        <v>9478</v>
      </c>
      <c r="W2921">
        <v>11</v>
      </c>
      <c r="X2921" t="s">
        <v>12399</v>
      </c>
      <c r="Y2921">
        <v>0.50047852948752669</v>
      </c>
      <c r="Z2921" t="str">
        <f>HYPERLINK("Melting_Curves/meltCurve_sp_Q96FV2_SCRN2_HUMAN_.pdf", "Melting_Curves/meltCurve_sp_Q96FV2_SCRN2_HUMAN_.pdf")</f>
        <v>Melting_Curves/meltCurve_sp_Q96FV2_SCRN2_HUMAN_.pdf</v>
      </c>
      <c r="AA2921" t="s">
        <v>17090</v>
      </c>
      <c r="AB2921" t="s">
        <v>21755</v>
      </c>
    </row>
    <row r="2922" spans="1:28" x14ac:dyDescent="0.25">
      <c r="A2922" t="s">
        <v>2926</v>
      </c>
      <c r="B2922">
        <v>0.99904790336628502</v>
      </c>
      <c r="C2922">
        <v>0.77567204216674301</v>
      </c>
      <c r="D2922">
        <v>0.82168765848283098</v>
      </c>
      <c r="E2922">
        <v>0.81068917287258402</v>
      </c>
      <c r="F2922">
        <v>0.67057537717114402</v>
      </c>
      <c r="G2922">
        <v>0.39965130494357498</v>
      </c>
      <c r="H2922">
        <v>0.103074740645205</v>
      </c>
      <c r="I2922">
        <v>6.1016470473792099E-2</v>
      </c>
      <c r="J2922">
        <v>3.65690246297646E-2</v>
      </c>
      <c r="K2922">
        <v>2.50896668522223E-2</v>
      </c>
      <c r="L2922">
        <v>809.95444147290095</v>
      </c>
      <c r="M2922">
        <v>14.8203801372894</v>
      </c>
      <c r="N2922">
        <v>54.651394518239002</v>
      </c>
      <c r="O2922">
        <v>53.685291211624197</v>
      </c>
      <c r="P2922">
        <v>-6.90223704923352E-2</v>
      </c>
      <c r="Q2922">
        <v>0</v>
      </c>
      <c r="R2922">
        <v>0.94722972193032196</v>
      </c>
      <c r="S2922" t="s">
        <v>7662</v>
      </c>
      <c r="T2922" t="s">
        <v>9478</v>
      </c>
      <c r="U2922" t="s">
        <v>9478</v>
      </c>
      <c r="V2922" t="s">
        <v>9478</v>
      </c>
      <c r="W2922">
        <v>3</v>
      </c>
      <c r="X2922" t="s">
        <v>12400</v>
      </c>
      <c r="Y2922">
        <v>0.50839175628484401</v>
      </c>
      <c r="Z2922" t="str">
        <f>HYPERLINK("Melting_Curves/meltCurve_sp_Q96FX7_TRM61_HUMAN_.pdf", "Melting_Curves/meltCurve_sp_Q96FX7_TRM61_HUMAN_.pdf")</f>
        <v>Melting_Curves/meltCurve_sp_Q96FX7_TRM61_HUMAN_.pdf</v>
      </c>
      <c r="AA2922" t="s">
        <v>17091</v>
      </c>
      <c r="AB2922" t="s">
        <v>21756</v>
      </c>
    </row>
    <row r="2923" spans="1:28" x14ac:dyDescent="0.25">
      <c r="A2923" t="s">
        <v>2927</v>
      </c>
      <c r="B2923">
        <v>0.99904790336628502</v>
      </c>
      <c r="C2923">
        <v>1.0343427331675299</v>
      </c>
      <c r="D2923">
        <v>1.0551776360937599</v>
      </c>
      <c r="E2923">
        <v>0.72962540774758</v>
      </c>
      <c r="F2923">
        <v>0.40398814739265498</v>
      </c>
      <c r="G2923">
        <v>0.12167071510649299</v>
      </c>
      <c r="H2923">
        <v>7.2523891685850495E-2</v>
      </c>
      <c r="I2923">
        <v>4.1829892754871902E-2</v>
      </c>
      <c r="J2923">
        <v>5.2130914022315102E-2</v>
      </c>
      <c r="K2923">
        <v>1.8423261417149901E-2</v>
      </c>
      <c r="L2923">
        <v>1433.8811596187199</v>
      </c>
      <c r="M2923">
        <v>27.598246662342699</v>
      </c>
      <c r="N2923">
        <v>52.119275323897597</v>
      </c>
      <c r="O2923">
        <v>51.685022089029303</v>
      </c>
      <c r="P2923">
        <v>-0.12794965705504599</v>
      </c>
      <c r="Q2923">
        <v>4.15301898730671E-2</v>
      </c>
      <c r="R2923">
        <v>0.99472303174215504</v>
      </c>
      <c r="S2923" t="s">
        <v>7663</v>
      </c>
      <c r="T2923" t="s">
        <v>9478</v>
      </c>
      <c r="U2923" t="s">
        <v>9478</v>
      </c>
      <c r="V2923" t="s">
        <v>9478</v>
      </c>
      <c r="W2923">
        <v>1</v>
      </c>
      <c r="X2923" t="s">
        <v>12401</v>
      </c>
      <c r="Y2923">
        <v>0.43071231106646812</v>
      </c>
      <c r="Z2923" t="str">
        <f>HYPERLINK("Melting_Curves/meltCurve_sp_Q96G01_3_BICD1_HUMAN_.pdf", "Melting_Curves/meltCurve_sp_Q96G01_3_BICD1_HUMAN_.pdf")</f>
        <v>Melting_Curves/meltCurve_sp_Q96G01_3_BICD1_HUMAN_.pdf</v>
      </c>
      <c r="AA2923" t="s">
        <v>17092</v>
      </c>
      <c r="AB2923" t="s">
        <v>21757</v>
      </c>
    </row>
    <row r="2924" spans="1:28" x14ac:dyDescent="0.25">
      <c r="A2924" t="s">
        <v>2928</v>
      </c>
      <c r="B2924">
        <v>0.99904790336628502</v>
      </c>
      <c r="C2924">
        <v>0.95041518134559</v>
      </c>
      <c r="D2924">
        <v>0.98161940461641795</v>
      </c>
      <c r="E2924">
        <v>0.990040453915361</v>
      </c>
      <c r="F2924">
        <v>0.95260108759073303</v>
      </c>
      <c r="G2924">
        <v>0.78178616755063701</v>
      </c>
      <c r="H2924">
        <v>0.55504791911309503</v>
      </c>
      <c r="I2924">
        <v>0.46388957241256201</v>
      </c>
      <c r="J2924">
        <v>0.372604043971974</v>
      </c>
      <c r="K2924">
        <v>0.19489401476662899</v>
      </c>
      <c r="L2924">
        <v>826.91825313622201</v>
      </c>
      <c r="M2924">
        <v>13.2349996130043</v>
      </c>
      <c r="N2924">
        <v>62.923725061907398</v>
      </c>
      <c r="O2924">
        <v>61.104902371170503</v>
      </c>
      <c r="P2924">
        <v>-5.1742884892165102E-2</v>
      </c>
      <c r="Q2924">
        <v>4.4586509882867699E-2</v>
      </c>
      <c r="R2924">
        <v>0.98765243315224605</v>
      </c>
      <c r="S2924" t="s">
        <v>7664</v>
      </c>
      <c r="T2924" t="s">
        <v>9478</v>
      </c>
      <c r="U2924" t="s">
        <v>9478</v>
      </c>
      <c r="V2924" t="s">
        <v>9478</v>
      </c>
      <c r="W2924">
        <v>34</v>
      </c>
      <c r="X2924" t="s">
        <v>12402</v>
      </c>
      <c r="Y2924">
        <v>0.75039292996467166</v>
      </c>
      <c r="Z2924" t="str">
        <f>HYPERLINK("Melting_Curves/meltCurve_sp_Q96G03_PGM2_HUMAN_.pdf", "Melting_Curves/meltCurve_sp_Q96G03_PGM2_HUMAN_.pdf")</f>
        <v>Melting_Curves/meltCurve_sp_Q96G03_PGM2_HUMAN_.pdf</v>
      </c>
      <c r="AA2924" t="s">
        <v>17093</v>
      </c>
      <c r="AB2924" t="s">
        <v>21758</v>
      </c>
    </row>
    <row r="2925" spans="1:28" x14ac:dyDescent="0.25">
      <c r="A2925" t="s">
        <v>2929</v>
      </c>
      <c r="B2925">
        <v>0.99904790336628502</v>
      </c>
      <c r="C2925">
        <v>0.95531110659876695</v>
      </c>
      <c r="D2925">
        <v>0.99250261397779904</v>
      </c>
      <c r="E2925">
        <v>0.99876535380885501</v>
      </c>
      <c r="F2925">
        <v>0.96374425750595505</v>
      </c>
      <c r="G2925">
        <v>0.72764584148920197</v>
      </c>
      <c r="H2925">
        <v>0.24156079969975899</v>
      </c>
      <c r="I2925">
        <v>0.15417889345840899</v>
      </c>
      <c r="J2925">
        <v>0.112311063790639</v>
      </c>
      <c r="K2925">
        <v>0.10594561288485101</v>
      </c>
      <c r="L2925">
        <v>2144.5557892683501</v>
      </c>
      <c r="M2925">
        <v>36.827067364720101</v>
      </c>
      <c r="N2925">
        <v>58.623212975286798</v>
      </c>
      <c r="O2925">
        <v>58.062232861349401</v>
      </c>
      <c r="P2925">
        <v>-0.141336984812411</v>
      </c>
      <c r="Q2925">
        <v>0.108664628562476</v>
      </c>
      <c r="R2925">
        <v>0.99834742026961798</v>
      </c>
      <c r="S2925" t="s">
        <v>7665</v>
      </c>
      <c r="T2925" t="s">
        <v>9478</v>
      </c>
      <c r="U2925" t="s">
        <v>9478</v>
      </c>
      <c r="V2925" t="s">
        <v>9478</v>
      </c>
      <c r="W2925">
        <v>7</v>
      </c>
      <c r="X2925" t="s">
        <v>12403</v>
      </c>
      <c r="Y2925">
        <v>0.65448443753758101</v>
      </c>
      <c r="Z2925" t="str">
        <f>HYPERLINK("Melting_Curves/meltCurve_sp_Q96G46_DUS3L_HUMAN_.pdf", "Melting_Curves/meltCurve_sp_Q96G46_DUS3L_HUMAN_.pdf")</f>
        <v>Melting_Curves/meltCurve_sp_Q96G46_DUS3L_HUMAN_.pdf</v>
      </c>
      <c r="AA2925" t="s">
        <v>17094</v>
      </c>
      <c r="AB2925" t="s">
        <v>21759</v>
      </c>
    </row>
    <row r="2926" spans="1:28" x14ac:dyDescent="0.25">
      <c r="A2926" t="s">
        <v>2930</v>
      </c>
      <c r="B2926">
        <v>0.99904790336628502</v>
      </c>
      <c r="C2926">
        <v>1.00917989335221</v>
      </c>
      <c r="D2926">
        <v>0.98572006972682902</v>
      </c>
      <c r="E2926">
        <v>0.90887365509062801</v>
      </c>
      <c r="F2926">
        <v>0.81347821438777601</v>
      </c>
      <c r="G2926">
        <v>0.54356397216471197</v>
      </c>
      <c r="H2926">
        <v>0.28303920095838397</v>
      </c>
      <c r="I2926">
        <v>0.154153565238279</v>
      </c>
      <c r="J2926">
        <v>6.0592590302624802E-2</v>
      </c>
      <c r="K2926">
        <v>3.99237109611967E-2</v>
      </c>
      <c r="L2926">
        <v>981.28483769291404</v>
      </c>
      <c r="M2926">
        <v>17.055909630849801</v>
      </c>
      <c r="N2926">
        <v>57.533422005558698</v>
      </c>
      <c r="O2926">
        <v>56.759987379891101</v>
      </c>
      <c r="P2926">
        <v>-7.5127527894674806E-2</v>
      </c>
      <c r="Q2926">
        <v>0</v>
      </c>
      <c r="R2926">
        <v>0.99924352437029895</v>
      </c>
      <c r="S2926" t="s">
        <v>7666</v>
      </c>
      <c r="T2926" t="s">
        <v>9478</v>
      </c>
      <c r="U2926" t="s">
        <v>9478</v>
      </c>
      <c r="V2926" t="s">
        <v>9478</v>
      </c>
      <c r="W2926">
        <v>13</v>
      </c>
      <c r="X2926" t="s">
        <v>12404</v>
      </c>
      <c r="Y2926">
        <v>0.59805647228130854</v>
      </c>
      <c r="Z2926" t="str">
        <f>HYPERLINK("Melting_Curves/meltCurve_sp_Q96GA7_SDSL_HUMAN_.pdf", "Melting_Curves/meltCurve_sp_Q96GA7_SDSL_HUMAN_.pdf")</f>
        <v>Melting_Curves/meltCurve_sp_Q96GA7_SDSL_HUMAN_.pdf</v>
      </c>
      <c r="AA2926" t="s">
        <v>17095</v>
      </c>
      <c r="AB2926" t="s">
        <v>21760</v>
      </c>
    </row>
    <row r="2927" spans="1:28" x14ac:dyDescent="0.25">
      <c r="A2927" t="s">
        <v>2931</v>
      </c>
      <c r="B2927">
        <v>0.99904790336628502</v>
      </c>
      <c r="C2927">
        <v>0.94768342676595396</v>
      </c>
      <c r="D2927">
        <v>0.93007740780358505</v>
      </c>
      <c r="E2927">
        <v>0.97796403226005502</v>
      </c>
      <c r="F2927">
        <v>0.94061393838012197</v>
      </c>
      <c r="G2927">
        <v>0.87872713793750901</v>
      </c>
      <c r="H2927">
        <v>0.67951608281574505</v>
      </c>
      <c r="I2927">
        <v>0.67787496636796496</v>
      </c>
      <c r="J2927">
        <v>0.58652492518964305</v>
      </c>
      <c r="K2927">
        <v>0.35609216858947201</v>
      </c>
      <c r="L2927">
        <v>664.734454846576</v>
      </c>
      <c r="M2927">
        <v>9.8293867849031997</v>
      </c>
      <c r="N2927">
        <v>67.627255462793698</v>
      </c>
      <c r="O2927">
        <v>65.006476362851998</v>
      </c>
      <c r="P2927">
        <v>-3.7821202645959603E-2</v>
      </c>
      <c r="Q2927">
        <v>0</v>
      </c>
      <c r="R2927">
        <v>0.95067748065390001</v>
      </c>
      <c r="S2927" t="s">
        <v>7667</v>
      </c>
      <c r="T2927" t="s">
        <v>9478</v>
      </c>
      <c r="U2927" t="s">
        <v>9478</v>
      </c>
      <c r="V2927" t="s">
        <v>9478</v>
      </c>
      <c r="W2927">
        <v>14</v>
      </c>
      <c r="X2927" t="s">
        <v>12405</v>
      </c>
      <c r="Y2927">
        <v>0.82747348831924272</v>
      </c>
      <c r="Z2927" t="str">
        <f>HYPERLINK("Melting_Curves/meltCurve_sp_Q96GD0_PLPP_HUMAN_.pdf", "Melting_Curves/meltCurve_sp_Q96GD0_PLPP_HUMAN_.pdf")</f>
        <v>Melting_Curves/meltCurve_sp_Q96GD0_PLPP_HUMAN_.pdf</v>
      </c>
      <c r="AA2927" t="s">
        <v>17096</v>
      </c>
      <c r="AB2927" t="s">
        <v>21761</v>
      </c>
    </row>
    <row r="2928" spans="1:28" x14ac:dyDescent="0.25">
      <c r="A2928" t="s">
        <v>2932</v>
      </c>
      <c r="B2928">
        <v>0.99904790336628502</v>
      </c>
      <c r="C2928">
        <v>0.94974309433641502</v>
      </c>
      <c r="D2928">
        <v>0.99456625367947804</v>
      </c>
      <c r="E2928">
        <v>0.96058841408227302</v>
      </c>
      <c r="F2928">
        <v>1.09268039696789</v>
      </c>
      <c r="G2928">
        <v>0.74175929956296105</v>
      </c>
      <c r="H2928">
        <v>0.61933519112279001</v>
      </c>
      <c r="I2928">
        <v>0.56260076638707701</v>
      </c>
      <c r="J2928">
        <v>0.57651448168186503</v>
      </c>
      <c r="K2928">
        <v>0.51983815961966395</v>
      </c>
      <c r="L2928">
        <v>9060.1674219742999</v>
      </c>
      <c r="M2928">
        <v>159.35552200038401</v>
      </c>
      <c r="O2928">
        <v>56.8461289059289</v>
      </c>
      <c r="P2928">
        <v>-0.301654726756445</v>
      </c>
      <c r="Q2928">
        <v>0.56956882793749197</v>
      </c>
      <c r="R2928">
        <v>0.958936245805179</v>
      </c>
      <c r="S2928" t="s">
        <v>7668</v>
      </c>
      <c r="T2928" t="s">
        <v>9478</v>
      </c>
      <c r="U2928" t="s">
        <v>9478</v>
      </c>
      <c r="V2928" t="s">
        <v>9478</v>
      </c>
      <c r="W2928">
        <v>2</v>
      </c>
      <c r="X2928" t="s">
        <v>12406</v>
      </c>
      <c r="Y2928">
        <v>0.811505976424158</v>
      </c>
      <c r="Z2928" t="str">
        <f>HYPERLINK("Melting_Curves/meltCurve_sp_Q96GE6_2_CALL4_HUMAN_.pdf", "Melting_Curves/meltCurve_sp_Q96GE6_2_CALL4_HUMAN_.pdf")</f>
        <v>Melting_Curves/meltCurve_sp_Q96GE6_2_CALL4_HUMAN_.pdf</v>
      </c>
      <c r="AA2928" t="s">
        <v>17097</v>
      </c>
      <c r="AB2928" t="s">
        <v>21762</v>
      </c>
    </row>
    <row r="2929" spans="1:28" x14ac:dyDescent="0.25">
      <c r="A2929" t="s">
        <v>2933</v>
      </c>
      <c r="B2929">
        <v>0.99904790336628502</v>
      </c>
      <c r="C2929">
        <v>0.88224725640368096</v>
      </c>
      <c r="D2929">
        <v>0.90849095932087698</v>
      </c>
      <c r="E2929">
        <v>0.81916302935315999</v>
      </c>
      <c r="F2929">
        <v>0.92127163616580399</v>
      </c>
      <c r="G2929">
        <v>0.82203441557808699</v>
      </c>
      <c r="H2929">
        <v>0.70951764464836897</v>
      </c>
      <c r="I2929">
        <v>0.77154335897843096</v>
      </c>
      <c r="J2929">
        <v>0.70685285104842999</v>
      </c>
      <c r="K2929">
        <v>1.07688743443187</v>
      </c>
      <c r="L2929">
        <v>699.85607884805597</v>
      </c>
      <c r="M2929">
        <v>16.046417871444898</v>
      </c>
      <c r="O2929">
        <v>42.953971651328303</v>
      </c>
      <c r="P2929">
        <v>-1.6041851996431301E-2</v>
      </c>
      <c r="Q2929">
        <v>0.82824632643704899</v>
      </c>
      <c r="R2929">
        <v>0.18495522286432201</v>
      </c>
      <c r="S2929" t="s">
        <v>7669</v>
      </c>
      <c r="T2929" t="s">
        <v>9478</v>
      </c>
      <c r="U2929" t="s">
        <v>9478</v>
      </c>
      <c r="V2929" t="s">
        <v>9478</v>
      </c>
      <c r="W2929">
        <v>2</v>
      </c>
      <c r="X2929" t="s">
        <v>12407</v>
      </c>
      <c r="Y2929">
        <v>0.85467897093496736</v>
      </c>
      <c r="Z2929" t="str">
        <f>HYPERLINK("Melting_Curves/meltCurve_sp_Q96GF1_RN185_HUMAN_.pdf", "Melting_Curves/meltCurve_sp_Q96GF1_RN185_HUMAN_.pdf")</f>
        <v>Melting_Curves/meltCurve_sp_Q96GF1_RN185_HUMAN_.pdf</v>
      </c>
      <c r="AA2929" t="s">
        <v>17098</v>
      </c>
      <c r="AB2929" t="s">
        <v>21763</v>
      </c>
    </row>
    <row r="2930" spans="1:28" x14ac:dyDescent="0.25">
      <c r="A2930" t="s">
        <v>2934</v>
      </c>
      <c r="B2930">
        <v>0.99904790336628502</v>
      </c>
      <c r="C2930">
        <v>0.96548366283322495</v>
      </c>
      <c r="D2930">
        <v>0.95266220240547705</v>
      </c>
      <c r="E2930">
        <v>0.95914899271777299</v>
      </c>
      <c r="F2930">
        <v>0.90169798932877598</v>
      </c>
      <c r="G2930">
        <v>0.36190719757428302</v>
      </c>
      <c r="H2930">
        <v>7.5450897644397594E-2</v>
      </c>
      <c r="I2930">
        <v>4.6622217191779003E-2</v>
      </c>
      <c r="J2930">
        <v>3.5402544859399601E-2</v>
      </c>
      <c r="K2930">
        <v>3.0551370616095998E-2</v>
      </c>
      <c r="L2930">
        <v>2082.62485193559</v>
      </c>
      <c r="M2930">
        <v>37.193392713878502</v>
      </c>
      <c r="N2930">
        <v>56.097482044400302</v>
      </c>
      <c r="O2930">
        <v>55.833352693316598</v>
      </c>
      <c r="P2930">
        <v>-0.161041428076316</v>
      </c>
      <c r="Q2930">
        <v>3.3004848004190901E-2</v>
      </c>
      <c r="R2930">
        <v>0.99766483891730395</v>
      </c>
      <c r="S2930" t="s">
        <v>7670</v>
      </c>
      <c r="T2930" t="s">
        <v>9478</v>
      </c>
      <c r="U2930" t="s">
        <v>9478</v>
      </c>
      <c r="V2930" t="s">
        <v>9478</v>
      </c>
      <c r="W2930">
        <v>12</v>
      </c>
      <c r="X2930" t="s">
        <v>12408</v>
      </c>
      <c r="Y2930">
        <v>0.55284626318596197</v>
      </c>
      <c r="Z2930" t="str">
        <f>HYPERLINK("Melting_Curves/meltCurve_sp_Q96GG9_DCNL1_HUMAN_.pdf", "Melting_Curves/meltCurve_sp_Q96GG9_DCNL1_HUMAN_.pdf")</f>
        <v>Melting_Curves/meltCurve_sp_Q96GG9_DCNL1_HUMAN_.pdf</v>
      </c>
      <c r="AA2930" t="s">
        <v>17099</v>
      </c>
      <c r="AB2930" t="s">
        <v>21764</v>
      </c>
    </row>
    <row r="2931" spans="1:28" x14ac:dyDescent="0.25">
      <c r="A2931" t="s">
        <v>2935</v>
      </c>
      <c r="B2931">
        <v>0.99904790336628502</v>
      </c>
      <c r="C2931">
        <v>0.99670996678920598</v>
      </c>
      <c r="D2931">
        <v>0.96286635682062804</v>
      </c>
      <c r="E2931">
        <v>0.83492808720364897</v>
      </c>
      <c r="F2931">
        <v>0.57055857614007399</v>
      </c>
      <c r="G2931">
        <v>0.24946572862805499</v>
      </c>
      <c r="H2931">
        <v>0.133258233676392</v>
      </c>
      <c r="I2931">
        <v>0.106211349848433</v>
      </c>
      <c r="J2931">
        <v>8.8867768435062805E-2</v>
      </c>
      <c r="K2931">
        <v>5.6974338385214401E-2</v>
      </c>
      <c r="L2931">
        <v>1172.3779400671999</v>
      </c>
      <c r="M2931">
        <v>21.963672603644</v>
      </c>
      <c r="N2931">
        <v>53.7539793906098</v>
      </c>
      <c r="O2931">
        <v>52.941446027286297</v>
      </c>
      <c r="P2931">
        <v>-9.6334873890539005E-2</v>
      </c>
      <c r="Q2931">
        <v>7.1194520930094096E-2</v>
      </c>
      <c r="R2931">
        <v>0.999495073128989</v>
      </c>
      <c r="S2931" t="s">
        <v>7671</v>
      </c>
      <c r="T2931" t="s">
        <v>9478</v>
      </c>
      <c r="U2931" t="s">
        <v>9478</v>
      </c>
      <c r="V2931" t="s">
        <v>9478</v>
      </c>
      <c r="W2931">
        <v>19</v>
      </c>
      <c r="X2931" t="s">
        <v>12409</v>
      </c>
      <c r="Y2931">
        <v>0.49621870434337628</v>
      </c>
      <c r="Z2931" t="str">
        <f>HYPERLINK("Melting_Curves/meltCurve_sp_Q96GK7_FAH2A_HUMAN_.pdf", "Melting_Curves/meltCurve_sp_Q96GK7_FAH2A_HUMAN_.pdf")</f>
        <v>Melting_Curves/meltCurve_sp_Q96GK7_FAH2A_HUMAN_.pdf</v>
      </c>
      <c r="AA2931" t="s">
        <v>17100</v>
      </c>
      <c r="AB2931" t="s">
        <v>21765</v>
      </c>
    </row>
    <row r="2932" spans="1:28" x14ac:dyDescent="0.25">
      <c r="A2932" t="s">
        <v>2936</v>
      </c>
      <c r="B2932">
        <v>0.99904790336628502</v>
      </c>
      <c r="C2932">
        <v>1.04635152345448</v>
      </c>
      <c r="D2932">
        <v>1.0278054312109599</v>
      </c>
      <c r="E2932">
        <v>0.93264788421446998</v>
      </c>
      <c r="F2932">
        <v>0.78024521778331501</v>
      </c>
      <c r="G2932">
        <v>0.56287140646588196</v>
      </c>
      <c r="H2932">
        <v>0.303711011293611</v>
      </c>
      <c r="I2932">
        <v>0.207850304582754</v>
      </c>
      <c r="J2932">
        <v>0.16007416987390899</v>
      </c>
      <c r="K2932">
        <v>0.130283960803769</v>
      </c>
      <c r="L2932">
        <v>1000.9898883495</v>
      </c>
      <c r="M2932">
        <v>17.583057896828201</v>
      </c>
      <c r="N2932">
        <v>57.6400083383488</v>
      </c>
      <c r="O2932">
        <v>56.208145139821099</v>
      </c>
      <c r="P2932">
        <v>-7.0586721126609603E-2</v>
      </c>
      <c r="Q2932">
        <v>9.7464023745241199E-2</v>
      </c>
      <c r="R2932">
        <v>0.99602644994267497</v>
      </c>
      <c r="S2932" t="s">
        <v>7672</v>
      </c>
      <c r="T2932" t="s">
        <v>9478</v>
      </c>
      <c r="U2932" t="s">
        <v>9478</v>
      </c>
      <c r="V2932" t="s">
        <v>9478</v>
      </c>
      <c r="W2932">
        <v>6</v>
      </c>
      <c r="X2932" t="s">
        <v>12410</v>
      </c>
      <c r="Y2932">
        <v>0.6195173212478976</v>
      </c>
      <c r="Z2932" t="str">
        <f>HYPERLINK("Melting_Curves/meltCurve_sp_Q96GS4_CQ059_HUMAN_.pdf", "Melting_Curves/meltCurve_sp_Q96GS4_CQ059_HUMAN_.pdf")</f>
        <v>Melting_Curves/meltCurve_sp_Q96GS4_CQ059_HUMAN_.pdf</v>
      </c>
      <c r="AA2932" t="s">
        <v>17101</v>
      </c>
      <c r="AB2932" t="s">
        <v>21766</v>
      </c>
    </row>
    <row r="2933" spans="1:28" x14ac:dyDescent="0.25">
      <c r="A2933" t="s">
        <v>2937</v>
      </c>
      <c r="B2933">
        <v>0.99904790336628502</v>
      </c>
      <c r="C2933">
        <v>0.95708023226269801</v>
      </c>
      <c r="D2933">
        <v>0.93404699104067201</v>
      </c>
      <c r="E2933">
        <v>0.91211210310348001</v>
      </c>
      <c r="F2933">
        <v>0.85764420572976996</v>
      </c>
      <c r="G2933">
        <v>0.60978418788403899</v>
      </c>
      <c r="H2933">
        <v>0.22734894958358801</v>
      </c>
      <c r="I2933">
        <v>0.111977534901956</v>
      </c>
      <c r="J2933">
        <v>7.6759840325609993E-2</v>
      </c>
      <c r="K2933">
        <v>6.5760195237522703E-2</v>
      </c>
      <c r="L2933">
        <v>1213.09896647654</v>
      </c>
      <c r="M2933">
        <v>21.0390865668478</v>
      </c>
      <c r="N2933">
        <v>57.783266423651597</v>
      </c>
      <c r="O2933">
        <v>57.1459699376123</v>
      </c>
      <c r="P2933">
        <v>-9.0012449297461203E-2</v>
      </c>
      <c r="Q2933">
        <v>2.2065645713948499E-2</v>
      </c>
      <c r="R2933">
        <v>0.99237790230392597</v>
      </c>
      <c r="S2933" t="s">
        <v>7673</v>
      </c>
      <c r="T2933" t="s">
        <v>9478</v>
      </c>
      <c r="U2933" t="s">
        <v>9478</v>
      </c>
      <c r="V2933" t="s">
        <v>9478</v>
      </c>
      <c r="W2933">
        <v>16</v>
      </c>
      <c r="X2933" t="s">
        <v>12411</v>
      </c>
      <c r="Y2933">
        <v>0.60852225627700096</v>
      </c>
      <c r="Z2933" t="str">
        <f>HYPERLINK("Melting_Curves/meltCurve_sp_Q96GW9_SYMM_HUMAN_.pdf", "Melting_Curves/meltCurve_sp_Q96GW9_SYMM_HUMAN_.pdf")</f>
        <v>Melting_Curves/meltCurve_sp_Q96GW9_SYMM_HUMAN_.pdf</v>
      </c>
      <c r="AA2933" t="s">
        <v>17102</v>
      </c>
      <c r="AB2933" t="s">
        <v>21767</v>
      </c>
    </row>
    <row r="2934" spans="1:28" x14ac:dyDescent="0.25">
      <c r="A2934" t="s">
        <v>2938</v>
      </c>
      <c r="B2934">
        <v>0.99904790336628502</v>
      </c>
      <c r="C2934">
        <v>0.98326240396725395</v>
      </c>
      <c r="D2934">
        <v>0.92863405821518197</v>
      </c>
      <c r="E2934">
        <v>0.91113130561947397</v>
      </c>
      <c r="F2934">
        <v>0.72590625840427803</v>
      </c>
      <c r="G2934">
        <v>0.460652765820593</v>
      </c>
      <c r="H2934">
        <v>0.20579795000954801</v>
      </c>
      <c r="I2934">
        <v>0.16798013670718101</v>
      </c>
      <c r="J2934">
        <v>0.13514976910948001</v>
      </c>
      <c r="K2934">
        <v>0.105026972933317</v>
      </c>
      <c r="L2934">
        <v>1009.73668555189</v>
      </c>
      <c r="M2934">
        <v>18.1592199132673</v>
      </c>
      <c r="N2934">
        <v>56.174088896119997</v>
      </c>
      <c r="O2934">
        <v>54.943460866359501</v>
      </c>
      <c r="P2934">
        <v>-7.5684136159265905E-2</v>
      </c>
      <c r="Q2934">
        <v>8.4068493246397299E-2</v>
      </c>
      <c r="R2934">
        <v>0.99653571833518895</v>
      </c>
      <c r="S2934" t="s">
        <v>7674</v>
      </c>
      <c r="T2934" t="s">
        <v>9478</v>
      </c>
      <c r="U2934" t="s">
        <v>9478</v>
      </c>
      <c r="V2934" t="s">
        <v>9478</v>
      </c>
      <c r="W2934">
        <v>2</v>
      </c>
      <c r="X2934" t="s">
        <v>12412</v>
      </c>
      <c r="Y2934">
        <v>0.57412858991869031</v>
      </c>
      <c r="Z2934" t="str">
        <f>HYPERLINK("Melting_Curves/meltCurve_sp_Q96GX2_A7L3B_HUMAN_.pdf", "Melting_Curves/meltCurve_sp_Q96GX2_A7L3B_HUMAN_.pdf")</f>
        <v>Melting_Curves/meltCurve_sp_Q96GX2_A7L3B_HUMAN_.pdf</v>
      </c>
      <c r="AA2934" t="s">
        <v>17103</v>
      </c>
      <c r="AB2934" t="s">
        <v>21768</v>
      </c>
    </row>
    <row r="2935" spans="1:28" x14ac:dyDescent="0.25">
      <c r="A2935" t="s">
        <v>2939</v>
      </c>
      <c r="B2935">
        <v>0.99904790336628502</v>
      </c>
      <c r="C2935">
        <v>1.0014869445896399</v>
      </c>
      <c r="D2935">
        <v>1.0347336683269299</v>
      </c>
      <c r="E2935">
        <v>1.0439859828817599</v>
      </c>
      <c r="F2935">
        <v>0.81775871409646494</v>
      </c>
      <c r="G2935">
        <v>0.72945005450579403</v>
      </c>
      <c r="H2935">
        <v>0.51989817483842105</v>
      </c>
      <c r="I2935">
        <v>0.43750143206620301</v>
      </c>
      <c r="J2935">
        <v>0.36858793757741098</v>
      </c>
      <c r="K2935">
        <v>0.28922235240481198</v>
      </c>
      <c r="L2935">
        <v>912.32559802206902</v>
      </c>
      <c r="M2935">
        <v>15.491873331413499</v>
      </c>
      <c r="N2935">
        <v>61.694307683208898</v>
      </c>
      <c r="O2935">
        <v>57.935519947770999</v>
      </c>
      <c r="P2935">
        <v>-4.9960764496136199E-2</v>
      </c>
      <c r="Q2935">
        <v>0.25270651435048402</v>
      </c>
      <c r="R2935">
        <v>0.98022751386766105</v>
      </c>
      <c r="S2935" t="s">
        <v>7675</v>
      </c>
      <c r="T2935" t="s">
        <v>9478</v>
      </c>
      <c r="U2935" t="s">
        <v>9478</v>
      </c>
      <c r="V2935" t="s">
        <v>9478</v>
      </c>
      <c r="W2935">
        <v>11</v>
      </c>
      <c r="X2935" t="s">
        <v>12413</v>
      </c>
      <c r="Y2935">
        <v>0.73144349193336999</v>
      </c>
      <c r="Z2935" t="str">
        <f>HYPERLINK("Melting_Curves/meltCurve_sp_Q96GX9_MTNB_HUMAN_.pdf", "Melting_Curves/meltCurve_sp_Q96GX9_MTNB_HUMAN_.pdf")</f>
        <v>Melting_Curves/meltCurve_sp_Q96GX9_MTNB_HUMAN_.pdf</v>
      </c>
      <c r="AA2935" t="s">
        <v>17104</v>
      </c>
      <c r="AB2935" t="s">
        <v>21769</v>
      </c>
    </row>
    <row r="2936" spans="1:28" x14ac:dyDescent="0.25">
      <c r="A2936" t="s">
        <v>2940</v>
      </c>
      <c r="B2936">
        <v>0.99904790336628502</v>
      </c>
      <c r="C2936">
        <v>0.99509973155071896</v>
      </c>
      <c r="D2936">
        <v>1.04735117632319</v>
      </c>
      <c r="E2936">
        <v>0.95533270024751904</v>
      </c>
      <c r="F2936">
        <v>0.72298363773061702</v>
      </c>
      <c r="G2936">
        <v>0.22738869984806501</v>
      </c>
      <c r="H2936">
        <v>8.2030815999977996E-2</v>
      </c>
      <c r="I2936">
        <v>4.8268308727890299E-2</v>
      </c>
      <c r="J2936">
        <v>3.8737764108823798E-2</v>
      </c>
      <c r="K2936">
        <v>3.6397694497204397E-2</v>
      </c>
      <c r="L2936">
        <v>1761.3399240766701</v>
      </c>
      <c r="M2936">
        <v>32.317237295129097</v>
      </c>
      <c r="N2936">
        <v>54.645727803037602</v>
      </c>
      <c r="O2936">
        <v>54.294149774288101</v>
      </c>
      <c r="P2936">
        <v>-0.14272567442655601</v>
      </c>
      <c r="Q2936">
        <v>4.0867112050302502E-2</v>
      </c>
      <c r="R2936">
        <v>0.99859375664011896</v>
      </c>
      <c r="S2936" t="s">
        <v>7676</v>
      </c>
      <c r="T2936" t="s">
        <v>9478</v>
      </c>
      <c r="U2936" t="s">
        <v>9478</v>
      </c>
      <c r="V2936" t="s">
        <v>9478</v>
      </c>
      <c r="W2936">
        <v>9</v>
      </c>
      <c r="X2936" t="s">
        <v>12414</v>
      </c>
      <c r="Y2936">
        <v>0.5099861657187591</v>
      </c>
      <c r="Z2936" t="str">
        <f>HYPERLINK("Melting_Curves/meltCurve_sp_Q96H20_SNF8_HUMAN_.pdf", "Melting_Curves/meltCurve_sp_Q96H20_SNF8_HUMAN_.pdf")</f>
        <v>Melting_Curves/meltCurve_sp_Q96H20_SNF8_HUMAN_.pdf</v>
      </c>
      <c r="AA2936" t="s">
        <v>17105</v>
      </c>
      <c r="AB2936" t="s">
        <v>21770</v>
      </c>
    </row>
    <row r="2937" spans="1:28" x14ac:dyDescent="0.25">
      <c r="A2937" t="s">
        <v>2941</v>
      </c>
      <c r="B2937">
        <v>0.99904790336628502</v>
      </c>
      <c r="C2937">
        <v>0.975713996095809</v>
      </c>
      <c r="D2937">
        <v>0.92648352607149298</v>
      </c>
      <c r="E2937">
        <v>0.95270848923315798</v>
      </c>
      <c r="F2937">
        <v>0.90971920812570495</v>
      </c>
      <c r="G2937">
        <v>0.77841188200946498</v>
      </c>
      <c r="H2937">
        <v>0.63497434289303001</v>
      </c>
      <c r="I2937">
        <v>0.59436621382356303</v>
      </c>
      <c r="J2937">
        <v>0.546646805762937</v>
      </c>
      <c r="K2937">
        <v>0.495701841150476</v>
      </c>
      <c r="L2937">
        <v>723.85668194091704</v>
      </c>
      <c r="M2937">
        <v>12.2549118922642</v>
      </c>
      <c r="O2937">
        <v>57.559887892906801</v>
      </c>
      <c r="P2937">
        <v>-3.0509062280086E-2</v>
      </c>
      <c r="Q2937">
        <v>0.42693710216627201</v>
      </c>
      <c r="R2937">
        <v>0.98586005303477997</v>
      </c>
      <c r="S2937" t="s">
        <v>7677</v>
      </c>
      <c r="T2937" t="s">
        <v>9478</v>
      </c>
      <c r="U2937" t="s">
        <v>9478</v>
      </c>
      <c r="V2937" t="s">
        <v>9478</v>
      </c>
      <c r="W2937">
        <v>30</v>
      </c>
      <c r="X2937" t="s">
        <v>12415</v>
      </c>
      <c r="Y2937">
        <v>0.79571141144785806</v>
      </c>
      <c r="Z2937" t="str">
        <f>HYPERLINK("Melting_Curves/meltCurve_sp_Q96HC4_PDLI5_HUMAN_.pdf", "Melting_Curves/meltCurve_sp_Q96HC4_PDLI5_HUMAN_.pdf")</f>
        <v>Melting_Curves/meltCurve_sp_Q96HC4_PDLI5_HUMAN_.pdf</v>
      </c>
      <c r="AA2937" t="s">
        <v>17106</v>
      </c>
      <c r="AB2937" t="s">
        <v>21771</v>
      </c>
    </row>
    <row r="2938" spans="1:28" x14ac:dyDescent="0.25">
      <c r="A2938" t="s">
        <v>2942</v>
      </c>
      <c r="B2938">
        <v>0.99904790336628502</v>
      </c>
      <c r="C2938">
        <v>0.91285551206059701</v>
      </c>
      <c r="D2938">
        <v>0.91854336196118902</v>
      </c>
      <c r="E2938">
        <v>0.56770285464731496</v>
      </c>
      <c r="F2938">
        <v>0.26478703585161401</v>
      </c>
      <c r="G2938">
        <v>0.154498687493618</v>
      </c>
      <c r="H2938">
        <v>9.4437338818636404E-2</v>
      </c>
      <c r="I2938">
        <v>5.6861233861925403E-2</v>
      </c>
      <c r="J2938">
        <v>3.7016670663933798E-2</v>
      </c>
      <c r="K2938">
        <v>2.8729126587761802E-2</v>
      </c>
      <c r="L2938">
        <v>1065.5130782644501</v>
      </c>
      <c r="M2938">
        <v>21.147200725191301</v>
      </c>
      <c r="N2938">
        <v>50.620532322739599</v>
      </c>
      <c r="O2938">
        <v>49.941462227112901</v>
      </c>
      <c r="P2938">
        <v>-0.100913269325011</v>
      </c>
      <c r="Q2938">
        <v>4.6753160400981403E-2</v>
      </c>
      <c r="R2938">
        <v>0.99441859999401205</v>
      </c>
      <c r="S2938" t="s">
        <v>7678</v>
      </c>
      <c r="T2938" t="s">
        <v>9478</v>
      </c>
      <c r="U2938" t="s">
        <v>9478</v>
      </c>
      <c r="V2938" t="s">
        <v>9478</v>
      </c>
      <c r="W2938">
        <v>10</v>
      </c>
      <c r="X2938" t="s">
        <v>12416</v>
      </c>
      <c r="Y2938">
        <v>0.38865166616712071</v>
      </c>
      <c r="Z2938" t="str">
        <f>HYPERLINK("Melting_Curves/meltCurve_sp_Q96HD9_ACY3_HUMAN_.pdf", "Melting_Curves/meltCurve_sp_Q96HD9_ACY3_HUMAN_.pdf")</f>
        <v>Melting_Curves/meltCurve_sp_Q96HD9_ACY3_HUMAN_.pdf</v>
      </c>
      <c r="AA2938" t="s">
        <v>17107</v>
      </c>
      <c r="AB2938" t="s">
        <v>21772</v>
      </c>
    </row>
    <row r="2939" spans="1:28" x14ac:dyDescent="0.25">
      <c r="A2939" t="s">
        <v>2943</v>
      </c>
      <c r="B2939">
        <v>0.99904790336628502</v>
      </c>
      <c r="C2939">
        <v>0.939904425790558</v>
      </c>
      <c r="D2939">
        <v>0.93688654890199996</v>
      </c>
      <c r="E2939">
        <v>0.88923491816933198</v>
      </c>
      <c r="F2939">
        <v>0.56408964086226199</v>
      </c>
      <c r="G2939">
        <v>0.15003150712198601</v>
      </c>
      <c r="H2939">
        <v>6.4553892604534494E-2</v>
      </c>
      <c r="I2939">
        <v>4.2090773976695799E-2</v>
      </c>
      <c r="J2939">
        <v>3.6563288933066103E-2</v>
      </c>
      <c r="K2939">
        <v>2.3965954824532499E-2</v>
      </c>
      <c r="L2939">
        <v>1573.4934801704401</v>
      </c>
      <c r="M2939">
        <v>29.496671428083399</v>
      </c>
      <c r="N2939">
        <v>53.463714143812503</v>
      </c>
      <c r="O2939">
        <v>53.101377726079001</v>
      </c>
      <c r="P2939">
        <v>-0.13446064440013</v>
      </c>
      <c r="Q2939">
        <v>3.1755412464311697E-2</v>
      </c>
      <c r="R2939">
        <v>0.99608802901346005</v>
      </c>
      <c r="S2939" t="s">
        <v>7679</v>
      </c>
      <c r="T2939" t="s">
        <v>9478</v>
      </c>
      <c r="U2939" t="s">
        <v>9478</v>
      </c>
      <c r="V2939" t="s">
        <v>9478</v>
      </c>
      <c r="W2939">
        <v>17</v>
      </c>
      <c r="X2939" t="s">
        <v>12417</v>
      </c>
      <c r="Y2939">
        <v>0.46897567546239061</v>
      </c>
      <c r="Z2939" t="str">
        <f>HYPERLINK("Melting_Curves/meltCurve_sp_Q96HE7_ERO1A_HUMAN_.pdf", "Melting_Curves/meltCurve_sp_Q96HE7_ERO1A_HUMAN_.pdf")</f>
        <v>Melting_Curves/meltCurve_sp_Q96HE7_ERO1A_HUMAN_.pdf</v>
      </c>
      <c r="AA2939" t="s">
        <v>17108</v>
      </c>
      <c r="AB2939" t="s">
        <v>21773</v>
      </c>
    </row>
    <row r="2940" spans="1:28" x14ac:dyDescent="0.25">
      <c r="A2940" t="s">
        <v>2944</v>
      </c>
      <c r="B2940">
        <v>0.99904790336628502</v>
      </c>
      <c r="C2940">
        <v>1.02497118717978</v>
      </c>
      <c r="D2940">
        <v>1.05199077756401</v>
      </c>
      <c r="E2940">
        <v>1.02982453474959</v>
      </c>
      <c r="F2940">
        <v>0.92796509638914204</v>
      </c>
      <c r="G2940">
        <v>0.59080156259481198</v>
      </c>
      <c r="H2940">
        <v>0.46145932359512798</v>
      </c>
      <c r="I2940">
        <v>0.46078634641050997</v>
      </c>
      <c r="J2940">
        <v>0.47323306474920102</v>
      </c>
      <c r="K2940">
        <v>0.39432460154044602</v>
      </c>
      <c r="L2940">
        <v>2263.97720479294</v>
      </c>
      <c r="M2940">
        <v>40.732446122490401</v>
      </c>
      <c r="N2940">
        <v>58.707063700427398</v>
      </c>
      <c r="O2940">
        <v>55.448201007463503</v>
      </c>
      <c r="P2940">
        <v>-0.102325851709201</v>
      </c>
      <c r="Q2940">
        <v>0.44282517821785999</v>
      </c>
      <c r="R2940">
        <v>0.98889742562058203</v>
      </c>
      <c r="S2940" t="s">
        <v>7680</v>
      </c>
      <c r="T2940" t="s">
        <v>9478</v>
      </c>
      <c r="U2940" t="s">
        <v>9478</v>
      </c>
      <c r="V2940" t="s">
        <v>9478</v>
      </c>
      <c r="W2940">
        <v>19</v>
      </c>
      <c r="X2940" t="s">
        <v>12418</v>
      </c>
      <c r="Y2940">
        <v>0.73427011167374157</v>
      </c>
      <c r="Z2940" t="str">
        <f>HYPERLINK("Melting_Curves/meltCurve_sp_Q96HJ9_2_CG055_HUMAN_.pdf", "Melting_Curves/meltCurve_sp_Q96HJ9_2_CG055_HUMAN_.pdf")</f>
        <v>Melting_Curves/meltCurve_sp_Q96HJ9_2_CG055_HUMAN_.pdf</v>
      </c>
      <c r="AA2940" t="s">
        <v>17109</v>
      </c>
      <c r="AB2940" t="s">
        <v>21774</v>
      </c>
    </row>
    <row r="2941" spans="1:28" x14ac:dyDescent="0.25">
      <c r="A2941" t="s">
        <v>2945</v>
      </c>
      <c r="B2941">
        <v>0.99904790336628502</v>
      </c>
      <c r="C2941">
        <v>1.1099365525326701</v>
      </c>
      <c r="D2941">
        <v>1.29133490336457</v>
      </c>
      <c r="E2941">
        <v>1.1951424979638801</v>
      </c>
      <c r="F2941">
        <v>1.14190748221543</v>
      </c>
      <c r="G2941">
        <v>0.88296490778397496</v>
      </c>
      <c r="H2941">
        <v>0.51329782904361099</v>
      </c>
      <c r="I2941">
        <v>0.27376127118579702</v>
      </c>
      <c r="J2941">
        <v>8.7943795090212704E-2</v>
      </c>
      <c r="K2941">
        <v>4.55617897115441E-2</v>
      </c>
      <c r="L2941">
        <v>1804.1550456665</v>
      </c>
      <c r="M2941">
        <v>29.4932298994412</v>
      </c>
      <c r="N2941">
        <v>61.301647378021499</v>
      </c>
      <c r="O2941">
        <v>60.892675698828398</v>
      </c>
      <c r="P2941">
        <v>-0.11742222540451699</v>
      </c>
      <c r="Q2941">
        <v>3.0271873387902899E-2</v>
      </c>
      <c r="R2941">
        <v>0.92227037102976095</v>
      </c>
      <c r="S2941" t="s">
        <v>7681</v>
      </c>
      <c r="T2941" t="s">
        <v>9478</v>
      </c>
      <c r="U2941" t="s">
        <v>9478</v>
      </c>
      <c r="V2941" t="s">
        <v>9478</v>
      </c>
      <c r="W2941">
        <v>4</v>
      </c>
      <c r="X2941" t="s">
        <v>12419</v>
      </c>
      <c r="Y2941">
        <v>0.71994782551269165</v>
      </c>
      <c r="Z2941" t="str">
        <f>HYPERLINK("Melting_Curves/meltCurve_sp_Q96HJ9_CG055_HUMAN_.pdf", "Melting_Curves/meltCurve_sp_Q96HJ9_CG055_HUMAN_.pdf")</f>
        <v>Melting_Curves/meltCurve_sp_Q96HJ9_CG055_HUMAN_.pdf</v>
      </c>
      <c r="AA2941" t="s">
        <v>17109</v>
      </c>
      <c r="AB2941" t="s">
        <v>21775</v>
      </c>
    </row>
    <row r="2942" spans="1:28" x14ac:dyDescent="0.25">
      <c r="A2942" t="s">
        <v>2946</v>
      </c>
      <c r="B2942">
        <v>0.99904790336628502</v>
      </c>
      <c r="C2942">
        <v>1.09579028612722</v>
      </c>
      <c r="D2942">
        <v>1.0563743871498199</v>
      </c>
      <c r="E2942">
        <v>0.67429474294724601</v>
      </c>
      <c r="F2942">
        <v>0.24229882368141201</v>
      </c>
      <c r="G2942">
        <v>0.141590670301912</v>
      </c>
      <c r="H2942">
        <v>1.88347396207716E-2</v>
      </c>
      <c r="I2942">
        <v>1.7218181662170502E-2</v>
      </c>
      <c r="J2942">
        <v>0</v>
      </c>
      <c r="K2942">
        <v>0</v>
      </c>
      <c r="L2942">
        <v>1706.00175235096</v>
      </c>
      <c r="M2942">
        <v>33.377184808160102</v>
      </c>
      <c r="N2942">
        <v>51.194032602267299</v>
      </c>
      <c r="O2942">
        <v>50.9303811069015</v>
      </c>
      <c r="P2942">
        <v>-0.159613563251013</v>
      </c>
      <c r="Q2942">
        <v>2.5784263941114199E-2</v>
      </c>
      <c r="R2942">
        <v>0.98777243415451099</v>
      </c>
      <c r="S2942" t="s">
        <v>7682</v>
      </c>
      <c r="T2942" t="s">
        <v>9478</v>
      </c>
      <c r="U2942" t="s">
        <v>9478</v>
      </c>
      <c r="V2942" t="s">
        <v>9478</v>
      </c>
      <c r="W2942">
        <v>10</v>
      </c>
      <c r="X2942" t="s">
        <v>12420</v>
      </c>
      <c r="Y2942">
        <v>0.39161458300785329</v>
      </c>
      <c r="Z2942" t="str">
        <f>HYPERLINK("Melting_Curves/meltCurve_sp_Q96HN2_4_SAHH3_HUMAN_.pdf", "Melting_Curves/meltCurve_sp_Q96HN2_4_SAHH3_HUMAN_.pdf")</f>
        <v>Melting_Curves/meltCurve_sp_Q96HN2_4_SAHH3_HUMAN_.pdf</v>
      </c>
      <c r="AA2942" t="s">
        <v>17110</v>
      </c>
      <c r="AB2942" t="s">
        <v>21776</v>
      </c>
    </row>
    <row r="2943" spans="1:28" x14ac:dyDescent="0.25">
      <c r="A2943" t="s">
        <v>2947</v>
      </c>
      <c r="B2943">
        <v>0.99904790336628502</v>
      </c>
      <c r="C2943">
        <v>0.89951707174308404</v>
      </c>
      <c r="D2943">
        <v>0.74917965190245694</v>
      </c>
      <c r="E2943">
        <v>0.39637876237188002</v>
      </c>
      <c r="F2943">
        <v>0.16797772910879799</v>
      </c>
      <c r="G2943">
        <v>0.11841688426003499</v>
      </c>
      <c r="H2943">
        <v>6.6900016291918704E-2</v>
      </c>
      <c r="I2943">
        <v>4.5427793975601698E-2</v>
      </c>
      <c r="J2943">
        <v>3.7577476870837401E-2</v>
      </c>
      <c r="K2943">
        <v>3.2225727620985099E-2</v>
      </c>
      <c r="L2943">
        <v>905.12214191709904</v>
      </c>
      <c r="M2943">
        <v>18.6745181702453</v>
      </c>
      <c r="N2943">
        <v>48.670210770053501</v>
      </c>
      <c r="O2943">
        <v>47.922747957675703</v>
      </c>
      <c r="P2943">
        <v>-9.3792667181801501E-2</v>
      </c>
      <c r="Q2943">
        <v>3.7273668973773599E-2</v>
      </c>
      <c r="R2943">
        <v>0.99790203975132197</v>
      </c>
      <c r="S2943" t="s">
        <v>7683</v>
      </c>
      <c r="T2943" t="s">
        <v>9478</v>
      </c>
      <c r="U2943" t="s">
        <v>9478</v>
      </c>
      <c r="V2943" t="s">
        <v>9478</v>
      </c>
      <c r="W2943">
        <v>8</v>
      </c>
      <c r="X2943" t="s">
        <v>12421</v>
      </c>
      <c r="Y2943">
        <v>0.32466825398783922</v>
      </c>
      <c r="Z2943" t="str">
        <f>HYPERLINK("Melting_Curves/meltCurve_sp_Q96HP4_OXND1_HUMAN_.pdf", "Melting_Curves/meltCurve_sp_Q96HP4_OXND1_HUMAN_.pdf")</f>
        <v>Melting_Curves/meltCurve_sp_Q96HP4_OXND1_HUMAN_.pdf</v>
      </c>
      <c r="AA2943" t="s">
        <v>17111</v>
      </c>
      <c r="AB2943" t="s">
        <v>21777</v>
      </c>
    </row>
    <row r="2944" spans="1:28" x14ac:dyDescent="0.25">
      <c r="A2944" t="s">
        <v>2948</v>
      </c>
      <c r="B2944">
        <v>0.99904790336628502</v>
      </c>
      <c r="C2944">
        <v>0.95182279190587005</v>
      </c>
      <c r="D2944">
        <v>1.03625431265458</v>
      </c>
      <c r="E2944">
        <v>0.94352445093948301</v>
      </c>
      <c r="F2944">
        <v>1.0273577375254801</v>
      </c>
      <c r="G2944">
        <v>0.80758514806555204</v>
      </c>
      <c r="H2944">
        <v>0.62770706191276204</v>
      </c>
      <c r="I2944">
        <v>0.458779548954592</v>
      </c>
      <c r="J2944">
        <v>0.30324683046056</v>
      </c>
      <c r="K2944">
        <v>0.24359057948278101</v>
      </c>
      <c r="L2944">
        <v>1100.93457922416</v>
      </c>
      <c r="M2944">
        <v>17.818442579540601</v>
      </c>
      <c r="N2944">
        <v>63.007194079128098</v>
      </c>
      <c r="O2944">
        <v>61.023783083752399</v>
      </c>
      <c r="P2944">
        <v>-6.2344175940618599E-2</v>
      </c>
      <c r="Q2944">
        <v>0.14598998390870299</v>
      </c>
      <c r="R2944">
        <v>0.98572326754404904</v>
      </c>
      <c r="S2944" t="s">
        <v>7684</v>
      </c>
      <c r="T2944" t="s">
        <v>9478</v>
      </c>
      <c r="U2944" t="s">
        <v>9478</v>
      </c>
      <c r="V2944" t="s">
        <v>9478</v>
      </c>
      <c r="W2944">
        <v>3</v>
      </c>
      <c r="X2944" t="s">
        <v>12422</v>
      </c>
      <c r="Y2944">
        <v>0.76807721143906449</v>
      </c>
      <c r="Z2944" t="str">
        <f>HYPERLINK("Melting_Curves/meltCurve_sp_Q96HQ2_2_C2AIL_HUMAN_.pdf", "Melting_Curves/meltCurve_sp_Q96HQ2_2_C2AIL_HUMAN_.pdf")</f>
        <v>Melting_Curves/meltCurve_sp_Q96HQ2_2_C2AIL_HUMAN_.pdf</v>
      </c>
      <c r="AA2944" t="s">
        <v>17112</v>
      </c>
      <c r="AB2944" t="s">
        <v>21778</v>
      </c>
    </row>
    <row r="2945" spans="1:28" x14ac:dyDescent="0.25">
      <c r="A2945" t="s">
        <v>2949</v>
      </c>
      <c r="B2945">
        <v>0.99904790336628502</v>
      </c>
      <c r="C2945">
        <v>1.1330775054448901</v>
      </c>
      <c r="D2945">
        <v>1.0406031572894401</v>
      </c>
      <c r="E2945">
        <v>0.80268360126703997</v>
      </c>
      <c r="F2945">
        <v>0.585041360183986</v>
      </c>
      <c r="G2945">
        <v>0.38885701648736898</v>
      </c>
      <c r="H2945">
        <v>0.27287808861215301</v>
      </c>
      <c r="I2945">
        <v>0.25363981729155799</v>
      </c>
      <c r="J2945">
        <v>0.240134187979927</v>
      </c>
      <c r="K2945">
        <v>0.210877720595016</v>
      </c>
      <c r="L2945">
        <v>1170.3273776717001</v>
      </c>
      <c r="M2945">
        <v>22.174008476116001</v>
      </c>
      <c r="N2945">
        <v>54.316187134620797</v>
      </c>
      <c r="O2945">
        <v>52.355602142168699</v>
      </c>
      <c r="P2945">
        <v>-8.1210737876467196E-2</v>
      </c>
      <c r="Q2945">
        <v>0.23302183481130601</v>
      </c>
      <c r="R2945">
        <v>0.97876923546741201</v>
      </c>
      <c r="S2945" t="s">
        <v>7685</v>
      </c>
      <c r="T2945" t="s">
        <v>9478</v>
      </c>
      <c r="U2945" t="s">
        <v>9478</v>
      </c>
      <c r="V2945" t="s">
        <v>9478</v>
      </c>
      <c r="W2945">
        <v>5</v>
      </c>
      <c r="X2945" t="s">
        <v>12423</v>
      </c>
      <c r="Y2945">
        <v>0.5685386898548358</v>
      </c>
      <c r="Z2945" t="str">
        <f>HYPERLINK("Melting_Curves/meltCurve_sp_Q96HR9_REEP6_HUMAN_.pdf", "Melting_Curves/meltCurve_sp_Q96HR9_REEP6_HUMAN_.pdf")</f>
        <v>Melting_Curves/meltCurve_sp_Q96HR9_REEP6_HUMAN_.pdf</v>
      </c>
      <c r="AA2945" t="s">
        <v>17113</v>
      </c>
      <c r="AB2945" t="s">
        <v>21779</v>
      </c>
    </row>
    <row r="2946" spans="1:28" x14ac:dyDescent="0.25">
      <c r="A2946" t="s">
        <v>2950</v>
      </c>
      <c r="B2946">
        <v>0.99904790336628502</v>
      </c>
      <c r="C2946">
        <v>1.04721777370406</v>
      </c>
      <c r="D2946">
        <v>1.0698732349567399</v>
      </c>
      <c r="E2946">
        <v>0.92272257692272797</v>
      </c>
      <c r="F2946">
        <v>0.84095522304154902</v>
      </c>
      <c r="G2946">
        <v>0.64568189082986505</v>
      </c>
      <c r="H2946">
        <v>0.48343756280178302</v>
      </c>
      <c r="I2946">
        <v>0.42795167581476601</v>
      </c>
      <c r="J2946">
        <v>0.23186191316052501</v>
      </c>
      <c r="K2946">
        <v>0.118872028801742</v>
      </c>
      <c r="L2946">
        <v>733.88562933958701</v>
      </c>
      <c r="M2946">
        <v>12.089700782353701</v>
      </c>
      <c r="N2946">
        <v>60.703374157054498</v>
      </c>
      <c r="O2946">
        <v>59.114102109750498</v>
      </c>
      <c r="P2946">
        <v>-5.1140641196451203E-2</v>
      </c>
      <c r="Q2946">
        <v>0</v>
      </c>
      <c r="R2946">
        <v>0.980197388011112</v>
      </c>
      <c r="S2946" t="s">
        <v>7686</v>
      </c>
      <c r="T2946" t="s">
        <v>9478</v>
      </c>
      <c r="U2946" t="s">
        <v>9478</v>
      </c>
      <c r="V2946" t="s">
        <v>9478</v>
      </c>
      <c r="W2946">
        <v>10</v>
      </c>
      <c r="X2946" t="s">
        <v>12424</v>
      </c>
      <c r="Y2946">
        <v>0.68833943398641706</v>
      </c>
      <c r="Z2946" t="str">
        <f>HYPERLINK("Melting_Curves/meltCurve_sp_Q96HS1_PGAM5_HUMAN_.pdf", "Melting_Curves/meltCurve_sp_Q96HS1_PGAM5_HUMAN_.pdf")</f>
        <v>Melting_Curves/meltCurve_sp_Q96HS1_PGAM5_HUMAN_.pdf</v>
      </c>
      <c r="AA2946" t="s">
        <v>17114</v>
      </c>
      <c r="AB2946" t="s">
        <v>21780</v>
      </c>
    </row>
    <row r="2947" spans="1:28" x14ac:dyDescent="0.25">
      <c r="A2947" t="s">
        <v>2951</v>
      </c>
      <c r="B2947">
        <v>0.99904790336628502</v>
      </c>
      <c r="C2947">
        <v>1.00944007399053</v>
      </c>
      <c r="D2947">
        <v>1.0340077616854899</v>
      </c>
      <c r="E2947">
        <v>0.94190790422243498</v>
      </c>
      <c r="F2947">
        <v>0.90060017265613401</v>
      </c>
      <c r="G2947">
        <v>0.62300553277130899</v>
      </c>
      <c r="H2947">
        <v>0.55552346083186199</v>
      </c>
      <c r="I2947">
        <v>0.58129773990109601</v>
      </c>
      <c r="J2947">
        <v>0.57812663754175597</v>
      </c>
      <c r="K2947">
        <v>0.58947394599003</v>
      </c>
      <c r="L2947">
        <v>2254.80108607274</v>
      </c>
      <c r="M2947">
        <v>41.485209442427099</v>
      </c>
      <c r="O2947">
        <v>54.2261101156734</v>
      </c>
      <c r="P2947">
        <v>-8.1475830629847104E-2</v>
      </c>
      <c r="Q2947">
        <v>0.574006461703506</v>
      </c>
      <c r="R2947">
        <v>0.98887653274042098</v>
      </c>
      <c r="S2947" t="s">
        <v>7687</v>
      </c>
      <c r="T2947" t="s">
        <v>9478</v>
      </c>
      <c r="U2947" t="s">
        <v>9478</v>
      </c>
      <c r="V2947" t="s">
        <v>9478</v>
      </c>
      <c r="W2947">
        <v>5</v>
      </c>
      <c r="X2947" t="s">
        <v>12425</v>
      </c>
      <c r="Y2947">
        <v>0.77928504114645814</v>
      </c>
      <c r="Z2947" t="str">
        <f>HYPERLINK("Melting_Curves/meltCurve_sp_Q96HY6_DDRGK_HUMAN_.pdf", "Melting_Curves/meltCurve_sp_Q96HY6_DDRGK_HUMAN_.pdf")</f>
        <v>Melting_Curves/meltCurve_sp_Q96HY6_DDRGK_HUMAN_.pdf</v>
      </c>
      <c r="AA2947" t="s">
        <v>17115</v>
      </c>
      <c r="AB2947" t="s">
        <v>21781</v>
      </c>
    </row>
    <row r="2948" spans="1:28" x14ac:dyDescent="0.25">
      <c r="A2948" t="s">
        <v>2952</v>
      </c>
      <c r="B2948">
        <v>0.99904790336628502</v>
      </c>
      <c r="C2948">
        <v>0.78624845454926595</v>
      </c>
      <c r="D2948">
        <v>0.45019352111142102</v>
      </c>
      <c r="E2948">
        <v>0.31221448801593599</v>
      </c>
      <c r="F2948">
        <v>0.19347768374656901</v>
      </c>
      <c r="G2948">
        <v>0.102180919770458</v>
      </c>
      <c r="H2948">
        <v>5.5427468966983501E-2</v>
      </c>
      <c r="I2948">
        <v>3.2600456517163402E-2</v>
      </c>
      <c r="J2948">
        <v>2.9072758048911601E-2</v>
      </c>
      <c r="K2948">
        <v>2.4434874558025899E-2</v>
      </c>
      <c r="L2948">
        <v>698.44061245839998</v>
      </c>
      <c r="M2948">
        <v>15.106041268351699</v>
      </c>
      <c r="N2948">
        <v>46.4545487430671</v>
      </c>
      <c r="O2948">
        <v>45.448284925216697</v>
      </c>
      <c r="P2948">
        <v>-8.0250446459646199E-2</v>
      </c>
      <c r="Q2948">
        <v>3.43236417627555E-2</v>
      </c>
      <c r="R2948">
        <v>0.98281255322363803</v>
      </c>
      <c r="S2948" t="s">
        <v>7688</v>
      </c>
      <c r="T2948" t="s">
        <v>9478</v>
      </c>
      <c r="U2948" t="s">
        <v>9478</v>
      </c>
      <c r="V2948" t="s">
        <v>9478</v>
      </c>
      <c r="W2948">
        <v>22</v>
      </c>
      <c r="X2948" t="s">
        <v>12426</v>
      </c>
      <c r="Y2948">
        <v>0.26231808984522359</v>
      </c>
      <c r="Z2948" t="str">
        <f>HYPERLINK("Melting_Curves/meltCurve_sp_Q96HY7_DHTK1_HUMAN_.pdf", "Melting_Curves/meltCurve_sp_Q96HY7_DHTK1_HUMAN_.pdf")</f>
        <v>Melting_Curves/meltCurve_sp_Q96HY7_DHTK1_HUMAN_.pdf</v>
      </c>
      <c r="AA2948" t="s">
        <v>17116</v>
      </c>
      <c r="AB2948" t="s">
        <v>21782</v>
      </c>
    </row>
    <row r="2949" spans="1:28" x14ac:dyDescent="0.25">
      <c r="A2949" t="s">
        <v>2953</v>
      </c>
      <c r="B2949">
        <v>0.99904790336628502</v>
      </c>
      <c r="C2949">
        <v>0.980833448855431</v>
      </c>
      <c r="D2949">
        <v>1.0119762969161901</v>
      </c>
      <c r="E2949">
        <v>0.99866056305872797</v>
      </c>
      <c r="F2949">
        <v>0.92195287528473102</v>
      </c>
      <c r="G2949">
        <v>0.64603948698619595</v>
      </c>
      <c r="H2949">
        <v>0.26501822911503098</v>
      </c>
      <c r="I2949">
        <v>0.123682864437694</v>
      </c>
      <c r="J2949">
        <v>7.1567831435957199E-2</v>
      </c>
      <c r="K2949">
        <v>4.8021718919229198E-2</v>
      </c>
      <c r="L2949">
        <v>1484.83665925335</v>
      </c>
      <c r="M2949">
        <v>25.510200639844602</v>
      </c>
      <c r="N2949">
        <v>58.380825244278199</v>
      </c>
      <c r="O2949">
        <v>57.851463113617797</v>
      </c>
      <c r="P2949">
        <v>-0.10617867245797</v>
      </c>
      <c r="Q2949">
        <v>3.6853471282807297E-2</v>
      </c>
      <c r="R2949">
        <v>0.99955282590551298</v>
      </c>
      <c r="S2949" t="s">
        <v>7689</v>
      </c>
      <c r="T2949" t="s">
        <v>9478</v>
      </c>
      <c r="U2949" t="s">
        <v>9478</v>
      </c>
      <c r="V2949" t="s">
        <v>9478</v>
      </c>
      <c r="W2949">
        <v>21</v>
      </c>
      <c r="X2949" t="s">
        <v>12427</v>
      </c>
      <c r="Y2949">
        <v>0.62941093117899383</v>
      </c>
      <c r="Z2949" t="str">
        <f>HYPERLINK("Melting_Curves/meltCurve_sp_Q96I15_SCLY_HUMAN_.pdf", "Melting_Curves/meltCurve_sp_Q96I15_SCLY_HUMAN_.pdf")</f>
        <v>Melting_Curves/meltCurve_sp_Q96I15_SCLY_HUMAN_.pdf</v>
      </c>
      <c r="AA2949" t="s">
        <v>17117</v>
      </c>
      <c r="AB2949" t="s">
        <v>21783</v>
      </c>
    </row>
    <row r="2950" spans="1:28" x14ac:dyDescent="0.25">
      <c r="A2950" t="s">
        <v>2954</v>
      </c>
      <c r="B2950">
        <v>0.99904790336628502</v>
      </c>
      <c r="C2950">
        <v>1.0590390354402099</v>
      </c>
      <c r="D2950">
        <v>1.0528530170866299</v>
      </c>
      <c r="E2950">
        <v>0.970733493939263</v>
      </c>
      <c r="F2950">
        <v>0.63446492639203</v>
      </c>
      <c r="G2950">
        <v>0.61258204757314305</v>
      </c>
      <c r="H2950">
        <v>0.54124088702320206</v>
      </c>
      <c r="I2950">
        <v>0.39018107719244899</v>
      </c>
      <c r="J2950">
        <v>0.54450294638319396</v>
      </c>
      <c r="K2950">
        <v>0.15892165638213099</v>
      </c>
      <c r="L2950">
        <v>657.04441219906801</v>
      </c>
      <c r="M2950">
        <v>11.455196230684701</v>
      </c>
      <c r="N2950">
        <v>60.701947928480202</v>
      </c>
      <c r="O2950">
        <v>55.693262154362898</v>
      </c>
      <c r="P2950">
        <v>-3.9400103163821601E-2</v>
      </c>
      <c r="Q2950">
        <v>0.23399386226994001</v>
      </c>
      <c r="R2950">
        <v>0.87311795057985198</v>
      </c>
      <c r="S2950" t="s">
        <v>7690</v>
      </c>
      <c r="T2950" t="s">
        <v>9478</v>
      </c>
      <c r="U2950" t="s">
        <v>9478</v>
      </c>
      <c r="V2950" t="s">
        <v>9478</v>
      </c>
      <c r="W2950">
        <v>1</v>
      </c>
      <c r="X2950" t="s">
        <v>12428</v>
      </c>
      <c r="Y2950">
        <v>0.68883312194939184</v>
      </c>
      <c r="Z2950" t="str">
        <f>HYPERLINK("Melting_Curves/meltCurve_sp_Q96I23_PREY_HUMAN_.pdf", "Melting_Curves/meltCurve_sp_Q96I23_PREY_HUMAN_.pdf")</f>
        <v>Melting_Curves/meltCurve_sp_Q96I23_PREY_HUMAN_.pdf</v>
      </c>
      <c r="AA2950" t="s">
        <v>17118</v>
      </c>
      <c r="AB2950" t="s">
        <v>21784</v>
      </c>
    </row>
    <row r="2951" spans="1:28" x14ac:dyDescent="0.25">
      <c r="A2951" t="s">
        <v>2955</v>
      </c>
      <c r="B2951">
        <v>0.99904790336628502</v>
      </c>
      <c r="C2951">
        <v>0.99997457734494</v>
      </c>
      <c r="D2951">
        <v>0.92822122969450305</v>
      </c>
      <c r="E2951">
        <v>0.89973329399157598</v>
      </c>
      <c r="F2951">
        <v>0.78128654134311404</v>
      </c>
      <c r="G2951">
        <v>0.51437556669713802</v>
      </c>
      <c r="H2951">
        <v>0.37384607857844698</v>
      </c>
      <c r="I2951">
        <v>0.28258633855882997</v>
      </c>
      <c r="J2951">
        <v>0.28114582803251398</v>
      </c>
      <c r="K2951">
        <v>0.25371765391228301</v>
      </c>
      <c r="L2951">
        <v>955.93109635943699</v>
      </c>
      <c r="M2951">
        <v>17.233753231451399</v>
      </c>
      <c r="N2951">
        <v>57.541442254291098</v>
      </c>
      <c r="O2951">
        <v>54.737839300116597</v>
      </c>
      <c r="P2951">
        <v>-6.0511964571217297E-2</v>
      </c>
      <c r="Q2951">
        <v>0.23125272289669099</v>
      </c>
      <c r="R2951">
        <v>0.99597330736344603</v>
      </c>
      <c r="S2951" t="s">
        <v>7691</v>
      </c>
      <c r="T2951" t="s">
        <v>9478</v>
      </c>
      <c r="U2951" t="s">
        <v>9478</v>
      </c>
      <c r="V2951" t="s">
        <v>9478</v>
      </c>
      <c r="W2951">
        <v>14</v>
      </c>
      <c r="X2951" t="s">
        <v>12429</v>
      </c>
      <c r="Y2951">
        <v>0.63992812658798859</v>
      </c>
      <c r="Z2951" t="str">
        <f>HYPERLINK("Melting_Curves/meltCurve_sp_Q96I24_FUBP3_HUMAN_.pdf", "Melting_Curves/meltCurve_sp_Q96I24_FUBP3_HUMAN_.pdf")</f>
        <v>Melting_Curves/meltCurve_sp_Q96I24_FUBP3_HUMAN_.pdf</v>
      </c>
      <c r="AA2951" t="s">
        <v>17119</v>
      </c>
      <c r="AB2951" t="s">
        <v>21785</v>
      </c>
    </row>
    <row r="2952" spans="1:28" x14ac:dyDescent="0.25">
      <c r="A2952" t="s">
        <v>2956</v>
      </c>
      <c r="B2952">
        <v>0.99904790336628502</v>
      </c>
      <c r="C2952">
        <v>0.98417474773251001</v>
      </c>
      <c r="D2952">
        <v>0.95655799625038496</v>
      </c>
      <c r="E2952">
        <v>0.93656615920901098</v>
      </c>
      <c r="F2952">
        <v>0.95064624535644604</v>
      </c>
      <c r="G2952">
        <v>0.64747553149405002</v>
      </c>
      <c r="H2952">
        <v>0.40631658188930397</v>
      </c>
      <c r="I2952">
        <v>0.24227536863878199</v>
      </c>
      <c r="J2952">
        <v>0.17930772098935699</v>
      </c>
      <c r="K2952">
        <v>0.14544221453404799</v>
      </c>
      <c r="L2952">
        <v>1173.9365550035</v>
      </c>
      <c r="M2952">
        <v>20.0499076326325</v>
      </c>
      <c r="N2952">
        <v>59.314446618987397</v>
      </c>
      <c r="O2952">
        <v>57.977584480051199</v>
      </c>
      <c r="P2952">
        <v>-7.6622475567696205E-2</v>
      </c>
      <c r="Q2952">
        <v>0.113762595055765</v>
      </c>
      <c r="R2952">
        <v>0.99460902820977704</v>
      </c>
      <c r="S2952" t="s">
        <v>7692</v>
      </c>
      <c r="T2952" t="s">
        <v>9478</v>
      </c>
      <c r="U2952" t="s">
        <v>9478</v>
      </c>
      <c r="V2952" t="s">
        <v>9478</v>
      </c>
      <c r="W2952">
        <v>7</v>
      </c>
      <c r="X2952" t="s">
        <v>12430</v>
      </c>
      <c r="Y2952">
        <v>0.67122435403728986</v>
      </c>
      <c r="Z2952" t="str">
        <f>HYPERLINK("Melting_Curves/meltCurve_sp_Q96I25_SPF45_HUMAN_.pdf", "Melting_Curves/meltCurve_sp_Q96I25_SPF45_HUMAN_.pdf")</f>
        <v>Melting_Curves/meltCurve_sp_Q96I25_SPF45_HUMAN_.pdf</v>
      </c>
      <c r="AA2952" t="s">
        <v>17120</v>
      </c>
      <c r="AB2952" t="s">
        <v>21786</v>
      </c>
    </row>
    <row r="2953" spans="1:28" x14ac:dyDescent="0.25">
      <c r="A2953" t="s">
        <v>2957</v>
      </c>
      <c r="B2953">
        <v>0.99904790336628502</v>
      </c>
      <c r="C2953">
        <v>1.0466860587226401</v>
      </c>
      <c r="D2953">
        <v>0.98938691313346105</v>
      </c>
      <c r="E2953">
        <v>0.96871687530045902</v>
      </c>
      <c r="F2953">
        <v>0.70876682457185103</v>
      </c>
      <c r="G2953">
        <v>0.566146141344533</v>
      </c>
      <c r="H2953">
        <v>0.39666965426548101</v>
      </c>
      <c r="I2953">
        <v>0.35134317946934701</v>
      </c>
      <c r="J2953">
        <v>0.24125865223383899</v>
      </c>
      <c r="K2953">
        <v>0.25369409927348402</v>
      </c>
      <c r="L2953">
        <v>913.49328520696804</v>
      </c>
      <c r="M2953">
        <v>16.339035811243999</v>
      </c>
      <c r="N2953">
        <v>58.084032310273898</v>
      </c>
      <c r="O2953">
        <v>55.091290339707797</v>
      </c>
      <c r="P2953">
        <v>-5.7181238601214601E-2</v>
      </c>
      <c r="Q2953">
        <v>0.228850420849598</v>
      </c>
      <c r="R2953">
        <v>0.98507977403943203</v>
      </c>
      <c r="S2953" t="s">
        <v>7693</v>
      </c>
      <c r="T2953" t="s">
        <v>9478</v>
      </c>
      <c r="U2953" t="s">
        <v>9478</v>
      </c>
      <c r="V2953" t="s">
        <v>9478</v>
      </c>
      <c r="W2953">
        <v>1</v>
      </c>
      <c r="X2953" t="s">
        <v>12431</v>
      </c>
      <c r="Y2953">
        <v>0.65050592985175604</v>
      </c>
      <c r="Z2953" t="str">
        <f>HYPERLINK("Melting_Curves/meltCurve_sp_Q96I34_PP16A_HUMAN_.pdf", "Melting_Curves/meltCurve_sp_Q96I34_PP16A_HUMAN_.pdf")</f>
        <v>Melting_Curves/meltCurve_sp_Q96I34_PP16A_HUMAN_.pdf</v>
      </c>
      <c r="AA2953" t="s">
        <v>17121</v>
      </c>
      <c r="AB2953" t="s">
        <v>21787</v>
      </c>
    </row>
    <row r="2954" spans="1:28" x14ac:dyDescent="0.25">
      <c r="A2954" t="s">
        <v>2958</v>
      </c>
      <c r="B2954">
        <v>0.99904790336628502</v>
      </c>
      <c r="C2954">
        <v>0.956567381630264</v>
      </c>
      <c r="D2954">
        <v>0.86365778334184196</v>
      </c>
      <c r="E2954">
        <v>0.69546726419809901</v>
      </c>
      <c r="F2954">
        <v>0.54062726347905499</v>
      </c>
      <c r="G2954">
        <v>0.43709152107306898</v>
      </c>
      <c r="H2954">
        <v>0.297327450025474</v>
      </c>
      <c r="I2954">
        <v>0.181425202158083</v>
      </c>
      <c r="J2954">
        <v>0.14739394374717699</v>
      </c>
      <c r="K2954">
        <v>0.10256875957695601</v>
      </c>
      <c r="L2954">
        <v>522.58180028521701</v>
      </c>
      <c r="M2954">
        <v>9.5524828008741807</v>
      </c>
      <c r="N2954">
        <v>54.706384795951003</v>
      </c>
      <c r="O2954">
        <v>52.4699657266423</v>
      </c>
      <c r="P2954">
        <v>-4.5540413641535799E-2</v>
      </c>
      <c r="Q2954">
        <v>0</v>
      </c>
      <c r="R2954">
        <v>0.99529219449421402</v>
      </c>
      <c r="S2954" t="s">
        <v>7694</v>
      </c>
      <c r="T2954" t="s">
        <v>9478</v>
      </c>
      <c r="U2954" t="s">
        <v>9478</v>
      </c>
      <c r="V2954" t="s">
        <v>9478</v>
      </c>
      <c r="W2954">
        <v>4</v>
      </c>
      <c r="X2954" t="s">
        <v>12432</v>
      </c>
      <c r="Y2954">
        <v>0.51796497355748561</v>
      </c>
      <c r="Z2954" t="str">
        <f>HYPERLINK("Melting_Curves/meltCurve_sp_Q96I51_WBS16_HUMAN_.pdf", "Melting_Curves/meltCurve_sp_Q96I51_WBS16_HUMAN_.pdf")</f>
        <v>Melting_Curves/meltCurve_sp_Q96I51_WBS16_HUMAN_.pdf</v>
      </c>
      <c r="AA2954" t="s">
        <v>17122</v>
      </c>
      <c r="AB2954" t="s">
        <v>21788</v>
      </c>
    </row>
    <row r="2955" spans="1:28" x14ac:dyDescent="0.25">
      <c r="A2955" t="s">
        <v>2959</v>
      </c>
      <c r="B2955">
        <v>0.99904790336628502</v>
      </c>
      <c r="C2955">
        <v>0.970109994383758</v>
      </c>
      <c r="D2955">
        <v>0.60617324455775601</v>
      </c>
      <c r="E2955">
        <v>0.22791757968502199</v>
      </c>
      <c r="F2955">
        <v>0.13994349739304099</v>
      </c>
      <c r="G2955">
        <v>6.3967459716910896E-2</v>
      </c>
      <c r="H2955">
        <v>3.1684104673759102E-2</v>
      </c>
      <c r="I2955">
        <v>2.9424904613521999E-2</v>
      </c>
      <c r="J2955">
        <v>2.60761223986734E-2</v>
      </c>
      <c r="K2955">
        <v>1.8297276351779201E-2</v>
      </c>
      <c r="L2955">
        <v>1116.8350320515401</v>
      </c>
      <c r="M2955">
        <v>23.752887384753301</v>
      </c>
      <c r="N2955">
        <v>47.168729744402803</v>
      </c>
      <c r="O2955">
        <v>46.689459282711397</v>
      </c>
      <c r="P2955">
        <v>-0.122566556908945</v>
      </c>
      <c r="Q2955">
        <v>3.6332524907805502E-2</v>
      </c>
      <c r="R2955">
        <v>0.99466577605057804</v>
      </c>
      <c r="S2955" t="s">
        <v>7695</v>
      </c>
      <c r="T2955" t="s">
        <v>9478</v>
      </c>
      <c r="U2955" t="s">
        <v>9478</v>
      </c>
      <c r="V2955" t="s">
        <v>9478</v>
      </c>
      <c r="W2955">
        <v>14</v>
      </c>
      <c r="X2955" t="s">
        <v>12433</v>
      </c>
      <c r="Y2955">
        <v>0.27142596125502633</v>
      </c>
      <c r="Z2955" t="str">
        <f>HYPERLINK("Melting_Curves/meltCurve_sp_Q96I59_SYNM_HUMAN_.pdf", "Melting_Curves/meltCurve_sp_Q96I59_SYNM_HUMAN_.pdf")</f>
        <v>Melting_Curves/meltCurve_sp_Q96I59_SYNM_HUMAN_.pdf</v>
      </c>
      <c r="AA2955" t="s">
        <v>17123</v>
      </c>
      <c r="AB2955" t="s">
        <v>21789</v>
      </c>
    </row>
    <row r="2956" spans="1:28" x14ac:dyDescent="0.25">
      <c r="A2956" t="s">
        <v>2960</v>
      </c>
      <c r="B2956">
        <v>0.99904790336628502</v>
      </c>
      <c r="C2956">
        <v>1.00833868481838</v>
      </c>
      <c r="D2956">
        <v>1.0199138640877099</v>
      </c>
      <c r="E2956">
        <v>0.84184685499518597</v>
      </c>
      <c r="F2956">
        <v>0.33021667266709898</v>
      </c>
      <c r="G2956">
        <v>0.112419640193406</v>
      </c>
      <c r="H2956">
        <v>5.3573615313262199E-2</v>
      </c>
      <c r="I2956">
        <v>3.5942962247589499E-2</v>
      </c>
      <c r="J2956">
        <v>2.9434762050765801E-2</v>
      </c>
      <c r="K2956">
        <v>2.20385892945913E-2</v>
      </c>
      <c r="L2956">
        <v>2085.77376224414</v>
      </c>
      <c r="M2956">
        <v>40.148833169796198</v>
      </c>
      <c r="N2956">
        <v>52.068525699978601</v>
      </c>
      <c r="O2956">
        <v>51.822657815057802</v>
      </c>
      <c r="P2956">
        <v>-0.18529849278994701</v>
      </c>
      <c r="Q2956">
        <v>4.3295664314917499E-2</v>
      </c>
      <c r="R2956">
        <v>0.99818766048969298</v>
      </c>
      <c r="S2956" t="s">
        <v>7696</v>
      </c>
      <c r="T2956" t="s">
        <v>9478</v>
      </c>
      <c r="U2956" t="s">
        <v>9478</v>
      </c>
      <c r="V2956" t="s">
        <v>9478</v>
      </c>
      <c r="W2956">
        <v>38</v>
      </c>
      <c r="X2956" t="s">
        <v>12434</v>
      </c>
      <c r="Y2956">
        <v>0.42782459449141691</v>
      </c>
      <c r="Z2956" t="str">
        <f>HYPERLINK("Melting_Curves/meltCurve_sp_Q96I99_SUCB2_HUMAN_.pdf", "Melting_Curves/meltCurve_sp_Q96I99_SUCB2_HUMAN_.pdf")</f>
        <v>Melting_Curves/meltCurve_sp_Q96I99_SUCB2_HUMAN_.pdf</v>
      </c>
      <c r="AA2956" t="s">
        <v>17124</v>
      </c>
      <c r="AB2956" t="s">
        <v>21790</v>
      </c>
    </row>
    <row r="2957" spans="1:28" x14ac:dyDescent="0.25">
      <c r="A2957" t="s">
        <v>2961</v>
      </c>
      <c r="B2957">
        <v>0.99904790336628502</v>
      </c>
      <c r="C2957">
        <v>0.92770970489398297</v>
      </c>
      <c r="D2957">
        <v>0.93862247632530404</v>
      </c>
      <c r="E2957">
        <v>0.864555408602522</v>
      </c>
      <c r="F2957">
        <v>0.78576419017627797</v>
      </c>
      <c r="G2957">
        <v>0.66532107062540102</v>
      </c>
      <c r="H2957">
        <v>0.49390644261398498</v>
      </c>
      <c r="I2957">
        <v>0.47596710440763801</v>
      </c>
      <c r="J2957">
        <v>0.45240250916166602</v>
      </c>
      <c r="K2957">
        <v>0.46281052544551399</v>
      </c>
      <c r="L2957">
        <v>660.66066881312395</v>
      </c>
      <c r="M2957">
        <v>11.9633641304577</v>
      </c>
      <c r="N2957">
        <v>63.170641360850503</v>
      </c>
      <c r="O2957">
        <v>53.748496182759503</v>
      </c>
      <c r="P2957">
        <v>-3.4007850286805898E-2</v>
      </c>
      <c r="Q2957">
        <v>0.38899292696512699</v>
      </c>
      <c r="R2957">
        <v>0.984497060133254</v>
      </c>
      <c r="S2957" t="s">
        <v>7697</v>
      </c>
      <c r="T2957" t="s">
        <v>9478</v>
      </c>
      <c r="U2957" t="s">
        <v>9478</v>
      </c>
      <c r="V2957" t="s">
        <v>9478</v>
      </c>
      <c r="W2957">
        <v>4</v>
      </c>
      <c r="X2957" t="s">
        <v>12435</v>
      </c>
      <c r="Y2957">
        <v>0.71301126574248497</v>
      </c>
      <c r="Z2957" t="str">
        <f>HYPERLINK("Melting_Curves/meltCurve_sp_Q96IF1_AJUBA_HUMAN_.pdf", "Melting_Curves/meltCurve_sp_Q96IF1_AJUBA_HUMAN_.pdf")</f>
        <v>Melting_Curves/meltCurve_sp_Q96IF1_AJUBA_HUMAN_.pdf</v>
      </c>
      <c r="AA2957" t="s">
        <v>17125</v>
      </c>
      <c r="AB2957" t="s">
        <v>21791</v>
      </c>
    </row>
    <row r="2958" spans="1:28" x14ac:dyDescent="0.25">
      <c r="A2958" t="s">
        <v>2962</v>
      </c>
      <c r="B2958">
        <v>0.99904790336628502</v>
      </c>
      <c r="C2958">
        <v>0.94180773655536298</v>
      </c>
      <c r="D2958">
        <v>0.87049773563984201</v>
      </c>
      <c r="E2958">
        <v>0.59720046321086895</v>
      </c>
      <c r="F2958">
        <v>0.375317113804573</v>
      </c>
      <c r="G2958">
        <v>0.13444736500543999</v>
      </c>
      <c r="H2958">
        <v>4.9266281207615198E-2</v>
      </c>
      <c r="I2958">
        <v>3.5910775806193201E-2</v>
      </c>
      <c r="J2958">
        <v>2.54595236482115E-2</v>
      </c>
      <c r="K2958">
        <v>2.3470771206158099E-2</v>
      </c>
      <c r="L2958">
        <v>869.85193198821901</v>
      </c>
      <c r="M2958">
        <v>17.000317137606601</v>
      </c>
      <c r="N2958">
        <v>51.180866144818701</v>
      </c>
      <c r="O2958">
        <v>50.474555323978997</v>
      </c>
      <c r="P2958">
        <v>-8.4011443468858804E-2</v>
      </c>
      <c r="Q2958">
        <v>2.3296272795497999E-3</v>
      </c>
      <c r="R2958">
        <v>0.99905260889495495</v>
      </c>
      <c r="S2958" t="s">
        <v>7698</v>
      </c>
      <c r="T2958" t="s">
        <v>9478</v>
      </c>
      <c r="U2958" t="s">
        <v>9478</v>
      </c>
      <c r="V2958" t="s">
        <v>9478</v>
      </c>
      <c r="W2958">
        <v>11</v>
      </c>
      <c r="X2958" t="s">
        <v>12436</v>
      </c>
      <c r="Y2958">
        <v>0.39224765161679948</v>
      </c>
      <c r="Z2958" t="str">
        <f>HYPERLINK("Melting_Curves/meltCurve_sp_Q96IJ6_GMPPA_HUMAN_.pdf", "Melting_Curves/meltCurve_sp_Q96IJ6_GMPPA_HUMAN_.pdf")</f>
        <v>Melting_Curves/meltCurve_sp_Q96IJ6_GMPPA_HUMAN_.pdf</v>
      </c>
      <c r="AA2958" t="s">
        <v>17126</v>
      </c>
      <c r="AB2958" t="s">
        <v>21792</v>
      </c>
    </row>
    <row r="2959" spans="1:28" x14ac:dyDescent="0.25">
      <c r="A2959" t="s">
        <v>2963</v>
      </c>
      <c r="B2959">
        <v>0.99904790336628502</v>
      </c>
      <c r="C2959">
        <v>0.87198857145705799</v>
      </c>
      <c r="D2959">
        <v>0.81039198034293802</v>
      </c>
      <c r="E2959">
        <v>0.83696006543641199</v>
      </c>
      <c r="F2959">
        <v>0.76259681864384898</v>
      </c>
      <c r="G2959">
        <v>0.53265970027741505</v>
      </c>
      <c r="H2959">
        <v>0.171201584459268</v>
      </c>
      <c r="I2959">
        <v>0.10586234623940401</v>
      </c>
      <c r="J2959">
        <v>6.4934449015286194E-2</v>
      </c>
      <c r="K2959">
        <v>3.9833203033092103E-2</v>
      </c>
      <c r="L2959">
        <v>860.71557656066796</v>
      </c>
      <c r="M2959">
        <v>15.279863254079901</v>
      </c>
      <c r="N2959">
        <v>56.330043406015598</v>
      </c>
      <c r="O2959">
        <v>55.391663589779803</v>
      </c>
      <c r="P2959">
        <v>-6.8969309382010999E-2</v>
      </c>
      <c r="Q2959">
        <v>0</v>
      </c>
      <c r="R2959">
        <v>0.95936553247260703</v>
      </c>
      <c r="S2959" t="s">
        <v>7699</v>
      </c>
      <c r="T2959" t="s">
        <v>9478</v>
      </c>
      <c r="U2959" t="s">
        <v>9478</v>
      </c>
      <c r="V2959" t="s">
        <v>9478</v>
      </c>
      <c r="W2959">
        <v>7</v>
      </c>
      <c r="X2959" t="s">
        <v>12437</v>
      </c>
      <c r="Y2959">
        <v>0.56124219510643836</v>
      </c>
      <c r="Z2959" t="str">
        <f>HYPERLINK("Melting_Curves/meltCurve_sp_Q96IU4_ABHEB_HUMAN_.pdf", "Melting_Curves/meltCurve_sp_Q96IU4_ABHEB_HUMAN_.pdf")</f>
        <v>Melting_Curves/meltCurve_sp_Q96IU4_ABHEB_HUMAN_.pdf</v>
      </c>
      <c r="AA2959" t="s">
        <v>17127</v>
      </c>
      <c r="AB2959" t="s">
        <v>21793</v>
      </c>
    </row>
    <row r="2960" spans="1:28" x14ac:dyDescent="0.25">
      <c r="A2960" t="s">
        <v>2964</v>
      </c>
      <c r="B2960">
        <v>0.99904790336628502</v>
      </c>
      <c r="C2960">
        <v>0.81530405636498104</v>
      </c>
      <c r="D2960">
        <v>0.64421853295962095</v>
      </c>
      <c r="E2960">
        <v>0.47165984624116603</v>
      </c>
      <c r="F2960">
        <v>0.38454933735544999</v>
      </c>
      <c r="G2960">
        <v>0.26527788779065098</v>
      </c>
      <c r="H2960">
        <v>0.195444500853443</v>
      </c>
      <c r="I2960">
        <v>0.151847183571478</v>
      </c>
      <c r="J2960">
        <v>0.17551141607940601</v>
      </c>
      <c r="K2960">
        <v>0.143365175486765</v>
      </c>
      <c r="L2960">
        <v>558.60598455328295</v>
      </c>
      <c r="M2960">
        <v>11.592723719538</v>
      </c>
      <c r="N2960">
        <v>49.458393054784501</v>
      </c>
      <c r="O2960">
        <v>46.819017883118804</v>
      </c>
      <c r="P2960">
        <v>-5.39346364928254E-2</v>
      </c>
      <c r="Q2960">
        <v>0.12894612365098099</v>
      </c>
      <c r="R2960">
        <v>0.98916862060652899</v>
      </c>
      <c r="S2960" t="s">
        <v>7700</v>
      </c>
      <c r="T2960" t="s">
        <v>9478</v>
      </c>
      <c r="U2960" t="s">
        <v>9478</v>
      </c>
      <c r="V2960" t="s">
        <v>9478</v>
      </c>
      <c r="W2960">
        <v>5</v>
      </c>
      <c r="X2960" t="s">
        <v>12438</v>
      </c>
      <c r="Y2960">
        <v>0.40237352019785461</v>
      </c>
      <c r="Z2960" t="str">
        <f>HYPERLINK("Melting_Curves/meltCurve_sp_Q96IV0_2_NGLY1_HUMAN_.pdf", "Melting_Curves/meltCurve_sp_Q96IV0_2_NGLY1_HUMAN_.pdf")</f>
        <v>Melting_Curves/meltCurve_sp_Q96IV0_2_NGLY1_HUMAN_.pdf</v>
      </c>
      <c r="AA2960" t="s">
        <v>17128</v>
      </c>
      <c r="AB2960" t="s">
        <v>21794</v>
      </c>
    </row>
    <row r="2961" spans="1:28" x14ac:dyDescent="0.25">
      <c r="A2961" t="s">
        <v>2965</v>
      </c>
      <c r="B2961">
        <v>0.99904790336628502</v>
      </c>
      <c r="C2961">
        <v>0.94294537293840197</v>
      </c>
      <c r="D2961">
        <v>0.91221064571533295</v>
      </c>
      <c r="E2961">
        <v>0.6239657591544</v>
      </c>
      <c r="F2961">
        <v>0.384930381347239</v>
      </c>
      <c r="G2961">
        <v>0.14318542159134001</v>
      </c>
      <c r="H2961">
        <v>0.13604455578065699</v>
      </c>
      <c r="I2961">
        <v>0.1113009680749</v>
      </c>
      <c r="J2961">
        <v>8.6928323515410202E-2</v>
      </c>
      <c r="K2961">
        <v>3.7114576567537999E-2</v>
      </c>
      <c r="L2961">
        <v>987.46224538826402</v>
      </c>
      <c r="M2961">
        <v>19.348298803445001</v>
      </c>
      <c r="N2961">
        <v>51.4306696054119</v>
      </c>
      <c r="O2961">
        <v>50.500336304921703</v>
      </c>
      <c r="P2961">
        <v>-8.9180469604283802E-2</v>
      </c>
      <c r="Q2961">
        <v>6.8967154851428306E-2</v>
      </c>
      <c r="R2961">
        <v>0.99608997004928701</v>
      </c>
      <c r="S2961" t="s">
        <v>7701</v>
      </c>
      <c r="T2961" t="s">
        <v>9478</v>
      </c>
      <c r="U2961" t="s">
        <v>9478</v>
      </c>
      <c r="V2961" t="s">
        <v>9478</v>
      </c>
      <c r="W2961">
        <v>2</v>
      </c>
      <c r="X2961" t="s">
        <v>12439</v>
      </c>
      <c r="Y2961">
        <v>0.42521100411487012</v>
      </c>
      <c r="Z2961" t="str">
        <f>HYPERLINK("Melting_Curves/meltCurve_sp_Q96IY1_NSL1_HUMAN_.pdf", "Melting_Curves/meltCurve_sp_Q96IY1_NSL1_HUMAN_.pdf")</f>
        <v>Melting_Curves/meltCurve_sp_Q96IY1_NSL1_HUMAN_.pdf</v>
      </c>
      <c r="AA2961" t="s">
        <v>17129</v>
      </c>
      <c r="AB2961" t="s">
        <v>21795</v>
      </c>
    </row>
    <row r="2962" spans="1:28" x14ac:dyDescent="0.25">
      <c r="A2962" t="s">
        <v>2966</v>
      </c>
      <c r="B2962">
        <v>0.99904790336628502</v>
      </c>
      <c r="C2962">
        <v>0.967066851274343</v>
      </c>
      <c r="D2962">
        <v>0.98274085870436201</v>
      </c>
      <c r="E2962">
        <v>0.83052527633250395</v>
      </c>
      <c r="F2962">
        <v>0.55066382788200097</v>
      </c>
      <c r="G2962">
        <v>0.24200285662703</v>
      </c>
      <c r="H2962">
        <v>0.150835071480314</v>
      </c>
      <c r="I2962">
        <v>9.8656274112627798E-2</v>
      </c>
      <c r="J2962">
        <v>5.5848921559914597E-2</v>
      </c>
      <c r="K2962">
        <v>4.0051862175134803E-2</v>
      </c>
      <c r="L2962">
        <v>1127.0453427575101</v>
      </c>
      <c r="M2962">
        <v>21.117183714067899</v>
      </c>
      <c r="N2962">
        <v>53.672871992127497</v>
      </c>
      <c r="O2962">
        <v>52.899309153488801</v>
      </c>
      <c r="P2962">
        <v>-9.4213431002508105E-2</v>
      </c>
      <c r="Q2962">
        <v>5.5992572429684202E-2</v>
      </c>
      <c r="R2962">
        <v>0.99791203951572904</v>
      </c>
      <c r="S2962" t="s">
        <v>7702</v>
      </c>
      <c r="T2962" t="s">
        <v>9478</v>
      </c>
      <c r="U2962" t="s">
        <v>9478</v>
      </c>
      <c r="V2962" t="s">
        <v>9478</v>
      </c>
      <c r="W2962">
        <v>2</v>
      </c>
      <c r="X2962" t="s">
        <v>12440</v>
      </c>
      <c r="Y2962">
        <v>0.4885327637867557</v>
      </c>
      <c r="Z2962" t="str">
        <f>HYPERLINK("Melting_Curves/meltCurve_sp_Q96IY4_CBPB2_HUMAN_.pdf", "Melting_Curves/meltCurve_sp_Q96IY4_CBPB2_HUMAN_.pdf")</f>
        <v>Melting_Curves/meltCurve_sp_Q96IY4_CBPB2_HUMAN_.pdf</v>
      </c>
      <c r="AA2962" t="s">
        <v>17130</v>
      </c>
      <c r="AB2962" t="s">
        <v>21796</v>
      </c>
    </row>
    <row r="2963" spans="1:28" x14ac:dyDescent="0.25">
      <c r="A2963" t="s">
        <v>2967</v>
      </c>
      <c r="B2963">
        <v>0.99904790336628502</v>
      </c>
      <c r="C2963">
        <v>1.0169051298526399</v>
      </c>
      <c r="D2963">
        <v>0.983815597895913</v>
      </c>
      <c r="E2963">
        <v>0.90622526257501701</v>
      </c>
      <c r="F2963">
        <v>0.85905440715690395</v>
      </c>
      <c r="G2963">
        <v>0.67687411384770901</v>
      </c>
      <c r="H2963">
        <v>0.68167272806640999</v>
      </c>
      <c r="I2963">
        <v>0.53658271264289603</v>
      </c>
      <c r="J2963">
        <v>0.65158413534920401</v>
      </c>
      <c r="K2963">
        <v>0.71426243897724095</v>
      </c>
      <c r="L2963">
        <v>1291.5888800128901</v>
      </c>
      <c r="M2963">
        <v>24.269635102980899</v>
      </c>
      <c r="O2963">
        <v>52.860934501786403</v>
      </c>
      <c r="P2963">
        <v>-4.1584856629922097E-2</v>
      </c>
      <c r="Q2963">
        <v>0.63770673682997603</v>
      </c>
      <c r="R2963">
        <v>0.92067538955039696</v>
      </c>
      <c r="S2963" t="s">
        <v>7703</v>
      </c>
      <c r="T2963" t="s">
        <v>9478</v>
      </c>
      <c r="U2963" t="s">
        <v>9478</v>
      </c>
      <c r="V2963" t="s">
        <v>9478</v>
      </c>
      <c r="W2963">
        <v>7</v>
      </c>
      <c r="X2963" t="s">
        <v>12441</v>
      </c>
      <c r="Y2963">
        <v>0.800866454268926</v>
      </c>
      <c r="Z2963" t="str">
        <f>HYPERLINK("Melting_Curves/meltCurve_sp_Q96IZ0_PAWR_HUMAN_.pdf", "Melting_Curves/meltCurve_sp_Q96IZ0_PAWR_HUMAN_.pdf")</f>
        <v>Melting_Curves/meltCurve_sp_Q96IZ0_PAWR_HUMAN_.pdf</v>
      </c>
      <c r="AA2963" t="s">
        <v>17131</v>
      </c>
      <c r="AB2963" t="s">
        <v>21797</v>
      </c>
    </row>
    <row r="2964" spans="1:28" x14ac:dyDescent="0.25">
      <c r="A2964" t="s">
        <v>2968</v>
      </c>
      <c r="B2964">
        <v>0.99904790336628502</v>
      </c>
      <c r="C2964">
        <v>0.87602804684413604</v>
      </c>
      <c r="D2964">
        <v>0.92173720374922796</v>
      </c>
      <c r="E2964">
        <v>0.76853110756508802</v>
      </c>
      <c r="F2964">
        <v>0.57143624091809797</v>
      </c>
      <c r="G2964">
        <v>0.35002403048012898</v>
      </c>
      <c r="H2964">
        <v>0.181347629731795</v>
      </c>
      <c r="I2964">
        <v>0.10072346594368201</v>
      </c>
      <c r="J2964">
        <v>5.4113570792949102E-2</v>
      </c>
      <c r="K2964">
        <v>4.1040023572174199E-2</v>
      </c>
      <c r="L2964">
        <v>725.62221729135797</v>
      </c>
      <c r="M2964">
        <v>13.3964901017545</v>
      </c>
      <c r="N2964">
        <v>54.165099622575603</v>
      </c>
      <c r="O2964">
        <v>53.0008641759648</v>
      </c>
      <c r="P2964">
        <v>-6.3199897261536006E-2</v>
      </c>
      <c r="Q2964">
        <v>0</v>
      </c>
      <c r="R2964">
        <v>0.99252770645534205</v>
      </c>
      <c r="S2964" t="s">
        <v>7704</v>
      </c>
      <c r="T2964" t="s">
        <v>9478</v>
      </c>
      <c r="U2964" t="s">
        <v>9478</v>
      </c>
      <c r="V2964" t="s">
        <v>9478</v>
      </c>
      <c r="W2964">
        <v>5</v>
      </c>
      <c r="X2964" t="s">
        <v>12442</v>
      </c>
      <c r="Y2964">
        <v>0.49527355539786971</v>
      </c>
      <c r="Z2964" t="str">
        <f>HYPERLINK("Melting_Curves/meltCurve_sp_Q96J02_2_ITCH_HUMAN_.pdf", "Melting_Curves/meltCurve_sp_Q96J02_2_ITCH_HUMAN_.pdf")</f>
        <v>Melting_Curves/meltCurve_sp_Q96J02_2_ITCH_HUMAN_.pdf</v>
      </c>
      <c r="AA2964" t="s">
        <v>17132</v>
      </c>
      <c r="AB2964" t="s">
        <v>21798</v>
      </c>
    </row>
    <row r="2965" spans="1:28" x14ac:dyDescent="0.25">
      <c r="A2965" t="s">
        <v>2969</v>
      </c>
      <c r="B2965">
        <v>0.99904790336628502</v>
      </c>
      <c r="C2965">
        <v>1.0686033820904</v>
      </c>
      <c r="D2965">
        <v>0.94190173561303103</v>
      </c>
      <c r="E2965">
        <v>0.42954560242630402</v>
      </c>
      <c r="F2965">
        <v>0.25361843066420697</v>
      </c>
      <c r="G2965">
        <v>0.126786092873717</v>
      </c>
      <c r="H2965">
        <v>8.1890769855305107E-2</v>
      </c>
      <c r="I2965">
        <v>5.2419583566580101E-2</v>
      </c>
      <c r="J2965">
        <v>5.3194285998349598E-2</v>
      </c>
      <c r="K2965">
        <v>4.9702118729450899E-2</v>
      </c>
      <c r="L2965">
        <v>1399.8099495435399</v>
      </c>
      <c r="M2965">
        <v>28.254040819167798</v>
      </c>
      <c r="N2965">
        <v>49.817335087890399</v>
      </c>
      <c r="O2965">
        <v>49.2974965125807</v>
      </c>
      <c r="P2965">
        <v>-0.13298640747328</v>
      </c>
      <c r="Q2965">
        <v>7.1871535687150406E-2</v>
      </c>
      <c r="R2965">
        <v>0.99075855929079304</v>
      </c>
      <c r="S2965" t="s">
        <v>7705</v>
      </c>
      <c r="T2965" t="s">
        <v>9478</v>
      </c>
      <c r="U2965" t="s">
        <v>9478</v>
      </c>
      <c r="V2965" t="s">
        <v>9478</v>
      </c>
      <c r="W2965">
        <v>10</v>
      </c>
      <c r="X2965" t="s">
        <v>12443</v>
      </c>
      <c r="Y2965">
        <v>0.37356989348301223</v>
      </c>
      <c r="Z2965" t="str">
        <f>HYPERLINK("Melting_Curves/meltCurve_sp_Q96JB2_COG3_HUMAN_.pdf", "Melting_Curves/meltCurve_sp_Q96JB2_COG3_HUMAN_.pdf")</f>
        <v>Melting_Curves/meltCurve_sp_Q96JB2_COG3_HUMAN_.pdf</v>
      </c>
      <c r="AA2965" t="s">
        <v>17133</v>
      </c>
      <c r="AB2965" t="s">
        <v>21799</v>
      </c>
    </row>
    <row r="2966" spans="1:28" x14ac:dyDescent="0.25">
      <c r="A2966" t="s">
        <v>2970</v>
      </c>
      <c r="B2966">
        <v>0.99904790336628502</v>
      </c>
      <c r="C2966">
        <v>1.03556695792472</v>
      </c>
      <c r="D2966">
        <v>1.0370914754143601</v>
      </c>
      <c r="E2966">
        <v>0.70084548144244296</v>
      </c>
      <c r="F2966">
        <v>0.27031374996765101</v>
      </c>
      <c r="G2966">
        <v>0.110425840372807</v>
      </c>
      <c r="H2966">
        <v>6.4669999172156795E-2</v>
      </c>
      <c r="I2966">
        <v>5.3655394540839202E-2</v>
      </c>
      <c r="J2966">
        <v>5.2171515218069099E-2</v>
      </c>
      <c r="K2966">
        <v>4.3509078395387597E-2</v>
      </c>
      <c r="L2966">
        <v>1813.57756529465</v>
      </c>
      <c r="M2966">
        <v>35.463963278578497</v>
      </c>
      <c r="N2966">
        <v>51.320217246548502</v>
      </c>
      <c r="O2966">
        <v>50.976823722736299</v>
      </c>
      <c r="P2966">
        <v>-0.16366593746065</v>
      </c>
      <c r="Q2966">
        <v>5.8972543047870897E-2</v>
      </c>
      <c r="R2966">
        <v>0.996987826653847</v>
      </c>
      <c r="S2966" t="s">
        <v>7706</v>
      </c>
      <c r="T2966" t="s">
        <v>9478</v>
      </c>
      <c r="U2966" t="s">
        <v>9478</v>
      </c>
      <c r="V2966" t="s">
        <v>9478</v>
      </c>
      <c r="W2966">
        <v>12</v>
      </c>
      <c r="X2966" t="s">
        <v>12444</v>
      </c>
      <c r="Y2966">
        <v>0.41260172816010759</v>
      </c>
      <c r="Z2966" t="str">
        <f>HYPERLINK("Melting_Curves/meltCurve_sp_Q96JB5_CK5P3_HUMAN_.pdf", "Melting_Curves/meltCurve_sp_Q96JB5_CK5P3_HUMAN_.pdf")</f>
        <v>Melting_Curves/meltCurve_sp_Q96JB5_CK5P3_HUMAN_.pdf</v>
      </c>
      <c r="AA2966" t="s">
        <v>17134</v>
      </c>
      <c r="AB2966" t="s">
        <v>21800</v>
      </c>
    </row>
    <row r="2967" spans="1:28" x14ac:dyDescent="0.25">
      <c r="A2967" t="s">
        <v>2971</v>
      </c>
      <c r="B2967">
        <v>0.99904790336628502</v>
      </c>
      <c r="C2967">
        <v>0.89982073518314099</v>
      </c>
      <c r="D2967">
        <v>0.946503874450357</v>
      </c>
      <c r="E2967">
        <v>0.76470677547854804</v>
      </c>
      <c r="F2967">
        <v>0.48215519253217998</v>
      </c>
      <c r="G2967">
        <v>0.17416574236785501</v>
      </c>
      <c r="H2967">
        <v>8.4642201835028505E-2</v>
      </c>
      <c r="I2967">
        <v>7.0645217939422994E-2</v>
      </c>
      <c r="J2967">
        <v>4.2864697106426701E-2</v>
      </c>
      <c r="K2967">
        <v>4.3669955810963203E-2</v>
      </c>
      <c r="L2967">
        <v>1109.1064094104299</v>
      </c>
      <c r="M2967">
        <v>21.103592584974201</v>
      </c>
      <c r="N2967">
        <v>52.743876612989801</v>
      </c>
      <c r="O2967">
        <v>52.090274665192801</v>
      </c>
      <c r="P2967">
        <v>-9.7606671131023698E-2</v>
      </c>
      <c r="Q2967">
        <v>3.6330348540288701E-2</v>
      </c>
      <c r="R2967">
        <v>0.99404067946691299</v>
      </c>
      <c r="S2967" t="s">
        <v>7707</v>
      </c>
      <c r="T2967" t="s">
        <v>9478</v>
      </c>
      <c r="U2967" t="s">
        <v>9478</v>
      </c>
      <c r="V2967" t="s">
        <v>9478</v>
      </c>
      <c r="W2967">
        <v>3</v>
      </c>
      <c r="X2967" t="s">
        <v>12445</v>
      </c>
      <c r="Y2967">
        <v>0.45173005932486748</v>
      </c>
      <c r="Z2967" t="str">
        <f>HYPERLINK("Melting_Curves/meltCurve_sp_Q96JE7_SC16B_HUMAN_.pdf", "Melting_Curves/meltCurve_sp_Q96JE7_SC16B_HUMAN_.pdf")</f>
        <v>Melting_Curves/meltCurve_sp_Q96JE7_SC16B_HUMAN_.pdf</v>
      </c>
      <c r="AA2967" t="s">
        <v>17135</v>
      </c>
      <c r="AB2967" t="s">
        <v>21801</v>
      </c>
    </row>
    <row r="2968" spans="1:28" x14ac:dyDescent="0.25">
      <c r="A2968" t="s">
        <v>2972</v>
      </c>
      <c r="B2968">
        <v>0.99904790336628502</v>
      </c>
      <c r="C2968">
        <v>0.96886483738090401</v>
      </c>
      <c r="D2968">
        <v>1.0257484471343401</v>
      </c>
      <c r="E2968">
        <v>0.77609639967983202</v>
      </c>
      <c r="F2968">
        <v>0.33841054243727597</v>
      </c>
      <c r="G2968">
        <v>0.15168487596838801</v>
      </c>
      <c r="H2968">
        <v>0.113296046979433</v>
      </c>
      <c r="I2968">
        <v>5.9772433465490001E-2</v>
      </c>
      <c r="J2968">
        <v>4.8778990732723501E-2</v>
      </c>
      <c r="K2968">
        <v>4.5290598415330799E-2</v>
      </c>
      <c r="L2968">
        <v>1725.9329233374399</v>
      </c>
      <c r="M2968">
        <v>33.397381676096302</v>
      </c>
      <c r="N2968">
        <v>51.921213573041499</v>
      </c>
      <c r="O2968">
        <v>51.494448159818702</v>
      </c>
      <c r="P2968">
        <v>-0.15043149236119399</v>
      </c>
      <c r="Q2968">
        <v>7.22200284949438E-2</v>
      </c>
      <c r="R2968">
        <v>0.99578709484754302</v>
      </c>
      <c r="S2968" t="s">
        <v>7708</v>
      </c>
      <c r="T2968" t="s">
        <v>9478</v>
      </c>
      <c r="U2968" t="s">
        <v>9478</v>
      </c>
      <c r="V2968" t="s">
        <v>9478</v>
      </c>
      <c r="W2968">
        <v>10</v>
      </c>
      <c r="X2968" t="s">
        <v>12446</v>
      </c>
      <c r="Y2968">
        <v>0.43815554558732561</v>
      </c>
      <c r="Z2968" t="str">
        <f>HYPERLINK("Melting_Curves/meltCurve_sp_Q96JG6_3_CC132_HUMAN_.pdf", "Melting_Curves/meltCurve_sp_Q96JG6_3_CC132_HUMAN_.pdf")</f>
        <v>Melting_Curves/meltCurve_sp_Q96JG6_3_CC132_HUMAN_.pdf</v>
      </c>
      <c r="AA2968" t="s">
        <v>17136</v>
      </c>
      <c r="AB2968" t="s">
        <v>21802</v>
      </c>
    </row>
    <row r="2969" spans="1:28" x14ac:dyDescent="0.25">
      <c r="A2969" t="s">
        <v>2973</v>
      </c>
      <c r="B2969">
        <v>0.99904790336628502</v>
      </c>
      <c r="C2969">
        <v>0.90622040520070402</v>
      </c>
      <c r="D2969">
        <v>0.91892623645856097</v>
      </c>
      <c r="E2969">
        <v>0.90860914536788395</v>
      </c>
      <c r="F2969">
        <v>0.80019143822825001</v>
      </c>
      <c r="G2969">
        <v>0.64078264480888303</v>
      </c>
      <c r="H2969">
        <v>0.63255706278258805</v>
      </c>
      <c r="I2969">
        <v>0.55876723791941196</v>
      </c>
      <c r="J2969">
        <v>0.63979954117219395</v>
      </c>
      <c r="K2969">
        <v>0.647451648791602</v>
      </c>
      <c r="L2969">
        <v>882.707853668295</v>
      </c>
      <c r="M2969">
        <v>16.8803947574165</v>
      </c>
      <c r="O2969">
        <v>51.574564516725999</v>
      </c>
      <c r="P2969">
        <v>-3.2717652058896297E-2</v>
      </c>
      <c r="Q2969">
        <v>0.60017725413816903</v>
      </c>
      <c r="R2969">
        <v>0.91818401513687398</v>
      </c>
      <c r="S2969" t="s">
        <v>7709</v>
      </c>
      <c r="T2969" t="s">
        <v>9478</v>
      </c>
      <c r="U2969" t="s">
        <v>9478</v>
      </c>
      <c r="V2969" t="s">
        <v>9478</v>
      </c>
      <c r="W2969">
        <v>5</v>
      </c>
      <c r="X2969" t="s">
        <v>12447</v>
      </c>
      <c r="Y2969">
        <v>0.77136050079333562</v>
      </c>
      <c r="Z2969" t="str">
        <f>HYPERLINK("Melting_Curves/meltCurve_sp_Q96JH7_VCIP1_HUMAN_.pdf", "Melting_Curves/meltCurve_sp_Q96JH7_VCIP1_HUMAN_.pdf")</f>
        <v>Melting_Curves/meltCurve_sp_Q96JH7_VCIP1_HUMAN_.pdf</v>
      </c>
      <c r="AA2969" t="s">
        <v>17137</v>
      </c>
      <c r="AB2969" t="s">
        <v>21803</v>
      </c>
    </row>
    <row r="2970" spans="1:28" x14ac:dyDescent="0.25">
      <c r="A2970" t="s">
        <v>2974</v>
      </c>
      <c r="B2970">
        <v>0.99904790336628502</v>
      </c>
      <c r="C2970">
        <v>1.0119396970765</v>
      </c>
      <c r="D2970">
        <v>0.98559699660010602</v>
      </c>
      <c r="E2970">
        <v>0.86976523016556895</v>
      </c>
      <c r="F2970">
        <v>0.79867846450191704</v>
      </c>
      <c r="G2970">
        <v>0.54173026385037404</v>
      </c>
      <c r="H2970">
        <v>0.41824893503217803</v>
      </c>
      <c r="I2970">
        <v>0.37773341339366601</v>
      </c>
      <c r="J2970">
        <v>0.45451440829023099</v>
      </c>
      <c r="K2970">
        <v>0.42740652898689302</v>
      </c>
      <c r="L2970">
        <v>1214.20435445761</v>
      </c>
      <c r="M2970">
        <v>22.486873894207999</v>
      </c>
      <c r="N2970">
        <v>58.273927008263698</v>
      </c>
      <c r="O2970">
        <v>53.574554053190099</v>
      </c>
      <c r="P2970">
        <v>-6.2536479161438202E-2</v>
      </c>
      <c r="Q2970">
        <v>0.40404428945479398</v>
      </c>
      <c r="R2970">
        <v>0.98708792443999305</v>
      </c>
      <c r="S2970" t="s">
        <v>7710</v>
      </c>
      <c r="T2970" t="s">
        <v>9478</v>
      </c>
      <c r="U2970" t="s">
        <v>9478</v>
      </c>
      <c r="V2970" t="s">
        <v>9478</v>
      </c>
      <c r="W2970">
        <v>6</v>
      </c>
      <c r="X2970" t="s">
        <v>12448</v>
      </c>
      <c r="Y2970">
        <v>0.68873826276283645</v>
      </c>
      <c r="Z2970" t="str">
        <f>HYPERLINK("Melting_Curves/meltCurve_sp_Q96JM3_CHAP1_HUMAN_.pdf", "Melting_Curves/meltCurve_sp_Q96JM3_CHAP1_HUMAN_.pdf")</f>
        <v>Melting_Curves/meltCurve_sp_Q96JM3_CHAP1_HUMAN_.pdf</v>
      </c>
      <c r="AA2970" t="s">
        <v>17138</v>
      </c>
      <c r="AB2970" t="s">
        <v>21804</v>
      </c>
    </row>
    <row r="2971" spans="1:28" x14ac:dyDescent="0.25">
      <c r="A2971" t="s">
        <v>2975</v>
      </c>
      <c r="B2971">
        <v>0.99904790336628502</v>
      </c>
      <c r="C2971">
        <v>0.89739253497360305</v>
      </c>
      <c r="D2971">
        <v>1.06336916018968</v>
      </c>
      <c r="E2971">
        <v>0.79234560998502002</v>
      </c>
      <c r="F2971">
        <v>0.62024053170888405</v>
      </c>
      <c r="G2971">
        <v>0.48359550049820998</v>
      </c>
      <c r="H2971">
        <v>0.40951589477098699</v>
      </c>
      <c r="I2971">
        <v>0.33188395131437498</v>
      </c>
      <c r="J2971">
        <v>0.23635072333839499</v>
      </c>
      <c r="K2971">
        <v>0.439217677739829</v>
      </c>
      <c r="L2971">
        <v>1047.76856290515</v>
      </c>
      <c r="M2971">
        <v>19.9845825973748</v>
      </c>
      <c r="N2971">
        <v>55.621539756315897</v>
      </c>
      <c r="O2971">
        <v>51.912348798955101</v>
      </c>
      <c r="P2971">
        <v>-6.3403940280791798E-2</v>
      </c>
      <c r="Q2971">
        <v>0.341224201687993</v>
      </c>
      <c r="R2971">
        <v>0.94235109239764203</v>
      </c>
      <c r="S2971" t="s">
        <v>7711</v>
      </c>
      <c r="T2971" t="s">
        <v>9478</v>
      </c>
      <c r="U2971" t="s">
        <v>9478</v>
      </c>
      <c r="V2971" t="s">
        <v>9478</v>
      </c>
      <c r="W2971">
        <v>3</v>
      </c>
      <c r="X2971" t="s">
        <v>12449</v>
      </c>
      <c r="Y2971">
        <v>0.62326133283588525</v>
      </c>
      <c r="Z2971" t="str">
        <f>HYPERLINK("Melting_Curves/meltCurve_sp_Q96JP2_MY15B_HUMAN_.pdf", "Melting_Curves/meltCurve_sp_Q96JP2_MY15B_HUMAN_.pdf")</f>
        <v>Melting_Curves/meltCurve_sp_Q96JP2_MY15B_HUMAN_.pdf</v>
      </c>
      <c r="AA2971" t="s">
        <v>17139</v>
      </c>
      <c r="AB2971" t="s">
        <v>21805</v>
      </c>
    </row>
    <row r="2972" spans="1:28" x14ac:dyDescent="0.25">
      <c r="A2972" t="s">
        <v>2976</v>
      </c>
      <c r="B2972">
        <v>0.99904790336628502</v>
      </c>
      <c r="C2972">
        <v>0.96519345026149805</v>
      </c>
      <c r="D2972">
        <v>1.02936758260488</v>
      </c>
      <c r="E2972">
        <v>1.07002715381486</v>
      </c>
      <c r="F2972">
        <v>0.97741826529271503</v>
      </c>
      <c r="G2972">
        <v>0.81838446383819996</v>
      </c>
      <c r="H2972">
        <v>0.78306065709367301</v>
      </c>
      <c r="I2972">
        <v>0.81823323539285997</v>
      </c>
      <c r="J2972">
        <v>0.671595489511845</v>
      </c>
      <c r="K2972">
        <v>1.05129364371553</v>
      </c>
      <c r="L2972">
        <v>13349.966818694</v>
      </c>
      <c r="M2972">
        <v>250</v>
      </c>
      <c r="O2972">
        <v>53.396450108137003</v>
      </c>
      <c r="P2972">
        <v>-0.200723206484168</v>
      </c>
      <c r="Q2972">
        <v>0.82851349353873904</v>
      </c>
      <c r="R2972">
        <v>0.49207321494056</v>
      </c>
      <c r="S2972" t="s">
        <v>7712</v>
      </c>
      <c r="T2972" t="s">
        <v>9478</v>
      </c>
      <c r="U2972" t="s">
        <v>9478</v>
      </c>
      <c r="V2972" t="s">
        <v>9478</v>
      </c>
      <c r="W2972">
        <v>3</v>
      </c>
      <c r="X2972" t="s">
        <v>12450</v>
      </c>
      <c r="Y2972">
        <v>0.90512611209039784</v>
      </c>
      <c r="Z2972" t="str">
        <f>HYPERLINK("Melting_Curves/meltCurve_sp_Q96JP5_2_ZFP91_HUMAN_.pdf", "Melting_Curves/meltCurve_sp_Q96JP5_2_ZFP91_HUMAN_.pdf")</f>
        <v>Melting_Curves/meltCurve_sp_Q96JP5_2_ZFP91_HUMAN_.pdf</v>
      </c>
      <c r="AA2972" t="s">
        <v>17140</v>
      </c>
      <c r="AB2972" t="s">
        <v>21806</v>
      </c>
    </row>
    <row r="2973" spans="1:28" x14ac:dyDescent="0.25">
      <c r="A2973" t="s">
        <v>2977</v>
      </c>
      <c r="B2973">
        <v>0.99904790336628502</v>
      </c>
      <c r="C2973">
        <v>1.0213669289367</v>
      </c>
      <c r="D2973">
        <v>0.95434052724802598</v>
      </c>
      <c r="E2973">
        <v>0.92445775810326802</v>
      </c>
      <c r="F2973">
        <v>0.91204076176802096</v>
      </c>
      <c r="G2973">
        <v>0.63436502481951895</v>
      </c>
      <c r="H2973">
        <v>0.39108326017894801</v>
      </c>
      <c r="I2973">
        <v>0.19956915808023101</v>
      </c>
      <c r="J2973">
        <v>0.15116244565827</v>
      </c>
      <c r="K2973">
        <v>0.12060737073408601</v>
      </c>
      <c r="L2973">
        <v>1080.9113949395801</v>
      </c>
      <c r="M2973">
        <v>18.4621052390019</v>
      </c>
      <c r="N2973">
        <v>59.008900930531503</v>
      </c>
      <c r="O2973">
        <v>57.873635281036002</v>
      </c>
      <c r="P2973">
        <v>-7.4395713682834305E-2</v>
      </c>
      <c r="Q2973">
        <v>6.7201051382794502E-2</v>
      </c>
      <c r="R2973">
        <v>0.99537193077789299</v>
      </c>
      <c r="S2973" t="s">
        <v>7713</v>
      </c>
      <c r="T2973" t="s">
        <v>9478</v>
      </c>
      <c r="U2973" t="s">
        <v>9478</v>
      </c>
      <c r="V2973" t="s">
        <v>9478</v>
      </c>
      <c r="W2973">
        <v>18</v>
      </c>
      <c r="X2973" t="s">
        <v>12451</v>
      </c>
      <c r="Y2973">
        <v>0.65444312124734738</v>
      </c>
      <c r="Z2973" t="str">
        <f>HYPERLINK("Melting_Curves/meltCurve_sp_Q96JQ2_CLMN_HUMAN_.pdf", "Melting_Curves/meltCurve_sp_Q96JQ2_CLMN_HUMAN_.pdf")</f>
        <v>Melting_Curves/meltCurve_sp_Q96JQ2_CLMN_HUMAN_.pdf</v>
      </c>
      <c r="AA2973" t="s">
        <v>17141</v>
      </c>
      <c r="AB2973" t="s">
        <v>21807</v>
      </c>
    </row>
    <row r="2974" spans="1:28" x14ac:dyDescent="0.25">
      <c r="A2974" t="s">
        <v>2978</v>
      </c>
      <c r="B2974">
        <v>0.99904790336628502</v>
      </c>
      <c r="C2974">
        <v>0.98246943088727401</v>
      </c>
      <c r="D2974">
        <v>0.93541983717399102</v>
      </c>
      <c r="E2974">
        <v>0.92991734683289595</v>
      </c>
      <c r="F2974">
        <v>0.94201895418899395</v>
      </c>
      <c r="G2974">
        <v>0.729021829734259</v>
      </c>
      <c r="H2974">
        <v>0.66934943961095705</v>
      </c>
      <c r="I2974">
        <v>0.60971725016084199</v>
      </c>
      <c r="J2974">
        <v>0.66479966548005598</v>
      </c>
      <c r="K2974">
        <v>0.66323939046061497</v>
      </c>
      <c r="L2974">
        <v>1668.7795620607801</v>
      </c>
      <c r="M2974">
        <v>30.297186324803501</v>
      </c>
      <c r="O2974">
        <v>54.842054004725</v>
      </c>
      <c r="P2974">
        <v>-4.9091772135360298E-2</v>
      </c>
      <c r="Q2974">
        <v>0.64455091922957197</v>
      </c>
      <c r="R2974">
        <v>0.95331589859835797</v>
      </c>
      <c r="S2974" t="s">
        <v>7714</v>
      </c>
      <c r="T2974" t="s">
        <v>9478</v>
      </c>
      <c r="U2974" t="s">
        <v>9478</v>
      </c>
      <c r="V2974" t="s">
        <v>9478</v>
      </c>
      <c r="W2974">
        <v>16</v>
      </c>
      <c r="X2974" t="s">
        <v>12452</v>
      </c>
      <c r="Y2974">
        <v>0.82554322289688775</v>
      </c>
      <c r="Z2974" t="str">
        <f>HYPERLINK("Melting_Curves/meltCurve_sp_Q96JY6_PDLI2_HUMAN_.pdf", "Melting_Curves/meltCurve_sp_Q96JY6_PDLI2_HUMAN_.pdf")</f>
        <v>Melting_Curves/meltCurve_sp_Q96JY6_PDLI2_HUMAN_.pdf</v>
      </c>
      <c r="AA2974" t="s">
        <v>17142</v>
      </c>
      <c r="AB2974" t="s">
        <v>21808</v>
      </c>
    </row>
    <row r="2975" spans="1:28" x14ac:dyDescent="0.25">
      <c r="A2975" t="s">
        <v>2979</v>
      </c>
      <c r="B2975">
        <v>0.99904790336628502</v>
      </c>
      <c r="C2975">
        <v>0.94161322632600697</v>
      </c>
      <c r="D2975">
        <v>0.92442125263659702</v>
      </c>
      <c r="E2975">
        <v>0.94641345192401005</v>
      </c>
      <c r="F2975">
        <v>0.900388599985533</v>
      </c>
      <c r="G2975">
        <v>0.76564252286013501</v>
      </c>
      <c r="H2975">
        <v>0.57926156019141695</v>
      </c>
      <c r="I2975">
        <v>0.497461250503203</v>
      </c>
      <c r="J2975">
        <v>0.24913510377996401</v>
      </c>
      <c r="K2975">
        <v>0.34162415986123101</v>
      </c>
      <c r="L2975">
        <v>773.04002920118</v>
      </c>
      <c r="M2975">
        <v>12.625142912995001</v>
      </c>
      <c r="N2975">
        <v>62.813871619428198</v>
      </c>
      <c r="O2975">
        <v>59.754959875988803</v>
      </c>
      <c r="P2975">
        <v>-4.5629551358186901E-2</v>
      </c>
      <c r="Q2975">
        <v>0.13631016118931799</v>
      </c>
      <c r="R2975">
        <v>0.96602354968045501</v>
      </c>
      <c r="S2975" t="s">
        <v>7715</v>
      </c>
      <c r="T2975" t="s">
        <v>9478</v>
      </c>
      <c r="U2975" t="s">
        <v>9478</v>
      </c>
      <c r="V2975" t="s">
        <v>9478</v>
      </c>
      <c r="W2975">
        <v>2</v>
      </c>
      <c r="X2975" t="s">
        <v>12453</v>
      </c>
      <c r="Y2975">
        <v>0.7443207449092224</v>
      </c>
      <c r="Z2975" t="str">
        <f>HYPERLINK("Melting_Curves/meltCurve_sp_Q96K17_2_BT3L4_HUMAN_.pdf", "Melting_Curves/meltCurve_sp_Q96K17_2_BT3L4_HUMAN_.pdf")</f>
        <v>Melting_Curves/meltCurve_sp_Q96K17_2_BT3L4_HUMAN_.pdf</v>
      </c>
      <c r="AA2975" t="s">
        <v>17143</v>
      </c>
      <c r="AB2975" t="s">
        <v>21809</v>
      </c>
    </row>
    <row r="2976" spans="1:28" x14ac:dyDescent="0.25">
      <c r="A2976" t="s">
        <v>2980</v>
      </c>
      <c r="B2976">
        <v>0.99904790336628502</v>
      </c>
      <c r="C2976">
        <v>0.95814114414590601</v>
      </c>
      <c r="D2976">
        <v>0.94014753591689904</v>
      </c>
      <c r="E2976">
        <v>0.95484634154454395</v>
      </c>
      <c r="F2976">
        <v>0.97085596152603604</v>
      </c>
      <c r="G2976">
        <v>0.85975451675888903</v>
      </c>
      <c r="H2976">
        <v>0.78407487720726299</v>
      </c>
      <c r="I2976">
        <v>0.685557668988377</v>
      </c>
      <c r="J2976">
        <v>0.77267424285893604</v>
      </c>
      <c r="K2976">
        <v>0.79935908122303501</v>
      </c>
      <c r="L2976">
        <v>1731.2640234354601</v>
      </c>
      <c r="M2976">
        <v>30.751999781790499</v>
      </c>
      <c r="O2976">
        <v>56.061150723650897</v>
      </c>
      <c r="P2976">
        <v>-3.37361304317522E-2</v>
      </c>
      <c r="Q2976">
        <v>0.75399647744513099</v>
      </c>
      <c r="R2976">
        <v>0.85522937999378001</v>
      </c>
      <c r="S2976" t="s">
        <v>7716</v>
      </c>
      <c r="T2976" t="s">
        <v>9478</v>
      </c>
      <c r="U2976" t="s">
        <v>9478</v>
      </c>
      <c r="V2976" t="s">
        <v>9478</v>
      </c>
      <c r="W2976">
        <v>4</v>
      </c>
      <c r="X2976" t="s">
        <v>12454</v>
      </c>
      <c r="Y2976">
        <v>0.88920751243403606</v>
      </c>
      <c r="Z2976" t="str">
        <f>HYPERLINK("Melting_Curves/meltCurve_sp_Q96KC8_DNJC1_HUMAN_.pdf", "Melting_Curves/meltCurve_sp_Q96KC8_DNJC1_HUMAN_.pdf")</f>
        <v>Melting_Curves/meltCurve_sp_Q96KC8_DNJC1_HUMAN_.pdf</v>
      </c>
      <c r="AA2976" t="s">
        <v>17144</v>
      </c>
      <c r="AB2976" t="s">
        <v>21810</v>
      </c>
    </row>
    <row r="2977" spans="1:28" x14ac:dyDescent="0.25">
      <c r="A2977" t="s">
        <v>2981</v>
      </c>
      <c r="B2977">
        <v>0.99904790336628502</v>
      </c>
      <c r="C2977">
        <v>0.99762558564507797</v>
      </c>
      <c r="D2977">
        <v>1.0447404663558499</v>
      </c>
      <c r="E2977">
        <v>0.92789933955422599</v>
      </c>
      <c r="F2977">
        <v>0.69330469181596799</v>
      </c>
      <c r="G2977">
        <v>0.20314526371404801</v>
      </c>
      <c r="H2977">
        <v>0.104147983435354</v>
      </c>
      <c r="I2977">
        <v>7.2698949984600497E-2</v>
      </c>
      <c r="J2977">
        <v>5.7468671891331903E-2</v>
      </c>
      <c r="K2977">
        <v>4.7524490006526303E-2</v>
      </c>
      <c r="L2977">
        <v>1768.44923836424</v>
      </c>
      <c r="M2977">
        <v>32.672917109559997</v>
      </c>
      <c r="N2977">
        <v>54.341730572882497</v>
      </c>
      <c r="O2977">
        <v>53.924293175419102</v>
      </c>
      <c r="P2977">
        <v>-0.14225689891917101</v>
      </c>
      <c r="Q2977">
        <v>6.0865362286305298E-2</v>
      </c>
      <c r="R2977">
        <v>0.99824589390017704</v>
      </c>
      <c r="S2977" t="s">
        <v>7717</v>
      </c>
      <c r="T2977" t="s">
        <v>9478</v>
      </c>
      <c r="U2977" t="s">
        <v>9478</v>
      </c>
      <c r="V2977" t="s">
        <v>9478</v>
      </c>
      <c r="W2977">
        <v>19</v>
      </c>
      <c r="X2977" t="s">
        <v>12455</v>
      </c>
      <c r="Y2977">
        <v>0.50830210670588172</v>
      </c>
      <c r="Z2977" t="str">
        <f>HYPERLINK("Melting_Curves/meltCurve_sp_Q96KG9_3_NTKL_HUMAN_.pdf", "Melting_Curves/meltCurve_sp_Q96KG9_3_NTKL_HUMAN_.pdf")</f>
        <v>Melting_Curves/meltCurve_sp_Q96KG9_3_NTKL_HUMAN_.pdf</v>
      </c>
      <c r="AA2977" t="s">
        <v>17145</v>
      </c>
      <c r="AB2977" t="s">
        <v>21811</v>
      </c>
    </row>
    <row r="2978" spans="1:28" x14ac:dyDescent="0.25">
      <c r="A2978" t="s">
        <v>2982</v>
      </c>
      <c r="B2978">
        <v>0.99904790336628502</v>
      </c>
      <c r="C2978">
        <v>1.0341571794373099</v>
      </c>
      <c r="D2978">
        <v>1.0392562731748101</v>
      </c>
      <c r="E2978">
        <v>0.98048630606663401</v>
      </c>
      <c r="F2978">
        <v>0.94361731058518294</v>
      </c>
      <c r="G2978">
        <v>0.72389341549557396</v>
      </c>
      <c r="H2978">
        <v>0.58680045833640604</v>
      </c>
      <c r="I2978">
        <v>0.576655195452351</v>
      </c>
      <c r="J2978">
        <v>0.53573479920249101</v>
      </c>
      <c r="K2978">
        <v>0.51227906133209999</v>
      </c>
      <c r="L2978">
        <v>1560.61726764782</v>
      </c>
      <c r="M2978">
        <v>27.662048430588101</v>
      </c>
      <c r="O2978">
        <v>56.124911290767997</v>
      </c>
      <c r="P2978">
        <v>-5.7623075919239403E-2</v>
      </c>
      <c r="Q2978">
        <v>0.53234699891536297</v>
      </c>
      <c r="R2978">
        <v>0.99064528375761796</v>
      </c>
      <c r="S2978" t="s">
        <v>7718</v>
      </c>
      <c r="T2978" t="s">
        <v>9478</v>
      </c>
      <c r="U2978" t="s">
        <v>9478</v>
      </c>
      <c r="V2978" t="s">
        <v>9478</v>
      </c>
      <c r="W2978">
        <v>5</v>
      </c>
      <c r="X2978" t="s">
        <v>12456</v>
      </c>
      <c r="Y2978">
        <v>0.79186746217399995</v>
      </c>
      <c r="Z2978" t="str">
        <f>HYPERLINK("Melting_Curves/meltCurve_sp_Q96KM6_Z512B_HUMAN_.pdf", "Melting_Curves/meltCurve_sp_Q96KM6_Z512B_HUMAN_.pdf")</f>
        <v>Melting_Curves/meltCurve_sp_Q96KM6_Z512B_HUMAN_.pdf</v>
      </c>
      <c r="AA2978" t="s">
        <v>17146</v>
      </c>
      <c r="AB2978" t="s">
        <v>21812</v>
      </c>
    </row>
    <row r="2979" spans="1:28" x14ac:dyDescent="0.25">
      <c r="A2979" t="s">
        <v>2983</v>
      </c>
      <c r="B2979">
        <v>0.99904790336628502</v>
      </c>
      <c r="C2979">
        <v>1.0158625839663999</v>
      </c>
      <c r="D2979">
        <v>0.95968064909135598</v>
      </c>
      <c r="E2979">
        <v>0.40806315045434</v>
      </c>
      <c r="F2979">
        <v>0.19836138841940301</v>
      </c>
      <c r="G2979">
        <v>0.12389883082150301</v>
      </c>
      <c r="H2979">
        <v>7.3261302155739796E-2</v>
      </c>
      <c r="I2979">
        <v>5.7478499948988501E-2</v>
      </c>
      <c r="J2979">
        <v>4.8308380011246897E-2</v>
      </c>
      <c r="K2979">
        <v>3.96866878921232E-2</v>
      </c>
      <c r="L2979">
        <v>1640.00707749239</v>
      </c>
      <c r="M2979">
        <v>33.231786838846901</v>
      </c>
      <c r="N2979">
        <v>49.577842345569998</v>
      </c>
      <c r="O2979">
        <v>49.172875779672196</v>
      </c>
      <c r="P2979">
        <v>-0.15701788442230899</v>
      </c>
      <c r="Q2979">
        <v>7.0650339430387801E-2</v>
      </c>
      <c r="R2979">
        <v>0.99525386352685297</v>
      </c>
      <c r="S2979" t="s">
        <v>7719</v>
      </c>
      <c r="T2979" t="s">
        <v>9478</v>
      </c>
      <c r="U2979" t="s">
        <v>9478</v>
      </c>
      <c r="V2979" t="s">
        <v>9478</v>
      </c>
      <c r="W2979">
        <v>12</v>
      </c>
      <c r="X2979" t="s">
        <v>12457</v>
      </c>
      <c r="Y2979">
        <v>0.36493435219494591</v>
      </c>
      <c r="Z2979" t="str">
        <f>HYPERLINK("Melting_Curves/meltCurve_sp_Q96KP1_EXOC2_HUMAN_.pdf", "Melting_Curves/meltCurve_sp_Q96KP1_EXOC2_HUMAN_.pdf")</f>
        <v>Melting_Curves/meltCurve_sp_Q96KP1_EXOC2_HUMAN_.pdf</v>
      </c>
      <c r="AA2979" t="s">
        <v>17147</v>
      </c>
      <c r="AB2979" t="s">
        <v>21813</v>
      </c>
    </row>
    <row r="2980" spans="1:28" x14ac:dyDescent="0.25">
      <c r="A2980" t="s">
        <v>2984</v>
      </c>
      <c r="B2980">
        <v>0.99904790336628502</v>
      </c>
      <c r="C2980">
        <v>0.96560912759485695</v>
      </c>
      <c r="D2980">
        <v>1.02417750312609</v>
      </c>
      <c r="E2980">
        <v>0.96962996703156901</v>
      </c>
      <c r="F2980">
        <v>0.66364611749128999</v>
      </c>
      <c r="G2980">
        <v>0.23229070451587999</v>
      </c>
      <c r="H2980">
        <v>0.110254963373752</v>
      </c>
      <c r="I2980">
        <v>6.2611130380957294E-2</v>
      </c>
      <c r="J2980">
        <v>4.1691399181696197E-2</v>
      </c>
      <c r="K2980">
        <v>3.2633035435780999E-2</v>
      </c>
      <c r="L2980">
        <v>1641.5290777579801</v>
      </c>
      <c r="M2980">
        <v>30.2791812709456</v>
      </c>
      <c r="N2980">
        <v>54.404898027967498</v>
      </c>
      <c r="O2980">
        <v>53.978305488455</v>
      </c>
      <c r="P2980">
        <v>-0.133140247216086</v>
      </c>
      <c r="Q2980">
        <v>5.0616330223353601E-2</v>
      </c>
      <c r="R2980">
        <v>0.99718090070197496</v>
      </c>
      <c r="S2980" t="s">
        <v>7720</v>
      </c>
      <c r="T2980" t="s">
        <v>9478</v>
      </c>
      <c r="U2980" t="s">
        <v>9478</v>
      </c>
      <c r="V2980" t="s">
        <v>9478</v>
      </c>
      <c r="W2980">
        <v>30</v>
      </c>
      <c r="X2980" t="s">
        <v>12458</v>
      </c>
      <c r="Y2980">
        <v>0.50654742988590218</v>
      </c>
      <c r="Z2980" t="str">
        <f>HYPERLINK("Melting_Curves/meltCurve_sp_Q96KP4_CNDP2_HUMAN_.pdf", "Melting_Curves/meltCurve_sp_Q96KP4_CNDP2_HUMAN_.pdf")</f>
        <v>Melting_Curves/meltCurve_sp_Q96KP4_CNDP2_HUMAN_.pdf</v>
      </c>
      <c r="AA2980" t="s">
        <v>17148</v>
      </c>
      <c r="AB2980" t="s">
        <v>21814</v>
      </c>
    </row>
    <row r="2981" spans="1:28" x14ac:dyDescent="0.25">
      <c r="A2981" t="s">
        <v>2985</v>
      </c>
      <c r="B2981">
        <v>0.99904790336628502</v>
      </c>
      <c r="C2981">
        <v>1.01490052591319</v>
      </c>
      <c r="D2981">
        <v>0.98687882217846501</v>
      </c>
      <c r="E2981">
        <v>0.97299710221150704</v>
      </c>
      <c r="F2981">
        <v>0.88866669850135904</v>
      </c>
      <c r="G2981">
        <v>0.54566238071011897</v>
      </c>
      <c r="H2981">
        <v>0.35198405689601098</v>
      </c>
      <c r="I2981">
        <v>0.33409803218205603</v>
      </c>
      <c r="J2981">
        <v>0.34291770444321301</v>
      </c>
      <c r="K2981">
        <v>0.34194981747604097</v>
      </c>
      <c r="L2981">
        <v>1826.3120588612201</v>
      </c>
      <c r="M2981">
        <v>32.835165782293302</v>
      </c>
      <c r="N2981">
        <v>57.531686986231101</v>
      </c>
      <c r="O2981">
        <v>55.415523238579297</v>
      </c>
      <c r="P2981">
        <v>-9.8950718095394199E-2</v>
      </c>
      <c r="Q2981">
        <v>0.332011172476049</v>
      </c>
      <c r="R2981">
        <v>0.99895052690723896</v>
      </c>
      <c r="S2981" t="s">
        <v>7721</v>
      </c>
      <c r="T2981" t="s">
        <v>9478</v>
      </c>
      <c r="U2981" t="s">
        <v>9478</v>
      </c>
      <c r="V2981" t="s">
        <v>9478</v>
      </c>
      <c r="W2981">
        <v>13</v>
      </c>
      <c r="X2981" t="s">
        <v>12459</v>
      </c>
      <c r="Y2981">
        <v>0.68357698569269398</v>
      </c>
      <c r="Z2981" t="str">
        <f>HYPERLINK("Melting_Curves/meltCurve_sp_Q96KR1_ZFR_HUMAN_.pdf", "Melting_Curves/meltCurve_sp_Q96KR1_ZFR_HUMAN_.pdf")</f>
        <v>Melting_Curves/meltCurve_sp_Q96KR1_ZFR_HUMAN_.pdf</v>
      </c>
      <c r="AA2981" t="s">
        <v>17149</v>
      </c>
      <c r="AB2981" t="s">
        <v>21815</v>
      </c>
    </row>
    <row r="2982" spans="1:28" x14ac:dyDescent="0.25">
      <c r="A2982" t="s">
        <v>2986</v>
      </c>
      <c r="B2982">
        <v>0.99904790336628502</v>
      </c>
      <c r="C2982">
        <v>0.90141471863771805</v>
      </c>
      <c r="D2982">
        <v>0.90564165521473605</v>
      </c>
      <c r="E2982">
        <v>0.75189369344336998</v>
      </c>
      <c r="F2982">
        <v>1.15043823470361</v>
      </c>
      <c r="G2982">
        <v>0.86057009820555896</v>
      </c>
      <c r="H2982">
        <v>0.63490296865452001</v>
      </c>
      <c r="I2982">
        <v>0.693884415179993</v>
      </c>
      <c r="J2982">
        <v>0.85219516564687603</v>
      </c>
      <c r="K2982">
        <v>0.90600754725848798</v>
      </c>
      <c r="L2982">
        <v>339.73991164202602</v>
      </c>
      <c r="M2982">
        <v>6.7513960912823601</v>
      </c>
      <c r="O2982">
        <v>46.459032557728101</v>
      </c>
      <c r="P2982">
        <v>-8.4489033053156293E-3</v>
      </c>
      <c r="Q2982">
        <v>0.76793001824037299</v>
      </c>
      <c r="R2982">
        <v>0.16371572024139</v>
      </c>
      <c r="S2982" t="s">
        <v>7722</v>
      </c>
      <c r="T2982" t="s">
        <v>9478</v>
      </c>
      <c r="U2982" t="s">
        <v>9478</v>
      </c>
      <c r="V2982" t="s">
        <v>9478</v>
      </c>
      <c r="W2982">
        <v>2</v>
      </c>
      <c r="X2982" t="s">
        <v>12460</v>
      </c>
      <c r="Y2982">
        <v>0.86361820418337387</v>
      </c>
      <c r="Z2982" t="str">
        <f>HYPERLINK("Melting_Curves/meltCurve_sp_Q96L91_3_EP400_HUMAN_.pdf", "Melting_Curves/meltCurve_sp_Q96L91_3_EP400_HUMAN_.pdf")</f>
        <v>Melting_Curves/meltCurve_sp_Q96L91_3_EP400_HUMAN_.pdf</v>
      </c>
      <c r="AA2982" t="s">
        <v>17150</v>
      </c>
      <c r="AB2982" t="s">
        <v>21816</v>
      </c>
    </row>
    <row r="2983" spans="1:28" x14ac:dyDescent="0.25">
      <c r="A2983" t="s">
        <v>2987</v>
      </c>
      <c r="B2983">
        <v>0.99904790336628502</v>
      </c>
      <c r="C2983">
        <v>0.921578326620758</v>
      </c>
      <c r="D2983">
        <v>0.88836099671734003</v>
      </c>
      <c r="E2983">
        <v>0.46540096417906701</v>
      </c>
      <c r="F2983">
        <v>0.20135519184453701</v>
      </c>
      <c r="G2983">
        <v>0.122213884887998</v>
      </c>
      <c r="H2983">
        <v>7.4230324231718006E-2</v>
      </c>
      <c r="I2983">
        <v>6.2334081906323398E-2</v>
      </c>
      <c r="J2983">
        <v>5.6638731475587303E-2</v>
      </c>
      <c r="K2983">
        <v>5.0638833960519103E-2</v>
      </c>
      <c r="L2983">
        <v>1192.3929735358299</v>
      </c>
      <c r="M2983">
        <v>24.119658087213299</v>
      </c>
      <c r="N2983">
        <v>49.701462988858403</v>
      </c>
      <c r="O2983">
        <v>49.100494991008397</v>
      </c>
      <c r="P2983">
        <v>-0.115402051286116</v>
      </c>
      <c r="Q2983">
        <v>6.0316696062369099E-2</v>
      </c>
      <c r="R2983">
        <v>0.996893115216968</v>
      </c>
      <c r="S2983" t="s">
        <v>7723</v>
      </c>
      <c r="T2983" t="s">
        <v>9478</v>
      </c>
      <c r="U2983" t="s">
        <v>9478</v>
      </c>
      <c r="V2983" t="s">
        <v>9478</v>
      </c>
      <c r="W2983">
        <v>10</v>
      </c>
      <c r="X2983" t="s">
        <v>12461</v>
      </c>
      <c r="Y2983">
        <v>0.36488300756158648</v>
      </c>
      <c r="Z2983" t="str">
        <f>HYPERLINK("Melting_Curves/meltCurve_sp_Q96L92_3_SNX27_HUMAN_.pdf", "Melting_Curves/meltCurve_sp_Q96L92_3_SNX27_HUMAN_.pdf")</f>
        <v>Melting_Curves/meltCurve_sp_Q96L92_3_SNX27_HUMAN_.pdf</v>
      </c>
      <c r="AA2983" t="s">
        <v>17151</v>
      </c>
      <c r="AB2983" t="s">
        <v>21817</v>
      </c>
    </row>
    <row r="2984" spans="1:28" x14ac:dyDescent="0.25">
      <c r="A2984" t="s">
        <v>2988</v>
      </c>
      <c r="B2984">
        <v>0.99904790336628502</v>
      </c>
      <c r="C2984">
        <v>0.93359356505675195</v>
      </c>
      <c r="D2984">
        <v>1.02462957643938</v>
      </c>
      <c r="E2984">
        <v>0.97404140220096302</v>
      </c>
      <c r="F2984">
        <v>0.82296328361893401</v>
      </c>
      <c r="G2984">
        <v>0.20408248547094199</v>
      </c>
      <c r="H2984">
        <v>2.73558533793332E-2</v>
      </c>
      <c r="I2984">
        <v>0</v>
      </c>
      <c r="J2984">
        <v>0</v>
      </c>
      <c r="K2984">
        <v>0</v>
      </c>
      <c r="L2984">
        <v>2168.8773461392102</v>
      </c>
      <c r="M2984">
        <v>39.400180453058702</v>
      </c>
      <c r="N2984">
        <v>55.047396406234199</v>
      </c>
      <c r="O2984">
        <v>54.906161988728002</v>
      </c>
      <c r="P2984">
        <v>-0.179398203117415</v>
      </c>
      <c r="Q2984">
        <v>0</v>
      </c>
      <c r="R2984">
        <v>0.997545401749386</v>
      </c>
      <c r="S2984" t="s">
        <v>7724</v>
      </c>
      <c r="T2984" t="s">
        <v>9478</v>
      </c>
      <c r="U2984" t="s">
        <v>9478</v>
      </c>
      <c r="V2984" t="s">
        <v>9478</v>
      </c>
      <c r="W2984">
        <v>1</v>
      </c>
      <c r="X2984" t="s">
        <v>12462</v>
      </c>
      <c r="Y2984">
        <v>0.50548600228708862</v>
      </c>
      <c r="Z2984" t="str">
        <f>HYPERLINK("Melting_Curves/meltCurve_sp_Q96LD8_SENP8_HUMAN_.pdf", "Melting_Curves/meltCurve_sp_Q96LD8_SENP8_HUMAN_.pdf")</f>
        <v>Melting_Curves/meltCurve_sp_Q96LD8_SENP8_HUMAN_.pdf</v>
      </c>
      <c r="AA2984" t="s">
        <v>17152</v>
      </c>
      <c r="AB2984" t="s">
        <v>21818</v>
      </c>
    </row>
    <row r="2985" spans="1:28" x14ac:dyDescent="0.25">
      <c r="A2985" t="s">
        <v>2989</v>
      </c>
      <c r="B2985">
        <v>0.99904790336628502</v>
      </c>
      <c r="C2985">
        <v>0.90777123568577001</v>
      </c>
      <c r="D2985">
        <v>0.49299223047969298</v>
      </c>
      <c r="E2985">
        <v>0.343395021942968</v>
      </c>
      <c r="F2985">
        <v>0.200069454143707</v>
      </c>
      <c r="G2985">
        <v>8.8980505890116995E-2</v>
      </c>
      <c r="H2985">
        <v>5.4046462016404201E-2</v>
      </c>
      <c r="I2985">
        <v>3.9125799900290102E-2</v>
      </c>
      <c r="J2985">
        <v>3.5158748600736603E-2</v>
      </c>
      <c r="K2985">
        <v>2.9984580923502199E-2</v>
      </c>
      <c r="L2985">
        <v>772.52610845042705</v>
      </c>
      <c r="M2985">
        <v>16.448555232233801</v>
      </c>
      <c r="N2985">
        <v>47.189808757119302</v>
      </c>
      <c r="O2985">
        <v>46.288486683146701</v>
      </c>
      <c r="P2985">
        <v>-8.5512642868014299E-2</v>
      </c>
      <c r="Q2985">
        <v>3.7490955453704101E-2</v>
      </c>
      <c r="R2985">
        <v>0.98063397513913597</v>
      </c>
      <c r="S2985" t="s">
        <v>7725</v>
      </c>
      <c r="T2985" t="s">
        <v>9478</v>
      </c>
      <c r="U2985" t="s">
        <v>9478</v>
      </c>
      <c r="V2985" t="s">
        <v>9478</v>
      </c>
      <c r="W2985">
        <v>8</v>
      </c>
      <c r="X2985" t="s">
        <v>12463</v>
      </c>
      <c r="Y2985">
        <v>0.28259392824638568</v>
      </c>
      <c r="Z2985" t="str">
        <f>HYPERLINK("Melting_Curves/meltCurve_sp_Q96LJ7_DHRS1_HUMAN_.pdf", "Melting_Curves/meltCurve_sp_Q96LJ7_DHRS1_HUMAN_.pdf")</f>
        <v>Melting_Curves/meltCurve_sp_Q96LJ7_DHRS1_HUMAN_.pdf</v>
      </c>
      <c r="AA2985" t="s">
        <v>17153</v>
      </c>
      <c r="AB2985" t="s">
        <v>21819</v>
      </c>
    </row>
    <row r="2986" spans="1:28" x14ac:dyDescent="0.25">
      <c r="A2986" t="s">
        <v>2990</v>
      </c>
      <c r="B2986">
        <v>0.99904790336628502</v>
      </c>
      <c r="C2986">
        <v>1.07445492208024</v>
      </c>
      <c r="D2986">
        <v>1.0055906955482701</v>
      </c>
      <c r="E2986">
        <v>0.95220717521087805</v>
      </c>
      <c r="F2986">
        <v>0.87371427827777604</v>
      </c>
      <c r="G2986">
        <v>0.63254429321859296</v>
      </c>
      <c r="H2986">
        <v>0.528015212830242</v>
      </c>
      <c r="I2986">
        <v>0.38402593338757202</v>
      </c>
      <c r="J2986">
        <v>0.277820334873014</v>
      </c>
      <c r="K2986">
        <v>0.125477946834819</v>
      </c>
      <c r="L2986">
        <v>739.64204664885904</v>
      </c>
      <c r="M2986">
        <v>12.129067004044501</v>
      </c>
      <c r="N2986">
        <v>60.980951550539501</v>
      </c>
      <c r="O2986">
        <v>59.394316115367602</v>
      </c>
      <c r="P2986">
        <v>-5.1064954513582402E-2</v>
      </c>
      <c r="Q2986">
        <v>0</v>
      </c>
      <c r="R2986">
        <v>0.98446777049487999</v>
      </c>
      <c r="S2986" t="s">
        <v>7726</v>
      </c>
      <c r="T2986" t="s">
        <v>9478</v>
      </c>
      <c r="U2986" t="s">
        <v>9478</v>
      </c>
      <c r="V2986" t="s">
        <v>9478</v>
      </c>
      <c r="W2986">
        <v>7</v>
      </c>
      <c r="X2986" t="s">
        <v>12464</v>
      </c>
      <c r="Y2986">
        <v>0.69587184991899098</v>
      </c>
      <c r="Z2986" t="str">
        <f>HYPERLINK("Melting_Curves/meltCurve_sp_Q96M27_PRRC1_HUMAN_.pdf", "Melting_Curves/meltCurve_sp_Q96M27_PRRC1_HUMAN_.pdf")</f>
        <v>Melting_Curves/meltCurve_sp_Q96M27_PRRC1_HUMAN_.pdf</v>
      </c>
      <c r="AA2986" t="s">
        <v>17154</v>
      </c>
      <c r="AB2986" t="s">
        <v>21820</v>
      </c>
    </row>
    <row r="2987" spans="1:28" x14ac:dyDescent="0.25">
      <c r="A2987" t="s">
        <v>2991</v>
      </c>
      <c r="B2987">
        <v>0.99904790336628502</v>
      </c>
      <c r="C2987">
        <v>0.998993963601295</v>
      </c>
      <c r="D2987">
        <v>0.98493527434807704</v>
      </c>
      <c r="E2987">
        <v>0.88135983222602199</v>
      </c>
      <c r="F2987">
        <v>0.76151936654721997</v>
      </c>
      <c r="G2987">
        <v>0.28848595552866801</v>
      </c>
      <c r="H2987">
        <v>0.195849700702316</v>
      </c>
      <c r="I2987">
        <v>0.124649809090898</v>
      </c>
      <c r="J2987">
        <v>9.3208008646860893E-2</v>
      </c>
      <c r="K2987">
        <v>9.6076419174219593E-2</v>
      </c>
      <c r="L2987">
        <v>1434.29638022727</v>
      </c>
      <c r="M2987">
        <v>26.2571019594373</v>
      </c>
      <c r="N2987">
        <v>55.0989544845838</v>
      </c>
      <c r="O2987">
        <v>54.311189396096601</v>
      </c>
      <c r="P2987">
        <v>-0.108649540092795</v>
      </c>
      <c r="Q2987">
        <v>0.101070595413291</v>
      </c>
      <c r="R2987">
        <v>0.99537313700470698</v>
      </c>
      <c r="S2987" t="s">
        <v>7727</v>
      </c>
      <c r="T2987" t="s">
        <v>9478</v>
      </c>
      <c r="U2987" t="s">
        <v>9478</v>
      </c>
      <c r="V2987" t="s">
        <v>9478</v>
      </c>
      <c r="W2987">
        <v>8</v>
      </c>
      <c r="X2987" t="s">
        <v>12465</v>
      </c>
      <c r="Y2987">
        <v>0.54692137267560126</v>
      </c>
      <c r="Z2987" t="str">
        <f>HYPERLINK("Melting_Curves/meltCurve_sp_Q96ME1_4_FXL18_HUMAN_.pdf", "Melting_Curves/meltCurve_sp_Q96ME1_4_FXL18_HUMAN_.pdf")</f>
        <v>Melting_Curves/meltCurve_sp_Q96ME1_4_FXL18_HUMAN_.pdf</v>
      </c>
      <c r="AA2987" t="s">
        <v>17155</v>
      </c>
      <c r="AB2987" t="s">
        <v>21821</v>
      </c>
    </row>
    <row r="2988" spans="1:28" x14ac:dyDescent="0.25">
      <c r="A2988" t="s">
        <v>2992</v>
      </c>
      <c r="B2988">
        <v>0.99904790336628502</v>
      </c>
      <c r="C2988">
        <v>0.90291145700238795</v>
      </c>
      <c r="D2988">
        <v>0.88108146757911598</v>
      </c>
      <c r="E2988">
        <v>0.57301715152845301</v>
      </c>
      <c r="F2988">
        <v>0.37138741714957602</v>
      </c>
      <c r="G2988">
        <v>0.184322461987773</v>
      </c>
      <c r="H2988">
        <v>9.1281138968638903E-2</v>
      </c>
      <c r="I2988">
        <v>5.1791517628564002E-2</v>
      </c>
      <c r="J2988">
        <v>4.0958795491838902E-2</v>
      </c>
      <c r="K2988">
        <v>4.32417242974069E-2</v>
      </c>
      <c r="L2988">
        <v>794.84245544900796</v>
      </c>
      <c r="M2988">
        <v>15.5881388727735</v>
      </c>
      <c r="N2988">
        <v>51.129926023642199</v>
      </c>
      <c r="O2988">
        <v>50.173154598075399</v>
      </c>
      <c r="P2988">
        <v>-7.60585209260385E-2</v>
      </c>
      <c r="Q2988">
        <v>2.0854403409810499E-2</v>
      </c>
      <c r="R2988">
        <v>0.99719602037687705</v>
      </c>
      <c r="S2988" t="s">
        <v>7728</v>
      </c>
      <c r="T2988" t="s">
        <v>9478</v>
      </c>
      <c r="U2988" t="s">
        <v>9478</v>
      </c>
      <c r="V2988" t="s">
        <v>9478</v>
      </c>
      <c r="W2988">
        <v>2</v>
      </c>
      <c r="X2988" t="s">
        <v>12466</v>
      </c>
      <c r="Y2988">
        <v>0.40077525916599888</v>
      </c>
      <c r="Z2988" t="str">
        <f>HYPERLINK("Melting_Curves/meltCurve_sp_Q96MG8_PCMD1_HUMAN_.pdf", "Melting_Curves/meltCurve_sp_Q96MG8_PCMD1_HUMAN_.pdf")</f>
        <v>Melting_Curves/meltCurve_sp_Q96MG8_PCMD1_HUMAN_.pdf</v>
      </c>
      <c r="AA2988" t="s">
        <v>17156</v>
      </c>
      <c r="AB2988" t="s">
        <v>21822</v>
      </c>
    </row>
    <row r="2989" spans="1:28" x14ac:dyDescent="0.25">
      <c r="A2989" t="s">
        <v>2993</v>
      </c>
      <c r="B2989">
        <v>0.99904790336628502</v>
      </c>
      <c r="C2989">
        <v>1.0642117557806301</v>
      </c>
      <c r="D2989">
        <v>1.1031971766109501</v>
      </c>
      <c r="E2989">
        <v>1.05495188997379</v>
      </c>
      <c r="F2989">
        <v>1.01718306809564</v>
      </c>
      <c r="G2989">
        <v>0.73642929968278503</v>
      </c>
      <c r="H2989">
        <v>0.65794334845035796</v>
      </c>
      <c r="I2989">
        <v>0.62016986141906705</v>
      </c>
      <c r="J2989">
        <v>0.64803501884960701</v>
      </c>
      <c r="K2989">
        <v>0.54719528432669595</v>
      </c>
      <c r="L2989">
        <v>5469.4819691750599</v>
      </c>
      <c r="M2989">
        <v>96.754062095438101</v>
      </c>
      <c r="O2989">
        <v>56.505602728286703</v>
      </c>
      <c r="P2989">
        <v>-0.16343615525473901</v>
      </c>
      <c r="Q2989">
        <v>0.61820485139367498</v>
      </c>
      <c r="R2989">
        <v>0.94141660522530601</v>
      </c>
      <c r="S2989" t="s">
        <v>7729</v>
      </c>
      <c r="T2989" t="s">
        <v>9478</v>
      </c>
      <c r="U2989" t="s">
        <v>9478</v>
      </c>
      <c r="V2989" t="s">
        <v>9478</v>
      </c>
      <c r="W2989">
        <v>7</v>
      </c>
      <c r="X2989" t="s">
        <v>12467</v>
      </c>
      <c r="Y2989">
        <v>0.82882387166586524</v>
      </c>
      <c r="Z2989" t="str">
        <f>HYPERLINK("Melting_Curves/meltCurve_sp_Q96MH2_HEXI2_HUMAN_.pdf", "Melting_Curves/meltCurve_sp_Q96MH2_HEXI2_HUMAN_.pdf")</f>
        <v>Melting_Curves/meltCurve_sp_Q96MH2_HEXI2_HUMAN_.pdf</v>
      </c>
      <c r="AA2989" t="s">
        <v>17157</v>
      </c>
      <c r="AB2989" t="s">
        <v>21823</v>
      </c>
    </row>
    <row r="2990" spans="1:28" x14ac:dyDescent="0.25">
      <c r="A2990" t="s">
        <v>2994</v>
      </c>
      <c r="B2990">
        <v>0.99904790336628502</v>
      </c>
      <c r="C2990">
        <v>0.80973343863325797</v>
      </c>
      <c r="D2990">
        <v>0.80895931278001998</v>
      </c>
      <c r="E2990">
        <v>0.86782613194916003</v>
      </c>
      <c r="F2990">
        <v>0.83979198286155898</v>
      </c>
      <c r="G2990">
        <v>0.81265711736060597</v>
      </c>
      <c r="H2990">
        <v>0.76097796055580702</v>
      </c>
      <c r="I2990">
        <v>0.79128600774734104</v>
      </c>
      <c r="J2990">
        <v>0.82488016292089394</v>
      </c>
      <c r="K2990">
        <v>1.1259885614855401</v>
      </c>
      <c r="L2990">
        <v>10201.1873506335</v>
      </c>
      <c r="M2990">
        <v>250</v>
      </c>
      <c r="O2990">
        <v>40.802138730327698</v>
      </c>
      <c r="P2990">
        <v>-0.231111883448373</v>
      </c>
      <c r="Q2990">
        <v>0.84912225616025405</v>
      </c>
      <c r="R2990">
        <v>0.178208168039098</v>
      </c>
      <c r="S2990" t="s">
        <v>7730</v>
      </c>
      <c r="T2990" t="s">
        <v>9478</v>
      </c>
      <c r="U2990" t="s">
        <v>9478</v>
      </c>
      <c r="V2990" t="s">
        <v>9478</v>
      </c>
      <c r="W2990">
        <v>2</v>
      </c>
      <c r="X2990" t="s">
        <v>12468</v>
      </c>
      <c r="Y2990">
        <v>0.8531854560369031</v>
      </c>
      <c r="Z2990" t="str">
        <f>HYPERLINK("Melting_Curves/meltCurve_sp_Q96MU7_2_YTDC1_HUMAN_.pdf", "Melting_Curves/meltCurve_sp_Q96MU7_2_YTDC1_HUMAN_.pdf")</f>
        <v>Melting_Curves/meltCurve_sp_Q96MU7_2_YTDC1_HUMAN_.pdf</v>
      </c>
      <c r="AA2990" t="s">
        <v>17158</v>
      </c>
      <c r="AB2990" t="s">
        <v>21824</v>
      </c>
    </row>
    <row r="2991" spans="1:28" x14ac:dyDescent="0.25">
      <c r="A2991" t="s">
        <v>2995</v>
      </c>
      <c r="B2991">
        <v>0.99904790336628502</v>
      </c>
      <c r="C2991">
        <v>1.0057814866344701</v>
      </c>
      <c r="D2991">
        <v>0.97779451897127601</v>
      </c>
      <c r="E2991">
        <v>0.881174784187852</v>
      </c>
      <c r="F2991">
        <v>0.85950096248504304</v>
      </c>
      <c r="G2991">
        <v>0.48521168196956599</v>
      </c>
      <c r="H2991">
        <v>0.34570069837255402</v>
      </c>
      <c r="I2991">
        <v>0.30125944075487499</v>
      </c>
      <c r="J2991">
        <v>0.378191902803861</v>
      </c>
      <c r="K2991">
        <v>0.23429478751579799</v>
      </c>
      <c r="L2991">
        <v>1390.5038295263901</v>
      </c>
      <c r="M2991">
        <v>25.213168955970701</v>
      </c>
      <c r="N2991">
        <v>57.117288188590301</v>
      </c>
      <c r="O2991">
        <v>54.806482849597899</v>
      </c>
      <c r="P2991">
        <v>-8.1635026663284094E-2</v>
      </c>
      <c r="Q2991">
        <v>0.29020100210942001</v>
      </c>
      <c r="R2991">
        <v>0.98096032744687101</v>
      </c>
      <c r="S2991" t="s">
        <v>7731</v>
      </c>
      <c r="T2991" t="s">
        <v>9478</v>
      </c>
      <c r="U2991" t="s">
        <v>9478</v>
      </c>
      <c r="V2991" t="s">
        <v>9478</v>
      </c>
      <c r="W2991">
        <v>2</v>
      </c>
      <c r="X2991" t="s">
        <v>12469</v>
      </c>
      <c r="Y2991">
        <v>0.65511361396513224</v>
      </c>
      <c r="Z2991" t="str">
        <f>HYPERLINK("Melting_Curves/meltCurve_sp_Q96MW1_CCD43_HUMAN_.pdf", "Melting_Curves/meltCurve_sp_Q96MW1_CCD43_HUMAN_.pdf")</f>
        <v>Melting_Curves/meltCurve_sp_Q96MW1_CCD43_HUMAN_.pdf</v>
      </c>
      <c r="AA2991" t="s">
        <v>17159</v>
      </c>
      <c r="AB2991" t="s">
        <v>21825</v>
      </c>
    </row>
    <row r="2992" spans="1:28" x14ac:dyDescent="0.25">
      <c r="A2992" t="s">
        <v>2996</v>
      </c>
      <c r="B2992">
        <v>0.99904790336628502</v>
      </c>
      <c r="C2992">
        <v>1.0353210238586801</v>
      </c>
      <c r="D2992">
        <v>1.0352187284358501</v>
      </c>
      <c r="E2992">
        <v>0.89683770705698196</v>
      </c>
      <c r="F2992">
        <v>0.62948896781173103</v>
      </c>
      <c r="G2992">
        <v>0.27898157056981998</v>
      </c>
      <c r="H2992">
        <v>6.9643388860736399E-2</v>
      </c>
      <c r="I2992">
        <v>6.0617975842981398E-2</v>
      </c>
      <c r="J2992">
        <v>4.1030116533429098E-2</v>
      </c>
      <c r="K2992">
        <v>3.8188121016942703E-2</v>
      </c>
      <c r="L2992">
        <v>1325.76320589017</v>
      </c>
      <c r="M2992">
        <v>24.456672005439302</v>
      </c>
      <c r="N2992">
        <v>54.355449080838703</v>
      </c>
      <c r="O2992">
        <v>53.850118854867198</v>
      </c>
      <c r="P2992">
        <v>-0.10991356686900799</v>
      </c>
      <c r="Q2992">
        <v>3.1957931778597799E-2</v>
      </c>
      <c r="R2992">
        <v>0.99728839157911597</v>
      </c>
      <c r="S2992" t="s">
        <v>7732</v>
      </c>
      <c r="T2992" t="s">
        <v>9478</v>
      </c>
      <c r="U2992" t="s">
        <v>9478</v>
      </c>
      <c r="V2992" t="s">
        <v>9478</v>
      </c>
      <c r="W2992">
        <v>3</v>
      </c>
      <c r="X2992" t="s">
        <v>12470</v>
      </c>
      <c r="Y2992">
        <v>0.49976711325118461</v>
      </c>
      <c r="Z2992" t="str">
        <f>HYPERLINK("Melting_Curves/meltCurve_sp_Q96MX6_WDR92_HUMAN_.pdf", "Melting_Curves/meltCurve_sp_Q96MX6_WDR92_HUMAN_.pdf")</f>
        <v>Melting_Curves/meltCurve_sp_Q96MX6_WDR92_HUMAN_.pdf</v>
      </c>
      <c r="AA2992" t="s">
        <v>17160</v>
      </c>
      <c r="AB2992" t="s">
        <v>21826</v>
      </c>
    </row>
    <row r="2993" spans="1:28" x14ac:dyDescent="0.25">
      <c r="A2993" t="s">
        <v>2997</v>
      </c>
      <c r="B2993">
        <v>0.99904790336628502</v>
      </c>
      <c r="C2993">
        <v>1.0804996389322801</v>
      </c>
      <c r="D2993">
        <v>1.1085687920315299</v>
      </c>
      <c r="E2993">
        <v>0.879551425151753</v>
      </c>
      <c r="F2993">
        <v>0.58839495715604995</v>
      </c>
      <c r="G2993">
        <v>0.427961617333593</v>
      </c>
      <c r="H2993">
        <v>0.225348248077683</v>
      </c>
      <c r="I2993">
        <v>0.104337591612278</v>
      </c>
      <c r="J2993">
        <v>6.46426504913971E-2</v>
      </c>
      <c r="K2993">
        <v>5.1076697528132001E-2</v>
      </c>
      <c r="L2993">
        <v>948.93778227990003</v>
      </c>
      <c r="M2993">
        <v>17.210257255117899</v>
      </c>
      <c r="N2993">
        <v>55.375179217632798</v>
      </c>
      <c r="O2993">
        <v>54.409640551211503</v>
      </c>
      <c r="P2993">
        <v>-7.6271281757484197E-2</v>
      </c>
      <c r="Q2993">
        <v>3.5540675659624203E-2</v>
      </c>
      <c r="R2993">
        <v>0.97713783373825103</v>
      </c>
      <c r="S2993" t="s">
        <v>7733</v>
      </c>
      <c r="T2993" t="s">
        <v>9478</v>
      </c>
      <c r="U2993" t="s">
        <v>9478</v>
      </c>
      <c r="V2993" t="s">
        <v>9478</v>
      </c>
      <c r="W2993">
        <v>33</v>
      </c>
      <c r="X2993" t="s">
        <v>12471</v>
      </c>
      <c r="Y2993">
        <v>0.53792613106317766</v>
      </c>
      <c r="Z2993" t="str">
        <f>HYPERLINK("Melting_Curves/meltCurve_sp_Q96N76_HUTU_HUMAN_.pdf", "Melting_Curves/meltCurve_sp_Q96N76_HUTU_HUMAN_.pdf")</f>
        <v>Melting_Curves/meltCurve_sp_Q96N76_HUTU_HUMAN_.pdf</v>
      </c>
      <c r="AA2993" t="s">
        <v>17161</v>
      </c>
      <c r="AB2993" t="s">
        <v>21827</v>
      </c>
    </row>
    <row r="2994" spans="1:28" x14ac:dyDescent="0.25">
      <c r="A2994" t="s">
        <v>2998</v>
      </c>
      <c r="B2994">
        <v>0.99904790336628502</v>
      </c>
      <c r="C2994">
        <v>1.0268578263498001</v>
      </c>
      <c r="D2994">
        <v>0.97364025990732705</v>
      </c>
      <c r="E2994">
        <v>0.891667367658323</v>
      </c>
      <c r="F2994">
        <v>0.86453065557601205</v>
      </c>
      <c r="G2994">
        <v>0.58192636927694297</v>
      </c>
      <c r="H2994">
        <v>0.39527463014943998</v>
      </c>
      <c r="I2994">
        <v>0.26047203845571698</v>
      </c>
      <c r="J2994">
        <v>0.176753506315629</v>
      </c>
      <c r="K2994">
        <v>0.13463155422156001</v>
      </c>
      <c r="L2994">
        <v>856.00403788168705</v>
      </c>
      <c r="M2994">
        <v>14.681464019394401</v>
      </c>
      <c r="N2994">
        <v>58.811199921484203</v>
      </c>
      <c r="O2994">
        <v>57.255402766302197</v>
      </c>
      <c r="P2994">
        <v>-6.0307489848354198E-2</v>
      </c>
      <c r="Q2994">
        <v>5.9344429445093501E-2</v>
      </c>
      <c r="R2994">
        <v>0.996058450673728</v>
      </c>
      <c r="S2994" t="s">
        <v>7734</v>
      </c>
      <c r="T2994" t="s">
        <v>9478</v>
      </c>
      <c r="U2994" t="s">
        <v>9478</v>
      </c>
      <c r="V2994" t="s">
        <v>9478</v>
      </c>
      <c r="W2994">
        <v>8</v>
      </c>
      <c r="X2994" t="s">
        <v>12472</v>
      </c>
      <c r="Y2994">
        <v>0.64514627777774025</v>
      </c>
      <c r="Z2994" t="str">
        <f>HYPERLINK("Melting_Curves/meltCurve_sp_Q96NA2_RILP_HUMAN_.pdf", "Melting_Curves/meltCurve_sp_Q96NA2_RILP_HUMAN_.pdf")</f>
        <v>Melting_Curves/meltCurve_sp_Q96NA2_RILP_HUMAN_.pdf</v>
      </c>
      <c r="AA2994" t="s">
        <v>17162</v>
      </c>
      <c r="AB2994" t="s">
        <v>21828</v>
      </c>
    </row>
    <row r="2995" spans="1:28" x14ac:dyDescent="0.25">
      <c r="A2995" t="s">
        <v>2999</v>
      </c>
      <c r="B2995">
        <v>0.99904790336628502</v>
      </c>
      <c r="C2995">
        <v>1.0331042641964601</v>
      </c>
      <c r="D2995">
        <v>0.95139022869408596</v>
      </c>
      <c r="E2995">
        <v>0.71190953761931197</v>
      </c>
      <c r="F2995">
        <v>0.57307645510990701</v>
      </c>
      <c r="G2995">
        <v>0.51504599282261299</v>
      </c>
      <c r="H2995">
        <v>0.42324623108040299</v>
      </c>
      <c r="I2995">
        <v>0.426037150218189</v>
      </c>
      <c r="J2995">
        <v>0.48497245061986199</v>
      </c>
      <c r="K2995">
        <v>0.41079381948621202</v>
      </c>
      <c r="L2995">
        <v>1159.99651397875</v>
      </c>
      <c r="M2995">
        <v>23.123294060737798</v>
      </c>
      <c r="N2995">
        <v>55.296668953885799</v>
      </c>
      <c r="O2995">
        <v>49.795033905912099</v>
      </c>
      <c r="P2995">
        <v>-6.4838636677905806E-2</v>
      </c>
      <c r="Q2995">
        <v>0.44150119966347701</v>
      </c>
      <c r="R2995">
        <v>0.98600660586480204</v>
      </c>
      <c r="S2995" t="s">
        <v>7735</v>
      </c>
      <c r="T2995" t="s">
        <v>9478</v>
      </c>
      <c r="U2995" t="s">
        <v>9478</v>
      </c>
      <c r="V2995" t="s">
        <v>9478</v>
      </c>
      <c r="W2995">
        <v>2</v>
      </c>
      <c r="X2995" t="s">
        <v>12473</v>
      </c>
      <c r="Y2995">
        <v>0.63659539354264116</v>
      </c>
      <c r="Z2995" t="str">
        <f>HYPERLINK("Melting_Curves/meltCurve_sp_Q96NB3_ZN830_HUMAN_.pdf", "Melting_Curves/meltCurve_sp_Q96NB3_ZN830_HUMAN_.pdf")</f>
        <v>Melting_Curves/meltCurve_sp_Q96NB3_ZN830_HUMAN_.pdf</v>
      </c>
      <c r="AA2995" t="s">
        <v>17163</v>
      </c>
      <c r="AB2995" t="s">
        <v>21829</v>
      </c>
    </row>
    <row r="2996" spans="1:28" x14ac:dyDescent="0.25">
      <c r="A2996" t="s">
        <v>3000</v>
      </c>
      <c r="B2996">
        <v>0.99904790336628502</v>
      </c>
      <c r="C2996">
        <v>1.0540000594454499</v>
      </c>
      <c r="D2996">
        <v>1.04165891852168</v>
      </c>
      <c r="E2996">
        <v>0.98350097755405896</v>
      </c>
      <c r="F2996">
        <v>0.98989785062980395</v>
      </c>
      <c r="G2996">
        <v>0.75863805234792403</v>
      </c>
      <c r="H2996">
        <v>0.67364167189589996</v>
      </c>
      <c r="I2996">
        <v>0.76076590251008802</v>
      </c>
      <c r="J2996">
        <v>0.84615677364792796</v>
      </c>
      <c r="K2996">
        <v>0.84475964600464803</v>
      </c>
      <c r="L2996">
        <v>13411.5981578172</v>
      </c>
      <c r="M2996">
        <v>250</v>
      </c>
      <c r="O2996">
        <v>53.642962339598299</v>
      </c>
      <c r="P2996">
        <v>-0.26006162777660902</v>
      </c>
      <c r="Q2996">
        <v>0.77679239390065602</v>
      </c>
      <c r="R2996">
        <v>0.84493468808201699</v>
      </c>
      <c r="S2996" t="s">
        <v>7736</v>
      </c>
      <c r="T2996" t="s">
        <v>9478</v>
      </c>
      <c r="U2996" t="s">
        <v>9478</v>
      </c>
      <c r="V2996" t="s">
        <v>9478</v>
      </c>
      <c r="W2996">
        <v>5</v>
      </c>
      <c r="X2996" t="s">
        <v>12474</v>
      </c>
      <c r="Y2996">
        <v>0.8783460296179818</v>
      </c>
      <c r="Z2996" t="str">
        <f>HYPERLINK("Melting_Curves/meltCurve_sp_Q96NC0_ZMAT2_HUMAN_.pdf", "Melting_Curves/meltCurve_sp_Q96NC0_ZMAT2_HUMAN_.pdf")</f>
        <v>Melting_Curves/meltCurve_sp_Q96NC0_ZMAT2_HUMAN_.pdf</v>
      </c>
      <c r="AA2996" t="s">
        <v>17164</v>
      </c>
      <c r="AB2996" t="s">
        <v>21830</v>
      </c>
    </row>
    <row r="2997" spans="1:28" x14ac:dyDescent="0.25">
      <c r="A2997" t="s">
        <v>3001</v>
      </c>
      <c r="B2997">
        <v>0.99904790336628502</v>
      </c>
      <c r="C2997">
        <v>0.96876086705699205</v>
      </c>
      <c r="D2997">
        <v>0.94394193798705395</v>
      </c>
      <c r="E2997">
        <v>0.90821241667570696</v>
      </c>
      <c r="F2997">
        <v>0.82219529798945801</v>
      </c>
      <c r="G2997">
        <v>0.46574547331518501</v>
      </c>
      <c r="H2997">
        <v>0.23550273587919801</v>
      </c>
      <c r="I2997">
        <v>0.18116065378024099</v>
      </c>
      <c r="J2997">
        <v>0.170391966672675</v>
      </c>
      <c r="K2997">
        <v>0.15578299854976499</v>
      </c>
      <c r="L2997">
        <v>1267.73799235256</v>
      </c>
      <c r="M2997">
        <v>22.738231877024301</v>
      </c>
      <c r="N2997">
        <v>56.588719898794302</v>
      </c>
      <c r="O2997">
        <v>55.327730296003701</v>
      </c>
      <c r="P2997">
        <v>-8.8100796121724903E-2</v>
      </c>
      <c r="Q2997">
        <v>0.14253290604770999</v>
      </c>
      <c r="R2997">
        <v>0.99578716381914301</v>
      </c>
      <c r="S2997" t="s">
        <v>7737</v>
      </c>
      <c r="T2997" t="s">
        <v>9478</v>
      </c>
      <c r="U2997" t="s">
        <v>9478</v>
      </c>
      <c r="V2997" t="s">
        <v>9478</v>
      </c>
      <c r="W2997">
        <v>3</v>
      </c>
      <c r="X2997" t="s">
        <v>12475</v>
      </c>
      <c r="Y2997">
        <v>0.60201964050922629</v>
      </c>
      <c r="Z2997" t="str">
        <f>HYPERLINK("Melting_Curves/meltCurve_sp_Q96NL8_CH037_HUMAN_.pdf", "Melting_Curves/meltCurve_sp_Q96NL8_CH037_HUMAN_.pdf")</f>
        <v>Melting_Curves/meltCurve_sp_Q96NL8_CH037_HUMAN_.pdf</v>
      </c>
      <c r="AA2997" t="s">
        <v>17165</v>
      </c>
      <c r="AB2997" t="s">
        <v>21831</v>
      </c>
    </row>
    <row r="2998" spans="1:28" x14ac:dyDescent="0.25">
      <c r="A2998" t="s">
        <v>3002</v>
      </c>
      <c r="B2998">
        <v>0.99904790336628502</v>
      </c>
      <c r="C2998">
        <v>1.03423254431772</v>
      </c>
      <c r="D2998">
        <v>1.0906608944125999</v>
      </c>
      <c r="E2998">
        <v>1.00963244199975</v>
      </c>
      <c r="F2998">
        <v>0.88847110963381604</v>
      </c>
      <c r="G2998">
        <v>0.28241270744628399</v>
      </c>
      <c r="H2998">
        <v>9.4592392966376004E-2</v>
      </c>
      <c r="I2998">
        <v>5.43289646901478E-2</v>
      </c>
      <c r="J2998">
        <v>4.0355673068016802E-2</v>
      </c>
      <c r="K2998">
        <v>3.4242452635995402E-2</v>
      </c>
      <c r="L2998">
        <v>2346.3542343635299</v>
      </c>
      <c r="M2998">
        <v>42.261314253287601</v>
      </c>
      <c r="N2998">
        <v>55.6550737610266</v>
      </c>
      <c r="O2998">
        <v>55.396262799533403</v>
      </c>
      <c r="P2998">
        <v>-0.181436168934553</v>
      </c>
      <c r="Q2998">
        <v>4.8693210379817699E-2</v>
      </c>
      <c r="R2998">
        <v>0.99491272230677996</v>
      </c>
      <c r="S2998" t="s">
        <v>7738</v>
      </c>
      <c r="T2998" t="s">
        <v>9478</v>
      </c>
      <c r="U2998" t="s">
        <v>9478</v>
      </c>
      <c r="V2998" t="s">
        <v>9478</v>
      </c>
      <c r="W2998">
        <v>22</v>
      </c>
      <c r="X2998" t="s">
        <v>12476</v>
      </c>
      <c r="Y2998">
        <v>0.54409771218451408</v>
      </c>
      <c r="Z2998" t="str">
        <f>HYPERLINK("Melting_Curves/meltCurve_sp_Q96NU7_HUTI_HUMAN_.pdf", "Melting_Curves/meltCurve_sp_Q96NU7_HUTI_HUMAN_.pdf")</f>
        <v>Melting_Curves/meltCurve_sp_Q96NU7_HUTI_HUMAN_.pdf</v>
      </c>
      <c r="AA2998" t="s">
        <v>17166</v>
      </c>
      <c r="AB2998" t="s">
        <v>21832</v>
      </c>
    </row>
    <row r="2999" spans="1:28" x14ac:dyDescent="0.25">
      <c r="A2999" t="s">
        <v>3003</v>
      </c>
      <c r="B2999">
        <v>0.99904790336628502</v>
      </c>
      <c r="C2999">
        <v>0.87530143530021698</v>
      </c>
      <c r="D2999">
        <v>0.89457638105232795</v>
      </c>
      <c r="E2999">
        <v>0.75033671033933702</v>
      </c>
      <c r="F2999">
        <v>0.53439039357087104</v>
      </c>
      <c r="G2999">
        <v>0.31132490494715198</v>
      </c>
      <c r="H2999">
        <v>0.21001628754440299</v>
      </c>
      <c r="I2999">
        <v>0.158070827904702</v>
      </c>
      <c r="J2999">
        <v>0.18322608062874299</v>
      </c>
      <c r="K2999">
        <v>0.19919037159844</v>
      </c>
      <c r="L2999">
        <v>811.45242848322903</v>
      </c>
      <c r="M2999">
        <v>15.524462300751299</v>
      </c>
      <c r="N2999">
        <v>53.437649222579999</v>
      </c>
      <c r="O2999">
        <v>51.425025983407302</v>
      </c>
      <c r="P2999">
        <v>-6.4615936049187694E-2</v>
      </c>
      <c r="Q2999">
        <v>0.143910348123933</v>
      </c>
      <c r="R2999">
        <v>0.98635771034663799</v>
      </c>
      <c r="S2999" t="s">
        <v>7739</v>
      </c>
      <c r="T2999" t="s">
        <v>9478</v>
      </c>
      <c r="U2999" t="s">
        <v>9478</v>
      </c>
      <c r="V2999" t="s">
        <v>9478</v>
      </c>
      <c r="W2999">
        <v>2</v>
      </c>
      <c r="X2999" t="s">
        <v>12477</v>
      </c>
      <c r="Y2999">
        <v>0.51202735984768355</v>
      </c>
      <c r="Z2999" t="str">
        <f>HYPERLINK("Melting_Curves/meltCurve_sp_Q96NZ9_PRAP1_HUMAN_.pdf", "Melting_Curves/meltCurve_sp_Q96NZ9_PRAP1_HUMAN_.pdf")</f>
        <v>Melting_Curves/meltCurve_sp_Q96NZ9_PRAP1_HUMAN_.pdf</v>
      </c>
      <c r="AA2999" t="s">
        <v>17167</v>
      </c>
      <c r="AB2999" t="s">
        <v>21833</v>
      </c>
    </row>
    <row r="3000" spans="1:28" x14ac:dyDescent="0.25">
      <c r="A3000" t="s">
        <v>3004</v>
      </c>
      <c r="B3000">
        <v>0.99904790336628502</v>
      </c>
      <c r="C3000">
        <v>0.98274065846988901</v>
      </c>
      <c r="D3000">
        <v>0.95961678775899195</v>
      </c>
      <c r="E3000">
        <v>0.96158066567572698</v>
      </c>
      <c r="F3000">
        <v>1.22945478214272</v>
      </c>
      <c r="G3000">
        <v>0.79312586171720101</v>
      </c>
      <c r="H3000">
        <v>0.74684242097268005</v>
      </c>
      <c r="I3000">
        <v>0.85590227561567001</v>
      </c>
      <c r="J3000">
        <v>0.859403673885618</v>
      </c>
      <c r="K3000">
        <v>0.72565814578513299</v>
      </c>
      <c r="L3000">
        <v>13851.101976682099</v>
      </c>
      <c r="M3000">
        <v>250</v>
      </c>
      <c r="O3000">
        <v>55.4008623852299</v>
      </c>
      <c r="P3000">
        <v>-0.229971153879794</v>
      </c>
      <c r="Q3000">
        <v>0.79615039623494599</v>
      </c>
      <c r="R3000">
        <v>0.64503063668345995</v>
      </c>
      <c r="S3000" t="s">
        <v>7740</v>
      </c>
      <c r="T3000" t="s">
        <v>9478</v>
      </c>
      <c r="U3000" t="s">
        <v>9478</v>
      </c>
      <c r="V3000" t="s">
        <v>9478</v>
      </c>
      <c r="W3000">
        <v>3</v>
      </c>
      <c r="X3000" t="s">
        <v>12478</v>
      </c>
      <c r="Y3000">
        <v>0.90084296558894394</v>
      </c>
      <c r="Z3000" t="str">
        <f>HYPERLINK("Melting_Curves/meltCurve_sp_Q96P11_NSUN5_HUMAN_.pdf", "Melting_Curves/meltCurve_sp_Q96P11_NSUN5_HUMAN_.pdf")</f>
        <v>Melting_Curves/meltCurve_sp_Q96P11_NSUN5_HUMAN_.pdf</v>
      </c>
      <c r="AA3000" t="s">
        <v>17168</v>
      </c>
      <c r="AB3000" t="s">
        <v>21834</v>
      </c>
    </row>
    <row r="3001" spans="1:28" x14ac:dyDescent="0.25">
      <c r="A3001" t="s">
        <v>3005</v>
      </c>
      <c r="B3001">
        <v>0.99904790336628502</v>
      </c>
      <c r="C3001">
        <v>1.0314953681593599</v>
      </c>
      <c r="D3001">
        <v>1.0383930367530001</v>
      </c>
      <c r="E3001">
        <v>0.64770331722891805</v>
      </c>
      <c r="F3001">
        <v>0.44932858115656699</v>
      </c>
      <c r="G3001">
        <v>0.182471600668798</v>
      </c>
      <c r="H3001">
        <v>0.15466370170938401</v>
      </c>
      <c r="I3001">
        <v>9.5367701743046596E-2</v>
      </c>
      <c r="J3001">
        <v>0.10103433053722199</v>
      </c>
      <c r="K3001">
        <v>8.4862570438496293E-2</v>
      </c>
      <c r="L3001">
        <v>1194.24423938259</v>
      </c>
      <c r="M3001">
        <v>23.152519135639501</v>
      </c>
      <c r="N3001">
        <v>52.079566046103103</v>
      </c>
      <c r="O3001">
        <v>51.201422524043998</v>
      </c>
      <c r="P3001">
        <v>-0.10182372027392</v>
      </c>
      <c r="Q3001">
        <v>9.9290385400908801E-2</v>
      </c>
      <c r="R3001">
        <v>0.98980516645971806</v>
      </c>
      <c r="S3001" t="s">
        <v>7741</v>
      </c>
      <c r="T3001" t="s">
        <v>9478</v>
      </c>
      <c r="U3001" t="s">
        <v>9478</v>
      </c>
      <c r="V3001" t="s">
        <v>9478</v>
      </c>
      <c r="W3001">
        <v>4</v>
      </c>
      <c r="X3001" t="s">
        <v>12479</v>
      </c>
      <c r="Y3001">
        <v>0.45650623939451579</v>
      </c>
      <c r="Z3001" t="str">
        <f>HYPERLINK("Melting_Curves/meltCurve_sp_Q96P16_3_RPR1A_HUMAN_.pdf", "Melting_Curves/meltCurve_sp_Q96P16_3_RPR1A_HUMAN_.pdf")</f>
        <v>Melting_Curves/meltCurve_sp_Q96P16_3_RPR1A_HUMAN_.pdf</v>
      </c>
      <c r="AA3001" t="s">
        <v>17169</v>
      </c>
      <c r="AB3001" t="s">
        <v>21835</v>
      </c>
    </row>
    <row r="3002" spans="1:28" x14ac:dyDescent="0.25">
      <c r="A3002" t="s">
        <v>3006</v>
      </c>
      <c r="B3002">
        <v>0.99904790336628502</v>
      </c>
      <c r="C3002">
        <v>0.97189913040925102</v>
      </c>
      <c r="D3002">
        <v>0.85990141575842105</v>
      </c>
      <c r="E3002">
        <v>0.77986374678710102</v>
      </c>
      <c r="F3002">
        <v>0.54380591982682303</v>
      </c>
      <c r="G3002">
        <v>0.333130680216429</v>
      </c>
      <c r="H3002">
        <v>0.19574648505822501</v>
      </c>
      <c r="I3002">
        <v>9.2438615999363302E-2</v>
      </c>
      <c r="J3002">
        <v>5.7942632532384901E-2</v>
      </c>
      <c r="K3002">
        <v>5.2584278031715101E-2</v>
      </c>
      <c r="L3002">
        <v>712.95841882353795</v>
      </c>
      <c r="M3002">
        <v>13.210162778417001</v>
      </c>
      <c r="N3002">
        <v>53.970449712404303</v>
      </c>
      <c r="O3002">
        <v>52.778623489327103</v>
      </c>
      <c r="P3002">
        <v>-6.2583822049922896E-2</v>
      </c>
      <c r="Q3002">
        <v>0</v>
      </c>
      <c r="R3002">
        <v>0.99626255347456405</v>
      </c>
      <c r="S3002" t="s">
        <v>7742</v>
      </c>
      <c r="T3002" t="s">
        <v>9478</v>
      </c>
      <c r="U3002" t="s">
        <v>9478</v>
      </c>
      <c r="V3002" t="s">
        <v>9478</v>
      </c>
      <c r="W3002">
        <v>4</v>
      </c>
      <c r="X3002" t="s">
        <v>12480</v>
      </c>
      <c r="Y3002">
        <v>0.48948001817537001</v>
      </c>
      <c r="Z3002" t="str">
        <f>HYPERLINK("Melting_Curves/meltCurve_sp_Q96P47_AGAP3_HUMAN_.pdf", "Melting_Curves/meltCurve_sp_Q96P47_AGAP3_HUMAN_.pdf")</f>
        <v>Melting_Curves/meltCurve_sp_Q96P47_AGAP3_HUMAN_.pdf</v>
      </c>
      <c r="AA3002" t="s">
        <v>17170</v>
      </c>
      <c r="AB3002" t="s">
        <v>21836</v>
      </c>
    </row>
    <row r="3003" spans="1:28" x14ac:dyDescent="0.25">
      <c r="A3003" t="s">
        <v>3007</v>
      </c>
      <c r="B3003">
        <v>0.99904790336628502</v>
      </c>
      <c r="C3003">
        <v>0.90612324027388402</v>
      </c>
      <c r="D3003">
        <v>0.71741133631032195</v>
      </c>
      <c r="E3003">
        <v>0.40861542038861598</v>
      </c>
      <c r="F3003">
        <v>0.20887098527127401</v>
      </c>
      <c r="G3003">
        <v>0.103786391908349</v>
      </c>
      <c r="H3003">
        <v>6.3765168794779503E-2</v>
      </c>
      <c r="I3003">
        <v>4.7872590881179997E-2</v>
      </c>
      <c r="J3003">
        <v>2.5229578270874301E-2</v>
      </c>
      <c r="K3003">
        <v>3.3095051433292999E-2</v>
      </c>
      <c r="L3003">
        <v>821.62424110739198</v>
      </c>
      <c r="M3003">
        <v>16.916201541624801</v>
      </c>
      <c r="N3003">
        <v>48.731456281371997</v>
      </c>
      <c r="O3003">
        <v>47.906731120016701</v>
      </c>
      <c r="P3003">
        <v>-8.5880114739309801E-2</v>
      </c>
      <c r="Q3003">
        <v>2.72103780775616E-2</v>
      </c>
      <c r="R3003">
        <v>0.99918922513917596</v>
      </c>
      <c r="S3003" t="s">
        <v>7743</v>
      </c>
      <c r="T3003" t="s">
        <v>9478</v>
      </c>
      <c r="U3003" t="s">
        <v>9478</v>
      </c>
      <c r="V3003" t="s">
        <v>9478</v>
      </c>
      <c r="W3003">
        <v>3</v>
      </c>
      <c r="X3003" t="s">
        <v>12481</v>
      </c>
      <c r="Y3003">
        <v>0.32438570979031289</v>
      </c>
      <c r="Z3003" t="str">
        <f>HYPERLINK("Melting_Curves/meltCurve_sp_Q96P48_7_ARAP1_HUMAN_.pdf", "Melting_Curves/meltCurve_sp_Q96P48_7_ARAP1_HUMAN_.pdf")</f>
        <v>Melting_Curves/meltCurve_sp_Q96P48_7_ARAP1_HUMAN_.pdf</v>
      </c>
      <c r="AA3003" t="s">
        <v>17171</v>
      </c>
      <c r="AB3003" t="s">
        <v>21837</v>
      </c>
    </row>
    <row r="3004" spans="1:28" x14ac:dyDescent="0.25">
      <c r="A3004" t="s">
        <v>3008</v>
      </c>
      <c r="B3004">
        <v>0.99904790336628502</v>
      </c>
      <c r="C3004">
        <v>0.97419324535238605</v>
      </c>
      <c r="D3004">
        <v>1.03179095931126</v>
      </c>
      <c r="E3004">
        <v>1.0010828148488</v>
      </c>
      <c r="F3004">
        <v>0.91909942724962201</v>
      </c>
      <c r="G3004">
        <v>0.74893677993449204</v>
      </c>
      <c r="H3004">
        <v>0.52994581324901902</v>
      </c>
      <c r="I3004">
        <v>0.40966869932489097</v>
      </c>
      <c r="J3004">
        <v>0.232308401501166</v>
      </c>
      <c r="K3004">
        <v>7.4474637120920395E-2</v>
      </c>
      <c r="L3004">
        <v>954.91112906388503</v>
      </c>
      <c r="M3004">
        <v>15.5024339498746</v>
      </c>
      <c r="N3004">
        <v>61.597497045338002</v>
      </c>
      <c r="O3004">
        <v>60.599808602664801</v>
      </c>
      <c r="P3004">
        <v>-6.3959799825108493E-2</v>
      </c>
      <c r="Q3004">
        <v>0</v>
      </c>
      <c r="R3004">
        <v>0.99122976614151903</v>
      </c>
      <c r="S3004" t="s">
        <v>7744</v>
      </c>
      <c r="T3004" t="s">
        <v>9478</v>
      </c>
      <c r="U3004" t="s">
        <v>9478</v>
      </c>
      <c r="V3004" t="s">
        <v>9478</v>
      </c>
      <c r="W3004">
        <v>23</v>
      </c>
      <c r="X3004" t="s">
        <v>12482</v>
      </c>
      <c r="Y3004">
        <v>0.72018002711400309</v>
      </c>
      <c r="Z3004" t="str">
        <f>HYPERLINK("Melting_Curves/meltCurve_sp_Q96P70_IPO9_HUMAN_.pdf", "Melting_Curves/meltCurve_sp_Q96P70_IPO9_HUMAN_.pdf")</f>
        <v>Melting_Curves/meltCurve_sp_Q96P70_IPO9_HUMAN_.pdf</v>
      </c>
      <c r="AA3004" t="s">
        <v>17172</v>
      </c>
      <c r="AB3004" t="s">
        <v>21838</v>
      </c>
    </row>
    <row r="3005" spans="1:28" x14ac:dyDescent="0.25">
      <c r="A3005" t="s">
        <v>3009</v>
      </c>
      <c r="B3005">
        <v>0.99904790336628502</v>
      </c>
      <c r="C3005">
        <v>0.98941921034095903</v>
      </c>
      <c r="D3005">
        <v>0.969700495457121</v>
      </c>
      <c r="E3005">
        <v>0.91589283708597902</v>
      </c>
      <c r="F3005">
        <v>0.82787103809922102</v>
      </c>
      <c r="G3005">
        <v>0.61886514880652699</v>
      </c>
      <c r="H3005">
        <v>0.51024154930178101</v>
      </c>
      <c r="I3005">
        <v>0.467740854268477</v>
      </c>
      <c r="J3005">
        <v>0.37504203512350198</v>
      </c>
      <c r="K3005">
        <v>0.18379435793943599</v>
      </c>
      <c r="L3005">
        <v>566.382452821539</v>
      </c>
      <c r="M3005">
        <v>9.1921899416413897</v>
      </c>
      <c r="N3005">
        <v>61.615604781330802</v>
      </c>
      <c r="O3005">
        <v>58.909833732136903</v>
      </c>
      <c r="P3005">
        <v>-3.9035719133452197E-2</v>
      </c>
      <c r="Q3005">
        <v>0</v>
      </c>
      <c r="R3005">
        <v>0.98163498717339903</v>
      </c>
      <c r="S3005" t="s">
        <v>7745</v>
      </c>
      <c r="T3005" t="s">
        <v>9478</v>
      </c>
      <c r="U3005" t="s">
        <v>9478</v>
      </c>
      <c r="V3005" t="s">
        <v>9478</v>
      </c>
      <c r="W3005">
        <v>6</v>
      </c>
      <c r="X3005" t="s">
        <v>12483</v>
      </c>
      <c r="Y3005">
        <v>0.69777091006760661</v>
      </c>
      <c r="Z3005" t="str">
        <f>HYPERLINK("Melting_Curves/meltCurve_sp_Q96PD5_PGRP2_HUMAN_.pdf", "Melting_Curves/meltCurve_sp_Q96PD5_PGRP2_HUMAN_.pdf")</f>
        <v>Melting_Curves/meltCurve_sp_Q96PD5_PGRP2_HUMAN_.pdf</v>
      </c>
      <c r="AA3005" t="s">
        <v>17173</v>
      </c>
      <c r="AB3005" t="s">
        <v>21839</v>
      </c>
    </row>
    <row r="3006" spans="1:28" x14ac:dyDescent="0.25">
      <c r="A3006" t="s">
        <v>3010</v>
      </c>
      <c r="B3006">
        <v>0.99904790336628502</v>
      </c>
      <c r="C3006">
        <v>0.99005969011796702</v>
      </c>
      <c r="D3006">
        <v>0.96734294455798298</v>
      </c>
      <c r="E3006">
        <v>0.94149244721244196</v>
      </c>
      <c r="F3006">
        <v>0.96222883471015297</v>
      </c>
      <c r="G3006">
        <v>0.75474305019958798</v>
      </c>
      <c r="H3006">
        <v>0.60990484392462097</v>
      </c>
      <c r="I3006">
        <v>0.51586029414644596</v>
      </c>
      <c r="J3006">
        <v>0.38784669920412101</v>
      </c>
      <c r="K3006">
        <v>0.25024966704831703</v>
      </c>
      <c r="L3006">
        <v>709.38075766430597</v>
      </c>
      <c r="M3006">
        <v>11.1169943754886</v>
      </c>
      <c r="N3006">
        <v>63.810490818457602</v>
      </c>
      <c r="O3006">
        <v>61.8501131547361</v>
      </c>
      <c r="P3006">
        <v>-4.4949770196993102E-2</v>
      </c>
      <c r="Q3006">
        <v>0</v>
      </c>
      <c r="R3006">
        <v>0.99056183621502403</v>
      </c>
      <c r="S3006" t="s">
        <v>7746</v>
      </c>
      <c r="T3006" t="s">
        <v>9478</v>
      </c>
      <c r="U3006" t="s">
        <v>9478</v>
      </c>
      <c r="V3006" t="s">
        <v>9478</v>
      </c>
      <c r="W3006">
        <v>7</v>
      </c>
      <c r="X3006" t="s">
        <v>12484</v>
      </c>
      <c r="Y3006">
        <v>0.76133096692875768</v>
      </c>
      <c r="Z3006" t="str">
        <f>HYPERLINK("Melting_Curves/meltCurve_sp_Q96PE7_MCEE_HUMAN_.pdf", "Melting_Curves/meltCurve_sp_Q96PE7_MCEE_HUMAN_.pdf")</f>
        <v>Melting_Curves/meltCurve_sp_Q96PE7_MCEE_HUMAN_.pdf</v>
      </c>
      <c r="AA3006" t="s">
        <v>17174</v>
      </c>
      <c r="AB3006" t="s">
        <v>21840</v>
      </c>
    </row>
    <row r="3007" spans="1:28" x14ac:dyDescent="0.25">
      <c r="A3007" t="s">
        <v>3011</v>
      </c>
      <c r="B3007">
        <v>0.99904790336628502</v>
      </c>
      <c r="C3007">
        <v>0.80819294262638997</v>
      </c>
      <c r="D3007">
        <v>0.78064302371015704</v>
      </c>
      <c r="E3007">
        <v>0.72311649914934495</v>
      </c>
      <c r="F3007">
        <v>0.60568642410631002</v>
      </c>
      <c r="G3007">
        <v>0.45146873252995601</v>
      </c>
      <c r="H3007">
        <v>0.45442873391624999</v>
      </c>
      <c r="I3007">
        <v>0.37469601211133202</v>
      </c>
      <c r="J3007">
        <v>0.35175133518052498</v>
      </c>
      <c r="K3007">
        <v>0.36986531273884599</v>
      </c>
      <c r="L3007">
        <v>418.04913525470602</v>
      </c>
      <c r="M3007">
        <v>8.1367665348157097</v>
      </c>
      <c r="N3007">
        <v>56.8432486433978</v>
      </c>
      <c r="O3007">
        <v>48.554014423603498</v>
      </c>
      <c r="P3007">
        <v>-3.0560150203584501E-2</v>
      </c>
      <c r="Q3007">
        <v>0.27133485450829198</v>
      </c>
      <c r="R3007">
        <v>0.96601171114505702</v>
      </c>
      <c r="S3007" t="s">
        <v>7747</v>
      </c>
      <c r="T3007" t="s">
        <v>9478</v>
      </c>
      <c r="U3007" t="s">
        <v>9478</v>
      </c>
      <c r="V3007" t="s">
        <v>9478</v>
      </c>
      <c r="W3007">
        <v>8</v>
      </c>
      <c r="X3007" t="s">
        <v>12485</v>
      </c>
      <c r="Y3007">
        <v>0.58426481113298723</v>
      </c>
      <c r="Z3007" t="str">
        <f>HYPERLINK("Melting_Curves/meltCurve_sp_Q96PK6_RBM14_HUMAN_.pdf", "Melting_Curves/meltCurve_sp_Q96PK6_RBM14_HUMAN_.pdf")</f>
        <v>Melting_Curves/meltCurve_sp_Q96PK6_RBM14_HUMAN_.pdf</v>
      </c>
      <c r="AA3007" t="s">
        <v>17175</v>
      </c>
      <c r="AB3007" t="s">
        <v>21841</v>
      </c>
    </row>
    <row r="3008" spans="1:28" x14ac:dyDescent="0.25">
      <c r="A3008" t="s">
        <v>3012</v>
      </c>
      <c r="B3008">
        <v>0.99904790336628502</v>
      </c>
      <c r="C3008">
        <v>1.0376908858432501</v>
      </c>
      <c r="D3008">
        <v>0.98984877246116199</v>
      </c>
      <c r="E3008">
        <v>0.909608443020819</v>
      </c>
      <c r="F3008">
        <v>0.87709819779161502</v>
      </c>
      <c r="G3008">
        <v>0.68566916708389003</v>
      </c>
      <c r="H3008">
        <v>0.56278403293764201</v>
      </c>
      <c r="I3008">
        <v>0.52213036790399003</v>
      </c>
      <c r="J3008">
        <v>0.538315883973432</v>
      </c>
      <c r="K3008">
        <v>0.44328397003192099</v>
      </c>
      <c r="L3008">
        <v>930.24754090789997</v>
      </c>
      <c r="M3008">
        <v>16.5732005775407</v>
      </c>
      <c r="N3008">
        <v>66.082385219687794</v>
      </c>
      <c r="O3008">
        <v>55.331511206055602</v>
      </c>
      <c r="P3008">
        <v>-4.05287445163054E-2</v>
      </c>
      <c r="Q3008">
        <v>0.45879764725654998</v>
      </c>
      <c r="R3008">
        <v>0.98621381134508301</v>
      </c>
      <c r="S3008" t="s">
        <v>7748</v>
      </c>
      <c r="T3008" t="s">
        <v>9478</v>
      </c>
      <c r="U3008" t="s">
        <v>9478</v>
      </c>
      <c r="V3008" t="s">
        <v>9478</v>
      </c>
      <c r="W3008">
        <v>3</v>
      </c>
      <c r="X3008" t="s">
        <v>12486</v>
      </c>
      <c r="Y3008">
        <v>0.75843091130661633</v>
      </c>
      <c r="Z3008" t="str">
        <f>HYPERLINK("Melting_Curves/meltCurve_sp_Q96PM5_3_ZN363_HUMAN_.pdf", "Melting_Curves/meltCurve_sp_Q96PM5_3_ZN363_HUMAN_.pdf")</f>
        <v>Melting_Curves/meltCurve_sp_Q96PM5_3_ZN363_HUMAN_.pdf</v>
      </c>
      <c r="AA3008" t="s">
        <v>17176</v>
      </c>
      <c r="AB3008" t="s">
        <v>21842</v>
      </c>
    </row>
    <row r="3009" spans="1:28" x14ac:dyDescent="0.25">
      <c r="A3009" t="s">
        <v>3013</v>
      </c>
      <c r="B3009">
        <v>0.99904790336628502</v>
      </c>
      <c r="C3009">
        <v>1.10702107220718</v>
      </c>
      <c r="D3009">
        <v>0.98904682621124596</v>
      </c>
      <c r="E3009">
        <v>0.49868597708477902</v>
      </c>
      <c r="F3009">
        <v>0.272996131185679</v>
      </c>
      <c r="G3009">
        <v>0.146442575279152</v>
      </c>
      <c r="H3009">
        <v>0.107638418025066</v>
      </c>
      <c r="I3009">
        <v>8.0758702271073596E-2</v>
      </c>
      <c r="J3009">
        <v>2.5100288550140699E-2</v>
      </c>
      <c r="K3009">
        <v>2.7017705020405101E-2</v>
      </c>
      <c r="L3009">
        <v>1420.9828789585899</v>
      </c>
      <c r="M3009">
        <v>28.371564376726202</v>
      </c>
      <c r="N3009">
        <v>50.362593003797997</v>
      </c>
      <c r="O3009">
        <v>49.837910150840898</v>
      </c>
      <c r="P3009">
        <v>-0.13201042466139501</v>
      </c>
      <c r="Q3009">
        <v>7.2441630135853502E-2</v>
      </c>
      <c r="R3009">
        <v>0.98412243348489703</v>
      </c>
      <c r="S3009" t="s">
        <v>7749</v>
      </c>
      <c r="T3009" t="s">
        <v>9478</v>
      </c>
      <c r="U3009" t="s">
        <v>9478</v>
      </c>
      <c r="V3009" t="s">
        <v>9478</v>
      </c>
      <c r="W3009">
        <v>4</v>
      </c>
      <c r="X3009" t="s">
        <v>12487</v>
      </c>
      <c r="Y3009">
        <v>0.39067915650698098</v>
      </c>
      <c r="Z3009" t="str">
        <f>HYPERLINK("Melting_Curves/meltCurve_sp_Q96PP9_GBP4_HUMAN_.pdf", "Melting_Curves/meltCurve_sp_Q96PP9_GBP4_HUMAN_.pdf")</f>
        <v>Melting_Curves/meltCurve_sp_Q96PP9_GBP4_HUMAN_.pdf</v>
      </c>
      <c r="AA3009" t="s">
        <v>17177</v>
      </c>
      <c r="AB3009" t="s">
        <v>21843</v>
      </c>
    </row>
    <row r="3010" spans="1:28" x14ac:dyDescent="0.25">
      <c r="A3010" t="s">
        <v>3014</v>
      </c>
      <c r="B3010">
        <v>0.99904790336628502</v>
      </c>
      <c r="C3010">
        <v>0.99553586660889104</v>
      </c>
      <c r="D3010">
        <v>0.87577108711763396</v>
      </c>
      <c r="E3010">
        <v>0.79185501529472602</v>
      </c>
      <c r="F3010">
        <v>0.68834758209116798</v>
      </c>
      <c r="G3010">
        <v>0.56628976402023301</v>
      </c>
      <c r="H3010">
        <v>0.36227956658377097</v>
      </c>
      <c r="I3010">
        <v>0.36408313306130202</v>
      </c>
      <c r="J3010">
        <v>0.28821364767708202</v>
      </c>
      <c r="K3010">
        <v>0.35649485313317297</v>
      </c>
      <c r="L3010">
        <v>635.57904543565803</v>
      </c>
      <c r="M3010">
        <v>11.729747078378599</v>
      </c>
      <c r="N3010">
        <v>57.726814810945299</v>
      </c>
      <c r="O3010">
        <v>52.682236698435801</v>
      </c>
      <c r="P3010">
        <v>-4.1394216048056702E-2</v>
      </c>
      <c r="Q3010">
        <v>0.256534385202772</v>
      </c>
      <c r="R3010">
        <v>0.98343842514590396</v>
      </c>
      <c r="S3010" t="s">
        <v>7750</v>
      </c>
      <c r="T3010" t="s">
        <v>9478</v>
      </c>
      <c r="U3010" t="s">
        <v>9478</v>
      </c>
      <c r="V3010" t="s">
        <v>9478</v>
      </c>
      <c r="W3010">
        <v>2</v>
      </c>
      <c r="X3010" t="s">
        <v>12488</v>
      </c>
      <c r="Y3010">
        <v>0.62752575181646908</v>
      </c>
      <c r="Z3010" t="str">
        <f>HYPERLINK("Melting_Curves/meltCurve_sp_Q96PU5_3_NED4L_HUMAN_.pdf", "Melting_Curves/meltCurve_sp_Q96PU5_3_NED4L_HUMAN_.pdf")</f>
        <v>Melting_Curves/meltCurve_sp_Q96PU5_3_NED4L_HUMAN_.pdf</v>
      </c>
      <c r="AA3010" t="s">
        <v>17178</v>
      </c>
      <c r="AB3010" t="s">
        <v>21844</v>
      </c>
    </row>
    <row r="3011" spans="1:28" x14ac:dyDescent="0.25">
      <c r="A3011" t="s">
        <v>3015</v>
      </c>
      <c r="B3011">
        <v>0.99904790336628502</v>
      </c>
      <c r="C3011">
        <v>0.93888156138407897</v>
      </c>
      <c r="D3011">
        <v>0.87441813799630896</v>
      </c>
      <c r="E3011">
        <v>0.79305308696505294</v>
      </c>
      <c r="F3011">
        <v>0.80499330736735997</v>
      </c>
      <c r="G3011">
        <v>0.51129203432881198</v>
      </c>
      <c r="H3011">
        <v>0.35933796605567903</v>
      </c>
      <c r="I3011">
        <v>0.38073150441762699</v>
      </c>
      <c r="J3011">
        <v>0.41853116992563399</v>
      </c>
      <c r="K3011">
        <v>0.397293214831067</v>
      </c>
      <c r="L3011">
        <v>732.14232912343903</v>
      </c>
      <c r="M3011">
        <v>13.655452576475099</v>
      </c>
      <c r="N3011">
        <v>58.3882397081981</v>
      </c>
      <c r="O3011">
        <v>52.504775365725799</v>
      </c>
      <c r="P3011">
        <v>-4.3163603186963197E-2</v>
      </c>
      <c r="Q3011">
        <v>0.33624615230487498</v>
      </c>
      <c r="R3011">
        <v>0.94989722735275195</v>
      </c>
      <c r="S3011" t="s">
        <v>7751</v>
      </c>
      <c r="T3011" t="s">
        <v>9478</v>
      </c>
      <c r="U3011" t="s">
        <v>9478</v>
      </c>
      <c r="V3011" t="s">
        <v>9478</v>
      </c>
      <c r="W3011">
        <v>8</v>
      </c>
      <c r="X3011" t="s">
        <v>12489</v>
      </c>
      <c r="Y3011">
        <v>0.65309055735737509</v>
      </c>
      <c r="Z3011" t="str">
        <f>HYPERLINK("Melting_Curves/meltCurve_sp_Q96PU8_5_QKI_HUMAN_.pdf", "Melting_Curves/meltCurve_sp_Q96PU8_5_QKI_HUMAN_.pdf")</f>
        <v>Melting_Curves/meltCurve_sp_Q96PU8_5_QKI_HUMAN_.pdf</v>
      </c>
      <c r="AA3011" t="s">
        <v>17179</v>
      </c>
      <c r="AB3011" t="s">
        <v>21845</v>
      </c>
    </row>
    <row r="3012" spans="1:28" x14ac:dyDescent="0.25">
      <c r="A3012" t="s">
        <v>3016</v>
      </c>
      <c r="B3012">
        <v>0.99904790336628502</v>
      </c>
      <c r="C3012">
        <v>0.83646562724894302</v>
      </c>
      <c r="D3012">
        <v>0.78766477309527005</v>
      </c>
      <c r="E3012">
        <v>0.82263328453152995</v>
      </c>
      <c r="F3012">
        <v>0.75460577188734101</v>
      </c>
      <c r="G3012">
        <v>0.48426992912725397</v>
      </c>
      <c r="H3012">
        <v>0.40695034371122701</v>
      </c>
      <c r="I3012">
        <v>0.232137913414522</v>
      </c>
      <c r="J3012">
        <v>0.18906601639971399</v>
      </c>
      <c r="K3012">
        <v>0.14961070274440499</v>
      </c>
      <c r="L3012">
        <v>504.10430115219299</v>
      </c>
      <c r="M3012">
        <v>8.8192828104091792</v>
      </c>
      <c r="N3012">
        <v>57.159337355711699</v>
      </c>
      <c r="O3012">
        <v>54.449240935843797</v>
      </c>
      <c r="P3012">
        <v>-4.0524901810411497E-2</v>
      </c>
      <c r="Q3012">
        <v>0</v>
      </c>
      <c r="R3012">
        <v>0.95425309687734206</v>
      </c>
      <c r="S3012" t="s">
        <v>7752</v>
      </c>
      <c r="T3012" t="s">
        <v>9478</v>
      </c>
      <c r="U3012" t="s">
        <v>9478</v>
      </c>
      <c r="V3012" t="s">
        <v>9478</v>
      </c>
      <c r="W3012">
        <v>8</v>
      </c>
      <c r="X3012" t="s">
        <v>12490</v>
      </c>
      <c r="Y3012">
        <v>0.58485920327910401</v>
      </c>
      <c r="Z3012" t="str">
        <f>HYPERLINK("Melting_Curves/meltCurve_sp_Q96PU8_9_QKI_HUMAN_.pdf", "Melting_Curves/meltCurve_sp_Q96PU8_9_QKI_HUMAN_.pdf")</f>
        <v>Melting_Curves/meltCurve_sp_Q96PU8_9_QKI_HUMAN_.pdf</v>
      </c>
      <c r="AA3012" t="s">
        <v>17179</v>
      </c>
      <c r="AB3012" t="s">
        <v>21846</v>
      </c>
    </row>
    <row r="3013" spans="1:28" x14ac:dyDescent="0.25">
      <c r="A3013" t="s">
        <v>3017</v>
      </c>
      <c r="B3013">
        <v>0.99904790336628502</v>
      </c>
      <c r="C3013">
        <v>0.93750955610204101</v>
      </c>
      <c r="D3013">
        <v>1.0391440822677001</v>
      </c>
      <c r="E3013">
        <v>0.75012083616575398</v>
      </c>
      <c r="F3013">
        <v>0.31626400865113502</v>
      </c>
      <c r="G3013">
        <v>0.120995690660555</v>
      </c>
      <c r="H3013">
        <v>8.0157428651076404E-2</v>
      </c>
      <c r="I3013">
        <v>5.26058130988942E-2</v>
      </c>
      <c r="J3013">
        <v>6.6682445289214007E-2</v>
      </c>
      <c r="K3013">
        <v>7.6076286657966896E-2</v>
      </c>
      <c r="L3013">
        <v>1812.86806097677</v>
      </c>
      <c r="M3013">
        <v>35.227736041540197</v>
      </c>
      <c r="N3013">
        <v>51.689488438556602</v>
      </c>
      <c r="O3013">
        <v>51.2963983622192</v>
      </c>
      <c r="P3013">
        <v>-0.15932815573376999</v>
      </c>
      <c r="Q3013">
        <v>7.1988908295272505E-2</v>
      </c>
      <c r="R3013">
        <v>0.99553080530112303</v>
      </c>
      <c r="S3013" t="s">
        <v>7753</v>
      </c>
      <c r="T3013" t="s">
        <v>9478</v>
      </c>
      <c r="U3013" t="s">
        <v>9478</v>
      </c>
      <c r="V3013" t="s">
        <v>9478</v>
      </c>
      <c r="W3013">
        <v>2</v>
      </c>
      <c r="X3013" t="s">
        <v>12491</v>
      </c>
      <c r="Y3013">
        <v>0.43079329856148341</v>
      </c>
      <c r="Z3013" t="str">
        <f>HYPERLINK("Melting_Curves/meltCurve_sp_Q96PV6_LENG8_HUMAN_.pdf", "Melting_Curves/meltCurve_sp_Q96PV6_LENG8_HUMAN_.pdf")</f>
        <v>Melting_Curves/meltCurve_sp_Q96PV6_LENG8_HUMAN_.pdf</v>
      </c>
      <c r="AA3013" t="s">
        <v>17180</v>
      </c>
      <c r="AB3013" t="s">
        <v>21847</v>
      </c>
    </row>
    <row r="3014" spans="1:28" x14ac:dyDescent="0.25">
      <c r="A3014" t="s">
        <v>3018</v>
      </c>
      <c r="B3014">
        <v>0.99904790336628502</v>
      </c>
      <c r="C3014">
        <v>0.95608946742066803</v>
      </c>
      <c r="D3014">
        <v>0.942432086133561</v>
      </c>
      <c r="E3014">
        <v>0.85513651038398797</v>
      </c>
      <c r="F3014">
        <v>0.81416018978684901</v>
      </c>
      <c r="G3014">
        <v>0.57539670490053696</v>
      </c>
      <c r="H3014">
        <v>0.25778984717702602</v>
      </c>
      <c r="I3014">
        <v>0.15550895337776999</v>
      </c>
      <c r="J3014">
        <v>0.120963241790023</v>
      </c>
      <c r="K3014">
        <v>9.6887476637262604E-2</v>
      </c>
      <c r="L3014">
        <v>898.29569749851805</v>
      </c>
      <c r="M3014">
        <v>15.661314842332001</v>
      </c>
      <c r="N3014">
        <v>57.503381983965198</v>
      </c>
      <c r="O3014">
        <v>56.446876593084099</v>
      </c>
      <c r="P3014">
        <v>-6.8018996462046094E-2</v>
      </c>
      <c r="Q3014">
        <v>1.9461023771604899E-2</v>
      </c>
      <c r="R3014">
        <v>0.99148452196286196</v>
      </c>
      <c r="S3014" t="s">
        <v>7754</v>
      </c>
      <c r="T3014" t="s">
        <v>9478</v>
      </c>
      <c r="U3014" t="s">
        <v>9478</v>
      </c>
      <c r="V3014" t="s">
        <v>9478</v>
      </c>
      <c r="W3014">
        <v>10</v>
      </c>
      <c r="X3014" t="s">
        <v>12492</v>
      </c>
      <c r="Y3014">
        <v>0.60120315296495974</v>
      </c>
      <c r="Z3014" t="str">
        <f>HYPERLINK("Melting_Curves/meltCurve_sp_Q96PZ0_PUS7_HUMAN_.pdf", "Melting_Curves/meltCurve_sp_Q96PZ0_PUS7_HUMAN_.pdf")</f>
        <v>Melting_Curves/meltCurve_sp_Q96PZ0_PUS7_HUMAN_.pdf</v>
      </c>
      <c r="AA3014" t="s">
        <v>17181</v>
      </c>
      <c r="AB3014" t="s">
        <v>21848</v>
      </c>
    </row>
    <row r="3015" spans="1:28" x14ac:dyDescent="0.25">
      <c r="A3015" t="s">
        <v>3019</v>
      </c>
      <c r="B3015">
        <v>0.99904790336628502</v>
      </c>
      <c r="C3015">
        <v>0.95870524806777402</v>
      </c>
      <c r="D3015">
        <v>1.0354908397726701</v>
      </c>
      <c r="E3015">
        <v>0.84659076284741597</v>
      </c>
      <c r="F3015">
        <v>0.39845886394442298</v>
      </c>
      <c r="G3015">
        <v>0.20202768311890501</v>
      </c>
      <c r="H3015">
        <v>0.160967534851923</v>
      </c>
      <c r="I3015">
        <v>0.14519431135108801</v>
      </c>
      <c r="J3015">
        <v>0.14089710434118499</v>
      </c>
      <c r="K3015">
        <v>0.121618414625107</v>
      </c>
      <c r="L3015">
        <v>2058.0683987430598</v>
      </c>
      <c r="M3015">
        <v>39.667034175205302</v>
      </c>
      <c r="N3015">
        <v>52.346155566716703</v>
      </c>
      <c r="O3015">
        <v>51.752257284474197</v>
      </c>
      <c r="P3015">
        <v>-0.163291617936872</v>
      </c>
      <c r="Q3015">
        <v>0.14783730513464399</v>
      </c>
      <c r="R3015">
        <v>0.996471424539072</v>
      </c>
      <c r="S3015" t="s">
        <v>7755</v>
      </c>
      <c r="T3015" t="s">
        <v>9478</v>
      </c>
      <c r="U3015" t="s">
        <v>9478</v>
      </c>
      <c r="V3015" t="s">
        <v>9478</v>
      </c>
      <c r="W3015">
        <v>2</v>
      </c>
      <c r="X3015" t="s">
        <v>12493</v>
      </c>
      <c r="Y3015">
        <v>0.48850255773617829</v>
      </c>
      <c r="Z3015" t="str">
        <f>HYPERLINK("Melting_Curves/meltCurve_sp_Q96Q05_3_TPPC9_HUMAN_.pdf", "Melting_Curves/meltCurve_sp_Q96Q05_3_TPPC9_HUMAN_.pdf")</f>
        <v>Melting_Curves/meltCurve_sp_Q96Q05_3_TPPC9_HUMAN_.pdf</v>
      </c>
      <c r="AA3015" t="s">
        <v>17182</v>
      </c>
      <c r="AB3015" t="s">
        <v>21849</v>
      </c>
    </row>
    <row r="3016" spans="1:28" x14ac:dyDescent="0.25">
      <c r="A3016" t="s">
        <v>3020</v>
      </c>
      <c r="B3016">
        <v>0.99904790336628502</v>
      </c>
      <c r="C3016">
        <v>1.0756404158566599</v>
      </c>
      <c r="D3016">
        <v>0.98842290094352103</v>
      </c>
      <c r="E3016">
        <v>0.97746218985943401</v>
      </c>
      <c r="F3016">
        <v>1.00153515253926</v>
      </c>
      <c r="G3016">
        <v>0.57556154734181497</v>
      </c>
      <c r="H3016">
        <v>0.519507418024162</v>
      </c>
      <c r="I3016">
        <v>0.472293282536765</v>
      </c>
      <c r="J3016">
        <v>0.52690574608032803</v>
      </c>
      <c r="K3016">
        <v>0.49424857178908999</v>
      </c>
      <c r="L3016">
        <v>7918.1424173815203</v>
      </c>
      <c r="M3016">
        <v>140.684286506082</v>
      </c>
      <c r="O3016">
        <v>56.271675290766602</v>
      </c>
      <c r="P3016">
        <v>-0.31048903428822</v>
      </c>
      <c r="Q3016">
        <v>0.50323541652971504</v>
      </c>
      <c r="R3016">
        <v>0.98659778723312097</v>
      </c>
      <c r="S3016" t="s">
        <v>7756</v>
      </c>
      <c r="T3016" t="s">
        <v>9478</v>
      </c>
      <c r="U3016" t="s">
        <v>9478</v>
      </c>
      <c r="V3016" t="s">
        <v>9478</v>
      </c>
      <c r="W3016">
        <v>43</v>
      </c>
      <c r="X3016" t="s">
        <v>12494</v>
      </c>
      <c r="Y3016">
        <v>0.77301872362549817</v>
      </c>
      <c r="Z3016" t="str">
        <f>HYPERLINK("Melting_Curves/meltCurve_sp_Q96Q06_2_PLIN4_HUMAN_.pdf", "Melting_Curves/meltCurve_sp_Q96Q06_2_PLIN4_HUMAN_.pdf")</f>
        <v>Melting_Curves/meltCurve_sp_Q96Q06_2_PLIN4_HUMAN_.pdf</v>
      </c>
      <c r="AA3016" t="s">
        <v>17183</v>
      </c>
      <c r="AB3016" t="s">
        <v>21850</v>
      </c>
    </row>
    <row r="3017" spans="1:28" x14ac:dyDescent="0.25">
      <c r="A3017" t="s">
        <v>3021</v>
      </c>
      <c r="B3017">
        <v>0.99904790336628502</v>
      </c>
      <c r="C3017">
        <v>0.89314052689493095</v>
      </c>
      <c r="D3017">
        <v>0.93451115850121602</v>
      </c>
      <c r="E3017">
        <v>0.57517270754493699</v>
      </c>
      <c r="F3017">
        <v>0.174584842403953</v>
      </c>
      <c r="G3017">
        <v>0.110547942624506</v>
      </c>
      <c r="H3017">
        <v>7.1046986549967994E-2</v>
      </c>
      <c r="I3017">
        <v>5.44307890840472E-2</v>
      </c>
      <c r="J3017">
        <v>4.9592781569797302E-2</v>
      </c>
      <c r="K3017">
        <v>4.5999419585748998E-2</v>
      </c>
      <c r="L3017">
        <v>1582.4571783127799</v>
      </c>
      <c r="M3017">
        <v>31.5310528152317</v>
      </c>
      <c r="N3017">
        <v>50.3811038118642</v>
      </c>
      <c r="O3017">
        <v>49.9866792285383</v>
      </c>
      <c r="P3017">
        <v>-0.148689887717183</v>
      </c>
      <c r="Q3017">
        <v>5.7123142422164298E-2</v>
      </c>
      <c r="R3017">
        <v>0.99122687746122096</v>
      </c>
      <c r="S3017" t="s">
        <v>7757</v>
      </c>
      <c r="T3017" t="s">
        <v>9478</v>
      </c>
      <c r="U3017" t="s">
        <v>9478</v>
      </c>
      <c r="V3017" t="s">
        <v>9478</v>
      </c>
      <c r="W3017">
        <v>14</v>
      </c>
      <c r="X3017" t="s">
        <v>12495</v>
      </c>
      <c r="Y3017">
        <v>0.38259092709956688</v>
      </c>
      <c r="Z3017" t="str">
        <f>HYPERLINK("Melting_Curves/meltCurve_sp_Q96Q11_2_TRNT1_HUMAN_.pdf", "Melting_Curves/meltCurve_sp_Q96Q11_2_TRNT1_HUMAN_.pdf")</f>
        <v>Melting_Curves/meltCurve_sp_Q96Q11_2_TRNT1_HUMAN_.pdf</v>
      </c>
      <c r="AA3017" t="s">
        <v>17184</v>
      </c>
      <c r="AB3017" t="s">
        <v>21851</v>
      </c>
    </row>
    <row r="3018" spans="1:28" x14ac:dyDescent="0.25">
      <c r="A3018" t="s">
        <v>3022</v>
      </c>
      <c r="B3018">
        <v>0.99904790336628502</v>
      </c>
      <c r="C3018">
        <v>0.89918068406395502</v>
      </c>
      <c r="D3018">
        <v>0.911291175556732</v>
      </c>
      <c r="E3018">
        <v>0.70472826841699099</v>
      </c>
      <c r="F3018">
        <v>0.213361245157733</v>
      </c>
      <c r="G3018">
        <v>0.119050718147805</v>
      </c>
      <c r="H3018">
        <v>7.1800743451585394E-2</v>
      </c>
      <c r="I3018">
        <v>6.35819198998024E-2</v>
      </c>
      <c r="J3018">
        <v>8.4062853227222303E-2</v>
      </c>
      <c r="K3018">
        <v>2.5542977874182599E-2</v>
      </c>
      <c r="L3018">
        <v>1919.2688340668301</v>
      </c>
      <c r="M3018">
        <v>37.707236145280604</v>
      </c>
      <c r="N3018">
        <v>51.091290986663097</v>
      </c>
      <c r="O3018">
        <v>50.756703152284402</v>
      </c>
      <c r="P3018">
        <v>-0.17345240561785499</v>
      </c>
      <c r="Q3018">
        <v>6.6084040359604704E-2</v>
      </c>
      <c r="R3018">
        <v>0.98731649505968799</v>
      </c>
      <c r="S3018" t="s">
        <v>7758</v>
      </c>
      <c r="T3018" t="s">
        <v>9478</v>
      </c>
      <c r="U3018" t="s">
        <v>9478</v>
      </c>
      <c r="V3018" t="s">
        <v>9478</v>
      </c>
      <c r="W3018">
        <v>3</v>
      </c>
      <c r="X3018" t="s">
        <v>12496</v>
      </c>
      <c r="Y3018">
        <v>0.40908316555794549</v>
      </c>
      <c r="Z3018" t="str">
        <f>HYPERLINK("Melting_Curves/meltCurve_sp_Q96Q42_ALS2_HUMAN_.pdf", "Melting_Curves/meltCurve_sp_Q96Q42_ALS2_HUMAN_.pdf")</f>
        <v>Melting_Curves/meltCurve_sp_Q96Q42_ALS2_HUMAN_.pdf</v>
      </c>
      <c r="AA3018" t="s">
        <v>17185</v>
      </c>
      <c r="AB3018" t="s">
        <v>21852</v>
      </c>
    </row>
    <row r="3019" spans="1:28" x14ac:dyDescent="0.25">
      <c r="A3019" t="s">
        <v>3023</v>
      </c>
      <c r="B3019">
        <v>0.99904790336628502</v>
      </c>
      <c r="C3019">
        <v>0.84896263442504305</v>
      </c>
      <c r="D3019">
        <v>0.83493450282689696</v>
      </c>
      <c r="E3019">
        <v>0.44050722331925102</v>
      </c>
      <c r="F3019">
        <v>0.40151542481396102</v>
      </c>
      <c r="G3019">
        <v>0.26331037435329202</v>
      </c>
      <c r="H3019">
        <v>0.23292751814781701</v>
      </c>
      <c r="I3019">
        <v>0.29701864182358201</v>
      </c>
      <c r="J3019">
        <v>0.273651065132338</v>
      </c>
      <c r="K3019">
        <v>0.21903054791815901</v>
      </c>
      <c r="L3019">
        <v>888.52489652247198</v>
      </c>
      <c r="M3019">
        <v>18.493625552189801</v>
      </c>
      <c r="N3019">
        <v>49.8769777891833</v>
      </c>
      <c r="O3019">
        <v>47.493734422782197</v>
      </c>
      <c r="P3019">
        <v>-7.3353267610092504E-2</v>
      </c>
      <c r="Q3019">
        <v>0.24651526942253901</v>
      </c>
      <c r="R3019">
        <v>0.97541805982919905</v>
      </c>
      <c r="S3019" t="s">
        <v>7759</v>
      </c>
      <c r="T3019" t="s">
        <v>9478</v>
      </c>
      <c r="U3019" t="s">
        <v>9478</v>
      </c>
      <c r="V3019" t="s">
        <v>9478</v>
      </c>
      <c r="W3019">
        <v>1</v>
      </c>
      <c r="X3019" t="s">
        <v>12497</v>
      </c>
      <c r="Y3019">
        <v>0.46118984741505992</v>
      </c>
      <c r="Z3019" t="str">
        <f>HYPERLINK("Melting_Curves/meltCurve_sp_Q96Q83_ALKB3_HUMAN_.pdf", "Melting_Curves/meltCurve_sp_Q96Q83_ALKB3_HUMAN_.pdf")</f>
        <v>Melting_Curves/meltCurve_sp_Q96Q83_ALKB3_HUMAN_.pdf</v>
      </c>
      <c r="AA3019" t="s">
        <v>17186</v>
      </c>
      <c r="AB3019" t="s">
        <v>21853</v>
      </c>
    </row>
    <row r="3020" spans="1:28" x14ac:dyDescent="0.25">
      <c r="A3020" t="s">
        <v>3024</v>
      </c>
      <c r="B3020">
        <v>0.99904790336628502</v>
      </c>
      <c r="C3020">
        <v>0.93235102765130895</v>
      </c>
      <c r="D3020">
        <v>0.937858452878784</v>
      </c>
      <c r="E3020">
        <v>0.89970543900398703</v>
      </c>
      <c r="F3020">
        <v>0.89515511777960399</v>
      </c>
      <c r="G3020">
        <v>0.73856184725656204</v>
      </c>
      <c r="H3020">
        <v>0.52619002258811698</v>
      </c>
      <c r="I3020">
        <v>0.323712594651064</v>
      </c>
      <c r="J3020">
        <v>0.23273145630450601</v>
      </c>
      <c r="K3020">
        <v>0.17751813481460099</v>
      </c>
      <c r="L3020">
        <v>789.56730639080502</v>
      </c>
      <c r="M3020">
        <v>12.9199027822291</v>
      </c>
      <c r="N3020">
        <v>61.1124805363132</v>
      </c>
      <c r="O3020">
        <v>59.7039836189075</v>
      </c>
      <c r="P3020">
        <v>-5.41096441947626E-2</v>
      </c>
      <c r="Q3020">
        <v>0</v>
      </c>
      <c r="R3020">
        <v>0.98798968966364598</v>
      </c>
      <c r="S3020" t="s">
        <v>7760</v>
      </c>
      <c r="T3020" t="s">
        <v>9478</v>
      </c>
      <c r="U3020" t="s">
        <v>9478</v>
      </c>
      <c r="V3020" t="s">
        <v>9478</v>
      </c>
      <c r="W3020">
        <v>8</v>
      </c>
      <c r="X3020" t="s">
        <v>12498</v>
      </c>
      <c r="Y3020">
        <v>0.70159230030756725</v>
      </c>
      <c r="Z3020" t="str">
        <f>HYPERLINK("Melting_Curves/meltCurve_sp_Q96QC0_PP1RA_HUMAN_.pdf", "Melting_Curves/meltCurve_sp_Q96QC0_PP1RA_HUMAN_.pdf")</f>
        <v>Melting_Curves/meltCurve_sp_Q96QC0_PP1RA_HUMAN_.pdf</v>
      </c>
      <c r="AA3020" t="s">
        <v>17187</v>
      </c>
      <c r="AB3020" t="s">
        <v>21854</v>
      </c>
    </row>
    <row r="3021" spans="1:28" x14ac:dyDescent="0.25">
      <c r="A3021" t="s">
        <v>3025</v>
      </c>
      <c r="B3021">
        <v>0.99904790336628502</v>
      </c>
      <c r="C3021">
        <v>0.98395444181912195</v>
      </c>
      <c r="D3021">
        <v>1.02266851385779</v>
      </c>
      <c r="E3021">
        <v>0.88419114275376698</v>
      </c>
      <c r="F3021">
        <v>0.44623855466957502</v>
      </c>
      <c r="G3021">
        <v>0.13599325359956699</v>
      </c>
      <c r="H3021">
        <v>6.7101564431951297E-2</v>
      </c>
      <c r="I3021">
        <v>3.9114298532388E-2</v>
      </c>
      <c r="J3021">
        <v>2.82100893063102E-2</v>
      </c>
      <c r="K3021">
        <v>2.3372196673554401E-2</v>
      </c>
      <c r="L3021">
        <v>1829.20952734343</v>
      </c>
      <c r="M3021">
        <v>34.755983655559298</v>
      </c>
      <c r="N3021">
        <v>52.764212044301999</v>
      </c>
      <c r="O3021">
        <v>52.456742079256898</v>
      </c>
      <c r="P3021">
        <v>-0.15863718858106901</v>
      </c>
      <c r="Q3021">
        <v>4.2287520329500498E-2</v>
      </c>
      <c r="R3021">
        <v>0.99811622069539996</v>
      </c>
      <c r="S3021" t="s">
        <v>7761</v>
      </c>
      <c r="T3021" t="s">
        <v>9478</v>
      </c>
      <c r="U3021" t="s">
        <v>9478</v>
      </c>
      <c r="V3021" t="s">
        <v>9478</v>
      </c>
      <c r="W3021">
        <v>26</v>
      </c>
      <c r="X3021" t="s">
        <v>12499</v>
      </c>
      <c r="Y3021">
        <v>0.45009973166739869</v>
      </c>
      <c r="Z3021" t="str">
        <f>HYPERLINK("Melting_Curves/meltCurve_sp_Q96QK1_VPS35_HUMAN_.pdf", "Melting_Curves/meltCurve_sp_Q96QK1_VPS35_HUMAN_.pdf")</f>
        <v>Melting_Curves/meltCurve_sp_Q96QK1_VPS35_HUMAN_.pdf</v>
      </c>
      <c r="AA3021" t="s">
        <v>17188</v>
      </c>
      <c r="AB3021" t="s">
        <v>21855</v>
      </c>
    </row>
    <row r="3022" spans="1:28" x14ac:dyDescent="0.25">
      <c r="A3022" t="s">
        <v>3026</v>
      </c>
      <c r="B3022">
        <v>0.99904790336628502</v>
      </c>
      <c r="C3022">
        <v>1.0322612115295799</v>
      </c>
      <c r="D3022">
        <v>1.13911479287596</v>
      </c>
      <c r="E3022">
        <v>1.1018112079797899</v>
      </c>
      <c r="F3022">
        <v>1.0480338487546099</v>
      </c>
      <c r="G3022">
        <v>0.82863736949218703</v>
      </c>
      <c r="H3022">
        <v>0.72260808091158901</v>
      </c>
      <c r="I3022">
        <v>0.68101855384314602</v>
      </c>
      <c r="J3022">
        <v>0.55383693196184003</v>
      </c>
      <c r="K3022">
        <v>0.231560037643876</v>
      </c>
      <c r="L3022">
        <v>971.85369265692805</v>
      </c>
      <c r="M3022">
        <v>14.642791482071701</v>
      </c>
      <c r="N3022">
        <v>66.370772509803601</v>
      </c>
      <c r="O3022">
        <v>65.169769117188295</v>
      </c>
      <c r="P3022">
        <v>-5.6177954408990399E-2</v>
      </c>
      <c r="Q3022">
        <v>0</v>
      </c>
      <c r="R3022">
        <v>0.91043062471414604</v>
      </c>
      <c r="S3022" t="s">
        <v>7762</v>
      </c>
      <c r="T3022" t="s">
        <v>9478</v>
      </c>
      <c r="U3022" t="s">
        <v>9478</v>
      </c>
      <c r="V3022" t="s">
        <v>9478</v>
      </c>
      <c r="W3022">
        <v>6</v>
      </c>
      <c r="X3022" t="s">
        <v>12500</v>
      </c>
      <c r="Y3022">
        <v>0.83736084514745568</v>
      </c>
      <c r="Z3022" t="str">
        <f>HYPERLINK("Melting_Curves/meltCurve_sp_Q96QR8_PURB_HUMAN_.pdf", "Melting_Curves/meltCurve_sp_Q96QR8_PURB_HUMAN_.pdf")</f>
        <v>Melting_Curves/meltCurve_sp_Q96QR8_PURB_HUMAN_.pdf</v>
      </c>
      <c r="AA3022" t="s">
        <v>17189</v>
      </c>
      <c r="AB3022" t="s">
        <v>21856</v>
      </c>
    </row>
    <row r="3023" spans="1:28" x14ac:dyDescent="0.25">
      <c r="A3023" t="s">
        <v>3027</v>
      </c>
      <c r="B3023">
        <v>0.99904790336628502</v>
      </c>
      <c r="C3023">
        <v>0.81892320059122103</v>
      </c>
      <c r="D3023">
        <v>0.90752969408044104</v>
      </c>
      <c r="E3023">
        <v>0.54278349350543897</v>
      </c>
      <c r="F3023">
        <v>0.33815959674361801</v>
      </c>
      <c r="G3023">
        <v>0.20943368708068499</v>
      </c>
      <c r="H3023">
        <v>0.152047947617999</v>
      </c>
      <c r="I3023">
        <v>0.12350669463261101</v>
      </c>
      <c r="J3023">
        <v>0.123173823487512</v>
      </c>
      <c r="K3023">
        <v>0.108074833926755</v>
      </c>
      <c r="L3023">
        <v>834.72308691385103</v>
      </c>
      <c r="M3023">
        <v>16.694771427476802</v>
      </c>
      <c r="N3023">
        <v>50.706282177425201</v>
      </c>
      <c r="O3023">
        <v>49.298212094867701</v>
      </c>
      <c r="P3023">
        <v>-7.5874041621731406E-2</v>
      </c>
      <c r="Q3023">
        <v>0.10386161450605801</v>
      </c>
      <c r="R3023">
        <v>0.97985854047749199</v>
      </c>
      <c r="S3023" t="s">
        <v>7763</v>
      </c>
      <c r="T3023" t="s">
        <v>9478</v>
      </c>
      <c r="U3023" t="s">
        <v>9478</v>
      </c>
      <c r="V3023" t="s">
        <v>9478</v>
      </c>
      <c r="W3023">
        <v>3</v>
      </c>
      <c r="X3023" t="s">
        <v>12501</v>
      </c>
      <c r="Y3023">
        <v>0.42014734194815712</v>
      </c>
      <c r="Z3023" t="str">
        <f>HYPERLINK("Melting_Curves/meltCurve_sp_Q96QU8_XPO6_HUMAN_.pdf", "Melting_Curves/meltCurve_sp_Q96QU8_XPO6_HUMAN_.pdf")</f>
        <v>Melting_Curves/meltCurve_sp_Q96QU8_XPO6_HUMAN_.pdf</v>
      </c>
      <c r="AA3023" t="s">
        <v>17190</v>
      </c>
      <c r="AB3023" t="s">
        <v>21857</v>
      </c>
    </row>
    <row r="3024" spans="1:28" x14ac:dyDescent="0.25">
      <c r="A3024" t="s">
        <v>3028</v>
      </c>
      <c r="B3024">
        <v>0.99904790336628502</v>
      </c>
      <c r="C3024">
        <v>1.01566690245278</v>
      </c>
      <c r="D3024">
        <v>1.01042547492011</v>
      </c>
      <c r="E3024">
        <v>0.94285658209332301</v>
      </c>
      <c r="F3024">
        <v>0.90740735307790799</v>
      </c>
      <c r="G3024">
        <v>0.61207649121084995</v>
      </c>
      <c r="H3024">
        <v>0.40409807253334401</v>
      </c>
      <c r="I3024">
        <v>0.32042171526551999</v>
      </c>
      <c r="J3024">
        <v>0.31006660269549202</v>
      </c>
      <c r="K3024">
        <v>0.27240322160153801</v>
      </c>
      <c r="L3024">
        <v>1334.53698273795</v>
      </c>
      <c r="M3024">
        <v>23.496691299601</v>
      </c>
      <c r="N3024">
        <v>58.8133879493313</v>
      </c>
      <c r="O3024">
        <v>56.390210243709099</v>
      </c>
      <c r="P3024">
        <v>-7.5357857003294601E-2</v>
      </c>
      <c r="Q3024">
        <v>0.27660080248348301</v>
      </c>
      <c r="R3024">
        <v>0.99765988257859595</v>
      </c>
      <c r="S3024" t="s">
        <v>7764</v>
      </c>
      <c r="T3024" t="s">
        <v>9478</v>
      </c>
      <c r="U3024" t="s">
        <v>9478</v>
      </c>
      <c r="V3024" t="s">
        <v>9478</v>
      </c>
      <c r="W3024">
        <v>13</v>
      </c>
      <c r="X3024" t="s">
        <v>12502</v>
      </c>
      <c r="Y3024">
        <v>0.6888277429161066</v>
      </c>
      <c r="Z3024" t="str">
        <f>HYPERLINK("Melting_Curves/meltCurve_sp_Q96QZ7_3_MAGI1_HUMAN_.pdf", "Melting_Curves/meltCurve_sp_Q96QZ7_3_MAGI1_HUMAN_.pdf")</f>
        <v>Melting_Curves/meltCurve_sp_Q96QZ7_3_MAGI1_HUMAN_.pdf</v>
      </c>
      <c r="AA3024" t="s">
        <v>17191</v>
      </c>
      <c r="AB3024" t="s">
        <v>21858</v>
      </c>
    </row>
    <row r="3025" spans="1:28" x14ac:dyDescent="0.25">
      <c r="A3025" t="s">
        <v>3029</v>
      </c>
      <c r="B3025">
        <v>0.99904790336628502</v>
      </c>
      <c r="C3025">
        <v>1.2614803648898201</v>
      </c>
      <c r="D3025">
        <v>1.4484601999220099</v>
      </c>
      <c r="E3025">
        <v>0.96581027506667705</v>
      </c>
      <c r="F3025">
        <v>1.1815442498316699</v>
      </c>
      <c r="G3025">
        <v>0.54641012213663998</v>
      </c>
      <c r="H3025">
        <v>0.31672569949159601</v>
      </c>
      <c r="I3025">
        <v>0.295709831890691</v>
      </c>
      <c r="J3025">
        <v>0.10864102524696601</v>
      </c>
      <c r="K3025">
        <v>0.155962771517797</v>
      </c>
      <c r="L3025">
        <v>8140.5573249706304</v>
      </c>
      <c r="M3025">
        <v>143.14326696186001</v>
      </c>
      <c r="N3025">
        <v>57.100209625565803</v>
      </c>
      <c r="O3025">
        <v>56.858899690958197</v>
      </c>
      <c r="P3025">
        <v>-0.49139370445022801</v>
      </c>
      <c r="Q3025">
        <v>0.21924081759483799</v>
      </c>
      <c r="R3025">
        <v>0.85030351911792401</v>
      </c>
      <c r="S3025" t="s">
        <v>7765</v>
      </c>
      <c r="T3025" t="s">
        <v>9478</v>
      </c>
      <c r="U3025" t="s">
        <v>9478</v>
      </c>
      <c r="V3025" t="s">
        <v>9478</v>
      </c>
      <c r="W3025">
        <v>2</v>
      </c>
      <c r="X3025" t="s">
        <v>12503</v>
      </c>
      <c r="Y3025">
        <v>0.65852548098927566</v>
      </c>
      <c r="Z3025" t="str">
        <f>HYPERLINK("Melting_Curves/meltCurve_sp_Q96R06_SPAG5_HUMAN_.pdf", "Melting_Curves/meltCurve_sp_Q96R06_SPAG5_HUMAN_.pdf")</f>
        <v>Melting_Curves/meltCurve_sp_Q96R06_SPAG5_HUMAN_.pdf</v>
      </c>
      <c r="AA3025" t="s">
        <v>17192</v>
      </c>
      <c r="AB3025" t="s">
        <v>21859</v>
      </c>
    </row>
    <row r="3026" spans="1:28" x14ac:dyDescent="0.25">
      <c r="A3026" t="s">
        <v>3030</v>
      </c>
      <c r="B3026">
        <v>0.99904790336628502</v>
      </c>
      <c r="C3026">
        <v>1.0939363315675401</v>
      </c>
      <c r="D3026">
        <v>1.0035317039618601</v>
      </c>
      <c r="E3026">
        <v>0.926185870252488</v>
      </c>
      <c r="F3026">
        <v>0.77948588368722904</v>
      </c>
      <c r="G3026">
        <v>0.57468005694976798</v>
      </c>
      <c r="H3026">
        <v>0.41187937039927902</v>
      </c>
      <c r="I3026">
        <v>0.31729240189610802</v>
      </c>
      <c r="J3026">
        <v>0.28649187268288201</v>
      </c>
      <c r="K3026">
        <v>0.194923688835029</v>
      </c>
      <c r="L3026">
        <v>873.08245064869698</v>
      </c>
      <c r="M3026">
        <v>15.3526966774439</v>
      </c>
      <c r="N3026">
        <v>58.6471218648364</v>
      </c>
      <c r="O3026">
        <v>55.929705787917499</v>
      </c>
      <c r="P3026">
        <v>-5.5856509024472499E-2</v>
      </c>
      <c r="Q3026">
        <v>0.186136457191341</v>
      </c>
      <c r="R3026">
        <v>0.98722276917191298</v>
      </c>
      <c r="S3026" t="s">
        <v>7766</v>
      </c>
      <c r="T3026" t="s">
        <v>9478</v>
      </c>
      <c r="U3026" t="s">
        <v>9478</v>
      </c>
      <c r="V3026" t="s">
        <v>9478</v>
      </c>
      <c r="W3026">
        <v>2</v>
      </c>
      <c r="X3026" t="s">
        <v>12504</v>
      </c>
      <c r="Y3026">
        <v>0.65666232513477751</v>
      </c>
      <c r="Z3026" t="str">
        <f>HYPERLINK("Melting_Curves/meltCurve_sp_Q96RE7_NACC1_HUMAN_.pdf", "Melting_Curves/meltCurve_sp_Q96RE7_NACC1_HUMAN_.pdf")</f>
        <v>Melting_Curves/meltCurve_sp_Q96RE7_NACC1_HUMAN_.pdf</v>
      </c>
      <c r="AA3026" t="s">
        <v>17193</v>
      </c>
      <c r="AB3026" t="s">
        <v>21860</v>
      </c>
    </row>
    <row r="3027" spans="1:28" x14ac:dyDescent="0.25">
      <c r="A3027" t="s">
        <v>3031</v>
      </c>
      <c r="B3027">
        <v>0.99904790336628502</v>
      </c>
      <c r="C3027">
        <v>1.0015899471146199</v>
      </c>
      <c r="D3027">
        <v>0.91667647661617102</v>
      </c>
      <c r="E3027">
        <v>0.82136307117524199</v>
      </c>
      <c r="F3027">
        <v>0.79220022677188595</v>
      </c>
      <c r="G3027">
        <v>0.69664466184767004</v>
      </c>
      <c r="H3027">
        <v>0.57993894118423195</v>
      </c>
      <c r="I3027">
        <v>0.58543725990379702</v>
      </c>
      <c r="J3027">
        <v>0.62009357949307498</v>
      </c>
      <c r="K3027">
        <v>0.55205779245930198</v>
      </c>
      <c r="L3027">
        <v>629.48934303906299</v>
      </c>
      <c r="M3027">
        <v>11.9197687243869</v>
      </c>
      <c r="O3027">
        <v>51.389971109409402</v>
      </c>
      <c r="P3027">
        <v>-2.6446788699495901E-2</v>
      </c>
      <c r="Q3027">
        <v>0.54403037066344095</v>
      </c>
      <c r="R3027">
        <v>0.97630573498353301</v>
      </c>
      <c r="S3027" t="s">
        <v>7767</v>
      </c>
      <c r="T3027" t="s">
        <v>9478</v>
      </c>
      <c r="U3027" t="s">
        <v>9478</v>
      </c>
      <c r="V3027" t="s">
        <v>9478</v>
      </c>
      <c r="W3027">
        <v>3</v>
      </c>
      <c r="X3027" t="s">
        <v>12505</v>
      </c>
      <c r="Y3027">
        <v>0.75201169742578777</v>
      </c>
      <c r="Z3027" t="str">
        <f>HYPERLINK("Melting_Curves/meltCurve_sp_Q96RF0_2_SNX18_HUMAN_.pdf", "Melting_Curves/meltCurve_sp_Q96RF0_2_SNX18_HUMAN_.pdf")</f>
        <v>Melting_Curves/meltCurve_sp_Q96RF0_2_SNX18_HUMAN_.pdf</v>
      </c>
      <c r="AA3027" t="s">
        <v>17194</v>
      </c>
      <c r="AB3027" t="s">
        <v>21861</v>
      </c>
    </row>
    <row r="3028" spans="1:28" x14ac:dyDescent="0.25">
      <c r="A3028" t="s">
        <v>3032</v>
      </c>
      <c r="B3028">
        <v>0.99904790336628502</v>
      </c>
      <c r="C3028">
        <v>1.0495025038850601</v>
      </c>
      <c r="D3028">
        <v>0.96977159195525398</v>
      </c>
      <c r="E3028">
        <v>1.0184178321569</v>
      </c>
      <c r="F3028">
        <v>0.72316118283110997</v>
      </c>
      <c r="G3028">
        <v>0.41703970401707702</v>
      </c>
      <c r="H3028">
        <v>0.36622899415724403</v>
      </c>
      <c r="I3028">
        <v>0.29503067855062298</v>
      </c>
      <c r="J3028">
        <v>0.26642077155444799</v>
      </c>
      <c r="K3028">
        <v>0.28482637806909999</v>
      </c>
      <c r="L3028">
        <v>1766.3229942053999</v>
      </c>
      <c r="M3028">
        <v>32.716872815635199</v>
      </c>
      <c r="N3028">
        <v>55.531642427420699</v>
      </c>
      <c r="O3028">
        <v>53.787633512722302</v>
      </c>
      <c r="P3028">
        <v>-0.106657524562765</v>
      </c>
      <c r="Q3028">
        <v>0.298609080783454</v>
      </c>
      <c r="R3028">
        <v>0.98801344106398004</v>
      </c>
      <c r="S3028" t="s">
        <v>7768</v>
      </c>
      <c r="T3028" t="s">
        <v>9478</v>
      </c>
      <c r="U3028" t="s">
        <v>9478</v>
      </c>
      <c r="V3028" t="s">
        <v>9478</v>
      </c>
      <c r="W3028">
        <v>3</v>
      </c>
      <c r="X3028" t="s">
        <v>12506</v>
      </c>
      <c r="Y3028">
        <v>0.62953903336798611</v>
      </c>
      <c r="Z3028" t="str">
        <f>HYPERLINK("Melting_Curves/meltCurve_sp_Q96RL1_UIMC1_HUMAN_.pdf", "Melting_Curves/meltCurve_sp_Q96RL1_UIMC1_HUMAN_.pdf")</f>
        <v>Melting_Curves/meltCurve_sp_Q96RL1_UIMC1_HUMAN_.pdf</v>
      </c>
      <c r="AA3028" t="s">
        <v>17195</v>
      </c>
      <c r="AB3028" t="s">
        <v>21862</v>
      </c>
    </row>
    <row r="3029" spans="1:28" x14ac:dyDescent="0.25">
      <c r="A3029" t="s">
        <v>3033</v>
      </c>
      <c r="B3029">
        <v>0.99904790336628502</v>
      </c>
      <c r="C3029">
        <v>0.98227821902390899</v>
      </c>
      <c r="D3029">
        <v>1.04822172417591</v>
      </c>
      <c r="E3029">
        <v>0.88300328897487301</v>
      </c>
      <c r="F3029">
        <v>0.86049615461399798</v>
      </c>
      <c r="G3029">
        <v>0.73398288258408395</v>
      </c>
      <c r="H3029">
        <v>0.37958686927248902</v>
      </c>
      <c r="I3029">
        <v>0.17171159529435701</v>
      </c>
      <c r="J3029">
        <v>0.12755911457825</v>
      </c>
      <c r="K3029">
        <v>7.1644882667426302E-2</v>
      </c>
      <c r="L3029">
        <v>1063.4666761783001</v>
      </c>
      <c r="M3029">
        <v>17.910448808733602</v>
      </c>
      <c r="N3029">
        <v>59.3768861362026</v>
      </c>
      <c r="O3029">
        <v>58.651515581309702</v>
      </c>
      <c r="P3029">
        <v>-7.6346490698562197E-2</v>
      </c>
      <c r="Q3029">
        <v>0</v>
      </c>
      <c r="R3029">
        <v>0.98813390659474398</v>
      </c>
      <c r="S3029" t="s">
        <v>7769</v>
      </c>
      <c r="T3029" t="s">
        <v>9478</v>
      </c>
      <c r="U3029" t="s">
        <v>9478</v>
      </c>
      <c r="V3029" t="s">
        <v>9478</v>
      </c>
      <c r="W3029">
        <v>3</v>
      </c>
      <c r="X3029" t="s">
        <v>12507</v>
      </c>
      <c r="Y3029">
        <v>0.65568252835651175</v>
      </c>
      <c r="Z3029" t="str">
        <f>HYPERLINK("Melting_Curves/meltCurve_sp_Q96RL7_4_VP13A_HUMAN_.pdf", "Melting_Curves/meltCurve_sp_Q96RL7_4_VP13A_HUMAN_.pdf")</f>
        <v>Melting_Curves/meltCurve_sp_Q96RL7_4_VP13A_HUMAN_.pdf</v>
      </c>
      <c r="AA3029" t="s">
        <v>17196</v>
      </c>
      <c r="AB3029" t="s">
        <v>21863</v>
      </c>
    </row>
    <row r="3030" spans="1:28" x14ac:dyDescent="0.25">
      <c r="A3030" t="s">
        <v>3034</v>
      </c>
      <c r="B3030">
        <v>0.99904790336628502</v>
      </c>
      <c r="C3030">
        <v>0.82148582944832205</v>
      </c>
      <c r="D3030">
        <v>0.92039691513098199</v>
      </c>
      <c r="E3030">
        <v>0.84831085831855002</v>
      </c>
      <c r="F3030">
        <v>0.65143712794047903</v>
      </c>
      <c r="G3030">
        <v>0.60881067695843205</v>
      </c>
      <c r="H3030">
        <v>0.39734103599397902</v>
      </c>
      <c r="I3030">
        <v>0.390814340748807</v>
      </c>
      <c r="J3030">
        <v>0.21151532287206101</v>
      </c>
      <c r="K3030">
        <v>0.361183420032126</v>
      </c>
      <c r="L3030">
        <v>484.07850612155198</v>
      </c>
      <c r="M3030">
        <v>8.5450495227748604</v>
      </c>
      <c r="N3030">
        <v>58.797043356400799</v>
      </c>
      <c r="O3030">
        <v>53.803365274951702</v>
      </c>
      <c r="P3030">
        <v>-3.4414424853988497E-2</v>
      </c>
      <c r="Q3030">
        <v>0.13401212279350999</v>
      </c>
      <c r="R3030">
        <v>0.93167613124258997</v>
      </c>
      <c r="S3030" t="s">
        <v>7770</v>
      </c>
      <c r="T3030" t="s">
        <v>9478</v>
      </c>
      <c r="U3030" t="s">
        <v>9478</v>
      </c>
      <c r="V3030" t="s">
        <v>9478</v>
      </c>
      <c r="W3030">
        <v>4</v>
      </c>
      <c r="X3030" t="s">
        <v>12508</v>
      </c>
      <c r="Y3030">
        <v>0.62843257417016496</v>
      </c>
      <c r="Z3030" t="str">
        <f>HYPERLINK("Melting_Curves/meltCurve_sp_Q96RN5_3_MED15_HUMAN_.pdf", "Melting_Curves/meltCurve_sp_Q96RN5_3_MED15_HUMAN_.pdf")</f>
        <v>Melting_Curves/meltCurve_sp_Q96RN5_3_MED15_HUMAN_.pdf</v>
      </c>
      <c r="AA3030" t="s">
        <v>17197</v>
      </c>
      <c r="AB3030" t="s">
        <v>21864</v>
      </c>
    </row>
    <row r="3031" spans="1:28" x14ac:dyDescent="0.25">
      <c r="A3031" t="s">
        <v>3035</v>
      </c>
      <c r="B3031">
        <v>0.99904790336628502</v>
      </c>
      <c r="C3031">
        <v>0.93421812709906904</v>
      </c>
      <c r="D3031">
        <v>0.88014613365043604</v>
      </c>
      <c r="E3031">
        <v>0.44524537838462303</v>
      </c>
      <c r="F3031">
        <v>0.11709200008998701</v>
      </c>
      <c r="G3031">
        <v>6.2497140280524999E-2</v>
      </c>
      <c r="H3031">
        <v>3.7340162849969299E-2</v>
      </c>
      <c r="I3031">
        <v>2.70420454997457E-2</v>
      </c>
      <c r="J3031">
        <v>2.45624834023048E-2</v>
      </c>
      <c r="K3031">
        <v>1.9968955103831801E-2</v>
      </c>
      <c r="L3031">
        <v>1360.66846389904</v>
      </c>
      <c r="M3031">
        <v>27.570604524941899</v>
      </c>
      <c r="N3031">
        <v>49.440435917476002</v>
      </c>
      <c r="O3031">
        <v>49.094706748436998</v>
      </c>
      <c r="P3031">
        <v>-0.137023740999941</v>
      </c>
      <c r="Q3031">
        <v>2.40216959349808E-2</v>
      </c>
      <c r="R3031">
        <v>0.99723702531671399</v>
      </c>
      <c r="S3031" t="s">
        <v>7771</v>
      </c>
      <c r="T3031" t="s">
        <v>9478</v>
      </c>
      <c r="U3031" t="s">
        <v>9478</v>
      </c>
      <c r="V3031" t="s">
        <v>9478</v>
      </c>
      <c r="W3031">
        <v>29</v>
      </c>
      <c r="X3031" t="s">
        <v>12509</v>
      </c>
      <c r="Y3031">
        <v>0.33537083445909088</v>
      </c>
      <c r="Z3031" t="str">
        <f>HYPERLINK("Melting_Curves/meltCurve_sp_Q96RP9_EFGM_HUMAN_.pdf", "Melting_Curves/meltCurve_sp_Q96RP9_EFGM_HUMAN_.pdf")</f>
        <v>Melting_Curves/meltCurve_sp_Q96RP9_EFGM_HUMAN_.pdf</v>
      </c>
      <c r="AA3031" t="s">
        <v>17198</v>
      </c>
      <c r="AB3031" t="s">
        <v>21865</v>
      </c>
    </row>
    <row r="3032" spans="1:28" x14ac:dyDescent="0.25">
      <c r="A3032" t="s">
        <v>3036</v>
      </c>
      <c r="B3032">
        <v>0.99904790336628502</v>
      </c>
      <c r="C3032">
        <v>0.97255632657131597</v>
      </c>
      <c r="D3032">
        <v>0.95036933550011504</v>
      </c>
      <c r="E3032">
        <v>0.60595414212281995</v>
      </c>
      <c r="F3032">
        <v>0.21192504685746</v>
      </c>
      <c r="G3032">
        <v>0.123998383355846</v>
      </c>
      <c r="H3032">
        <v>7.6232414215624003E-2</v>
      </c>
      <c r="I3032">
        <v>5.3374845556962799E-2</v>
      </c>
      <c r="J3032">
        <v>4.2615611473727097E-2</v>
      </c>
      <c r="K3032">
        <v>3.0231634938582299E-2</v>
      </c>
      <c r="L3032">
        <v>1548.3237344893801</v>
      </c>
      <c r="M3032">
        <v>30.674002074613501</v>
      </c>
      <c r="N3032">
        <v>50.670968177086998</v>
      </c>
      <c r="O3032">
        <v>50.263663254322303</v>
      </c>
      <c r="P3032">
        <v>-0.14410474608241899</v>
      </c>
      <c r="Q3032">
        <v>5.5462157250143397E-2</v>
      </c>
      <c r="R3032">
        <v>0.99761114519803296</v>
      </c>
      <c r="S3032" t="s">
        <v>7772</v>
      </c>
      <c r="T3032" t="s">
        <v>9478</v>
      </c>
      <c r="U3032" t="s">
        <v>9478</v>
      </c>
      <c r="V3032" t="s">
        <v>9478</v>
      </c>
      <c r="W3032">
        <v>30</v>
      </c>
      <c r="X3032" t="s">
        <v>12510</v>
      </c>
      <c r="Y3032">
        <v>0.39094833207032242</v>
      </c>
      <c r="Z3032" t="str">
        <f>HYPERLINK("Melting_Curves/meltCurve_sp_Q96RQ3_MCCA_HUMAN_.pdf", "Melting_Curves/meltCurve_sp_Q96RQ3_MCCA_HUMAN_.pdf")</f>
        <v>Melting_Curves/meltCurve_sp_Q96RQ3_MCCA_HUMAN_.pdf</v>
      </c>
      <c r="AA3032" t="s">
        <v>17199</v>
      </c>
      <c r="AB3032" t="s">
        <v>21866</v>
      </c>
    </row>
    <row r="3033" spans="1:28" x14ac:dyDescent="0.25">
      <c r="A3033" t="s">
        <v>3037</v>
      </c>
      <c r="B3033">
        <v>0.99904790336628502</v>
      </c>
      <c r="C3033">
        <v>1.0459417034910301</v>
      </c>
      <c r="D3033">
        <v>1.0634740607228299</v>
      </c>
      <c r="E3033">
        <v>1.0748106176915</v>
      </c>
      <c r="F3033">
        <v>0.88085138360964998</v>
      </c>
      <c r="G3033">
        <v>0.41022667326609502</v>
      </c>
      <c r="H3033">
        <v>0.14109149575739599</v>
      </c>
      <c r="I3033">
        <v>6.0561112744824099E-2</v>
      </c>
      <c r="J3033">
        <v>3.7006372471771597E-2</v>
      </c>
      <c r="K3033">
        <v>3.5885618642196297E-2</v>
      </c>
      <c r="L3033">
        <v>1880.2117013529601</v>
      </c>
      <c r="M3033">
        <v>33.424133697254497</v>
      </c>
      <c r="N3033">
        <v>56.411295178058801</v>
      </c>
      <c r="O3033">
        <v>56.052893913514403</v>
      </c>
      <c r="P3033">
        <v>-0.14240624266475499</v>
      </c>
      <c r="Q3033">
        <v>4.4732302773047503E-2</v>
      </c>
      <c r="R3033">
        <v>0.99239717178215803</v>
      </c>
      <c r="S3033" t="s">
        <v>7773</v>
      </c>
      <c r="T3033" t="s">
        <v>9478</v>
      </c>
      <c r="U3033" t="s">
        <v>9478</v>
      </c>
      <c r="V3033" t="s">
        <v>9478</v>
      </c>
      <c r="W3033">
        <v>5</v>
      </c>
      <c r="X3033" t="s">
        <v>12511</v>
      </c>
      <c r="Y3033">
        <v>0.56748343901221965</v>
      </c>
      <c r="Z3033" t="str">
        <f>HYPERLINK("Melting_Curves/meltCurve_sp_Q96RS6_3_NUDC1_HUMAN_.pdf", "Melting_Curves/meltCurve_sp_Q96RS6_3_NUDC1_HUMAN_.pdf")</f>
        <v>Melting_Curves/meltCurve_sp_Q96RS6_3_NUDC1_HUMAN_.pdf</v>
      </c>
      <c r="AA3033" t="s">
        <v>17200</v>
      </c>
      <c r="AB3033" t="s">
        <v>21867</v>
      </c>
    </row>
    <row r="3034" spans="1:28" x14ac:dyDescent="0.25">
      <c r="A3034" t="s">
        <v>3038</v>
      </c>
      <c r="B3034">
        <v>0.99904790336628502</v>
      </c>
      <c r="C3034">
        <v>1.01516327671986</v>
      </c>
      <c r="D3034">
        <v>0.94315677394488295</v>
      </c>
      <c r="E3034">
        <v>0.83924263829685597</v>
      </c>
      <c r="F3034">
        <v>0.73146357249216398</v>
      </c>
      <c r="G3034">
        <v>0.51474412957080495</v>
      </c>
      <c r="H3034">
        <v>0.42025694968466298</v>
      </c>
      <c r="I3034">
        <v>0.33324715645575997</v>
      </c>
      <c r="J3034">
        <v>0.378861678910205</v>
      </c>
      <c r="K3034">
        <v>0.39797495278796602</v>
      </c>
      <c r="L3034">
        <v>948.23743180871804</v>
      </c>
      <c r="M3034">
        <v>17.7023077351054</v>
      </c>
      <c r="N3034">
        <v>57.515121837280098</v>
      </c>
      <c r="O3034">
        <v>52.896225256307197</v>
      </c>
      <c r="P3034">
        <v>-5.4240751917324102E-2</v>
      </c>
      <c r="Q3034">
        <v>0.35172760204291798</v>
      </c>
      <c r="R3034">
        <v>0.99102002691714697</v>
      </c>
      <c r="S3034" t="s">
        <v>7774</v>
      </c>
      <c r="T3034" t="s">
        <v>9478</v>
      </c>
      <c r="U3034" t="s">
        <v>9478</v>
      </c>
      <c r="V3034" t="s">
        <v>9478</v>
      </c>
      <c r="W3034">
        <v>8</v>
      </c>
      <c r="X3034" t="s">
        <v>12512</v>
      </c>
      <c r="Y3034">
        <v>0.65562963989465362</v>
      </c>
      <c r="Z3034" t="str">
        <f>HYPERLINK("Melting_Curves/meltCurve_sp_Q96RT1_9_LAP2_HUMAN_.pdf", "Melting_Curves/meltCurve_sp_Q96RT1_9_LAP2_HUMAN_.pdf")</f>
        <v>Melting_Curves/meltCurve_sp_Q96RT1_9_LAP2_HUMAN_.pdf</v>
      </c>
      <c r="AA3034" t="s">
        <v>17201</v>
      </c>
      <c r="AB3034" t="s">
        <v>21868</v>
      </c>
    </row>
    <row r="3035" spans="1:28" x14ac:dyDescent="0.25">
      <c r="A3035" t="s">
        <v>3039</v>
      </c>
      <c r="B3035">
        <v>0.99904790336628502</v>
      </c>
      <c r="C3035">
        <v>0.98236645572888304</v>
      </c>
      <c r="D3035">
        <v>0.97932841325035802</v>
      </c>
      <c r="E3035">
        <v>0.78825539127220901</v>
      </c>
      <c r="F3035">
        <v>0.45225267845509398</v>
      </c>
      <c r="G3035">
        <v>0.201263462764802</v>
      </c>
      <c r="H3035">
        <v>8.5157553322717405E-2</v>
      </c>
      <c r="I3035">
        <v>0.103265584363086</v>
      </c>
      <c r="J3035">
        <v>7.4697232561055094E-2</v>
      </c>
      <c r="K3035">
        <v>0.118069892058467</v>
      </c>
      <c r="L3035">
        <v>1368.5196755069501</v>
      </c>
      <c r="M3035">
        <v>26.200830328223901</v>
      </c>
      <c r="N3035">
        <v>52.634693908949401</v>
      </c>
      <c r="O3035">
        <v>51.930498874307098</v>
      </c>
      <c r="P3035">
        <v>-0.114678026849901</v>
      </c>
      <c r="Q3035">
        <v>9.08348283744118E-2</v>
      </c>
      <c r="R3035">
        <v>0.99842090545772899</v>
      </c>
      <c r="S3035" t="s">
        <v>7775</v>
      </c>
      <c r="T3035" t="s">
        <v>9478</v>
      </c>
      <c r="U3035" t="s">
        <v>9478</v>
      </c>
      <c r="V3035" t="s">
        <v>9478</v>
      </c>
      <c r="W3035">
        <v>6</v>
      </c>
      <c r="X3035" t="s">
        <v>12513</v>
      </c>
      <c r="Y3035">
        <v>0.46912921456989548</v>
      </c>
      <c r="Z3035" t="str">
        <f>HYPERLINK("Melting_Curves/meltCurve_sp_Q96RU2_2_UBP28_HUMAN_.pdf", "Melting_Curves/meltCurve_sp_Q96RU2_2_UBP28_HUMAN_.pdf")</f>
        <v>Melting_Curves/meltCurve_sp_Q96RU2_2_UBP28_HUMAN_.pdf</v>
      </c>
      <c r="AA3035" t="s">
        <v>17202</v>
      </c>
      <c r="AB3035" t="s">
        <v>21869</v>
      </c>
    </row>
    <row r="3036" spans="1:28" x14ac:dyDescent="0.25">
      <c r="A3036" t="s">
        <v>3040</v>
      </c>
      <c r="B3036">
        <v>0.99904790336628502</v>
      </c>
      <c r="C3036">
        <v>0.99586324699530304</v>
      </c>
      <c r="D3036">
        <v>0.830979369149485</v>
      </c>
      <c r="E3036">
        <v>0.66234188994421805</v>
      </c>
      <c r="F3036">
        <v>0.45183892894060701</v>
      </c>
      <c r="G3036">
        <v>0.32463882582230102</v>
      </c>
      <c r="H3036">
        <v>0.24973826079929001</v>
      </c>
      <c r="I3036">
        <v>0.24103689084212801</v>
      </c>
      <c r="J3036">
        <v>0.23869194279825301</v>
      </c>
      <c r="K3036">
        <v>0.21896245042413801</v>
      </c>
      <c r="L3036">
        <v>827.83671108150997</v>
      </c>
      <c r="M3036">
        <v>16.392358081741602</v>
      </c>
      <c r="N3036">
        <v>52.2981391167922</v>
      </c>
      <c r="O3036">
        <v>49.7677605704502</v>
      </c>
      <c r="P3036">
        <v>-6.4620045085830899E-2</v>
      </c>
      <c r="Q3036">
        <v>0.21530140805753401</v>
      </c>
      <c r="R3036">
        <v>0.99603200421891203</v>
      </c>
      <c r="S3036" t="s">
        <v>7776</v>
      </c>
      <c r="T3036" t="s">
        <v>9478</v>
      </c>
      <c r="U3036" t="s">
        <v>9478</v>
      </c>
      <c r="V3036" t="s">
        <v>9478</v>
      </c>
      <c r="W3036">
        <v>6</v>
      </c>
      <c r="X3036" t="s">
        <v>12514</v>
      </c>
      <c r="Y3036">
        <v>0.50574874242531798</v>
      </c>
      <c r="Z3036" t="str">
        <f>HYPERLINK("Melting_Curves/meltCurve_sp_Q96RU3_4_FNBP1_HUMAN_.pdf", "Melting_Curves/meltCurve_sp_Q96RU3_4_FNBP1_HUMAN_.pdf")</f>
        <v>Melting_Curves/meltCurve_sp_Q96RU3_4_FNBP1_HUMAN_.pdf</v>
      </c>
      <c r="AA3036" t="s">
        <v>17203</v>
      </c>
      <c r="AB3036" t="s">
        <v>21870</v>
      </c>
    </row>
    <row r="3037" spans="1:28" x14ac:dyDescent="0.25">
      <c r="A3037" t="s">
        <v>3041</v>
      </c>
      <c r="B3037">
        <v>0.99904790336628502</v>
      </c>
      <c r="C3037">
        <v>0.99229363121793202</v>
      </c>
      <c r="D3037">
        <v>1.0156629788282501</v>
      </c>
      <c r="E3037">
        <v>1.00961579326177</v>
      </c>
      <c r="F3037">
        <v>1.0037302594823401</v>
      </c>
      <c r="G3037">
        <v>0.80537134680729405</v>
      </c>
      <c r="H3037">
        <v>0.732102162679238</v>
      </c>
      <c r="I3037">
        <v>0.787920222482553</v>
      </c>
      <c r="J3037">
        <v>0.73853678165890202</v>
      </c>
      <c r="K3037">
        <v>0.53228895083013295</v>
      </c>
      <c r="L3037">
        <v>526.97257500614705</v>
      </c>
      <c r="M3037">
        <v>7.1952530068041503</v>
      </c>
      <c r="O3037">
        <v>68.215604981909294</v>
      </c>
      <c r="P3037">
        <v>-2.6413715929863298E-2</v>
      </c>
      <c r="Q3037">
        <v>0</v>
      </c>
      <c r="R3037">
        <v>0.87968606636767999</v>
      </c>
      <c r="S3037" t="s">
        <v>7777</v>
      </c>
      <c r="T3037" t="s">
        <v>9478</v>
      </c>
      <c r="U3037" t="s">
        <v>9478</v>
      </c>
      <c r="V3037" t="s">
        <v>9478</v>
      </c>
      <c r="W3037">
        <v>1</v>
      </c>
      <c r="X3037" t="s">
        <v>12515</v>
      </c>
      <c r="Y3037">
        <v>0.86918412021827718</v>
      </c>
      <c r="Z3037" t="str">
        <f>HYPERLINK("Melting_Curves/meltCurve_sp_Q96RW7_2_HMCN1_HUMAN_.pdf", "Melting_Curves/meltCurve_sp_Q96RW7_2_HMCN1_HUMAN_.pdf")</f>
        <v>Melting_Curves/meltCurve_sp_Q96RW7_2_HMCN1_HUMAN_.pdf</v>
      </c>
      <c r="AA3037" t="s">
        <v>17204</v>
      </c>
      <c r="AB3037" t="s">
        <v>21871</v>
      </c>
    </row>
    <row r="3038" spans="1:28" x14ac:dyDescent="0.25">
      <c r="A3038" t="s">
        <v>3042</v>
      </c>
      <c r="B3038">
        <v>0.99904790336628502</v>
      </c>
      <c r="C3038">
        <v>0.99058651035629897</v>
      </c>
      <c r="D3038">
        <v>0.870129191230119</v>
      </c>
      <c r="E3038">
        <v>0.68048349272791098</v>
      </c>
      <c r="F3038">
        <v>0.171175067728949</v>
      </c>
      <c r="G3038">
        <v>7.7242825546202307E-2</v>
      </c>
      <c r="H3038">
        <v>3.4096012130421197E-2</v>
      </c>
      <c r="I3038">
        <v>2.3355984719061099E-2</v>
      </c>
      <c r="J3038">
        <v>1.8788388588162001E-2</v>
      </c>
      <c r="K3038">
        <v>1.94211593964927E-2</v>
      </c>
      <c r="L3038">
        <v>1832.94142642376</v>
      </c>
      <c r="M3038">
        <v>36.076944549892701</v>
      </c>
      <c r="N3038">
        <v>50.882308994539599</v>
      </c>
      <c r="O3038">
        <v>50.651106875406299</v>
      </c>
      <c r="P3038">
        <v>-0.17340495062455799</v>
      </c>
      <c r="Q3038">
        <v>2.6178689971690199E-2</v>
      </c>
      <c r="R3038">
        <v>0.99137953561516601</v>
      </c>
      <c r="S3038" t="s">
        <v>7778</v>
      </c>
      <c r="T3038" t="s">
        <v>9478</v>
      </c>
      <c r="U3038" t="s">
        <v>9478</v>
      </c>
      <c r="V3038" t="s">
        <v>9478</v>
      </c>
      <c r="W3038">
        <v>3</v>
      </c>
      <c r="X3038" t="s">
        <v>12516</v>
      </c>
      <c r="Y3038">
        <v>0.38117452583687822</v>
      </c>
      <c r="Z3038" t="str">
        <f>HYPERLINK("Melting_Curves/meltCurve_sp_Q96S19_CP013_HUMAN_.pdf", "Melting_Curves/meltCurve_sp_Q96S19_CP013_HUMAN_.pdf")</f>
        <v>Melting_Curves/meltCurve_sp_Q96S19_CP013_HUMAN_.pdf</v>
      </c>
      <c r="AA3038" t="s">
        <v>17205</v>
      </c>
      <c r="AB3038" t="s">
        <v>21872</v>
      </c>
    </row>
    <row r="3039" spans="1:28" x14ac:dyDescent="0.25">
      <c r="A3039" t="s">
        <v>3043</v>
      </c>
      <c r="B3039">
        <v>0.99904790336628502</v>
      </c>
      <c r="C3039">
        <v>0.92984782812014899</v>
      </c>
      <c r="D3039">
        <v>0.93089693575399901</v>
      </c>
      <c r="E3039">
        <v>0.57100676756986002</v>
      </c>
      <c r="F3039">
        <v>0.179940499317574</v>
      </c>
      <c r="G3039">
        <v>8.0127884225437804E-2</v>
      </c>
      <c r="H3039">
        <v>4.2779540460671998E-2</v>
      </c>
      <c r="I3039">
        <v>3.6783267680598801E-2</v>
      </c>
      <c r="J3039">
        <v>3.33654910305494E-2</v>
      </c>
      <c r="K3039">
        <v>2.2402636120182302E-2</v>
      </c>
      <c r="L3039">
        <v>1506.8814087067401</v>
      </c>
      <c r="M3039">
        <v>29.977525870181601</v>
      </c>
      <c r="N3039">
        <v>50.383454408319601</v>
      </c>
      <c r="O3039">
        <v>50.044956097770601</v>
      </c>
      <c r="P3039">
        <v>-0.14474319528240601</v>
      </c>
      <c r="Q3039">
        <v>3.3460325271022898E-2</v>
      </c>
      <c r="R3039">
        <v>0.996545457074132</v>
      </c>
      <c r="S3039" t="s">
        <v>7779</v>
      </c>
      <c r="T3039" t="s">
        <v>9478</v>
      </c>
      <c r="U3039" t="s">
        <v>9478</v>
      </c>
      <c r="V3039" t="s">
        <v>9478</v>
      </c>
      <c r="W3039">
        <v>4</v>
      </c>
      <c r="X3039" t="s">
        <v>12517</v>
      </c>
      <c r="Y3039">
        <v>0.37025696537346958</v>
      </c>
      <c r="Z3039" t="str">
        <f>HYPERLINK("Melting_Curves/meltCurve_sp_Q96S44_PRPK_HUMAN_.pdf", "Melting_Curves/meltCurve_sp_Q96S44_PRPK_HUMAN_.pdf")</f>
        <v>Melting_Curves/meltCurve_sp_Q96S44_PRPK_HUMAN_.pdf</v>
      </c>
      <c r="AA3039" t="s">
        <v>17206</v>
      </c>
      <c r="AB3039" t="s">
        <v>21873</v>
      </c>
    </row>
    <row r="3040" spans="1:28" x14ac:dyDescent="0.25">
      <c r="A3040" t="s">
        <v>3044</v>
      </c>
      <c r="B3040">
        <v>0.99904790336628502</v>
      </c>
      <c r="C3040">
        <v>0.790063087549153</v>
      </c>
      <c r="D3040">
        <v>0.73449793039386102</v>
      </c>
      <c r="E3040">
        <v>0.56620074639551199</v>
      </c>
      <c r="F3040">
        <v>0.72223536850020398</v>
      </c>
      <c r="G3040">
        <v>0.52599654854182498</v>
      </c>
      <c r="H3040">
        <v>0.51054862977073601</v>
      </c>
      <c r="I3040">
        <v>0.53668505495211605</v>
      </c>
      <c r="J3040">
        <v>0.54798408942712695</v>
      </c>
      <c r="K3040">
        <v>0.64933341409371603</v>
      </c>
      <c r="L3040">
        <v>798.59908863104295</v>
      </c>
      <c r="M3040">
        <v>18.086755938410299</v>
      </c>
      <c r="O3040">
        <v>43.624662687478001</v>
      </c>
      <c r="P3040">
        <v>-4.4639618451955201E-2</v>
      </c>
      <c r="Q3040">
        <v>0.56934365478264004</v>
      </c>
      <c r="R3040">
        <v>0.81339361121329101</v>
      </c>
      <c r="S3040" t="s">
        <v>7780</v>
      </c>
      <c r="T3040" t="s">
        <v>9478</v>
      </c>
      <c r="U3040" t="s">
        <v>9478</v>
      </c>
      <c r="V3040" t="s">
        <v>9478</v>
      </c>
      <c r="W3040">
        <v>1</v>
      </c>
      <c r="X3040" t="s">
        <v>12518</v>
      </c>
      <c r="Y3040">
        <v>0.63923028497110024</v>
      </c>
      <c r="Z3040" t="str">
        <f>HYPERLINK("Melting_Curves/meltCurve_sp_Q96S55_2_WRIP1_HUMAN_.pdf", "Melting_Curves/meltCurve_sp_Q96S55_2_WRIP1_HUMAN_.pdf")</f>
        <v>Melting_Curves/meltCurve_sp_Q96S55_2_WRIP1_HUMAN_.pdf</v>
      </c>
      <c r="AA3040" t="s">
        <v>17207</v>
      </c>
      <c r="AB3040" t="s">
        <v>21874</v>
      </c>
    </row>
    <row r="3041" spans="1:28" x14ac:dyDescent="0.25">
      <c r="A3041" t="s">
        <v>3045</v>
      </c>
      <c r="B3041">
        <v>0.99904790336628502</v>
      </c>
      <c r="C3041">
        <v>1.16719366603609</v>
      </c>
      <c r="D3041">
        <v>1.20883183764276</v>
      </c>
      <c r="E3041">
        <v>1.223252224768</v>
      </c>
      <c r="F3041">
        <v>1.28123639823798</v>
      </c>
      <c r="G3041">
        <v>1.0258882301071499</v>
      </c>
      <c r="H3041">
        <v>0.24192377009214699</v>
      </c>
      <c r="I3041">
        <v>0.157014422851466</v>
      </c>
      <c r="J3041">
        <v>0.156251067803475</v>
      </c>
      <c r="K3041">
        <v>0.15665269342737101</v>
      </c>
      <c r="L3041">
        <v>15000</v>
      </c>
      <c r="M3041">
        <v>248.08642697622099</v>
      </c>
      <c r="N3041">
        <v>60.554534241106701</v>
      </c>
      <c r="O3041">
        <v>60.458870740748502</v>
      </c>
      <c r="P3041">
        <v>-0.86516006623130504</v>
      </c>
      <c r="Q3041">
        <v>0.156639059375517</v>
      </c>
      <c r="R3041">
        <v>0.914098820194858</v>
      </c>
      <c r="S3041" t="s">
        <v>7781</v>
      </c>
      <c r="T3041" t="s">
        <v>9478</v>
      </c>
      <c r="U3041" t="s">
        <v>9478</v>
      </c>
      <c r="V3041" t="s">
        <v>9478</v>
      </c>
      <c r="W3041">
        <v>3</v>
      </c>
      <c r="X3041" t="s">
        <v>12519</v>
      </c>
      <c r="Y3041">
        <v>0.73198080891766659</v>
      </c>
      <c r="Z3041" t="str">
        <f>HYPERLINK("Melting_Curves/meltCurve_sp_Q96S66_4_CLCC1_HUMAN_.pdf", "Melting_Curves/meltCurve_sp_Q96S66_4_CLCC1_HUMAN_.pdf")</f>
        <v>Melting_Curves/meltCurve_sp_Q96S66_4_CLCC1_HUMAN_.pdf</v>
      </c>
      <c r="AA3041" t="s">
        <v>17208</v>
      </c>
      <c r="AB3041" t="s">
        <v>21875</v>
      </c>
    </row>
    <row r="3042" spans="1:28" x14ac:dyDescent="0.25">
      <c r="A3042" t="s">
        <v>3046</v>
      </c>
      <c r="B3042">
        <v>0.99904790336628502</v>
      </c>
      <c r="C3042">
        <v>1.2780269974601099</v>
      </c>
      <c r="D3042">
        <v>0.78784510165903399</v>
      </c>
      <c r="E3042">
        <v>0.68531987252654802</v>
      </c>
      <c r="F3042">
        <v>0.462129775724826</v>
      </c>
      <c r="G3042">
        <v>4.8915641958185103E-2</v>
      </c>
      <c r="H3042">
        <v>8.6445040153903002E-2</v>
      </c>
      <c r="I3042">
        <v>8.2950634828457895E-2</v>
      </c>
      <c r="J3042">
        <v>0.19876935420814901</v>
      </c>
      <c r="K3042">
        <v>0.114995673448695</v>
      </c>
      <c r="L3042">
        <v>1212.58585677315</v>
      </c>
      <c r="M3042">
        <v>23.623758088422601</v>
      </c>
      <c r="N3042">
        <v>51.790802873603603</v>
      </c>
      <c r="O3042">
        <v>50.965519150657101</v>
      </c>
      <c r="P3042">
        <v>-0.104879457528567</v>
      </c>
      <c r="Q3042">
        <v>9.4954096293238005E-2</v>
      </c>
      <c r="R3042">
        <v>0.92026698858641598</v>
      </c>
      <c r="S3042" t="s">
        <v>7782</v>
      </c>
      <c r="T3042" t="s">
        <v>9478</v>
      </c>
      <c r="U3042" t="s">
        <v>9478</v>
      </c>
      <c r="V3042" t="s">
        <v>9478</v>
      </c>
      <c r="W3042">
        <v>3</v>
      </c>
      <c r="X3042" t="s">
        <v>12520</v>
      </c>
      <c r="Y3042">
        <v>0.44589195157311351</v>
      </c>
      <c r="Z3042" t="str">
        <f>HYPERLINK("Melting_Curves/meltCurve_sp_Q96S99_PKHF1_HUMAN_.pdf", "Melting_Curves/meltCurve_sp_Q96S99_PKHF1_HUMAN_.pdf")</f>
        <v>Melting_Curves/meltCurve_sp_Q96S99_PKHF1_HUMAN_.pdf</v>
      </c>
      <c r="AA3042" t="s">
        <v>17209</v>
      </c>
      <c r="AB3042" t="s">
        <v>21876</v>
      </c>
    </row>
    <row r="3043" spans="1:28" x14ac:dyDescent="0.25">
      <c r="A3043" t="s">
        <v>3047</v>
      </c>
      <c r="B3043">
        <v>0.99904790336628502</v>
      </c>
      <c r="C3043">
        <v>1.0729257075031799</v>
      </c>
      <c r="D3043">
        <v>1.0756075101378999</v>
      </c>
      <c r="E3043">
        <v>0.95532394631075002</v>
      </c>
      <c r="F3043">
        <v>0.91861722660979805</v>
      </c>
      <c r="G3043">
        <v>0.68019992815577901</v>
      </c>
      <c r="H3043">
        <v>0.60474098516269403</v>
      </c>
      <c r="I3043">
        <v>0.59787539442637505</v>
      </c>
      <c r="J3043">
        <v>0.70855420057379204</v>
      </c>
      <c r="K3043">
        <v>0.67924122895054995</v>
      </c>
      <c r="L3043">
        <v>2560.1534522848301</v>
      </c>
      <c r="M3043">
        <v>47.179388992195499</v>
      </c>
      <c r="O3043">
        <v>54.1670116945308</v>
      </c>
      <c r="P3043">
        <v>-7.6820494720634305E-2</v>
      </c>
      <c r="Q3043">
        <v>0.64720762534958298</v>
      </c>
      <c r="R3043">
        <v>0.93521969892381396</v>
      </c>
      <c r="S3043" t="s">
        <v>7783</v>
      </c>
      <c r="T3043" t="s">
        <v>9478</v>
      </c>
      <c r="U3043" t="s">
        <v>9478</v>
      </c>
      <c r="V3043" t="s">
        <v>9478</v>
      </c>
      <c r="W3043">
        <v>4</v>
      </c>
      <c r="X3043" t="s">
        <v>12521</v>
      </c>
      <c r="Y3043">
        <v>0.8158999122747983</v>
      </c>
      <c r="Z3043" t="str">
        <f>HYPERLINK("Melting_Curves/meltCurve_sp_Q96SB3_NEB2_HUMAN_.pdf", "Melting_Curves/meltCurve_sp_Q96SB3_NEB2_HUMAN_.pdf")</f>
        <v>Melting_Curves/meltCurve_sp_Q96SB3_NEB2_HUMAN_.pdf</v>
      </c>
      <c r="AA3043" t="s">
        <v>17210</v>
      </c>
      <c r="AB3043" t="s">
        <v>21877</v>
      </c>
    </row>
    <row r="3044" spans="1:28" x14ac:dyDescent="0.25">
      <c r="A3044" t="s">
        <v>3048</v>
      </c>
      <c r="B3044">
        <v>0.99904790336628502</v>
      </c>
      <c r="C3044">
        <v>1.0621851452930999</v>
      </c>
      <c r="D3044">
        <v>1.3668372841129099</v>
      </c>
      <c r="E3044">
        <v>1.2370237415882901</v>
      </c>
      <c r="F3044">
        <v>1.0005575738365899</v>
      </c>
      <c r="G3044">
        <v>1.0767079248165501</v>
      </c>
      <c r="H3044">
        <v>0.26553809516162502</v>
      </c>
      <c r="I3044">
        <v>0.15679309810266501</v>
      </c>
      <c r="J3044">
        <v>0.12388545431759</v>
      </c>
      <c r="K3044">
        <v>7.7973844427117203E-2</v>
      </c>
      <c r="L3044">
        <v>11438.5661068359</v>
      </c>
      <c r="M3044">
        <v>189.132894078672</v>
      </c>
      <c r="N3044">
        <v>60.566491793988199</v>
      </c>
      <c r="O3044">
        <v>60.472232834456499</v>
      </c>
      <c r="P3044">
        <v>-0.68843315287420304</v>
      </c>
      <c r="Q3044">
        <v>0.119537914546992</v>
      </c>
      <c r="R3044">
        <v>0.91426352483939299</v>
      </c>
      <c r="S3044" t="s">
        <v>7784</v>
      </c>
      <c r="T3044" t="s">
        <v>9478</v>
      </c>
      <c r="U3044" t="s">
        <v>9478</v>
      </c>
      <c r="V3044" t="s">
        <v>9478</v>
      </c>
      <c r="W3044">
        <v>2</v>
      </c>
      <c r="X3044" t="s">
        <v>12522</v>
      </c>
      <c r="Y3044">
        <v>0.72073364984226029</v>
      </c>
      <c r="Z3044" t="str">
        <f>HYPERLINK("Melting_Curves/meltCurve_sp_Q96SI9_2_STRBP_HUMAN_.pdf", "Melting_Curves/meltCurve_sp_Q96SI9_2_STRBP_HUMAN_.pdf")</f>
        <v>Melting_Curves/meltCurve_sp_Q96SI9_2_STRBP_HUMAN_.pdf</v>
      </c>
      <c r="AA3044" t="s">
        <v>17211</v>
      </c>
      <c r="AB3044" t="s">
        <v>21878</v>
      </c>
    </row>
    <row r="3045" spans="1:28" x14ac:dyDescent="0.25">
      <c r="A3045" t="s">
        <v>3049</v>
      </c>
      <c r="B3045">
        <v>0.99904790336628502</v>
      </c>
      <c r="C3045">
        <v>1.0332267383900799</v>
      </c>
      <c r="D3045">
        <v>0.986379820885815</v>
      </c>
      <c r="E3045">
        <v>0.90626012712335802</v>
      </c>
      <c r="F3045">
        <v>0.91024773204364196</v>
      </c>
      <c r="G3045">
        <v>0.67328785640019495</v>
      </c>
      <c r="H3045">
        <v>0.59162092803157995</v>
      </c>
      <c r="I3045">
        <v>0.56283742637649403</v>
      </c>
      <c r="J3045">
        <v>0.560833758635782</v>
      </c>
      <c r="K3045">
        <v>0.55130726454442303</v>
      </c>
      <c r="L3045">
        <v>1262.1115301872201</v>
      </c>
      <c r="M3045">
        <v>22.901932737160401</v>
      </c>
      <c r="O3045">
        <v>54.694372025202703</v>
      </c>
      <c r="P3045">
        <v>-4.7443607878391997E-2</v>
      </c>
      <c r="Q3045">
        <v>0.54678952839215</v>
      </c>
      <c r="R3045">
        <v>0.98397896090592696</v>
      </c>
      <c r="S3045" t="s">
        <v>7785</v>
      </c>
      <c r="T3045" t="s">
        <v>9478</v>
      </c>
      <c r="U3045" t="s">
        <v>9478</v>
      </c>
      <c r="V3045" t="s">
        <v>9478</v>
      </c>
      <c r="W3045">
        <v>14</v>
      </c>
      <c r="X3045" t="s">
        <v>12523</v>
      </c>
      <c r="Y3045">
        <v>0.77991112670316332</v>
      </c>
      <c r="Z3045" t="str">
        <f>HYPERLINK("Melting_Curves/meltCurve_sp_Q96ST2_IWS1_HUMAN_.pdf", "Melting_Curves/meltCurve_sp_Q96ST2_IWS1_HUMAN_.pdf")</f>
        <v>Melting_Curves/meltCurve_sp_Q96ST2_IWS1_HUMAN_.pdf</v>
      </c>
      <c r="AA3045" t="s">
        <v>17212</v>
      </c>
      <c r="AB3045" t="s">
        <v>21879</v>
      </c>
    </row>
    <row r="3046" spans="1:28" x14ac:dyDescent="0.25">
      <c r="A3046" t="s">
        <v>3050</v>
      </c>
      <c r="B3046">
        <v>0.99904790336628502</v>
      </c>
      <c r="C3046">
        <v>1.02917578881574</v>
      </c>
      <c r="D3046">
        <v>0.94585981214547699</v>
      </c>
      <c r="E3046">
        <v>0.80893805633766502</v>
      </c>
      <c r="F3046">
        <v>0.59915562289608504</v>
      </c>
      <c r="G3046">
        <v>0.40673148878234</v>
      </c>
      <c r="H3046">
        <v>0.297119882958642</v>
      </c>
      <c r="I3046">
        <v>0.27086695452437898</v>
      </c>
      <c r="J3046">
        <v>0.26977670740697002</v>
      </c>
      <c r="K3046">
        <v>0.21641843516168599</v>
      </c>
      <c r="L3046">
        <v>958.88260063076302</v>
      </c>
      <c r="M3046">
        <v>18.119347072586201</v>
      </c>
      <c r="N3046">
        <v>54.826238853245499</v>
      </c>
      <c r="O3046">
        <v>52.288428772736701</v>
      </c>
      <c r="P3046">
        <v>-6.6391901266068198E-2</v>
      </c>
      <c r="Q3046">
        <v>0.23366777965652299</v>
      </c>
      <c r="R3046">
        <v>0.99696039716034801</v>
      </c>
      <c r="S3046" t="s">
        <v>7786</v>
      </c>
      <c r="T3046" t="s">
        <v>9478</v>
      </c>
      <c r="U3046" t="s">
        <v>9478</v>
      </c>
      <c r="V3046" t="s">
        <v>9478</v>
      </c>
      <c r="W3046">
        <v>7</v>
      </c>
      <c r="X3046" t="s">
        <v>12524</v>
      </c>
      <c r="Y3046">
        <v>0.57614446377093409</v>
      </c>
      <c r="Z3046" t="str">
        <f>HYPERLINK("Melting_Curves/meltCurve_sp_Q96ST3_SIN3A_HUMAN_.pdf", "Melting_Curves/meltCurve_sp_Q96ST3_SIN3A_HUMAN_.pdf")</f>
        <v>Melting_Curves/meltCurve_sp_Q96ST3_SIN3A_HUMAN_.pdf</v>
      </c>
      <c r="AA3046" t="s">
        <v>17213</v>
      </c>
      <c r="AB3046" t="s">
        <v>21880</v>
      </c>
    </row>
    <row r="3047" spans="1:28" x14ac:dyDescent="0.25">
      <c r="A3047" t="s">
        <v>3051</v>
      </c>
      <c r="B3047">
        <v>0.99904790336628502</v>
      </c>
      <c r="C3047">
        <v>1.0248421667236101</v>
      </c>
      <c r="D3047">
        <v>0.91222910405752</v>
      </c>
      <c r="E3047">
        <v>0.59654754475012794</v>
      </c>
      <c r="F3047">
        <v>0.34938302987265402</v>
      </c>
      <c r="G3047">
        <v>0.16232968249594701</v>
      </c>
      <c r="H3047">
        <v>0.10759751917181801</v>
      </c>
      <c r="I3047">
        <v>6.7380599902581703E-2</v>
      </c>
      <c r="J3047">
        <v>5.7313568380518799E-2</v>
      </c>
      <c r="K3047">
        <v>3.4536076548675597E-2</v>
      </c>
      <c r="L3047">
        <v>1032.4171101338</v>
      </c>
      <c r="M3047">
        <v>20.280064597430599</v>
      </c>
      <c r="N3047">
        <v>51.195953602638703</v>
      </c>
      <c r="O3047">
        <v>50.420742635568502</v>
      </c>
      <c r="P3047">
        <v>-9.5136824780497606E-2</v>
      </c>
      <c r="Q3047">
        <v>5.3904100303604499E-2</v>
      </c>
      <c r="R3047">
        <v>0.99765136582330605</v>
      </c>
      <c r="S3047" t="s">
        <v>7787</v>
      </c>
      <c r="T3047" t="s">
        <v>9478</v>
      </c>
      <c r="U3047" t="s">
        <v>9478</v>
      </c>
      <c r="V3047" t="s">
        <v>9478</v>
      </c>
      <c r="W3047">
        <v>9</v>
      </c>
      <c r="X3047" t="s">
        <v>12525</v>
      </c>
      <c r="Y3047">
        <v>0.41070066963963497</v>
      </c>
      <c r="Z3047" t="str">
        <f>HYPERLINK("Melting_Curves/meltCurve_sp_Q96SU4_7_OSBL9_HUMAN_.pdf", "Melting_Curves/meltCurve_sp_Q96SU4_7_OSBL9_HUMAN_.pdf")</f>
        <v>Melting_Curves/meltCurve_sp_Q96SU4_7_OSBL9_HUMAN_.pdf</v>
      </c>
      <c r="AA3047" t="s">
        <v>17214</v>
      </c>
      <c r="AB3047" t="s">
        <v>21881</v>
      </c>
    </row>
    <row r="3048" spans="1:28" x14ac:dyDescent="0.25">
      <c r="A3048" t="s">
        <v>3052</v>
      </c>
      <c r="B3048">
        <v>0.99904790336628502</v>
      </c>
      <c r="C3048">
        <v>0.88243374295319199</v>
      </c>
      <c r="D3048">
        <v>0.90172930747867897</v>
      </c>
      <c r="E3048">
        <v>0.95239392699439296</v>
      </c>
      <c r="F3048">
        <v>0.97373250791197297</v>
      </c>
      <c r="G3048">
        <v>0.69048137430491796</v>
      </c>
      <c r="H3048">
        <v>0.43423638935867798</v>
      </c>
      <c r="I3048">
        <v>0.30783620637022202</v>
      </c>
      <c r="J3048">
        <v>0.14434789669596501</v>
      </c>
      <c r="K3048">
        <v>8.1084856320287294E-2</v>
      </c>
      <c r="L3048">
        <v>1003.90177090906</v>
      </c>
      <c r="M3048">
        <v>16.667685309042302</v>
      </c>
      <c r="N3048">
        <v>60.2304250628166</v>
      </c>
      <c r="O3048">
        <v>59.383468969470201</v>
      </c>
      <c r="P3048">
        <v>-7.0174410668993506E-2</v>
      </c>
      <c r="Q3048">
        <v>0</v>
      </c>
      <c r="R3048">
        <v>0.97508673324282003</v>
      </c>
      <c r="S3048" t="s">
        <v>7788</v>
      </c>
      <c r="T3048" t="s">
        <v>9478</v>
      </c>
      <c r="U3048" t="s">
        <v>9478</v>
      </c>
      <c r="V3048" t="s">
        <v>9478</v>
      </c>
      <c r="W3048">
        <v>5</v>
      </c>
      <c r="X3048" t="s">
        <v>12526</v>
      </c>
      <c r="Y3048">
        <v>0.68149312681961149</v>
      </c>
      <c r="Z3048" t="str">
        <f>HYPERLINK("Melting_Curves/meltCurve_sp_Q96SZ5_AEDO_HUMAN_.pdf", "Melting_Curves/meltCurve_sp_Q96SZ5_AEDO_HUMAN_.pdf")</f>
        <v>Melting_Curves/meltCurve_sp_Q96SZ5_AEDO_HUMAN_.pdf</v>
      </c>
      <c r="AA3048" t="s">
        <v>17215</v>
      </c>
      <c r="AB3048" t="s">
        <v>21882</v>
      </c>
    </row>
    <row r="3049" spans="1:28" x14ac:dyDescent="0.25">
      <c r="A3049" t="s">
        <v>3053</v>
      </c>
      <c r="B3049">
        <v>0.99904790336628502</v>
      </c>
      <c r="C3049">
        <v>0.94055531138122805</v>
      </c>
      <c r="D3049">
        <v>0.935609559263061</v>
      </c>
      <c r="E3049">
        <v>0.85808344996270702</v>
      </c>
      <c r="F3049">
        <v>0.79723343230480104</v>
      </c>
      <c r="G3049">
        <v>0.55050002952366905</v>
      </c>
      <c r="H3049">
        <v>0.50751927066603797</v>
      </c>
      <c r="I3049">
        <v>0.46071570960048502</v>
      </c>
      <c r="J3049">
        <v>0.42025285445750299</v>
      </c>
      <c r="K3049">
        <v>0.35420059537612197</v>
      </c>
      <c r="L3049">
        <v>646.72302624583301</v>
      </c>
      <c r="M3049">
        <v>11.648178236564</v>
      </c>
      <c r="N3049">
        <v>60.897481587837298</v>
      </c>
      <c r="O3049">
        <v>53.960687531507098</v>
      </c>
      <c r="P3049">
        <v>-3.6642314873865697E-2</v>
      </c>
      <c r="Q3049">
        <v>0.32119519280188302</v>
      </c>
      <c r="R3049">
        <v>0.984587757959134</v>
      </c>
      <c r="S3049" t="s">
        <v>7789</v>
      </c>
      <c r="T3049" t="s">
        <v>9478</v>
      </c>
      <c r="U3049" t="s">
        <v>9478</v>
      </c>
      <c r="V3049" t="s">
        <v>9478</v>
      </c>
      <c r="W3049">
        <v>4</v>
      </c>
      <c r="X3049" t="s">
        <v>12527</v>
      </c>
      <c r="Y3049">
        <v>0.68749611761297058</v>
      </c>
      <c r="Z3049" t="str">
        <f>HYPERLINK("Melting_Curves/meltCurve_sp_Q96T37_2_RBM15_HUMAN_.pdf", "Melting_Curves/meltCurve_sp_Q96T37_2_RBM15_HUMAN_.pdf")</f>
        <v>Melting_Curves/meltCurve_sp_Q96T37_2_RBM15_HUMAN_.pdf</v>
      </c>
      <c r="AA3049" t="s">
        <v>17216</v>
      </c>
      <c r="AB3049" t="s">
        <v>21883</v>
      </c>
    </row>
    <row r="3050" spans="1:28" x14ac:dyDescent="0.25">
      <c r="A3050" t="s">
        <v>3054</v>
      </c>
      <c r="B3050">
        <v>0.99904790336628502</v>
      </c>
      <c r="C3050">
        <v>1.03161575125405</v>
      </c>
      <c r="D3050">
        <v>0.99632367108295405</v>
      </c>
      <c r="E3050">
        <v>0.94420783039023104</v>
      </c>
      <c r="F3050">
        <v>0.81507216789266002</v>
      </c>
      <c r="G3050">
        <v>0.53973355245666299</v>
      </c>
      <c r="H3050">
        <v>0.27898737817490499</v>
      </c>
      <c r="I3050">
        <v>0.17173823103973901</v>
      </c>
      <c r="J3050">
        <v>0.15393084570546001</v>
      </c>
      <c r="K3050">
        <v>0.118826989430866</v>
      </c>
      <c r="L3050">
        <v>1130.83985486039</v>
      </c>
      <c r="M3050">
        <v>19.9228158134414</v>
      </c>
      <c r="N3050">
        <v>57.404658457090598</v>
      </c>
      <c r="O3050">
        <v>56.198453997603202</v>
      </c>
      <c r="P3050">
        <v>-7.9758902296104106E-2</v>
      </c>
      <c r="Q3050">
        <v>0.100091293019849</v>
      </c>
      <c r="R3050">
        <v>0.99882372535231001</v>
      </c>
      <c r="S3050" t="s">
        <v>7790</v>
      </c>
      <c r="T3050" t="s">
        <v>9478</v>
      </c>
      <c r="U3050" t="s">
        <v>9478</v>
      </c>
      <c r="V3050" t="s">
        <v>9478</v>
      </c>
      <c r="W3050">
        <v>16</v>
      </c>
      <c r="X3050" t="s">
        <v>12528</v>
      </c>
      <c r="Y3050">
        <v>0.61409814709213673</v>
      </c>
      <c r="Z3050" t="str">
        <f>HYPERLINK("Melting_Curves/meltCurve_sp_Q96T51_RUFY1_HUMAN_.pdf", "Melting_Curves/meltCurve_sp_Q96T51_RUFY1_HUMAN_.pdf")</f>
        <v>Melting_Curves/meltCurve_sp_Q96T51_RUFY1_HUMAN_.pdf</v>
      </c>
      <c r="AA3050" t="s">
        <v>17217</v>
      </c>
      <c r="AB3050" t="s">
        <v>21884</v>
      </c>
    </row>
    <row r="3051" spans="1:28" x14ac:dyDescent="0.25">
      <c r="A3051" t="s">
        <v>3055</v>
      </c>
      <c r="B3051">
        <v>0.99904790336628502</v>
      </c>
      <c r="C3051">
        <v>0.95145729670851198</v>
      </c>
      <c r="D3051">
        <v>0.852571718481692</v>
      </c>
      <c r="E3051">
        <v>0.85780678544950595</v>
      </c>
      <c r="F3051">
        <v>0.82765050381176897</v>
      </c>
      <c r="G3051">
        <v>0.64136361456902002</v>
      </c>
      <c r="H3051">
        <v>0.58192290423173498</v>
      </c>
      <c r="I3051">
        <v>0.47089845334895902</v>
      </c>
      <c r="J3051">
        <v>0.52531741878948801</v>
      </c>
      <c r="K3051">
        <v>0.521428113937353</v>
      </c>
      <c r="L3051">
        <v>519.607691371633</v>
      </c>
      <c r="M3051">
        <v>9.4263566813713293</v>
      </c>
      <c r="N3051">
        <v>67.973930175649599</v>
      </c>
      <c r="O3051">
        <v>52.812840982073702</v>
      </c>
      <c r="P3051">
        <v>-2.60810580603353E-2</v>
      </c>
      <c r="Q3051">
        <v>0.41586065277482298</v>
      </c>
      <c r="R3051">
        <v>0.95161169039632998</v>
      </c>
      <c r="S3051" t="s">
        <v>7791</v>
      </c>
      <c r="T3051" t="s">
        <v>9478</v>
      </c>
      <c r="U3051" t="s">
        <v>9478</v>
      </c>
      <c r="V3051" t="s">
        <v>9478</v>
      </c>
      <c r="W3051">
        <v>4</v>
      </c>
      <c r="X3051" t="s">
        <v>12529</v>
      </c>
      <c r="Y3051">
        <v>0.72537112067997189</v>
      </c>
      <c r="Z3051" t="str">
        <f>HYPERLINK("Melting_Curves/meltCurve_sp_Q96T58_MINT_HUMAN_.pdf", "Melting_Curves/meltCurve_sp_Q96T58_MINT_HUMAN_.pdf")</f>
        <v>Melting_Curves/meltCurve_sp_Q96T58_MINT_HUMAN_.pdf</v>
      </c>
      <c r="AA3051" t="s">
        <v>17218</v>
      </c>
      <c r="AB3051" t="s">
        <v>21885</v>
      </c>
    </row>
    <row r="3052" spans="1:28" x14ac:dyDescent="0.25">
      <c r="A3052" t="s">
        <v>3056</v>
      </c>
      <c r="B3052">
        <v>0.99904790336628502</v>
      </c>
      <c r="C3052">
        <v>0.91023607083798097</v>
      </c>
      <c r="D3052">
        <v>0.75431179160578099</v>
      </c>
      <c r="E3052">
        <v>0.38163451504916601</v>
      </c>
      <c r="F3052">
        <v>0.202408320495684</v>
      </c>
      <c r="G3052">
        <v>0.10265033563409</v>
      </c>
      <c r="H3052">
        <v>3.4600866934404298E-2</v>
      </c>
      <c r="I3052">
        <v>5.3205619829982599E-2</v>
      </c>
      <c r="J3052">
        <v>3.8443126158994E-2</v>
      </c>
      <c r="K3052">
        <v>3.5646544167925502E-2</v>
      </c>
      <c r="L3052">
        <v>905.67246620278399</v>
      </c>
      <c r="M3052">
        <v>18.6556416698667</v>
      </c>
      <c r="N3052">
        <v>48.725807073441203</v>
      </c>
      <c r="O3052">
        <v>47.999341225665297</v>
      </c>
      <c r="P3052">
        <v>-9.3952699718544905E-2</v>
      </c>
      <c r="Q3052">
        <v>3.3112970324362903E-2</v>
      </c>
      <c r="R3052">
        <v>0.99912100482126698</v>
      </c>
      <c r="S3052" t="s">
        <v>7792</v>
      </c>
      <c r="T3052" t="s">
        <v>9478</v>
      </c>
      <c r="U3052" t="s">
        <v>9478</v>
      </c>
      <c r="V3052" t="s">
        <v>9478</v>
      </c>
      <c r="W3052">
        <v>7</v>
      </c>
      <c r="X3052" t="s">
        <v>12530</v>
      </c>
      <c r="Y3052">
        <v>0.32428856460905969</v>
      </c>
      <c r="Z3052" t="str">
        <f>HYPERLINK("Melting_Curves/meltCurve_sp_Q96T76_MMS19_HUMAN_.pdf", "Melting_Curves/meltCurve_sp_Q96T76_MMS19_HUMAN_.pdf")</f>
        <v>Melting_Curves/meltCurve_sp_Q96T76_MMS19_HUMAN_.pdf</v>
      </c>
      <c r="AA3052" t="s">
        <v>17219</v>
      </c>
      <c r="AB3052" t="s">
        <v>21886</v>
      </c>
    </row>
    <row r="3053" spans="1:28" x14ac:dyDescent="0.25">
      <c r="A3053" t="s">
        <v>3057</v>
      </c>
      <c r="B3053">
        <v>0.99904790336628502</v>
      </c>
      <c r="C3053">
        <v>0.98107693395941797</v>
      </c>
      <c r="D3053">
        <v>1.0185871601834</v>
      </c>
      <c r="E3053">
        <v>0.84262124541797501</v>
      </c>
      <c r="F3053">
        <v>0.49046082677130598</v>
      </c>
      <c r="G3053">
        <v>0.29054487600621698</v>
      </c>
      <c r="H3053">
        <v>0.14110876351227</v>
      </c>
      <c r="I3053">
        <v>6.7011828966518305E-2</v>
      </c>
      <c r="J3053">
        <v>4.0203686676264803E-2</v>
      </c>
      <c r="K3053">
        <v>2.9550826392019999E-2</v>
      </c>
      <c r="L3053">
        <v>1076.9646081706401</v>
      </c>
      <c r="M3053">
        <v>20.1684888904642</v>
      </c>
      <c r="N3053">
        <v>53.618450589180597</v>
      </c>
      <c r="O3053">
        <v>52.881732585322503</v>
      </c>
      <c r="P3053">
        <v>-9.1562571855330802E-2</v>
      </c>
      <c r="Q3053">
        <v>3.9722920976158899E-2</v>
      </c>
      <c r="R3053">
        <v>0.99278675930287297</v>
      </c>
      <c r="S3053" t="s">
        <v>7793</v>
      </c>
      <c r="T3053" t="s">
        <v>9478</v>
      </c>
      <c r="U3053" t="s">
        <v>9478</v>
      </c>
      <c r="V3053" t="s">
        <v>9478</v>
      </c>
      <c r="W3053">
        <v>2</v>
      </c>
      <c r="X3053" t="s">
        <v>12531</v>
      </c>
      <c r="Y3053">
        <v>0.48156747339727912</v>
      </c>
      <c r="Z3053" t="str">
        <f>HYPERLINK("Melting_Curves/meltCurve_sp_Q96TA1_2_NIBL1_HUMAN_.pdf", "Melting_Curves/meltCurve_sp_Q96TA1_2_NIBL1_HUMAN_.pdf")</f>
        <v>Melting_Curves/meltCurve_sp_Q96TA1_2_NIBL1_HUMAN_.pdf</v>
      </c>
      <c r="AA3053" t="s">
        <v>17220</v>
      </c>
      <c r="AB3053" t="s">
        <v>21887</v>
      </c>
    </row>
    <row r="3054" spans="1:28" x14ac:dyDescent="0.25">
      <c r="A3054" t="s">
        <v>3058</v>
      </c>
      <c r="B3054">
        <v>0.99904790336628502</v>
      </c>
      <c r="C3054">
        <v>0.93600176917867595</v>
      </c>
      <c r="D3054">
        <v>1.0213050393669501</v>
      </c>
      <c r="E3054">
        <v>0.88417541257576104</v>
      </c>
      <c r="F3054">
        <v>0.65445590248674201</v>
      </c>
      <c r="G3054">
        <v>0.29921154987072801</v>
      </c>
      <c r="H3054">
        <v>0.157553757569562</v>
      </c>
      <c r="I3054">
        <v>8.0371185518967103E-2</v>
      </c>
      <c r="J3054">
        <v>8.8529344830643106E-2</v>
      </c>
      <c r="K3054">
        <v>8.1025795300227604E-2</v>
      </c>
      <c r="L3054">
        <v>1253.4326552372099</v>
      </c>
      <c r="M3054">
        <v>23.116841165180599</v>
      </c>
      <c r="N3054">
        <v>54.600539690706697</v>
      </c>
      <c r="O3054">
        <v>53.820757281137702</v>
      </c>
      <c r="P3054">
        <v>-9.9422865469557406E-2</v>
      </c>
      <c r="Q3054">
        <v>7.4109557193925493E-2</v>
      </c>
      <c r="R3054">
        <v>0.99623371453278198</v>
      </c>
      <c r="S3054" t="s">
        <v>7794</v>
      </c>
      <c r="T3054" t="s">
        <v>9478</v>
      </c>
      <c r="U3054" t="s">
        <v>9478</v>
      </c>
      <c r="V3054" t="s">
        <v>9478</v>
      </c>
      <c r="W3054">
        <v>3</v>
      </c>
      <c r="X3054" t="s">
        <v>12532</v>
      </c>
      <c r="Y3054">
        <v>0.52288148153755687</v>
      </c>
      <c r="Z3054" t="str">
        <f>HYPERLINK("Melting_Curves/meltCurve_sp_Q96TA2_3_YMEL1_HUMAN_.pdf", "Melting_Curves/meltCurve_sp_Q96TA2_3_YMEL1_HUMAN_.pdf")</f>
        <v>Melting_Curves/meltCurve_sp_Q96TA2_3_YMEL1_HUMAN_.pdf</v>
      </c>
      <c r="AA3054" t="s">
        <v>17221</v>
      </c>
      <c r="AB3054" t="s">
        <v>21888</v>
      </c>
    </row>
    <row r="3055" spans="1:28" x14ac:dyDescent="0.25">
      <c r="A3055" t="s">
        <v>3059</v>
      </c>
      <c r="B3055">
        <v>0.99904790336628502</v>
      </c>
      <c r="C3055">
        <v>1.0959528290590199</v>
      </c>
      <c r="D3055">
        <v>1.0310794705524799</v>
      </c>
      <c r="E3055">
        <v>0.80827659317240097</v>
      </c>
      <c r="F3055">
        <v>0.76125262115965098</v>
      </c>
      <c r="G3055">
        <v>0.58926835572318303</v>
      </c>
      <c r="H3055">
        <v>0.49491725237241901</v>
      </c>
      <c r="I3055">
        <v>0.45295596139499</v>
      </c>
      <c r="J3055">
        <v>0.45299006039830098</v>
      </c>
      <c r="K3055">
        <v>0.374740525170842</v>
      </c>
      <c r="L3055">
        <v>857.40512877303297</v>
      </c>
      <c r="M3055">
        <v>15.841658027271301</v>
      </c>
      <c r="N3055">
        <v>60.195435631805502</v>
      </c>
      <c r="O3055">
        <v>53.283014404130697</v>
      </c>
      <c r="P3055">
        <v>-4.4686158555441197E-2</v>
      </c>
      <c r="Q3055">
        <v>0.39884598419914802</v>
      </c>
      <c r="R3055">
        <v>0.96619882972826399</v>
      </c>
      <c r="S3055" t="s">
        <v>7795</v>
      </c>
      <c r="T3055" t="s">
        <v>9478</v>
      </c>
      <c r="U3055" t="s">
        <v>9478</v>
      </c>
      <c r="V3055" t="s">
        <v>9478</v>
      </c>
      <c r="W3055">
        <v>7</v>
      </c>
      <c r="X3055" t="s">
        <v>12533</v>
      </c>
      <c r="Y3055">
        <v>0.69329605074346545</v>
      </c>
      <c r="Z3055" t="str">
        <f>HYPERLINK("Melting_Curves/meltCurve_sp_Q99417_MYCBP_HUMAN_.pdf", "Melting_Curves/meltCurve_sp_Q99417_MYCBP_HUMAN_.pdf")</f>
        <v>Melting_Curves/meltCurve_sp_Q99417_MYCBP_HUMAN_.pdf</v>
      </c>
      <c r="AA3055" t="s">
        <v>17222</v>
      </c>
      <c r="AB3055" t="s">
        <v>21889</v>
      </c>
    </row>
    <row r="3056" spans="1:28" x14ac:dyDescent="0.25">
      <c r="A3056" t="s">
        <v>3060</v>
      </c>
      <c r="B3056">
        <v>0.99904790336628502</v>
      </c>
      <c r="C3056">
        <v>0.99497251728356995</v>
      </c>
      <c r="D3056">
        <v>0.94979073370423905</v>
      </c>
      <c r="E3056">
        <v>0.74577512043236804</v>
      </c>
      <c r="F3056">
        <v>0.59977654624391397</v>
      </c>
      <c r="G3056">
        <v>0.38523081544371901</v>
      </c>
      <c r="H3056">
        <v>0.21445061759387801</v>
      </c>
      <c r="I3056">
        <v>0.15005160271736701</v>
      </c>
      <c r="J3056">
        <v>0.104576062313276</v>
      </c>
      <c r="K3056">
        <v>6.2701805389946394E-2</v>
      </c>
      <c r="L3056">
        <v>719.66156801228396</v>
      </c>
      <c r="M3056">
        <v>13.2037595951602</v>
      </c>
      <c r="N3056">
        <v>54.705521661643601</v>
      </c>
      <c r="O3056">
        <v>53.299576361817898</v>
      </c>
      <c r="P3056">
        <v>-6.0473848550180502E-2</v>
      </c>
      <c r="Q3056">
        <v>2.3704129727647499E-2</v>
      </c>
      <c r="R3056">
        <v>0.99827436486825505</v>
      </c>
      <c r="S3056" t="s">
        <v>7796</v>
      </c>
      <c r="T3056" t="s">
        <v>9478</v>
      </c>
      <c r="U3056" t="s">
        <v>9478</v>
      </c>
      <c r="V3056" t="s">
        <v>9478</v>
      </c>
      <c r="W3056">
        <v>42</v>
      </c>
      <c r="X3056" t="s">
        <v>12534</v>
      </c>
      <c r="Y3056">
        <v>0.51798361329316711</v>
      </c>
      <c r="Z3056" t="str">
        <f>HYPERLINK("Melting_Curves/meltCurve_sp_Q99424_ACOX2_HUMAN_.pdf", "Melting_Curves/meltCurve_sp_Q99424_ACOX2_HUMAN_.pdf")</f>
        <v>Melting_Curves/meltCurve_sp_Q99424_ACOX2_HUMAN_.pdf</v>
      </c>
      <c r="AA3056" t="s">
        <v>17223</v>
      </c>
      <c r="AB3056" t="s">
        <v>21890</v>
      </c>
    </row>
    <row r="3057" spans="1:28" x14ac:dyDescent="0.25">
      <c r="A3057" t="s">
        <v>3061</v>
      </c>
      <c r="B3057">
        <v>0.99904790336628502</v>
      </c>
      <c r="C3057">
        <v>1.00929483269166</v>
      </c>
      <c r="D3057">
        <v>0.95734664248175105</v>
      </c>
      <c r="E3057">
        <v>0.98500784298921096</v>
      </c>
      <c r="F3057">
        <v>0.984701929205685</v>
      </c>
      <c r="G3057">
        <v>0.432836219596476</v>
      </c>
      <c r="H3057">
        <v>0.18512977890976801</v>
      </c>
      <c r="I3057">
        <v>0.14978588927752101</v>
      </c>
      <c r="J3057">
        <v>0.115918591190058</v>
      </c>
      <c r="K3057">
        <v>9.7459586789555894E-2</v>
      </c>
      <c r="L3057">
        <v>2872.0078880082201</v>
      </c>
      <c r="M3057">
        <v>50.986184154378002</v>
      </c>
      <c r="N3057">
        <v>56.6674398497289</v>
      </c>
      <c r="O3057">
        <v>56.242687738759898</v>
      </c>
      <c r="P3057">
        <v>-0.19689790087755299</v>
      </c>
      <c r="Q3057">
        <v>0.131211046979052</v>
      </c>
      <c r="R3057">
        <v>0.99665212600462305</v>
      </c>
      <c r="S3057" t="s">
        <v>7797</v>
      </c>
      <c r="T3057" t="s">
        <v>9478</v>
      </c>
      <c r="U3057" t="s">
        <v>9478</v>
      </c>
      <c r="V3057" t="s">
        <v>9478</v>
      </c>
      <c r="W3057">
        <v>11</v>
      </c>
      <c r="X3057" t="s">
        <v>12535</v>
      </c>
      <c r="Y3057">
        <v>0.60616998992482352</v>
      </c>
      <c r="Z3057" t="str">
        <f>HYPERLINK("Melting_Curves/meltCurve_sp_Q99426_TBCB_HUMAN_.pdf", "Melting_Curves/meltCurve_sp_Q99426_TBCB_HUMAN_.pdf")</f>
        <v>Melting_Curves/meltCurve_sp_Q99426_TBCB_HUMAN_.pdf</v>
      </c>
      <c r="AA3057" t="s">
        <v>17224</v>
      </c>
      <c r="AB3057" t="s">
        <v>21891</v>
      </c>
    </row>
    <row r="3058" spans="1:28" x14ac:dyDescent="0.25">
      <c r="A3058" t="s">
        <v>3062</v>
      </c>
      <c r="B3058">
        <v>0.99904790336628502</v>
      </c>
      <c r="C3058">
        <v>1.06343908992072</v>
      </c>
      <c r="D3058">
        <v>1.0886846734229001</v>
      </c>
      <c r="E3058">
        <v>1.0478386664399899</v>
      </c>
      <c r="F3058">
        <v>0.88420555849472304</v>
      </c>
      <c r="G3058">
        <v>0.82871220239967802</v>
      </c>
      <c r="H3058">
        <v>0.65291725287658298</v>
      </c>
      <c r="I3058">
        <v>0.75806111901539697</v>
      </c>
      <c r="J3058">
        <v>0.68672329495592399</v>
      </c>
      <c r="K3058">
        <v>0.64661545184429503</v>
      </c>
      <c r="L3058">
        <v>1438.6596375024501</v>
      </c>
      <c r="M3058">
        <v>25.794622193798499</v>
      </c>
      <c r="O3058">
        <v>55.441656897811299</v>
      </c>
      <c r="P3058">
        <v>-3.7424457759771997E-2</v>
      </c>
      <c r="Q3058">
        <v>0.678250907454365</v>
      </c>
      <c r="R3058">
        <v>0.896506757501773</v>
      </c>
      <c r="S3058" t="s">
        <v>7798</v>
      </c>
      <c r="T3058" t="s">
        <v>9478</v>
      </c>
      <c r="U3058" t="s">
        <v>9478</v>
      </c>
      <c r="V3058" t="s">
        <v>9478</v>
      </c>
      <c r="W3058">
        <v>7</v>
      </c>
      <c r="X3058" t="s">
        <v>12536</v>
      </c>
      <c r="Y3058">
        <v>0.85023035406222824</v>
      </c>
      <c r="Z3058" t="str">
        <f>HYPERLINK("Melting_Curves/meltCurve_sp_Q99436_PSB7_HUMAN_.pdf", "Melting_Curves/meltCurve_sp_Q99436_PSB7_HUMAN_.pdf")</f>
        <v>Melting_Curves/meltCurve_sp_Q99436_PSB7_HUMAN_.pdf</v>
      </c>
      <c r="AA3058" t="s">
        <v>17225</v>
      </c>
      <c r="AB3058" t="s">
        <v>21892</v>
      </c>
    </row>
    <row r="3059" spans="1:28" x14ac:dyDescent="0.25">
      <c r="A3059" t="s">
        <v>3063</v>
      </c>
      <c r="B3059">
        <v>0.99904790336628502</v>
      </c>
      <c r="C3059">
        <v>0.95424741099778898</v>
      </c>
      <c r="D3059">
        <v>0.90000594855927996</v>
      </c>
      <c r="E3059">
        <v>0.63411901156189898</v>
      </c>
      <c r="F3059">
        <v>0.27330060252386401</v>
      </c>
      <c r="G3059">
        <v>0.13898006918505201</v>
      </c>
      <c r="H3059">
        <v>7.4413724854160299E-2</v>
      </c>
      <c r="I3059">
        <v>4.5213127812657398E-2</v>
      </c>
      <c r="J3059">
        <v>4.2690378685972703E-2</v>
      </c>
      <c r="K3059">
        <v>3.8544540742137E-2</v>
      </c>
      <c r="L3059">
        <v>1149.41035547243</v>
      </c>
      <c r="M3059">
        <v>22.638404394002301</v>
      </c>
      <c r="N3059">
        <v>50.9724562807111</v>
      </c>
      <c r="O3059">
        <v>50.381392791043403</v>
      </c>
      <c r="P3059">
        <v>-0.107566309705848</v>
      </c>
      <c r="Q3059">
        <v>4.2471001867035799E-2</v>
      </c>
      <c r="R3059">
        <v>0.99733565906185695</v>
      </c>
      <c r="S3059" t="s">
        <v>7799</v>
      </c>
      <c r="T3059" t="s">
        <v>9478</v>
      </c>
      <c r="U3059" t="s">
        <v>9478</v>
      </c>
      <c r="V3059" t="s">
        <v>9478</v>
      </c>
      <c r="W3059">
        <v>26</v>
      </c>
      <c r="X3059" t="s">
        <v>12537</v>
      </c>
      <c r="Y3059">
        <v>0.39679050466152549</v>
      </c>
      <c r="Z3059" t="str">
        <f>HYPERLINK("Melting_Curves/meltCurve_sp_Q99447_3_PCY2_HUMAN_.pdf", "Melting_Curves/meltCurve_sp_Q99447_3_PCY2_HUMAN_.pdf")</f>
        <v>Melting_Curves/meltCurve_sp_Q99447_3_PCY2_HUMAN_.pdf</v>
      </c>
      <c r="AA3059" t="s">
        <v>17226</v>
      </c>
      <c r="AB3059" t="s">
        <v>21893</v>
      </c>
    </row>
    <row r="3060" spans="1:28" x14ac:dyDescent="0.25">
      <c r="A3060" t="s">
        <v>3064</v>
      </c>
      <c r="B3060">
        <v>0.99904790336628502</v>
      </c>
      <c r="C3060">
        <v>0.98439674076077499</v>
      </c>
      <c r="D3060">
        <v>0.86902041452922896</v>
      </c>
      <c r="E3060">
        <v>0.85037165907530998</v>
      </c>
      <c r="F3060">
        <v>0.79747416081433298</v>
      </c>
      <c r="G3060">
        <v>0.58990714780348397</v>
      </c>
      <c r="H3060">
        <v>0.49101459874418601</v>
      </c>
      <c r="I3060">
        <v>0.48052236398939702</v>
      </c>
      <c r="J3060">
        <v>0.51196432502337796</v>
      </c>
      <c r="K3060">
        <v>0.53519052186248195</v>
      </c>
      <c r="L3060">
        <v>760.29329098986</v>
      </c>
      <c r="M3060">
        <v>14.345052728835499</v>
      </c>
      <c r="N3060">
        <v>66.043321896495002</v>
      </c>
      <c r="O3060">
        <v>52.002330479914001</v>
      </c>
      <c r="P3060">
        <v>-3.6514885084912498E-2</v>
      </c>
      <c r="Q3060">
        <v>0.47058244764240198</v>
      </c>
      <c r="R3060">
        <v>0.95829017804563599</v>
      </c>
      <c r="S3060" t="s">
        <v>7800</v>
      </c>
      <c r="T3060" t="s">
        <v>9478</v>
      </c>
      <c r="U3060" t="s">
        <v>9478</v>
      </c>
      <c r="V3060" t="s">
        <v>9478</v>
      </c>
      <c r="W3060">
        <v>18</v>
      </c>
      <c r="X3060" t="s">
        <v>12538</v>
      </c>
      <c r="Y3060">
        <v>0.71211132991614623</v>
      </c>
      <c r="Z3060" t="str">
        <f>HYPERLINK("Melting_Curves/meltCurve_sp_Q99459_CDC5L_HUMAN_.pdf", "Melting_Curves/meltCurve_sp_Q99459_CDC5L_HUMAN_.pdf")</f>
        <v>Melting_Curves/meltCurve_sp_Q99459_CDC5L_HUMAN_.pdf</v>
      </c>
      <c r="AA3060" t="s">
        <v>17227</v>
      </c>
      <c r="AB3060" t="s">
        <v>21894</v>
      </c>
    </row>
    <row r="3061" spans="1:28" x14ac:dyDescent="0.25">
      <c r="A3061" t="s">
        <v>3065</v>
      </c>
      <c r="B3061">
        <v>0.99904790336628502</v>
      </c>
      <c r="C3061">
        <v>0.92921042514376695</v>
      </c>
      <c r="D3061">
        <v>0.79022771353114296</v>
      </c>
      <c r="E3061">
        <v>0.47027989985104901</v>
      </c>
      <c r="F3061">
        <v>0.26766288407392702</v>
      </c>
      <c r="G3061">
        <v>0.16061356367105301</v>
      </c>
      <c r="H3061">
        <v>0.109742460067772</v>
      </c>
      <c r="I3061">
        <v>6.4163304152404205E-2</v>
      </c>
      <c r="J3061">
        <v>5.2140942188941101E-2</v>
      </c>
      <c r="K3061">
        <v>3.7452401321333498E-2</v>
      </c>
      <c r="L3061">
        <v>823.45653702995401</v>
      </c>
      <c r="M3061">
        <v>16.671617995605899</v>
      </c>
      <c r="N3061">
        <v>49.694011729861998</v>
      </c>
      <c r="O3061">
        <v>48.698478228107298</v>
      </c>
      <c r="P3061">
        <v>-8.1477303677337506E-2</v>
      </c>
      <c r="Q3061">
        <v>4.8069372856297497E-2</v>
      </c>
      <c r="R3061">
        <v>0.99860060513468996</v>
      </c>
      <c r="S3061" t="s">
        <v>7801</v>
      </c>
      <c r="T3061" t="s">
        <v>9478</v>
      </c>
      <c r="U3061" t="s">
        <v>9478</v>
      </c>
      <c r="V3061" t="s">
        <v>9478</v>
      </c>
      <c r="W3061">
        <v>21</v>
      </c>
      <c r="X3061" t="s">
        <v>12539</v>
      </c>
      <c r="Y3061">
        <v>0.36510615300316568</v>
      </c>
      <c r="Z3061" t="str">
        <f>HYPERLINK("Melting_Curves/meltCurve_sp_Q99460_PSMD1_HUMAN_.pdf", "Melting_Curves/meltCurve_sp_Q99460_PSMD1_HUMAN_.pdf")</f>
        <v>Melting_Curves/meltCurve_sp_Q99460_PSMD1_HUMAN_.pdf</v>
      </c>
      <c r="AA3061" t="s">
        <v>17228</v>
      </c>
      <c r="AB3061" t="s">
        <v>21895</v>
      </c>
    </row>
    <row r="3062" spans="1:28" x14ac:dyDescent="0.25">
      <c r="A3062" t="s">
        <v>3066</v>
      </c>
      <c r="B3062">
        <v>0.99904790336628502</v>
      </c>
      <c r="C3062">
        <v>0.78338335393793501</v>
      </c>
      <c r="D3062">
        <v>0.82074846921817501</v>
      </c>
      <c r="E3062">
        <v>0.72594899740956997</v>
      </c>
      <c r="F3062">
        <v>0.56748308252593305</v>
      </c>
      <c r="G3062">
        <v>0.35813466512881797</v>
      </c>
      <c r="H3062">
        <v>0.23347039448506901</v>
      </c>
      <c r="I3062">
        <v>0.22651117174410901</v>
      </c>
      <c r="J3062">
        <v>0.21024547747886799</v>
      </c>
      <c r="K3062">
        <v>0.142684982833506</v>
      </c>
      <c r="L3062">
        <v>459.16739235957999</v>
      </c>
      <c r="M3062">
        <v>8.5372103914939608</v>
      </c>
      <c r="N3062">
        <v>54.073714595988299</v>
      </c>
      <c r="O3062">
        <v>51.076885367860498</v>
      </c>
      <c r="P3062">
        <v>-4.0888918557504698E-2</v>
      </c>
      <c r="Q3062">
        <v>2.2336808127004101E-2</v>
      </c>
      <c r="R3062">
        <v>0.97053980087583802</v>
      </c>
      <c r="S3062" t="s">
        <v>7802</v>
      </c>
      <c r="T3062" t="s">
        <v>9478</v>
      </c>
      <c r="U3062" t="s">
        <v>9478</v>
      </c>
      <c r="V3062" t="s">
        <v>9478</v>
      </c>
      <c r="W3062">
        <v>1</v>
      </c>
      <c r="X3062" t="s">
        <v>12540</v>
      </c>
      <c r="Y3062">
        <v>0.50517032499516001</v>
      </c>
      <c r="Z3062" t="str">
        <f>HYPERLINK("Melting_Curves/meltCurve_sp_Q99470_SDF2_HUMAN_.pdf", "Melting_Curves/meltCurve_sp_Q99470_SDF2_HUMAN_.pdf")</f>
        <v>Melting_Curves/meltCurve_sp_Q99470_SDF2_HUMAN_.pdf</v>
      </c>
      <c r="AA3062" t="s">
        <v>17229</v>
      </c>
      <c r="AB3062" t="s">
        <v>21896</v>
      </c>
    </row>
    <row r="3063" spans="1:28" x14ac:dyDescent="0.25">
      <c r="A3063" t="s">
        <v>3067</v>
      </c>
      <c r="B3063">
        <v>0.99904790336628502</v>
      </c>
      <c r="C3063">
        <v>1.0318568869729301</v>
      </c>
      <c r="D3063">
        <v>1.0917587183280999</v>
      </c>
      <c r="E3063">
        <v>1.06113669010432</v>
      </c>
      <c r="F3063">
        <v>1.0161006052609101</v>
      </c>
      <c r="G3063">
        <v>0.78645880080164199</v>
      </c>
      <c r="H3063">
        <v>0.54781717703264898</v>
      </c>
      <c r="I3063">
        <v>0.35650804008105402</v>
      </c>
      <c r="J3063">
        <v>0.348025689562528</v>
      </c>
      <c r="K3063">
        <v>0.29954308796270102</v>
      </c>
      <c r="L3063">
        <v>1596.1729688580599</v>
      </c>
      <c r="M3063">
        <v>26.9436787592171</v>
      </c>
      <c r="N3063">
        <v>61.309469935733901</v>
      </c>
      <c r="O3063">
        <v>58.917657280759897</v>
      </c>
      <c r="P3063">
        <v>-8.0197755929031403E-2</v>
      </c>
      <c r="Q3063">
        <v>0.29853444016346697</v>
      </c>
      <c r="R3063">
        <v>0.98092984761688096</v>
      </c>
      <c r="S3063" t="s">
        <v>7803</v>
      </c>
      <c r="T3063" t="s">
        <v>9478</v>
      </c>
      <c r="U3063" t="s">
        <v>9478</v>
      </c>
      <c r="V3063" t="s">
        <v>9478</v>
      </c>
      <c r="W3063">
        <v>10</v>
      </c>
      <c r="X3063" t="s">
        <v>12541</v>
      </c>
      <c r="Y3063">
        <v>0.75358719856039114</v>
      </c>
      <c r="Z3063" t="str">
        <f>HYPERLINK("Melting_Curves/meltCurve_sp_Q99471_PFD5_HUMAN_.pdf", "Melting_Curves/meltCurve_sp_Q99471_PFD5_HUMAN_.pdf")</f>
        <v>Melting_Curves/meltCurve_sp_Q99471_PFD5_HUMAN_.pdf</v>
      </c>
      <c r="AA3063" t="s">
        <v>17230</v>
      </c>
      <c r="AB3063" t="s">
        <v>21897</v>
      </c>
    </row>
    <row r="3064" spans="1:28" x14ac:dyDescent="0.25">
      <c r="A3064" t="s">
        <v>3068</v>
      </c>
      <c r="B3064">
        <v>0.99904790336628502</v>
      </c>
      <c r="C3064">
        <v>0.99418636715822795</v>
      </c>
      <c r="D3064">
        <v>0.95079369487296495</v>
      </c>
      <c r="E3064">
        <v>0.79340292323970296</v>
      </c>
      <c r="F3064">
        <v>0.58467014654035099</v>
      </c>
      <c r="G3064">
        <v>0.23782801552170099</v>
      </c>
      <c r="H3064">
        <v>0.10253286400035</v>
      </c>
      <c r="I3064">
        <v>5.8159544780551603E-2</v>
      </c>
      <c r="J3064">
        <v>4.7512686649254503E-2</v>
      </c>
      <c r="K3064">
        <v>4.1995125529343799E-2</v>
      </c>
      <c r="L3064">
        <v>1057.51989374293</v>
      </c>
      <c r="M3064">
        <v>19.747489125099701</v>
      </c>
      <c r="N3064">
        <v>53.6933963498509</v>
      </c>
      <c r="O3064">
        <v>53.0120459010259</v>
      </c>
      <c r="P3064">
        <v>-9.0772888520609205E-2</v>
      </c>
      <c r="Q3064">
        <v>2.5316103535756699E-2</v>
      </c>
      <c r="R3064">
        <v>0.99929381687470897</v>
      </c>
      <c r="S3064" t="s">
        <v>7804</v>
      </c>
      <c r="T3064" t="s">
        <v>9478</v>
      </c>
      <c r="U3064" t="s">
        <v>9478</v>
      </c>
      <c r="V3064" t="s">
        <v>9478</v>
      </c>
      <c r="W3064">
        <v>10</v>
      </c>
      <c r="X3064" t="s">
        <v>12542</v>
      </c>
      <c r="Y3064">
        <v>0.4792291097203295</v>
      </c>
      <c r="Z3064" t="str">
        <f>HYPERLINK("Melting_Curves/meltCurve_sp_Q99487_PAFA2_HUMAN_.pdf", "Melting_Curves/meltCurve_sp_Q99487_PAFA2_HUMAN_.pdf")</f>
        <v>Melting_Curves/meltCurve_sp_Q99487_PAFA2_HUMAN_.pdf</v>
      </c>
      <c r="AA3064" t="s">
        <v>17231</v>
      </c>
      <c r="AB3064" t="s">
        <v>21898</v>
      </c>
    </row>
    <row r="3065" spans="1:28" x14ac:dyDescent="0.25">
      <c r="A3065" t="s">
        <v>3069</v>
      </c>
      <c r="B3065">
        <v>0.99904790336628502</v>
      </c>
      <c r="C3065">
        <v>0.976540088540652</v>
      </c>
      <c r="D3065">
        <v>0.86471888051617096</v>
      </c>
      <c r="E3065">
        <v>0.55380982588416505</v>
      </c>
      <c r="F3065">
        <v>0.30273782544767303</v>
      </c>
      <c r="G3065">
        <v>0.165227226078074</v>
      </c>
      <c r="H3065">
        <v>0.100288340207954</v>
      </c>
      <c r="I3065">
        <v>6.3345935341301896E-2</v>
      </c>
      <c r="J3065">
        <v>5.6557381281774198E-2</v>
      </c>
      <c r="K3065">
        <v>4.6702811040820198E-2</v>
      </c>
      <c r="L3065">
        <v>951.77798836813804</v>
      </c>
      <c r="M3065">
        <v>18.9179054272971</v>
      </c>
      <c r="N3065">
        <v>50.611978185538902</v>
      </c>
      <c r="O3065">
        <v>49.758905594890102</v>
      </c>
      <c r="P3065">
        <v>-8.9994163388424295E-2</v>
      </c>
      <c r="Q3065">
        <v>5.3208210225051601E-2</v>
      </c>
      <c r="R3065">
        <v>0.99924875600817697</v>
      </c>
      <c r="S3065" t="s">
        <v>7805</v>
      </c>
      <c r="T3065" t="s">
        <v>9478</v>
      </c>
      <c r="U3065" t="s">
        <v>9478</v>
      </c>
      <c r="V3065" t="s">
        <v>9478</v>
      </c>
      <c r="W3065">
        <v>8</v>
      </c>
      <c r="X3065" t="s">
        <v>12543</v>
      </c>
      <c r="Y3065">
        <v>0.39326370494332319</v>
      </c>
      <c r="Z3065" t="str">
        <f>HYPERLINK("Melting_Curves/meltCurve_sp_Q99489_OXDD_HUMAN_.pdf", "Melting_Curves/meltCurve_sp_Q99489_OXDD_HUMAN_.pdf")</f>
        <v>Melting_Curves/meltCurve_sp_Q99489_OXDD_HUMAN_.pdf</v>
      </c>
      <c r="AA3065" t="s">
        <v>17232</v>
      </c>
      <c r="AB3065" t="s">
        <v>21899</v>
      </c>
    </row>
    <row r="3066" spans="1:28" x14ac:dyDescent="0.25">
      <c r="A3066" t="s">
        <v>3070</v>
      </c>
      <c r="B3066">
        <v>0.99904790336628502</v>
      </c>
      <c r="C3066">
        <v>1.0732813073316601</v>
      </c>
      <c r="D3066">
        <v>1.0574067053785701</v>
      </c>
      <c r="E3066">
        <v>0.95322079237318902</v>
      </c>
      <c r="F3066">
        <v>0.982523265920907</v>
      </c>
      <c r="G3066">
        <v>0.74765940547675802</v>
      </c>
      <c r="H3066">
        <v>0.56515653935227295</v>
      </c>
      <c r="I3066">
        <v>0.32424793520947798</v>
      </c>
      <c r="J3066">
        <v>0.238354562829932</v>
      </c>
      <c r="K3066">
        <v>0.16367664514015201</v>
      </c>
      <c r="L3066">
        <v>1096.08060374924</v>
      </c>
      <c r="M3066">
        <v>18.031127948274001</v>
      </c>
      <c r="N3066">
        <v>61.432580177556702</v>
      </c>
      <c r="O3066">
        <v>60.055342812688799</v>
      </c>
      <c r="P3066">
        <v>-6.8596950829488093E-2</v>
      </c>
      <c r="Q3066">
        <v>8.6155556472386999E-2</v>
      </c>
      <c r="R3066">
        <v>0.98677104195439302</v>
      </c>
      <c r="S3066" t="s">
        <v>7806</v>
      </c>
      <c r="T3066" t="s">
        <v>9478</v>
      </c>
      <c r="U3066" t="s">
        <v>9478</v>
      </c>
      <c r="V3066" t="s">
        <v>9478</v>
      </c>
      <c r="W3066">
        <v>2</v>
      </c>
      <c r="X3066" t="s">
        <v>12544</v>
      </c>
      <c r="Y3066">
        <v>0.72487659320315556</v>
      </c>
      <c r="Z3066" t="str">
        <f>HYPERLINK("Melting_Curves/meltCurve_sp_Q99496_RING2_HUMAN_.pdf", "Melting_Curves/meltCurve_sp_Q99496_RING2_HUMAN_.pdf")</f>
        <v>Melting_Curves/meltCurve_sp_Q99496_RING2_HUMAN_.pdf</v>
      </c>
      <c r="AA3066" t="s">
        <v>17233</v>
      </c>
      <c r="AB3066" t="s">
        <v>21900</v>
      </c>
    </row>
    <row r="3067" spans="1:28" x14ac:dyDescent="0.25">
      <c r="A3067" t="s">
        <v>3071</v>
      </c>
      <c r="B3067">
        <v>0.99904790336628502</v>
      </c>
      <c r="C3067">
        <v>1.02351748289549</v>
      </c>
      <c r="D3067">
        <v>1.00763659775072</v>
      </c>
      <c r="E3067">
        <v>1.0385785502128999</v>
      </c>
      <c r="F3067">
        <v>1.0985031467517099</v>
      </c>
      <c r="G3067">
        <v>0.86520565230332103</v>
      </c>
      <c r="H3067">
        <v>0.61977426471105201</v>
      </c>
      <c r="I3067">
        <v>0.48739556297787001</v>
      </c>
      <c r="J3067">
        <v>0.46059264125682597</v>
      </c>
      <c r="K3067">
        <v>0.43475305503392297</v>
      </c>
      <c r="L3067">
        <v>1976.33663616539</v>
      </c>
      <c r="M3067">
        <v>33.243818489155601</v>
      </c>
      <c r="N3067">
        <v>63.528199272543603</v>
      </c>
      <c r="O3067">
        <v>59.235864003762103</v>
      </c>
      <c r="P3067">
        <v>-7.8453278867409701E-2</v>
      </c>
      <c r="Q3067">
        <v>0.440831066018818</v>
      </c>
      <c r="R3067">
        <v>0.97755575662709204</v>
      </c>
      <c r="S3067" t="s">
        <v>7807</v>
      </c>
      <c r="T3067" t="s">
        <v>9478</v>
      </c>
      <c r="U3067" t="s">
        <v>9478</v>
      </c>
      <c r="V3067" t="s">
        <v>9478</v>
      </c>
      <c r="W3067">
        <v>18</v>
      </c>
      <c r="X3067" t="s">
        <v>12545</v>
      </c>
      <c r="Y3067">
        <v>0.80636366230573375</v>
      </c>
      <c r="Z3067" t="str">
        <f>HYPERLINK("Melting_Curves/meltCurve_sp_Q99497_PARK7_HUMAN_.pdf", "Melting_Curves/meltCurve_sp_Q99497_PARK7_HUMAN_.pdf")</f>
        <v>Melting_Curves/meltCurve_sp_Q99497_PARK7_HUMAN_.pdf</v>
      </c>
      <c r="AA3067" t="s">
        <v>17234</v>
      </c>
      <c r="AB3067" t="s">
        <v>21901</v>
      </c>
    </row>
    <row r="3068" spans="1:28" x14ac:dyDescent="0.25">
      <c r="A3068" t="s">
        <v>3072</v>
      </c>
      <c r="B3068">
        <v>0.99904790336628502</v>
      </c>
      <c r="C3068">
        <v>0.77983409595600905</v>
      </c>
      <c r="D3068">
        <v>0.74060172041596195</v>
      </c>
      <c r="E3068">
        <v>0.57803379855237402</v>
      </c>
      <c r="F3068">
        <v>0.34056225870089601</v>
      </c>
      <c r="G3068">
        <v>0.16194731867679199</v>
      </c>
      <c r="H3068">
        <v>7.9258031348773697E-2</v>
      </c>
      <c r="I3068">
        <v>6.17292519906667E-2</v>
      </c>
      <c r="J3068">
        <v>4.9387530054552799E-2</v>
      </c>
      <c r="K3068">
        <v>3.3239602796723701E-2</v>
      </c>
      <c r="L3068">
        <v>593.66696524976498</v>
      </c>
      <c r="M3068">
        <v>11.8460513533187</v>
      </c>
      <c r="N3068">
        <v>50.115177368859896</v>
      </c>
      <c r="O3068">
        <v>48.751034866379001</v>
      </c>
      <c r="P3068">
        <v>-6.0763096931429297E-2</v>
      </c>
      <c r="Q3068">
        <v>0</v>
      </c>
      <c r="R3068">
        <v>0.98379770876101202</v>
      </c>
      <c r="S3068" t="s">
        <v>7808</v>
      </c>
      <c r="T3068" t="s">
        <v>9478</v>
      </c>
      <c r="U3068" t="s">
        <v>9478</v>
      </c>
      <c r="V3068" t="s">
        <v>9478</v>
      </c>
      <c r="W3068">
        <v>6</v>
      </c>
      <c r="X3068" t="s">
        <v>12546</v>
      </c>
      <c r="Y3068">
        <v>0.37224552115278031</v>
      </c>
      <c r="Z3068" t="str">
        <f>HYPERLINK("Melting_Curves/meltCurve_sp_Q99519_NEUR1_HUMAN_.pdf", "Melting_Curves/meltCurve_sp_Q99519_NEUR1_HUMAN_.pdf")</f>
        <v>Melting_Curves/meltCurve_sp_Q99519_NEUR1_HUMAN_.pdf</v>
      </c>
      <c r="AA3068" t="s">
        <v>17235</v>
      </c>
      <c r="AB3068" t="s">
        <v>21902</v>
      </c>
    </row>
    <row r="3069" spans="1:28" x14ac:dyDescent="0.25">
      <c r="A3069" t="s">
        <v>3073</v>
      </c>
      <c r="B3069">
        <v>0.99904790336628502</v>
      </c>
      <c r="C3069">
        <v>1.00858258186648</v>
      </c>
      <c r="D3069">
        <v>1.0000719948333501</v>
      </c>
      <c r="E3069">
        <v>0.74724260675929999</v>
      </c>
      <c r="F3069">
        <v>0.61808171085210495</v>
      </c>
      <c r="G3069">
        <v>0.40289371229523502</v>
      </c>
      <c r="H3069">
        <v>0.21266113296731201</v>
      </c>
      <c r="I3069">
        <v>0.121404035097629</v>
      </c>
      <c r="J3069">
        <v>8.8641885770033596E-2</v>
      </c>
      <c r="K3069">
        <v>6.8089762163497505E-2</v>
      </c>
      <c r="L3069">
        <v>769.48879393486095</v>
      </c>
      <c r="M3069">
        <v>14.052500751773101</v>
      </c>
      <c r="N3069">
        <v>54.927116843382201</v>
      </c>
      <c r="O3069">
        <v>53.685008332812401</v>
      </c>
      <c r="P3069">
        <v>-6.4063577144447006E-2</v>
      </c>
      <c r="Q3069">
        <v>2.1154945176178001E-2</v>
      </c>
      <c r="R3069">
        <v>0.99432115554715295</v>
      </c>
      <c r="S3069" t="s">
        <v>7809</v>
      </c>
      <c r="T3069" t="s">
        <v>9478</v>
      </c>
      <c r="U3069" t="s">
        <v>9478</v>
      </c>
      <c r="V3069" t="s">
        <v>9478</v>
      </c>
      <c r="W3069">
        <v>3</v>
      </c>
      <c r="X3069" t="s">
        <v>12547</v>
      </c>
      <c r="Y3069">
        <v>0.52324781089688988</v>
      </c>
      <c r="Z3069" t="str">
        <f>HYPERLINK("Melting_Curves/meltCurve_sp_Q99536_VAT1_HUMAN_.pdf", "Melting_Curves/meltCurve_sp_Q99536_VAT1_HUMAN_.pdf")</f>
        <v>Melting_Curves/meltCurve_sp_Q99536_VAT1_HUMAN_.pdf</v>
      </c>
      <c r="AA3069" t="s">
        <v>17236</v>
      </c>
      <c r="AB3069" t="s">
        <v>21903</v>
      </c>
    </row>
    <row r="3070" spans="1:28" x14ac:dyDescent="0.25">
      <c r="A3070" t="s">
        <v>3074</v>
      </c>
      <c r="B3070">
        <v>0.99904790336628502</v>
      </c>
      <c r="C3070">
        <v>0.85598811984135303</v>
      </c>
      <c r="D3070">
        <v>0.81748248369390697</v>
      </c>
      <c r="E3070">
        <v>0.65833514353079903</v>
      </c>
      <c r="F3070">
        <v>0.42435852434965798</v>
      </c>
      <c r="G3070">
        <v>0.23678211419804099</v>
      </c>
      <c r="H3070">
        <v>0.14106018071149801</v>
      </c>
      <c r="I3070">
        <v>0.112468795673813</v>
      </c>
      <c r="J3070">
        <v>9.2774030233469806E-2</v>
      </c>
      <c r="K3070">
        <v>8.6638078676722297E-2</v>
      </c>
      <c r="L3070">
        <v>638.66139079089101</v>
      </c>
      <c r="M3070">
        <v>12.3958442244352</v>
      </c>
      <c r="N3070">
        <v>51.818462285697102</v>
      </c>
      <c r="O3070">
        <v>50.236434542458603</v>
      </c>
      <c r="P3070">
        <v>-5.9590061585974602E-2</v>
      </c>
      <c r="Q3070">
        <v>3.4206885306203798E-2</v>
      </c>
      <c r="R3070">
        <v>0.991881290015594</v>
      </c>
      <c r="S3070" t="s">
        <v>7810</v>
      </c>
      <c r="T3070" t="s">
        <v>9478</v>
      </c>
      <c r="U3070" t="s">
        <v>9478</v>
      </c>
      <c r="V3070" t="s">
        <v>9478</v>
      </c>
      <c r="W3070">
        <v>6</v>
      </c>
      <c r="X3070" t="s">
        <v>12548</v>
      </c>
      <c r="Y3070">
        <v>0.43430614297600251</v>
      </c>
      <c r="Z3070" t="str">
        <f>HYPERLINK("Melting_Curves/meltCurve_sp_Q99538_LGMN_HUMAN_.pdf", "Melting_Curves/meltCurve_sp_Q99538_LGMN_HUMAN_.pdf")</f>
        <v>Melting_Curves/meltCurve_sp_Q99538_LGMN_HUMAN_.pdf</v>
      </c>
      <c r="AA3070" t="s">
        <v>17237</v>
      </c>
      <c r="AB3070" t="s">
        <v>21904</v>
      </c>
    </row>
    <row r="3071" spans="1:28" x14ac:dyDescent="0.25">
      <c r="A3071" t="s">
        <v>3075</v>
      </c>
      <c r="B3071">
        <v>0.99904790336628502</v>
      </c>
      <c r="C3071">
        <v>0.94238257568731199</v>
      </c>
      <c r="D3071">
        <v>0.80698262787756503</v>
      </c>
      <c r="E3071">
        <v>0.449131030151253</v>
      </c>
      <c r="F3071">
        <v>0.29780790610513702</v>
      </c>
      <c r="G3071">
        <v>0.166354893918917</v>
      </c>
      <c r="H3071">
        <v>0.11039692026131299</v>
      </c>
      <c r="I3071">
        <v>9.2883365515386895E-2</v>
      </c>
      <c r="J3071">
        <v>9.6482516087273304E-2</v>
      </c>
      <c r="K3071">
        <v>0.11062372208158</v>
      </c>
      <c r="L3071">
        <v>913.67844764700999</v>
      </c>
      <c r="M3071">
        <v>18.616084473867499</v>
      </c>
      <c r="N3071">
        <v>49.641507070208803</v>
      </c>
      <c r="O3071">
        <v>48.524231426377298</v>
      </c>
      <c r="P3071">
        <v>-8.68100956383972E-2</v>
      </c>
      <c r="Q3071">
        <v>9.49308003783845E-2</v>
      </c>
      <c r="R3071">
        <v>0.99871067333179797</v>
      </c>
      <c r="S3071" t="s">
        <v>7811</v>
      </c>
      <c r="T3071" t="s">
        <v>9478</v>
      </c>
      <c r="U3071" t="s">
        <v>9478</v>
      </c>
      <c r="V3071" t="s">
        <v>9478</v>
      </c>
      <c r="W3071">
        <v>9</v>
      </c>
      <c r="X3071" t="s">
        <v>12549</v>
      </c>
      <c r="Y3071">
        <v>0.3835041332500238</v>
      </c>
      <c r="Z3071" t="str">
        <f>HYPERLINK("Melting_Curves/meltCurve_sp_Q99543_DNJC2_HUMAN_.pdf", "Melting_Curves/meltCurve_sp_Q99543_DNJC2_HUMAN_.pdf")</f>
        <v>Melting_Curves/meltCurve_sp_Q99543_DNJC2_HUMAN_.pdf</v>
      </c>
      <c r="AA3071" t="s">
        <v>17238</v>
      </c>
      <c r="AB3071" t="s">
        <v>21905</v>
      </c>
    </row>
    <row r="3072" spans="1:28" x14ac:dyDescent="0.25">
      <c r="A3072" t="s">
        <v>3076</v>
      </c>
      <c r="B3072">
        <v>0.99904790336628502</v>
      </c>
      <c r="C3072">
        <v>1.1918633032197099</v>
      </c>
      <c r="D3072">
        <v>1.23183323162083</v>
      </c>
      <c r="E3072">
        <v>0.96671049195881098</v>
      </c>
      <c r="F3072">
        <v>0.83795889506634602</v>
      </c>
      <c r="G3072">
        <v>0.55291569986325595</v>
      </c>
      <c r="H3072">
        <v>0.37595477623294499</v>
      </c>
      <c r="I3072">
        <v>0.35911526583104603</v>
      </c>
      <c r="J3072">
        <v>0.421935957495707</v>
      </c>
      <c r="K3072">
        <v>0.35468157887518897</v>
      </c>
      <c r="L3072">
        <v>1675.8428917143599</v>
      </c>
      <c r="M3072">
        <v>30.4356569949434</v>
      </c>
      <c r="N3072">
        <v>57.610258082318197</v>
      </c>
      <c r="O3072">
        <v>54.8257608551312</v>
      </c>
      <c r="P3072">
        <v>-8.7447369708155295E-2</v>
      </c>
      <c r="Q3072">
        <v>0.369904964546446</v>
      </c>
      <c r="R3072">
        <v>0.91580523059401997</v>
      </c>
      <c r="S3072" t="s">
        <v>7812</v>
      </c>
      <c r="T3072" t="s">
        <v>9478</v>
      </c>
      <c r="U3072" t="s">
        <v>9478</v>
      </c>
      <c r="V3072" t="s">
        <v>9478</v>
      </c>
      <c r="W3072">
        <v>5</v>
      </c>
      <c r="X3072" t="s">
        <v>12550</v>
      </c>
      <c r="Y3072">
        <v>0.69032030608258688</v>
      </c>
      <c r="Z3072" t="str">
        <f>HYPERLINK("Melting_Curves/meltCurve_sp_Q99549_MPP8_HUMAN_.pdf", "Melting_Curves/meltCurve_sp_Q99549_MPP8_HUMAN_.pdf")</f>
        <v>Melting_Curves/meltCurve_sp_Q99549_MPP8_HUMAN_.pdf</v>
      </c>
      <c r="AA3072" t="s">
        <v>17239</v>
      </c>
      <c r="AB3072" t="s">
        <v>21906</v>
      </c>
    </row>
    <row r="3073" spans="1:28" x14ac:dyDescent="0.25">
      <c r="A3073" t="s">
        <v>3077</v>
      </c>
      <c r="B3073">
        <v>0.99904790336628502</v>
      </c>
      <c r="C3073">
        <v>0.94435933920618098</v>
      </c>
      <c r="D3073">
        <v>0.92494135401364797</v>
      </c>
      <c r="E3073">
        <v>0.78858585850712204</v>
      </c>
      <c r="F3073">
        <v>0.536406363531445</v>
      </c>
      <c r="G3073">
        <v>0.30037593705221499</v>
      </c>
      <c r="H3073">
        <v>0.19179250671713399</v>
      </c>
      <c r="I3073">
        <v>0.13248333194016501</v>
      </c>
      <c r="J3073">
        <v>0.121920777704325</v>
      </c>
      <c r="K3073">
        <v>0.10184408318402</v>
      </c>
      <c r="L3073">
        <v>900.30151977308299</v>
      </c>
      <c r="M3073">
        <v>16.9673273595421</v>
      </c>
      <c r="N3073">
        <v>53.695945031097899</v>
      </c>
      <c r="O3073">
        <v>52.340288703359597</v>
      </c>
      <c r="P3073">
        <v>-7.3680389078394803E-2</v>
      </c>
      <c r="Q3073">
        <v>9.0908726907037704E-2</v>
      </c>
      <c r="R3073">
        <v>0.99780091611951205</v>
      </c>
      <c r="S3073" t="s">
        <v>7813</v>
      </c>
      <c r="T3073" t="s">
        <v>9478</v>
      </c>
      <c r="U3073" t="s">
        <v>9478</v>
      </c>
      <c r="V3073" t="s">
        <v>9478</v>
      </c>
      <c r="W3073">
        <v>5</v>
      </c>
      <c r="X3073" t="s">
        <v>12551</v>
      </c>
      <c r="Y3073">
        <v>0.50299870848380335</v>
      </c>
      <c r="Z3073" t="str">
        <f>HYPERLINK("Melting_Curves/meltCurve_sp_Q99567_NUP88_HUMAN_.pdf", "Melting_Curves/meltCurve_sp_Q99567_NUP88_HUMAN_.pdf")</f>
        <v>Melting_Curves/meltCurve_sp_Q99567_NUP88_HUMAN_.pdf</v>
      </c>
      <c r="AA3073" t="s">
        <v>17240</v>
      </c>
      <c r="AB3073" t="s">
        <v>21907</v>
      </c>
    </row>
    <row r="3074" spans="1:28" x14ac:dyDescent="0.25">
      <c r="A3074" t="s">
        <v>3078</v>
      </c>
      <c r="B3074">
        <v>0.99904790336628502</v>
      </c>
      <c r="C3074">
        <v>0.82130424677520097</v>
      </c>
      <c r="D3074">
        <v>0.86542372058292705</v>
      </c>
      <c r="E3074">
        <v>0.87182294248105896</v>
      </c>
      <c r="F3074">
        <v>0.88340123423038797</v>
      </c>
      <c r="G3074">
        <v>0.72053150208938699</v>
      </c>
      <c r="H3074">
        <v>0.63828737191690099</v>
      </c>
      <c r="I3074">
        <v>0.57281802421707795</v>
      </c>
      <c r="J3074">
        <v>0.57832863198059203</v>
      </c>
      <c r="K3074">
        <v>0.63871754359989796</v>
      </c>
      <c r="L3074">
        <v>294.22840540463801</v>
      </c>
      <c r="M3074">
        <v>4.7858854325238198</v>
      </c>
      <c r="O3074">
        <v>53.093315710198198</v>
      </c>
      <c r="P3074">
        <v>-1.5107280922255601E-2</v>
      </c>
      <c r="Q3074">
        <v>0.33435026813776503</v>
      </c>
      <c r="R3074">
        <v>0.82793832223432395</v>
      </c>
      <c r="S3074" t="s">
        <v>7814</v>
      </c>
      <c r="T3074" t="s">
        <v>9478</v>
      </c>
      <c r="U3074" t="s">
        <v>9478</v>
      </c>
      <c r="V3074" t="s">
        <v>9478</v>
      </c>
      <c r="W3074">
        <v>4</v>
      </c>
      <c r="X3074" t="s">
        <v>12552</v>
      </c>
      <c r="Y3074">
        <v>0.76135150180295319</v>
      </c>
      <c r="Z3074" t="str">
        <f>HYPERLINK("Melting_Curves/meltCurve_sp_Q99569_2_PKP4_HUMAN_.pdf", "Melting_Curves/meltCurve_sp_Q99569_2_PKP4_HUMAN_.pdf")</f>
        <v>Melting_Curves/meltCurve_sp_Q99569_2_PKP4_HUMAN_.pdf</v>
      </c>
      <c r="AA3074" t="s">
        <v>17241</v>
      </c>
      <c r="AB3074" t="s">
        <v>21908</v>
      </c>
    </row>
    <row r="3075" spans="1:28" x14ac:dyDescent="0.25">
      <c r="A3075" t="s">
        <v>3079</v>
      </c>
      <c r="B3075">
        <v>0.99904790336628502</v>
      </c>
      <c r="C3075">
        <v>0.98200514158016805</v>
      </c>
      <c r="D3075">
        <v>0.88449288959876704</v>
      </c>
      <c r="E3075">
        <v>0.66104089827339996</v>
      </c>
      <c r="F3075">
        <v>0.35782261489339501</v>
      </c>
      <c r="G3075">
        <v>0.17320645822931799</v>
      </c>
      <c r="H3075">
        <v>0.113927181256972</v>
      </c>
      <c r="I3075">
        <v>9.7639653151343597E-2</v>
      </c>
      <c r="J3075">
        <v>6.2133485014104199E-2</v>
      </c>
      <c r="K3075">
        <v>4.0043260793347302E-2</v>
      </c>
      <c r="L3075">
        <v>985.69910945732295</v>
      </c>
      <c r="M3075">
        <v>19.250042156984399</v>
      </c>
      <c r="N3075">
        <v>51.530852830364502</v>
      </c>
      <c r="O3075">
        <v>50.662053132563599</v>
      </c>
      <c r="P3075">
        <v>-8.9552918809847601E-2</v>
      </c>
      <c r="Q3075">
        <v>5.7298063460785101E-2</v>
      </c>
      <c r="R3075">
        <v>0.99811406160087102</v>
      </c>
      <c r="S3075" t="s">
        <v>7815</v>
      </c>
      <c r="T3075" t="s">
        <v>9478</v>
      </c>
      <c r="U3075" t="s">
        <v>9478</v>
      </c>
      <c r="V3075" t="s">
        <v>9478</v>
      </c>
      <c r="W3075">
        <v>6</v>
      </c>
      <c r="X3075" t="s">
        <v>12553</v>
      </c>
      <c r="Y3075">
        <v>0.42343267895333409</v>
      </c>
      <c r="Z3075" t="str">
        <f>HYPERLINK("Melting_Curves/meltCurve_sp_Q99570_PI3R4_HUMAN_.pdf", "Melting_Curves/meltCurve_sp_Q99570_PI3R4_HUMAN_.pdf")</f>
        <v>Melting_Curves/meltCurve_sp_Q99570_PI3R4_HUMAN_.pdf</v>
      </c>
      <c r="AA3075" t="s">
        <v>17242</v>
      </c>
      <c r="AB3075" t="s">
        <v>21909</v>
      </c>
    </row>
    <row r="3076" spans="1:28" x14ac:dyDescent="0.25">
      <c r="A3076" t="s">
        <v>3080</v>
      </c>
      <c r="B3076">
        <v>0.99904790336628502</v>
      </c>
      <c r="C3076">
        <v>1.10269517144439</v>
      </c>
      <c r="D3076">
        <v>1.1290317002179699</v>
      </c>
      <c r="E3076">
        <v>1.1295843722089001</v>
      </c>
      <c r="F3076">
        <v>0.92778266110027996</v>
      </c>
      <c r="G3076">
        <v>0.73997007184171804</v>
      </c>
      <c r="H3076">
        <v>0.41279129615174698</v>
      </c>
      <c r="I3076">
        <v>0.133665619266329</v>
      </c>
      <c r="J3076">
        <v>5.7407846684972702E-2</v>
      </c>
      <c r="K3076">
        <v>7.6938362138540897E-2</v>
      </c>
      <c r="L3076">
        <v>1502.9235003126801</v>
      </c>
      <c r="M3076">
        <v>25.226855062899901</v>
      </c>
      <c r="N3076">
        <v>59.689971993554103</v>
      </c>
      <c r="O3076">
        <v>59.205754817771599</v>
      </c>
      <c r="P3076">
        <v>-0.10402585822608</v>
      </c>
      <c r="Q3076">
        <v>2.3445660803020199E-2</v>
      </c>
      <c r="R3076">
        <v>0.97212886244340302</v>
      </c>
      <c r="S3076" t="s">
        <v>7816</v>
      </c>
      <c r="T3076" t="s">
        <v>9478</v>
      </c>
      <c r="U3076" t="s">
        <v>9478</v>
      </c>
      <c r="V3076" t="s">
        <v>9478</v>
      </c>
      <c r="W3076">
        <v>6</v>
      </c>
      <c r="X3076" t="s">
        <v>12554</v>
      </c>
      <c r="Y3076">
        <v>0.6682247260707016</v>
      </c>
      <c r="Z3076" t="str">
        <f>HYPERLINK("Melting_Curves/meltCurve_sp_Q99575_POP1_HUMAN_.pdf", "Melting_Curves/meltCurve_sp_Q99575_POP1_HUMAN_.pdf")</f>
        <v>Melting_Curves/meltCurve_sp_Q99575_POP1_HUMAN_.pdf</v>
      </c>
      <c r="AA3076" t="s">
        <v>17243</v>
      </c>
      <c r="AB3076" t="s">
        <v>21910</v>
      </c>
    </row>
    <row r="3077" spans="1:28" x14ac:dyDescent="0.25">
      <c r="A3077" t="s">
        <v>3081</v>
      </c>
      <c r="B3077">
        <v>0.99904790336628502</v>
      </c>
      <c r="C3077">
        <v>0.97756502082960195</v>
      </c>
      <c r="D3077">
        <v>0.95441980173433005</v>
      </c>
      <c r="E3077">
        <v>0.90382107082108898</v>
      </c>
      <c r="F3077">
        <v>0.84883756716100101</v>
      </c>
      <c r="G3077">
        <v>0.62563316218307996</v>
      </c>
      <c r="H3077">
        <v>0.52315503249092199</v>
      </c>
      <c r="I3077">
        <v>0.51216269776479695</v>
      </c>
      <c r="J3077">
        <v>0.54156652311667597</v>
      </c>
      <c r="K3077">
        <v>0.49621543842016003</v>
      </c>
      <c r="L3077">
        <v>1140.90347747799</v>
      </c>
      <c r="M3077">
        <v>20.9838890803595</v>
      </c>
      <c r="O3077">
        <v>53.883886183857797</v>
      </c>
      <c r="P3077">
        <v>-4.8835228722470397E-2</v>
      </c>
      <c r="Q3077">
        <v>0.498403553683613</v>
      </c>
      <c r="R3077">
        <v>0.98736479332605198</v>
      </c>
      <c r="S3077" t="s">
        <v>7817</v>
      </c>
      <c r="T3077" t="s">
        <v>9478</v>
      </c>
      <c r="U3077" t="s">
        <v>9478</v>
      </c>
      <c r="V3077" t="s">
        <v>9478</v>
      </c>
      <c r="W3077">
        <v>5</v>
      </c>
      <c r="X3077" t="s">
        <v>12555</v>
      </c>
      <c r="Y3077">
        <v>0.74494883300774362</v>
      </c>
      <c r="Z3077" t="str">
        <f>HYPERLINK("Melting_Curves/meltCurve_sp_Q99584_S10AD_HUMAN_.pdf", "Melting_Curves/meltCurve_sp_Q99584_S10AD_HUMAN_.pdf")</f>
        <v>Melting_Curves/meltCurve_sp_Q99584_S10AD_HUMAN_.pdf</v>
      </c>
      <c r="AA3077" t="s">
        <v>17244</v>
      </c>
      <c r="AB3077" t="s">
        <v>21911</v>
      </c>
    </row>
    <row r="3078" spans="1:28" x14ac:dyDescent="0.25">
      <c r="A3078" t="s">
        <v>3082</v>
      </c>
      <c r="B3078">
        <v>0.99904790336628502</v>
      </c>
      <c r="C3078">
        <v>1.15805532953779</v>
      </c>
      <c r="D3078">
        <v>1.0641147297089399</v>
      </c>
      <c r="E3078">
        <v>1.0916496241493101</v>
      </c>
      <c r="F3078">
        <v>1.24882377440437</v>
      </c>
      <c r="G3078">
        <v>0.90668669641733302</v>
      </c>
      <c r="H3078">
        <v>0.78183743691831697</v>
      </c>
      <c r="I3078">
        <v>0.85596248679536902</v>
      </c>
      <c r="J3078">
        <v>0.87545388006052904</v>
      </c>
      <c r="K3078">
        <v>0.82214912896696601</v>
      </c>
      <c r="L3078">
        <v>14235.878084234</v>
      </c>
      <c r="M3078">
        <v>250</v>
      </c>
      <c r="O3078">
        <v>56.9398685915816</v>
      </c>
      <c r="P3078">
        <v>-0.182373608843933</v>
      </c>
      <c r="Q3078">
        <v>0.83385073180410596</v>
      </c>
      <c r="R3078">
        <v>0.524599625240875</v>
      </c>
      <c r="S3078" t="s">
        <v>7818</v>
      </c>
      <c r="T3078" t="s">
        <v>9478</v>
      </c>
      <c r="U3078" t="s">
        <v>9478</v>
      </c>
      <c r="V3078" t="s">
        <v>9478</v>
      </c>
      <c r="W3078">
        <v>9</v>
      </c>
      <c r="X3078" t="s">
        <v>12556</v>
      </c>
      <c r="Y3078">
        <v>0.9277057417758876</v>
      </c>
      <c r="Z3078" t="str">
        <f>HYPERLINK("Melting_Curves/meltCurve_sp_Q99590_2_SCAFB_HUMAN_.pdf", "Melting_Curves/meltCurve_sp_Q99590_2_SCAFB_HUMAN_.pdf")</f>
        <v>Melting_Curves/meltCurve_sp_Q99590_2_SCAFB_HUMAN_.pdf</v>
      </c>
      <c r="AA3078" t="s">
        <v>17245</v>
      </c>
      <c r="AB3078" t="s">
        <v>21912</v>
      </c>
    </row>
    <row r="3079" spans="1:28" x14ac:dyDescent="0.25">
      <c r="A3079" t="s">
        <v>3083</v>
      </c>
      <c r="B3079">
        <v>0.99904790336628502</v>
      </c>
      <c r="C3079">
        <v>0.98587441864976</v>
      </c>
      <c r="D3079">
        <v>1.0042174350931301</v>
      </c>
      <c r="E3079">
        <v>0.93052915666233704</v>
      </c>
      <c r="F3079">
        <v>0.78430448415802001</v>
      </c>
      <c r="G3079">
        <v>0.65237229400809504</v>
      </c>
      <c r="H3079">
        <v>0.54187814998296602</v>
      </c>
      <c r="I3079">
        <v>0.47312579354740703</v>
      </c>
      <c r="J3079">
        <v>0.320576194755057</v>
      </c>
      <c r="K3079">
        <v>0.208338853857824</v>
      </c>
      <c r="L3079">
        <v>582.93068572237905</v>
      </c>
      <c r="M3079">
        <v>9.4419477818952302</v>
      </c>
      <c r="N3079">
        <v>61.738376133454899</v>
      </c>
      <c r="O3079">
        <v>59.159116193467902</v>
      </c>
      <c r="P3079">
        <v>-3.9924803497608803E-2</v>
      </c>
      <c r="Q3079">
        <v>0</v>
      </c>
      <c r="R3079">
        <v>0.98686453895121296</v>
      </c>
      <c r="S3079" t="s">
        <v>7819</v>
      </c>
      <c r="T3079" t="s">
        <v>9478</v>
      </c>
      <c r="U3079" t="s">
        <v>9478</v>
      </c>
      <c r="V3079" t="s">
        <v>9478</v>
      </c>
      <c r="W3079">
        <v>12</v>
      </c>
      <c r="X3079" t="s">
        <v>12557</v>
      </c>
      <c r="Y3079">
        <v>0.70235650901737923</v>
      </c>
      <c r="Z3079" t="str">
        <f>HYPERLINK("Melting_Curves/meltCurve_sp_Q99598_TSNAX_HUMAN_.pdf", "Melting_Curves/meltCurve_sp_Q99598_TSNAX_HUMAN_.pdf")</f>
        <v>Melting_Curves/meltCurve_sp_Q99598_TSNAX_HUMAN_.pdf</v>
      </c>
      <c r="AA3079" t="s">
        <v>17246</v>
      </c>
      <c r="AB3079" t="s">
        <v>21913</v>
      </c>
    </row>
    <row r="3080" spans="1:28" x14ac:dyDescent="0.25">
      <c r="A3080" t="s">
        <v>3084</v>
      </c>
      <c r="B3080">
        <v>0.99904790336628502</v>
      </c>
      <c r="C3080">
        <v>0.85522161863961699</v>
      </c>
      <c r="D3080">
        <v>0.84880249847875799</v>
      </c>
      <c r="E3080">
        <v>0.86031110607751704</v>
      </c>
      <c r="F3080">
        <v>0.73532579356220895</v>
      </c>
      <c r="G3080">
        <v>0.63159494473984801</v>
      </c>
      <c r="H3080">
        <v>0.47313826889218302</v>
      </c>
      <c r="I3080">
        <v>0.349014659715293</v>
      </c>
      <c r="J3080">
        <v>0.15974217760286599</v>
      </c>
      <c r="K3080">
        <v>6.3718209654916702E-2</v>
      </c>
      <c r="L3080">
        <v>599.59421371342899</v>
      </c>
      <c r="M3080">
        <v>10.188251176734701</v>
      </c>
      <c r="N3080">
        <v>58.851526972407797</v>
      </c>
      <c r="O3080">
        <v>56.719329381610997</v>
      </c>
      <c r="P3080">
        <v>-4.4926771005426198E-2</v>
      </c>
      <c r="Q3080">
        <v>0</v>
      </c>
      <c r="R3080">
        <v>0.94929762146414998</v>
      </c>
      <c r="S3080" t="s">
        <v>7820</v>
      </c>
      <c r="T3080" t="s">
        <v>9478</v>
      </c>
      <c r="U3080" t="s">
        <v>9478</v>
      </c>
      <c r="V3080" t="s">
        <v>9478</v>
      </c>
      <c r="W3080">
        <v>13</v>
      </c>
      <c r="X3080" t="s">
        <v>12558</v>
      </c>
      <c r="Y3080">
        <v>0.63329345982039653</v>
      </c>
      <c r="Z3080" t="str">
        <f>HYPERLINK("Melting_Curves/meltCurve_sp_Q99611_SPS2_HUMAN_.pdf", "Melting_Curves/meltCurve_sp_Q99611_SPS2_HUMAN_.pdf")</f>
        <v>Melting_Curves/meltCurve_sp_Q99611_SPS2_HUMAN_.pdf</v>
      </c>
      <c r="AA3080" t="s">
        <v>17247</v>
      </c>
      <c r="AB3080" t="s">
        <v>21914</v>
      </c>
    </row>
    <row r="3081" spans="1:28" x14ac:dyDescent="0.25">
      <c r="A3081" t="s">
        <v>3085</v>
      </c>
      <c r="B3081">
        <v>0.99904790336628502</v>
      </c>
      <c r="C3081">
        <v>0.97967237666204998</v>
      </c>
      <c r="D3081">
        <v>0.939641064764828</v>
      </c>
      <c r="E3081">
        <v>0.87303755580299702</v>
      </c>
      <c r="F3081">
        <v>0.84882861907629503</v>
      </c>
      <c r="G3081">
        <v>0.62883203150955702</v>
      </c>
      <c r="H3081">
        <v>0.62346650467790199</v>
      </c>
      <c r="I3081">
        <v>0.61326925840440205</v>
      </c>
      <c r="J3081">
        <v>0.634780856799391</v>
      </c>
      <c r="K3081">
        <v>0.62981092768470903</v>
      </c>
      <c r="L3081">
        <v>991.96724366582202</v>
      </c>
      <c r="M3081">
        <v>18.867044150364499</v>
      </c>
      <c r="O3081">
        <v>51.996740469318503</v>
      </c>
      <c r="P3081">
        <v>-3.5541436036014298E-2</v>
      </c>
      <c r="Q3081">
        <v>0.60821353608669604</v>
      </c>
      <c r="R3081">
        <v>0.96278872368687596</v>
      </c>
      <c r="S3081" t="s">
        <v>7821</v>
      </c>
      <c r="T3081" t="s">
        <v>9478</v>
      </c>
      <c r="U3081" t="s">
        <v>9478</v>
      </c>
      <c r="V3081" t="s">
        <v>9478</v>
      </c>
      <c r="W3081">
        <v>8</v>
      </c>
      <c r="X3081" t="s">
        <v>12559</v>
      </c>
      <c r="Y3081">
        <v>0.77843501126407566</v>
      </c>
      <c r="Z3081" t="str">
        <f>HYPERLINK("Melting_Curves/meltCurve_sp_Q99614_TTC1_HUMAN_.pdf", "Melting_Curves/meltCurve_sp_Q99614_TTC1_HUMAN_.pdf")</f>
        <v>Melting_Curves/meltCurve_sp_Q99614_TTC1_HUMAN_.pdf</v>
      </c>
      <c r="AA3081" t="s">
        <v>17248</v>
      </c>
      <c r="AB3081" t="s">
        <v>21915</v>
      </c>
    </row>
    <row r="3082" spans="1:28" x14ac:dyDescent="0.25">
      <c r="A3082" t="s">
        <v>3086</v>
      </c>
      <c r="B3082">
        <v>0.99904790336628502</v>
      </c>
      <c r="C3082">
        <v>0.90808338638470798</v>
      </c>
      <c r="D3082">
        <v>0.87458392212020997</v>
      </c>
      <c r="E3082">
        <v>0.48976977208279898</v>
      </c>
      <c r="F3082">
        <v>0.124961936244382</v>
      </c>
      <c r="G3082">
        <v>8.0677824793675496E-2</v>
      </c>
      <c r="H3082">
        <v>5.4237043656927997E-2</v>
      </c>
      <c r="I3082">
        <v>4.4814686437211197E-2</v>
      </c>
      <c r="J3082">
        <v>3.3124300166322E-2</v>
      </c>
      <c r="K3082">
        <v>3.3364720555166101E-2</v>
      </c>
      <c r="L3082">
        <v>1307.99363946207</v>
      </c>
      <c r="M3082">
        <v>26.424620078157801</v>
      </c>
      <c r="N3082">
        <v>49.637691413156503</v>
      </c>
      <c r="O3082">
        <v>49.218173892167201</v>
      </c>
      <c r="P3082">
        <v>-0.129448527891872</v>
      </c>
      <c r="Q3082">
        <v>3.5573443238574101E-2</v>
      </c>
      <c r="R3082">
        <v>0.99314085544587405</v>
      </c>
      <c r="S3082" t="s">
        <v>7822</v>
      </c>
      <c r="T3082" t="s">
        <v>9478</v>
      </c>
      <c r="U3082" t="s">
        <v>9478</v>
      </c>
      <c r="V3082" t="s">
        <v>9478</v>
      </c>
      <c r="W3082">
        <v>18</v>
      </c>
      <c r="X3082" t="s">
        <v>12560</v>
      </c>
      <c r="Y3082">
        <v>0.34860821462868952</v>
      </c>
      <c r="Z3082" t="str">
        <f>HYPERLINK("Melting_Curves/meltCurve_sp_Q99615_DNJC7_HUMAN_.pdf", "Melting_Curves/meltCurve_sp_Q99615_DNJC7_HUMAN_.pdf")</f>
        <v>Melting_Curves/meltCurve_sp_Q99615_DNJC7_HUMAN_.pdf</v>
      </c>
      <c r="AA3082" t="s">
        <v>17249</v>
      </c>
      <c r="AB3082" t="s">
        <v>21916</v>
      </c>
    </row>
    <row r="3083" spans="1:28" x14ac:dyDescent="0.25">
      <c r="A3083" t="s">
        <v>3087</v>
      </c>
      <c r="B3083">
        <v>0.99904790336628502</v>
      </c>
      <c r="C3083">
        <v>0.81839329380194903</v>
      </c>
      <c r="D3083">
        <v>0.86985070142231002</v>
      </c>
      <c r="E3083">
        <v>0.94769200289628797</v>
      </c>
      <c r="F3083">
        <v>0.90237740118102705</v>
      </c>
      <c r="G3083">
        <v>0.71137307402523497</v>
      </c>
      <c r="H3083">
        <v>0.54288120218035596</v>
      </c>
      <c r="I3083">
        <v>0.41558457907680402</v>
      </c>
      <c r="J3083">
        <v>0.36333095664645998</v>
      </c>
      <c r="K3083">
        <v>0.45742711243585699</v>
      </c>
      <c r="L3083">
        <v>1034.1841429501601</v>
      </c>
      <c r="M3083">
        <v>18.028294844813399</v>
      </c>
      <c r="N3083">
        <v>61.957165183900898</v>
      </c>
      <c r="O3083">
        <v>56.672665846920601</v>
      </c>
      <c r="P3083">
        <v>-5.0216438536692297E-2</v>
      </c>
      <c r="Q3083">
        <v>0.36860142932169998</v>
      </c>
      <c r="R3083">
        <v>0.88994311683724003</v>
      </c>
      <c r="S3083" t="s">
        <v>7823</v>
      </c>
      <c r="T3083" t="s">
        <v>9478</v>
      </c>
      <c r="U3083" t="s">
        <v>9478</v>
      </c>
      <c r="V3083" t="s">
        <v>9478</v>
      </c>
      <c r="W3083">
        <v>2</v>
      </c>
      <c r="X3083" t="s">
        <v>12561</v>
      </c>
      <c r="Y3083">
        <v>0.74243441308263824</v>
      </c>
      <c r="Z3083" t="str">
        <f>HYPERLINK("Melting_Curves/meltCurve_sp_Q99622_C10_HUMAN_.pdf", "Melting_Curves/meltCurve_sp_Q99622_C10_HUMAN_.pdf")</f>
        <v>Melting_Curves/meltCurve_sp_Q99622_C10_HUMAN_.pdf</v>
      </c>
      <c r="AA3083" t="s">
        <v>17250</v>
      </c>
      <c r="AB3083" t="s">
        <v>21917</v>
      </c>
    </row>
    <row r="3084" spans="1:28" x14ac:dyDescent="0.25">
      <c r="A3084" t="s">
        <v>3088</v>
      </c>
      <c r="B3084">
        <v>0.99904790336628502</v>
      </c>
      <c r="C3084">
        <v>0.95425237420959796</v>
      </c>
      <c r="D3084">
        <v>0.87548062286373096</v>
      </c>
      <c r="E3084">
        <v>0.91378810378839403</v>
      </c>
      <c r="F3084">
        <v>1.1218286658659899</v>
      </c>
      <c r="G3084">
        <v>0.84298988621221405</v>
      </c>
      <c r="H3084">
        <v>0.77942126759150299</v>
      </c>
      <c r="I3084">
        <v>0.71247482015504904</v>
      </c>
      <c r="J3084">
        <v>0.79037854341819103</v>
      </c>
      <c r="K3084">
        <v>0.86216648442755495</v>
      </c>
      <c r="L3084">
        <v>14192.1237388266</v>
      </c>
      <c r="M3084">
        <v>250</v>
      </c>
      <c r="O3084">
        <v>56.764862165377103</v>
      </c>
      <c r="P3084">
        <v>-0.235499695996573</v>
      </c>
      <c r="Q3084">
        <v>0.78611027578381898</v>
      </c>
      <c r="R3084">
        <v>0.59717342738191403</v>
      </c>
      <c r="S3084" t="s">
        <v>7824</v>
      </c>
      <c r="T3084" t="s">
        <v>9478</v>
      </c>
      <c r="U3084" t="s">
        <v>9478</v>
      </c>
      <c r="V3084" t="s">
        <v>9478</v>
      </c>
      <c r="W3084">
        <v>1</v>
      </c>
      <c r="X3084" t="s">
        <v>12562</v>
      </c>
      <c r="Y3084">
        <v>0.90568521053555806</v>
      </c>
      <c r="Z3084" t="str">
        <f>HYPERLINK("Melting_Curves/meltCurve_sp_Q99624_S38A3_HUMAN_.pdf", "Melting_Curves/meltCurve_sp_Q99624_S38A3_HUMAN_.pdf")</f>
        <v>Melting_Curves/meltCurve_sp_Q99624_S38A3_HUMAN_.pdf</v>
      </c>
      <c r="AA3084" t="s">
        <v>17251</v>
      </c>
      <c r="AB3084" t="s">
        <v>21918</v>
      </c>
    </row>
    <row r="3085" spans="1:28" x14ac:dyDescent="0.25">
      <c r="A3085" t="s">
        <v>3089</v>
      </c>
      <c r="B3085">
        <v>0.99904790336628502</v>
      </c>
      <c r="C3085">
        <v>1.0254512796565001</v>
      </c>
      <c r="D3085">
        <v>1.13820763954528</v>
      </c>
      <c r="E3085">
        <v>1.0608853660793001</v>
      </c>
      <c r="F3085">
        <v>0.95266863703182203</v>
      </c>
      <c r="G3085">
        <v>0.44728272304019701</v>
      </c>
      <c r="H3085">
        <v>0.40346192243804102</v>
      </c>
      <c r="I3085">
        <v>0.19203256946466299</v>
      </c>
      <c r="J3085">
        <v>5.5245275632772699E-2</v>
      </c>
      <c r="K3085">
        <v>3.16560977360884E-2</v>
      </c>
      <c r="L3085">
        <v>1175.17820360416</v>
      </c>
      <c r="M3085">
        <v>20.2858938717998</v>
      </c>
      <c r="N3085">
        <v>58.136539033498003</v>
      </c>
      <c r="O3085">
        <v>57.376668064662198</v>
      </c>
      <c r="P3085">
        <v>-8.5330449623722396E-2</v>
      </c>
      <c r="Q3085">
        <v>3.4634365691312299E-2</v>
      </c>
      <c r="R3085">
        <v>0.95801463597951897</v>
      </c>
      <c r="S3085" t="s">
        <v>7825</v>
      </c>
      <c r="T3085" t="s">
        <v>9478</v>
      </c>
      <c r="U3085" t="s">
        <v>9478</v>
      </c>
      <c r="V3085" t="s">
        <v>9478</v>
      </c>
      <c r="W3085">
        <v>5</v>
      </c>
      <c r="X3085" t="s">
        <v>12563</v>
      </c>
      <c r="Y3085">
        <v>0.62248188534631532</v>
      </c>
      <c r="Z3085" t="str">
        <f>HYPERLINK("Melting_Curves/meltCurve_sp_Q99627_2_CSN8_HUMAN_.pdf", "Melting_Curves/meltCurve_sp_Q99627_2_CSN8_HUMAN_.pdf")</f>
        <v>Melting_Curves/meltCurve_sp_Q99627_2_CSN8_HUMAN_.pdf</v>
      </c>
      <c r="AA3085" t="s">
        <v>17252</v>
      </c>
      <c r="AB3085" t="s">
        <v>21919</v>
      </c>
    </row>
    <row r="3086" spans="1:28" x14ac:dyDescent="0.25">
      <c r="A3086" t="s">
        <v>3090</v>
      </c>
      <c r="B3086">
        <v>0.99904790336628502</v>
      </c>
      <c r="C3086">
        <v>0.98247439706099704</v>
      </c>
      <c r="D3086">
        <v>0.95407427378238197</v>
      </c>
      <c r="E3086">
        <v>0.633365654537281</v>
      </c>
      <c r="F3086">
        <v>0.50408939429834299</v>
      </c>
      <c r="G3086">
        <v>0.43240514118853401</v>
      </c>
      <c r="H3086">
        <v>0.31470618954657598</v>
      </c>
      <c r="I3086">
        <v>0.182059130577302</v>
      </c>
      <c r="J3086">
        <v>0.148643135236772</v>
      </c>
      <c r="K3086">
        <v>0.10236224751028999</v>
      </c>
      <c r="L3086">
        <v>602.17038772446801</v>
      </c>
      <c r="M3086">
        <v>11.266197263448699</v>
      </c>
      <c r="N3086">
        <v>54.188654115646798</v>
      </c>
      <c r="O3086">
        <v>51.848337050395898</v>
      </c>
      <c r="P3086">
        <v>-5.0468231032099901E-2</v>
      </c>
      <c r="Q3086">
        <v>7.1243314465058105E-2</v>
      </c>
      <c r="R3086">
        <v>0.97811823581215396</v>
      </c>
      <c r="S3086" t="s">
        <v>7826</v>
      </c>
      <c r="T3086" t="s">
        <v>9478</v>
      </c>
      <c r="U3086" t="s">
        <v>9478</v>
      </c>
      <c r="V3086" t="s">
        <v>9478</v>
      </c>
      <c r="W3086">
        <v>2</v>
      </c>
      <c r="X3086" t="s">
        <v>12564</v>
      </c>
      <c r="Y3086">
        <v>0.514754001564799</v>
      </c>
      <c r="Z3086" t="str">
        <f>HYPERLINK("Melting_Curves/meltCurve_sp_Q99653_CHP1_HUMAN_.pdf", "Melting_Curves/meltCurve_sp_Q99653_CHP1_HUMAN_.pdf")</f>
        <v>Melting_Curves/meltCurve_sp_Q99653_CHP1_HUMAN_.pdf</v>
      </c>
      <c r="AA3086" t="s">
        <v>17253</v>
      </c>
      <c r="AB3086" t="s">
        <v>21920</v>
      </c>
    </row>
    <row r="3087" spans="1:28" x14ac:dyDescent="0.25">
      <c r="A3087" t="s">
        <v>3091</v>
      </c>
      <c r="B3087">
        <v>0.99904790336628502</v>
      </c>
      <c r="C3087">
        <v>0.742258281366733</v>
      </c>
      <c r="D3087">
        <v>0.74291334973878098</v>
      </c>
      <c r="E3087">
        <v>0.76567318952955499</v>
      </c>
      <c r="F3087">
        <v>0.64778906074248999</v>
      </c>
      <c r="G3087">
        <v>0.28852154105165101</v>
      </c>
      <c r="H3087">
        <v>0.12502221326774099</v>
      </c>
      <c r="I3087">
        <v>7.9156975274704194E-2</v>
      </c>
      <c r="J3087">
        <v>6.43072099901702E-2</v>
      </c>
      <c r="K3087">
        <v>6.3409836219374294E-2</v>
      </c>
      <c r="L3087">
        <v>601.52763976560198</v>
      </c>
      <c r="M3087">
        <v>11.2836816652161</v>
      </c>
      <c r="N3087">
        <v>53.309517512916401</v>
      </c>
      <c r="O3087">
        <v>51.717442327746603</v>
      </c>
      <c r="P3087">
        <v>-5.4561537441471401E-2</v>
      </c>
      <c r="Q3087">
        <v>0</v>
      </c>
      <c r="R3087">
        <v>0.92636297037884396</v>
      </c>
      <c r="S3087" t="s">
        <v>7827</v>
      </c>
      <c r="T3087" t="s">
        <v>9478</v>
      </c>
      <c r="U3087" t="s">
        <v>9478</v>
      </c>
      <c r="V3087" t="s">
        <v>9478</v>
      </c>
      <c r="W3087">
        <v>3</v>
      </c>
      <c r="X3087" t="s">
        <v>12565</v>
      </c>
      <c r="Y3087">
        <v>0.47322277071905189</v>
      </c>
      <c r="Z3087" t="str">
        <f>HYPERLINK("Melting_Curves/meltCurve_sp_Q99685_MGLL_HUMAN_.pdf", "Melting_Curves/meltCurve_sp_Q99685_MGLL_HUMAN_.pdf")</f>
        <v>Melting_Curves/meltCurve_sp_Q99685_MGLL_HUMAN_.pdf</v>
      </c>
      <c r="AA3087" t="s">
        <v>17254</v>
      </c>
      <c r="AB3087" t="s">
        <v>21921</v>
      </c>
    </row>
    <row r="3088" spans="1:28" x14ac:dyDescent="0.25">
      <c r="A3088" t="s">
        <v>3092</v>
      </c>
      <c r="B3088">
        <v>0.99904790336628502</v>
      </c>
      <c r="C3088">
        <v>0.99824699235770098</v>
      </c>
      <c r="D3088">
        <v>1.00651636814359</v>
      </c>
      <c r="E3088">
        <v>0.89961150839538795</v>
      </c>
      <c r="F3088">
        <v>0.70670258352177295</v>
      </c>
      <c r="G3088">
        <v>0.40439012707625999</v>
      </c>
      <c r="H3088">
        <v>0.31750780150991098</v>
      </c>
      <c r="I3088">
        <v>0.25904071116396699</v>
      </c>
      <c r="J3088">
        <v>0.25928843641413901</v>
      </c>
      <c r="K3088">
        <v>0.233345181997726</v>
      </c>
      <c r="L3088">
        <v>1276.09532373923</v>
      </c>
      <c r="M3088">
        <v>23.633573687256401</v>
      </c>
      <c r="N3088">
        <v>55.589146768135699</v>
      </c>
      <c r="O3088">
        <v>53.612893153155603</v>
      </c>
      <c r="P3088">
        <v>-8.3082764686224303E-2</v>
      </c>
      <c r="Q3088">
        <v>0.24611783898303899</v>
      </c>
      <c r="R3088">
        <v>0.99870841794472298</v>
      </c>
      <c r="S3088" t="s">
        <v>7828</v>
      </c>
      <c r="T3088" t="s">
        <v>9478</v>
      </c>
      <c r="U3088" t="s">
        <v>9478</v>
      </c>
      <c r="V3088" t="s">
        <v>9478</v>
      </c>
      <c r="W3088">
        <v>14</v>
      </c>
      <c r="X3088" t="s">
        <v>12566</v>
      </c>
      <c r="Y3088">
        <v>0.60552301017323085</v>
      </c>
      <c r="Z3088" t="str">
        <f>HYPERLINK("Melting_Curves/meltCurve_sp_Q99700_4_ATX2_HUMAN_.pdf", "Melting_Curves/meltCurve_sp_Q99700_4_ATX2_HUMAN_.pdf")</f>
        <v>Melting_Curves/meltCurve_sp_Q99700_4_ATX2_HUMAN_.pdf</v>
      </c>
      <c r="AA3088" t="s">
        <v>17255</v>
      </c>
      <c r="AB3088" t="s">
        <v>21922</v>
      </c>
    </row>
    <row r="3089" spans="1:28" x14ac:dyDescent="0.25">
      <c r="A3089" t="s">
        <v>3093</v>
      </c>
      <c r="B3089">
        <v>0.99904790336628502</v>
      </c>
      <c r="C3089">
        <v>0.96163049029563796</v>
      </c>
      <c r="D3089">
        <v>0.93608743934470595</v>
      </c>
      <c r="E3089">
        <v>0.69300624519951803</v>
      </c>
      <c r="F3089">
        <v>0.497079111452157</v>
      </c>
      <c r="G3089">
        <v>0.27184321764883201</v>
      </c>
      <c r="H3089">
        <v>0.197551678442244</v>
      </c>
      <c r="I3089">
        <v>0.12995627535797799</v>
      </c>
      <c r="J3089">
        <v>8.8603885917311095E-2</v>
      </c>
      <c r="K3089">
        <v>7.4394629819050803E-2</v>
      </c>
      <c r="L3089">
        <v>812.81443917752404</v>
      </c>
      <c r="M3089">
        <v>15.4836313309911</v>
      </c>
      <c r="N3089">
        <v>53.004581356518798</v>
      </c>
      <c r="O3089">
        <v>51.642822860573297</v>
      </c>
      <c r="P3089">
        <v>-6.9778859817227604E-2</v>
      </c>
      <c r="Q3089">
        <v>6.9144499198689993E-2</v>
      </c>
      <c r="R3089">
        <v>0.99794494987685001</v>
      </c>
      <c r="S3089" t="s">
        <v>7829</v>
      </c>
      <c r="T3089" t="s">
        <v>9478</v>
      </c>
      <c r="U3089" t="s">
        <v>9478</v>
      </c>
      <c r="V3089" t="s">
        <v>9478</v>
      </c>
      <c r="W3089">
        <v>12</v>
      </c>
      <c r="X3089" t="s">
        <v>12567</v>
      </c>
      <c r="Y3089">
        <v>0.47634994223321481</v>
      </c>
      <c r="Z3089" t="str">
        <f>HYPERLINK("Melting_Curves/meltCurve_sp_Q99707_METH_HUMAN_.pdf", "Melting_Curves/meltCurve_sp_Q99707_METH_HUMAN_.pdf")</f>
        <v>Melting_Curves/meltCurve_sp_Q99707_METH_HUMAN_.pdf</v>
      </c>
      <c r="AA3089" t="s">
        <v>17256</v>
      </c>
      <c r="AB3089" t="s">
        <v>21923</v>
      </c>
    </row>
    <row r="3090" spans="1:28" x14ac:dyDescent="0.25">
      <c r="A3090" t="s">
        <v>3094</v>
      </c>
      <c r="B3090">
        <v>0.99904790336628502</v>
      </c>
      <c r="C3090">
        <v>0.95533240662568497</v>
      </c>
      <c r="D3090">
        <v>0.88227254307761405</v>
      </c>
      <c r="E3090">
        <v>0.54790235836855405</v>
      </c>
      <c r="F3090">
        <v>0.27142046502242001</v>
      </c>
      <c r="G3090">
        <v>0.147506333168482</v>
      </c>
      <c r="H3090">
        <v>8.4473918203023801E-2</v>
      </c>
      <c r="I3090">
        <v>4.6305140833730898E-2</v>
      </c>
      <c r="J3090">
        <v>3.2874486047834203E-2</v>
      </c>
      <c r="K3090">
        <v>2.6353125735519602E-2</v>
      </c>
      <c r="L3090">
        <v>997.95633111759003</v>
      </c>
      <c r="M3090">
        <v>19.846066528682101</v>
      </c>
      <c r="N3090">
        <v>50.479766030824102</v>
      </c>
      <c r="O3090">
        <v>49.782641879746102</v>
      </c>
      <c r="P3090">
        <v>-9.5991011063025503E-2</v>
      </c>
      <c r="Q3090">
        <v>3.68820397147148E-2</v>
      </c>
      <c r="R3090">
        <v>0.99852212345642199</v>
      </c>
      <c r="S3090" t="s">
        <v>7830</v>
      </c>
      <c r="T3090" t="s">
        <v>9478</v>
      </c>
      <c r="U3090" t="s">
        <v>9478</v>
      </c>
      <c r="V3090" t="s">
        <v>9478</v>
      </c>
      <c r="W3090">
        <v>14</v>
      </c>
      <c r="X3090" t="s">
        <v>12568</v>
      </c>
      <c r="Y3090">
        <v>0.38066152355066069</v>
      </c>
      <c r="Z3090" t="str">
        <f>HYPERLINK("Melting_Curves/meltCurve_sp_Q99714_HCD2_HUMAN_.pdf", "Melting_Curves/meltCurve_sp_Q99714_HCD2_HUMAN_.pdf")</f>
        <v>Melting_Curves/meltCurve_sp_Q99714_HCD2_HUMAN_.pdf</v>
      </c>
      <c r="AA3090" t="s">
        <v>17257</v>
      </c>
      <c r="AB3090" t="s">
        <v>21924</v>
      </c>
    </row>
    <row r="3091" spans="1:28" x14ac:dyDescent="0.25">
      <c r="A3091" t="s">
        <v>3095</v>
      </c>
      <c r="B3091">
        <v>0.99904790336628502</v>
      </c>
      <c r="C3091">
        <v>1.02879028598339</v>
      </c>
      <c r="D3091">
        <v>1.02563126869613</v>
      </c>
      <c r="E3091">
        <v>0.78777557897721895</v>
      </c>
      <c r="F3091">
        <v>0.64244509543367601</v>
      </c>
      <c r="G3091">
        <v>0.36630633308867599</v>
      </c>
      <c r="H3091">
        <v>0.25440426563118601</v>
      </c>
      <c r="I3091">
        <v>0.19563770391306401</v>
      </c>
      <c r="J3091">
        <v>0.20831445271100299</v>
      </c>
      <c r="K3091">
        <v>0.19815046910116799</v>
      </c>
      <c r="L3091">
        <v>1060.09665148913</v>
      </c>
      <c r="M3091">
        <v>19.8569977386434</v>
      </c>
      <c r="N3091">
        <v>54.6712839694693</v>
      </c>
      <c r="O3091">
        <v>52.8539276849516</v>
      </c>
      <c r="P3091">
        <v>-7.6415105821522195E-2</v>
      </c>
      <c r="Q3091">
        <v>0.186441950044067</v>
      </c>
      <c r="R3091">
        <v>0.99384831935575602</v>
      </c>
      <c r="S3091" t="s">
        <v>7831</v>
      </c>
      <c r="T3091" t="s">
        <v>9478</v>
      </c>
      <c r="U3091" t="s">
        <v>9478</v>
      </c>
      <c r="V3091" t="s">
        <v>9478</v>
      </c>
      <c r="W3091">
        <v>9</v>
      </c>
      <c r="X3091" t="s">
        <v>12569</v>
      </c>
      <c r="Y3091">
        <v>0.5607482226604712</v>
      </c>
      <c r="Z3091" t="str">
        <f>HYPERLINK("Melting_Curves/meltCurve_sp_Q99733_NP1L4_HUMAN_.pdf", "Melting_Curves/meltCurve_sp_Q99733_NP1L4_HUMAN_.pdf")</f>
        <v>Melting_Curves/meltCurve_sp_Q99733_NP1L4_HUMAN_.pdf</v>
      </c>
      <c r="AA3091" t="s">
        <v>17258</v>
      </c>
      <c r="AB3091" t="s">
        <v>21925</v>
      </c>
    </row>
    <row r="3092" spans="1:28" x14ac:dyDescent="0.25">
      <c r="A3092" t="s">
        <v>3096</v>
      </c>
      <c r="B3092">
        <v>0.99904790336628502</v>
      </c>
      <c r="C3092">
        <v>1.0774371652397099</v>
      </c>
      <c r="D3092">
        <v>1.0396501239084399</v>
      </c>
      <c r="E3092">
        <v>0.91593797872162297</v>
      </c>
      <c r="F3092">
        <v>0.72004950689468095</v>
      </c>
      <c r="G3092">
        <v>0.382520885659548</v>
      </c>
      <c r="H3092">
        <v>0.29723669411443998</v>
      </c>
      <c r="I3092">
        <v>0.26777604628920099</v>
      </c>
      <c r="J3092">
        <v>0.23501174397014399</v>
      </c>
      <c r="K3092">
        <v>0.27281540624605799</v>
      </c>
      <c r="L3092">
        <v>1538.8192183703</v>
      </c>
      <c r="M3092">
        <v>28.554569093089199</v>
      </c>
      <c r="N3092">
        <v>55.295348835253598</v>
      </c>
      <c r="O3092">
        <v>53.628236756438</v>
      </c>
      <c r="P3092">
        <v>-9.8777178759914E-2</v>
      </c>
      <c r="Q3092">
        <v>0.25795355576430501</v>
      </c>
      <c r="R3092">
        <v>0.992102992305819</v>
      </c>
      <c r="S3092" t="s">
        <v>7832</v>
      </c>
      <c r="T3092" t="s">
        <v>9478</v>
      </c>
      <c r="U3092" t="s">
        <v>9478</v>
      </c>
      <c r="V3092" t="s">
        <v>9478</v>
      </c>
      <c r="W3092">
        <v>2</v>
      </c>
      <c r="X3092" t="s">
        <v>12570</v>
      </c>
      <c r="Y3092">
        <v>0.60688531423418512</v>
      </c>
      <c r="Z3092" t="str">
        <f>HYPERLINK("Melting_Curves/meltCurve_sp_Q99747_SNAG_HUMAN_.pdf", "Melting_Curves/meltCurve_sp_Q99747_SNAG_HUMAN_.pdf")</f>
        <v>Melting_Curves/meltCurve_sp_Q99747_SNAG_HUMAN_.pdf</v>
      </c>
      <c r="AA3092" t="s">
        <v>17259</v>
      </c>
      <c r="AB3092" t="s">
        <v>21926</v>
      </c>
    </row>
    <row r="3093" spans="1:28" x14ac:dyDescent="0.25">
      <c r="A3093" t="s">
        <v>3097</v>
      </c>
      <c r="B3093">
        <v>0.99904790336628502</v>
      </c>
      <c r="C3093">
        <v>1.0642055843165801</v>
      </c>
      <c r="D3093">
        <v>1.05802188716528</v>
      </c>
      <c r="E3093">
        <v>1.0525497292439601</v>
      </c>
      <c r="F3093">
        <v>1.0354224831648799</v>
      </c>
      <c r="G3093">
        <v>0.90391225137241504</v>
      </c>
      <c r="H3093">
        <v>1.0860005310360901</v>
      </c>
      <c r="I3093">
        <v>0.70275058181029604</v>
      </c>
      <c r="J3093">
        <v>0.98674336169981802</v>
      </c>
      <c r="K3093">
        <v>0.47678720986644102</v>
      </c>
      <c r="L3093">
        <v>6007.2947464831896</v>
      </c>
      <c r="M3093">
        <v>85.909594784562302</v>
      </c>
      <c r="N3093">
        <v>69.925791200073505</v>
      </c>
      <c r="O3093">
        <v>69.887917441764799</v>
      </c>
      <c r="P3093">
        <v>-0.30731211241084999</v>
      </c>
      <c r="Q3093">
        <v>0</v>
      </c>
      <c r="R3093">
        <v>0.66763601524112404</v>
      </c>
      <c r="S3093" t="s">
        <v>7833</v>
      </c>
      <c r="T3093" t="s">
        <v>9478</v>
      </c>
      <c r="U3093" t="s">
        <v>9478</v>
      </c>
      <c r="V3093" t="s">
        <v>9478</v>
      </c>
      <c r="W3093">
        <v>4</v>
      </c>
      <c r="X3093" t="s">
        <v>12571</v>
      </c>
      <c r="Y3093">
        <v>0.98042907478886454</v>
      </c>
      <c r="Z3093" t="str">
        <f>HYPERLINK("Melting_Curves/meltCurve_sp_Q99757_THIOM_HUMAN_.pdf", "Melting_Curves/meltCurve_sp_Q99757_THIOM_HUMAN_.pdf")</f>
        <v>Melting_Curves/meltCurve_sp_Q99757_THIOM_HUMAN_.pdf</v>
      </c>
      <c r="AA3093" t="s">
        <v>17260</v>
      </c>
      <c r="AB3093" t="s">
        <v>21927</v>
      </c>
    </row>
    <row r="3094" spans="1:28" x14ac:dyDescent="0.25">
      <c r="A3094" t="s">
        <v>3098</v>
      </c>
      <c r="B3094">
        <v>0.99904790336628502</v>
      </c>
      <c r="C3094">
        <v>0.97064883929254098</v>
      </c>
      <c r="D3094">
        <v>0.92880344421763705</v>
      </c>
      <c r="E3094">
        <v>0.84718678719121199</v>
      </c>
      <c r="F3094">
        <v>0.57623223863492801</v>
      </c>
      <c r="G3094">
        <v>0.14369177466205299</v>
      </c>
      <c r="H3094">
        <v>7.2116895765801006E-2</v>
      </c>
      <c r="I3094">
        <v>3.8842389420679899E-2</v>
      </c>
      <c r="J3094">
        <v>2.4394363558038E-2</v>
      </c>
      <c r="K3094">
        <v>1.535551761202E-2</v>
      </c>
      <c r="L3094">
        <v>1393.4539667988499</v>
      </c>
      <c r="M3094">
        <v>26.1097029734042</v>
      </c>
      <c r="N3094">
        <v>53.4483669295848</v>
      </c>
      <c r="O3094">
        <v>53.059082548168597</v>
      </c>
      <c r="P3094">
        <v>-0.120689786593959</v>
      </c>
      <c r="Q3094">
        <v>1.89674868656667E-2</v>
      </c>
      <c r="R3094">
        <v>0.99662837148599404</v>
      </c>
      <c r="S3094" t="s">
        <v>7834</v>
      </c>
      <c r="T3094" t="s">
        <v>9478</v>
      </c>
      <c r="U3094" t="s">
        <v>9478</v>
      </c>
      <c r="V3094" t="s">
        <v>9478</v>
      </c>
      <c r="W3094">
        <v>8</v>
      </c>
      <c r="X3094" t="s">
        <v>12572</v>
      </c>
      <c r="Y3094">
        <v>0.46450187711105589</v>
      </c>
      <c r="Z3094" t="str">
        <f>HYPERLINK("Melting_Curves/meltCurve_sp_Q99766_ATP5S_HUMAN_.pdf", "Melting_Curves/meltCurve_sp_Q99766_ATP5S_HUMAN_.pdf")</f>
        <v>Melting_Curves/meltCurve_sp_Q99766_ATP5S_HUMAN_.pdf</v>
      </c>
      <c r="AA3094" t="s">
        <v>17261</v>
      </c>
      <c r="AB3094" t="s">
        <v>21928</v>
      </c>
    </row>
    <row r="3095" spans="1:28" x14ac:dyDescent="0.25">
      <c r="A3095" t="s">
        <v>3099</v>
      </c>
      <c r="B3095">
        <v>0.99904790336628502</v>
      </c>
      <c r="C3095">
        <v>0.95051862518758601</v>
      </c>
      <c r="D3095">
        <v>0.91883358551755401</v>
      </c>
      <c r="E3095">
        <v>0.59185261446917103</v>
      </c>
      <c r="F3095">
        <v>0.28593221603431601</v>
      </c>
      <c r="G3095">
        <v>0.16351861386220401</v>
      </c>
      <c r="H3095">
        <v>8.7638608883954097E-2</v>
      </c>
      <c r="I3095">
        <v>6.7317739859780998E-2</v>
      </c>
      <c r="J3095">
        <v>4.5880262120904597E-2</v>
      </c>
      <c r="K3095">
        <v>3.3973594873930403E-2</v>
      </c>
      <c r="L3095">
        <v>1086.1605411226401</v>
      </c>
      <c r="M3095">
        <v>21.466995250644199</v>
      </c>
      <c r="N3095">
        <v>50.857417759423299</v>
      </c>
      <c r="O3095">
        <v>50.1638382004923</v>
      </c>
      <c r="P3095">
        <v>-0.101413822062201</v>
      </c>
      <c r="Q3095">
        <v>5.2092511023653101E-2</v>
      </c>
      <c r="R3095">
        <v>0.99750014951039101</v>
      </c>
      <c r="S3095" t="s">
        <v>7835</v>
      </c>
      <c r="T3095" t="s">
        <v>9478</v>
      </c>
      <c r="U3095" t="s">
        <v>9478</v>
      </c>
      <c r="V3095" t="s">
        <v>9478</v>
      </c>
      <c r="W3095">
        <v>19</v>
      </c>
      <c r="X3095" t="s">
        <v>12573</v>
      </c>
      <c r="Y3095">
        <v>0.3984151882185174</v>
      </c>
      <c r="Z3095" t="str">
        <f>HYPERLINK("Melting_Curves/meltCurve_sp_Q99797_MIPEP_HUMAN_.pdf", "Melting_Curves/meltCurve_sp_Q99797_MIPEP_HUMAN_.pdf")</f>
        <v>Melting_Curves/meltCurve_sp_Q99797_MIPEP_HUMAN_.pdf</v>
      </c>
      <c r="AA3095" t="s">
        <v>17262</v>
      </c>
      <c r="AB3095" t="s">
        <v>21929</v>
      </c>
    </row>
    <row r="3096" spans="1:28" x14ac:dyDescent="0.25">
      <c r="A3096" t="s">
        <v>3100</v>
      </c>
      <c r="B3096">
        <v>0.99904790336628502</v>
      </c>
      <c r="C3096">
        <v>0.93988541359612499</v>
      </c>
      <c r="D3096">
        <v>1.0227345099659499</v>
      </c>
      <c r="E3096">
        <v>0.97871251467596498</v>
      </c>
      <c r="F3096">
        <v>0.57946484732775805</v>
      </c>
      <c r="G3096">
        <v>0.117300551078211</v>
      </c>
      <c r="H3096">
        <v>6.8855863605313497E-2</v>
      </c>
      <c r="I3096">
        <v>4.4730087670272603E-2</v>
      </c>
      <c r="J3096">
        <v>3.7589009954000697E-2</v>
      </c>
      <c r="K3096">
        <v>3.0650271222507401E-2</v>
      </c>
      <c r="L3096">
        <v>2381.8328768070201</v>
      </c>
      <c r="M3096">
        <v>44.6684415496374</v>
      </c>
      <c r="N3096">
        <v>53.4437092077657</v>
      </c>
      <c r="O3096">
        <v>53.215960061371803</v>
      </c>
      <c r="P3096">
        <v>-0.199736290308582</v>
      </c>
      <c r="Q3096">
        <v>4.8174231809975501E-2</v>
      </c>
      <c r="R3096">
        <v>0.996896424426019</v>
      </c>
      <c r="S3096" t="s">
        <v>7836</v>
      </c>
      <c r="T3096" t="s">
        <v>9478</v>
      </c>
      <c r="U3096" t="s">
        <v>9478</v>
      </c>
      <c r="V3096" t="s">
        <v>9478</v>
      </c>
      <c r="W3096">
        <v>49</v>
      </c>
      <c r="X3096" t="s">
        <v>12574</v>
      </c>
      <c r="Y3096">
        <v>0.47367158039863178</v>
      </c>
      <c r="Z3096" t="str">
        <f>HYPERLINK("Melting_Curves/meltCurve_sp_Q99798_ACON_HUMAN_.pdf", "Melting_Curves/meltCurve_sp_Q99798_ACON_HUMAN_.pdf")</f>
        <v>Melting_Curves/meltCurve_sp_Q99798_ACON_HUMAN_.pdf</v>
      </c>
      <c r="AA3096" t="s">
        <v>17263</v>
      </c>
      <c r="AB3096" t="s">
        <v>21930</v>
      </c>
    </row>
    <row r="3097" spans="1:28" x14ac:dyDescent="0.25">
      <c r="A3097" t="s">
        <v>3101</v>
      </c>
      <c r="B3097">
        <v>0.99904790336628502</v>
      </c>
      <c r="C3097">
        <v>0.90038397869103404</v>
      </c>
      <c r="D3097">
        <v>0.80808959078129095</v>
      </c>
      <c r="E3097">
        <v>0.482696839447462</v>
      </c>
      <c r="F3097">
        <v>0.28007762667108399</v>
      </c>
      <c r="G3097">
        <v>0.143717195795589</v>
      </c>
      <c r="H3097">
        <v>9.1138537963876401E-2</v>
      </c>
      <c r="I3097">
        <v>5.6351581236329197E-2</v>
      </c>
      <c r="J3097">
        <v>4.2910086206227598E-2</v>
      </c>
      <c r="K3097">
        <v>5.8992073010852498E-2</v>
      </c>
      <c r="L3097">
        <v>818.65673484044896</v>
      </c>
      <c r="M3097">
        <v>16.520433814220599</v>
      </c>
      <c r="N3097">
        <v>49.812988588855099</v>
      </c>
      <c r="O3097">
        <v>48.845177977027099</v>
      </c>
      <c r="P3097">
        <v>-8.1083383152139796E-2</v>
      </c>
      <c r="Q3097">
        <v>4.1124846938389803E-2</v>
      </c>
      <c r="R3097">
        <v>0.99851807668776305</v>
      </c>
      <c r="S3097" t="s">
        <v>7837</v>
      </c>
      <c r="T3097" t="s">
        <v>9478</v>
      </c>
      <c r="U3097" t="s">
        <v>9478</v>
      </c>
      <c r="V3097" t="s">
        <v>9478</v>
      </c>
      <c r="W3097">
        <v>3</v>
      </c>
      <c r="X3097" t="s">
        <v>12575</v>
      </c>
      <c r="Y3097">
        <v>0.36589611151142792</v>
      </c>
      <c r="Z3097" t="str">
        <f>HYPERLINK("Melting_Curves/meltCurve_sp_Q99807_2_COQ7_HUMAN_.pdf", "Melting_Curves/meltCurve_sp_Q99807_2_COQ7_HUMAN_.pdf")</f>
        <v>Melting_Curves/meltCurve_sp_Q99807_2_COQ7_HUMAN_.pdf</v>
      </c>
      <c r="AA3097" t="s">
        <v>17264</v>
      </c>
      <c r="AB3097" t="s">
        <v>21931</v>
      </c>
    </row>
    <row r="3098" spans="1:28" x14ac:dyDescent="0.25">
      <c r="A3098" t="s">
        <v>3102</v>
      </c>
      <c r="B3098">
        <v>0.99904790336628502</v>
      </c>
      <c r="C3098">
        <v>1.09547206490644</v>
      </c>
      <c r="D3098">
        <v>1.1156532993620401</v>
      </c>
      <c r="E3098">
        <v>1.00559314970789</v>
      </c>
      <c r="F3098">
        <v>0.76414355018878399</v>
      </c>
      <c r="G3098">
        <v>0.26528613273400498</v>
      </c>
      <c r="H3098">
        <v>7.05449439567125E-2</v>
      </c>
      <c r="I3098">
        <v>4.1118022598369101E-2</v>
      </c>
      <c r="J3098">
        <v>2.8949241564495801E-2</v>
      </c>
      <c r="K3098">
        <v>2.3580107383002299E-2</v>
      </c>
      <c r="L3098">
        <v>1821.88192800094</v>
      </c>
      <c r="M3098">
        <v>33.140119353491599</v>
      </c>
      <c r="N3098">
        <v>55.077327512428099</v>
      </c>
      <c r="O3098">
        <v>54.776099195461597</v>
      </c>
      <c r="P3098">
        <v>-0.14674140318592399</v>
      </c>
      <c r="Q3098">
        <v>2.9830125111204701E-2</v>
      </c>
      <c r="R3098">
        <v>0.98862475997701704</v>
      </c>
      <c r="S3098" t="s">
        <v>7838</v>
      </c>
      <c r="T3098" t="s">
        <v>9478</v>
      </c>
      <c r="U3098" t="s">
        <v>9478</v>
      </c>
      <c r="V3098" t="s">
        <v>9478</v>
      </c>
      <c r="W3098">
        <v>21</v>
      </c>
      <c r="X3098" t="s">
        <v>12576</v>
      </c>
      <c r="Y3098">
        <v>0.51942803626873268</v>
      </c>
      <c r="Z3098" t="str">
        <f>HYPERLINK("Melting_Curves/meltCurve_sp_Q99832_TCPH_HUMAN_.pdf", "Melting_Curves/meltCurve_sp_Q99832_TCPH_HUMAN_.pdf")</f>
        <v>Melting_Curves/meltCurve_sp_Q99832_TCPH_HUMAN_.pdf</v>
      </c>
      <c r="AA3098" t="s">
        <v>17265</v>
      </c>
      <c r="AB3098" t="s">
        <v>21932</v>
      </c>
    </row>
    <row r="3099" spans="1:28" x14ac:dyDescent="0.25">
      <c r="A3099" t="s">
        <v>3103</v>
      </c>
      <c r="B3099">
        <v>0.99904790336628502</v>
      </c>
      <c r="C3099">
        <v>0.86549893112149101</v>
      </c>
      <c r="D3099">
        <v>0.72694011232608902</v>
      </c>
      <c r="E3099">
        <v>0.52004657911484498</v>
      </c>
      <c r="F3099">
        <v>0.17540563437158399</v>
      </c>
      <c r="G3099">
        <v>9.1047684249199706E-2</v>
      </c>
      <c r="H3099">
        <v>4.1383501523880803E-2</v>
      </c>
      <c r="I3099">
        <v>2.1472590124944999E-2</v>
      </c>
      <c r="J3099">
        <v>2.0157767029124099E-2</v>
      </c>
      <c r="K3099">
        <v>1.53550930079749E-2</v>
      </c>
      <c r="L3099">
        <v>779.318414432292</v>
      </c>
      <c r="M3099">
        <v>15.844509084402199</v>
      </c>
      <c r="N3099">
        <v>49.185392354546501</v>
      </c>
      <c r="O3099">
        <v>48.421906471842</v>
      </c>
      <c r="P3099">
        <v>-8.1811110788590893E-2</v>
      </c>
      <c r="Q3099">
        <v>0</v>
      </c>
      <c r="R3099">
        <v>0.98916460654079696</v>
      </c>
      <c r="S3099" t="s">
        <v>7839</v>
      </c>
      <c r="T3099" t="s">
        <v>9478</v>
      </c>
      <c r="U3099" t="s">
        <v>9478</v>
      </c>
      <c r="V3099" t="s">
        <v>9478</v>
      </c>
      <c r="W3099">
        <v>4</v>
      </c>
      <c r="X3099" t="s">
        <v>12577</v>
      </c>
      <c r="Y3099">
        <v>0.3282924629707325</v>
      </c>
      <c r="Z3099" t="str">
        <f>HYPERLINK("Melting_Curves/meltCurve_sp_Q99836_MYD88_HUMAN_.pdf", "Melting_Curves/meltCurve_sp_Q99836_MYD88_HUMAN_.pdf")</f>
        <v>Melting_Curves/meltCurve_sp_Q99836_MYD88_HUMAN_.pdf</v>
      </c>
      <c r="AA3099" t="s">
        <v>17266</v>
      </c>
      <c r="AB3099" t="s">
        <v>21933</v>
      </c>
    </row>
    <row r="3100" spans="1:28" x14ac:dyDescent="0.25">
      <c r="A3100" t="s">
        <v>3104</v>
      </c>
      <c r="B3100">
        <v>0.99904790336628502</v>
      </c>
      <c r="C3100">
        <v>1.03287634351462</v>
      </c>
      <c r="D3100">
        <v>0.93592122264238498</v>
      </c>
      <c r="E3100">
        <v>0.86292014558567598</v>
      </c>
      <c r="F3100">
        <v>0.60975005309476904</v>
      </c>
      <c r="G3100">
        <v>0.404121675306297</v>
      </c>
      <c r="H3100">
        <v>0.29900650972009502</v>
      </c>
      <c r="I3100">
        <v>0.23194120878539801</v>
      </c>
      <c r="J3100">
        <v>0.150686325471343</v>
      </c>
      <c r="K3100">
        <v>7.4404283540947302E-2</v>
      </c>
      <c r="L3100">
        <v>763.85690238011102</v>
      </c>
      <c r="M3100">
        <v>13.890988103455999</v>
      </c>
      <c r="N3100">
        <v>55.657739944527101</v>
      </c>
      <c r="O3100">
        <v>53.887361502395997</v>
      </c>
      <c r="P3100">
        <v>-5.9502153205456598E-2</v>
      </c>
      <c r="Q3100">
        <v>7.6818452729519496E-2</v>
      </c>
      <c r="R3100">
        <v>0.98986530923760396</v>
      </c>
      <c r="S3100" t="s">
        <v>7840</v>
      </c>
      <c r="T3100" t="s">
        <v>9478</v>
      </c>
      <c r="U3100" t="s">
        <v>9478</v>
      </c>
      <c r="V3100" t="s">
        <v>9478</v>
      </c>
      <c r="W3100">
        <v>4</v>
      </c>
      <c r="X3100" t="s">
        <v>12578</v>
      </c>
      <c r="Y3100">
        <v>0.55732215947618713</v>
      </c>
      <c r="Z3100" t="str">
        <f>HYPERLINK("Melting_Curves/meltCurve_sp_Q99878_H2A1J_HUMAN_.pdf", "Melting_Curves/meltCurve_sp_Q99878_H2A1J_HUMAN_.pdf")</f>
        <v>Melting_Curves/meltCurve_sp_Q99878_H2A1J_HUMAN_.pdf</v>
      </c>
      <c r="AA3100" t="s">
        <v>17267</v>
      </c>
      <c r="AB3100" t="s">
        <v>21934</v>
      </c>
    </row>
    <row r="3101" spans="1:28" x14ac:dyDescent="0.25">
      <c r="A3101" t="s">
        <v>3105</v>
      </c>
      <c r="B3101">
        <v>0.99904790336628502</v>
      </c>
      <c r="C3101">
        <v>1.1468103533957601</v>
      </c>
      <c r="D3101">
        <v>0.73775718374284005</v>
      </c>
      <c r="E3101">
        <v>0.38860615764156697</v>
      </c>
      <c r="F3101">
        <v>0.20227186875745301</v>
      </c>
      <c r="G3101">
        <v>0.13499150706230001</v>
      </c>
      <c r="H3101">
        <v>9.7468111266623206E-2</v>
      </c>
      <c r="I3101">
        <v>5.31584929693509E-2</v>
      </c>
      <c r="J3101">
        <v>0</v>
      </c>
      <c r="K3101">
        <v>6.8934878381301606E-2</v>
      </c>
      <c r="L3101">
        <v>1137.5815933451399</v>
      </c>
      <c r="M3101">
        <v>23.390342623203999</v>
      </c>
      <c r="N3101">
        <v>48.9222945578436</v>
      </c>
      <c r="O3101">
        <v>48.283377168818497</v>
      </c>
      <c r="P3101">
        <v>-0.113331617149127</v>
      </c>
      <c r="Q3101">
        <v>6.4240095429804703E-2</v>
      </c>
      <c r="R3101">
        <v>0.97123275743517501</v>
      </c>
      <c r="S3101" t="s">
        <v>7841</v>
      </c>
      <c r="T3101" t="s">
        <v>9478</v>
      </c>
      <c r="U3101" t="s">
        <v>9478</v>
      </c>
      <c r="V3101" t="s">
        <v>9478</v>
      </c>
      <c r="W3101">
        <v>2</v>
      </c>
      <c r="X3101" t="s">
        <v>12579</v>
      </c>
      <c r="Y3101">
        <v>0.34307956964396852</v>
      </c>
      <c r="Z3101" t="str">
        <f>HYPERLINK("Melting_Curves/meltCurve_sp_Q99952_PTN18_HUMAN_.pdf", "Melting_Curves/meltCurve_sp_Q99952_PTN18_HUMAN_.pdf")</f>
        <v>Melting_Curves/meltCurve_sp_Q99952_PTN18_HUMAN_.pdf</v>
      </c>
      <c r="AA3101" t="s">
        <v>17268</v>
      </c>
      <c r="AB3101" t="s">
        <v>21935</v>
      </c>
    </row>
    <row r="3102" spans="1:28" x14ac:dyDescent="0.25">
      <c r="A3102" t="s">
        <v>3106</v>
      </c>
      <c r="B3102">
        <v>0.99904790336628502</v>
      </c>
      <c r="C3102">
        <v>0.93237820409980898</v>
      </c>
      <c r="D3102">
        <v>0.83436096278567595</v>
      </c>
      <c r="E3102">
        <v>0.40747107215089001</v>
      </c>
      <c r="F3102">
        <v>0.199004894002838</v>
      </c>
      <c r="G3102">
        <v>0.122093068067874</v>
      </c>
      <c r="H3102">
        <v>0.10069441932992</v>
      </c>
      <c r="I3102">
        <v>7.9022957492234397E-2</v>
      </c>
      <c r="J3102">
        <v>9.1068288786207499E-2</v>
      </c>
      <c r="K3102">
        <v>8.0221365784670998E-2</v>
      </c>
      <c r="L3102">
        <v>1151.35605761953</v>
      </c>
      <c r="M3102">
        <v>23.620773901958099</v>
      </c>
      <c r="N3102">
        <v>49.131312832212103</v>
      </c>
      <c r="O3102">
        <v>48.398011980925801</v>
      </c>
      <c r="P3102">
        <v>-0.111634639121309</v>
      </c>
      <c r="Q3102">
        <v>8.5075514833777996E-2</v>
      </c>
      <c r="R3102">
        <v>0.99882708663904896</v>
      </c>
      <c r="S3102" t="s">
        <v>7842</v>
      </c>
      <c r="T3102" t="s">
        <v>9478</v>
      </c>
      <c r="U3102" t="s">
        <v>9478</v>
      </c>
      <c r="V3102" t="s">
        <v>9478</v>
      </c>
      <c r="W3102">
        <v>6</v>
      </c>
      <c r="X3102" t="s">
        <v>12580</v>
      </c>
      <c r="Y3102">
        <v>0.36083424085309262</v>
      </c>
      <c r="Z3102" t="str">
        <f>HYPERLINK("Melting_Curves/meltCurve_sp_Q99959_2_PKP2_HUMAN_.pdf", "Melting_Curves/meltCurve_sp_Q99959_2_PKP2_HUMAN_.pdf")</f>
        <v>Melting_Curves/meltCurve_sp_Q99959_2_PKP2_HUMAN_.pdf</v>
      </c>
      <c r="AA3102" t="s">
        <v>17269</v>
      </c>
      <c r="AB3102" t="s">
        <v>21936</v>
      </c>
    </row>
    <row r="3103" spans="1:28" x14ac:dyDescent="0.25">
      <c r="A3103" t="s">
        <v>3107</v>
      </c>
      <c r="B3103">
        <v>0.99904790336628502</v>
      </c>
      <c r="C3103">
        <v>0.98030533280167698</v>
      </c>
      <c r="D3103">
        <v>0.966003055247318</v>
      </c>
      <c r="E3103">
        <v>0.873853633354708</v>
      </c>
      <c r="F3103">
        <v>0.76739284312675804</v>
      </c>
      <c r="G3103">
        <v>0.68152547780059702</v>
      </c>
      <c r="H3103">
        <v>0.43699252515299603</v>
      </c>
      <c r="I3103">
        <v>0.42545402192377701</v>
      </c>
      <c r="J3103">
        <v>0.47391219516122401</v>
      </c>
      <c r="K3103">
        <v>0.40055604869606698</v>
      </c>
      <c r="L3103">
        <v>794.007434662587</v>
      </c>
      <c r="M3103">
        <v>14.379845493588199</v>
      </c>
      <c r="N3103">
        <v>61.142532360173</v>
      </c>
      <c r="O3103">
        <v>54.181770454030797</v>
      </c>
      <c r="P3103">
        <v>-4.1412723616056302E-2</v>
      </c>
      <c r="Q3103">
        <v>0.37591895645067303</v>
      </c>
      <c r="R3103">
        <v>0.97838532991219596</v>
      </c>
      <c r="S3103" t="s">
        <v>7843</v>
      </c>
      <c r="T3103" t="s">
        <v>9478</v>
      </c>
      <c r="U3103" t="s">
        <v>9478</v>
      </c>
      <c r="V3103" t="s">
        <v>9478</v>
      </c>
      <c r="W3103">
        <v>15</v>
      </c>
      <c r="X3103" t="s">
        <v>12581</v>
      </c>
      <c r="Y3103">
        <v>0.70481304869206618</v>
      </c>
      <c r="Z3103" t="str">
        <f>HYPERLINK("Melting_Curves/meltCurve_sp_Q99961_SH3G1_HUMAN_.pdf", "Melting_Curves/meltCurve_sp_Q99961_SH3G1_HUMAN_.pdf")</f>
        <v>Melting_Curves/meltCurve_sp_Q99961_SH3G1_HUMAN_.pdf</v>
      </c>
      <c r="AA3103" t="s">
        <v>17270</v>
      </c>
      <c r="AB3103" t="s">
        <v>21937</v>
      </c>
    </row>
    <row r="3104" spans="1:28" x14ac:dyDescent="0.25">
      <c r="A3104" t="s">
        <v>3108</v>
      </c>
      <c r="B3104">
        <v>0.99904790336628502</v>
      </c>
      <c r="C3104">
        <v>1.01350099224523</v>
      </c>
      <c r="D3104">
        <v>1.00117521692123</v>
      </c>
      <c r="E3104">
        <v>0.80541438294333301</v>
      </c>
      <c r="F3104">
        <v>0.63884209646891299</v>
      </c>
      <c r="G3104">
        <v>0.40232637778299102</v>
      </c>
      <c r="H3104">
        <v>0.31087191603191</v>
      </c>
      <c r="I3104">
        <v>0.27294136877129099</v>
      </c>
      <c r="J3104">
        <v>0.27504235092204399</v>
      </c>
      <c r="K3104">
        <v>0.26828560782024902</v>
      </c>
      <c r="L3104">
        <v>1080.9004873881399</v>
      </c>
      <c r="M3104">
        <v>20.411132387995401</v>
      </c>
      <c r="N3104">
        <v>54.948690203607498</v>
      </c>
      <c r="O3104">
        <v>52.455961083489903</v>
      </c>
      <c r="P3104">
        <v>-7.1846063457762399E-2</v>
      </c>
      <c r="Q3104">
        <v>0.26145376297260298</v>
      </c>
      <c r="R3104">
        <v>0.99760712812837704</v>
      </c>
      <c r="S3104" t="s">
        <v>7844</v>
      </c>
      <c r="T3104" t="s">
        <v>9478</v>
      </c>
      <c r="U3104" t="s">
        <v>9478</v>
      </c>
      <c r="V3104" t="s">
        <v>9478</v>
      </c>
      <c r="W3104">
        <v>42</v>
      </c>
      <c r="X3104" t="s">
        <v>12582</v>
      </c>
      <c r="Y3104">
        <v>0.59022969570366801</v>
      </c>
      <c r="Z3104" t="str">
        <f>HYPERLINK("Melting_Curves/meltCurve_sp_Q99996_5_AKAP9_HUMAN_.pdf", "Melting_Curves/meltCurve_sp_Q99996_5_AKAP9_HUMAN_.pdf")</f>
        <v>Melting_Curves/meltCurve_sp_Q99996_5_AKAP9_HUMAN_.pdf</v>
      </c>
      <c r="AA3104" t="s">
        <v>17271</v>
      </c>
      <c r="AB3104" t="s">
        <v>21938</v>
      </c>
    </row>
    <row r="3105" spans="1:28" x14ac:dyDescent="0.25">
      <c r="A3105" t="s">
        <v>3109</v>
      </c>
      <c r="B3105">
        <v>0.99904790336628502</v>
      </c>
      <c r="C3105">
        <v>0.97909139821453395</v>
      </c>
      <c r="D3105">
        <v>0.99563160286008401</v>
      </c>
      <c r="E3105">
        <v>0.53033749086703696</v>
      </c>
      <c r="F3105">
        <v>0.19964644055258501</v>
      </c>
      <c r="G3105">
        <v>0.103079393846087</v>
      </c>
      <c r="H3105">
        <v>6.22690007069873E-2</v>
      </c>
      <c r="I3105">
        <v>4.5278023444310297E-2</v>
      </c>
      <c r="J3105">
        <v>3.6581799217228497E-2</v>
      </c>
      <c r="K3105">
        <v>3.0513783597826201E-2</v>
      </c>
      <c r="L3105">
        <v>1658.2014278783699</v>
      </c>
      <c r="M3105">
        <v>33.078871390017802</v>
      </c>
      <c r="N3105">
        <v>50.296325130804</v>
      </c>
      <c r="O3105">
        <v>49.946563096745798</v>
      </c>
      <c r="P3105">
        <v>-0.15693140845128001</v>
      </c>
      <c r="Q3105">
        <v>5.2186285045861598E-2</v>
      </c>
      <c r="R3105">
        <v>0.99739944261783298</v>
      </c>
      <c r="S3105" t="s">
        <v>7845</v>
      </c>
      <c r="T3105" t="s">
        <v>9478</v>
      </c>
      <c r="U3105" t="s">
        <v>9478</v>
      </c>
      <c r="V3105" t="s">
        <v>9478</v>
      </c>
      <c r="W3105">
        <v>17</v>
      </c>
      <c r="X3105" t="s">
        <v>12583</v>
      </c>
      <c r="Y3105">
        <v>0.37701271683772081</v>
      </c>
      <c r="Z3105" t="str">
        <f>HYPERLINK("Melting_Curves/meltCurve_sp_Q9BPW8_NIPS1_HUMAN_.pdf", "Melting_Curves/meltCurve_sp_Q9BPW8_NIPS1_HUMAN_.pdf")</f>
        <v>Melting_Curves/meltCurve_sp_Q9BPW8_NIPS1_HUMAN_.pdf</v>
      </c>
      <c r="AA3105" t="s">
        <v>17272</v>
      </c>
      <c r="AB3105" t="s">
        <v>21939</v>
      </c>
    </row>
    <row r="3106" spans="1:28" x14ac:dyDescent="0.25">
      <c r="A3106" t="s">
        <v>3110</v>
      </c>
      <c r="B3106">
        <v>0.99904790336628502</v>
      </c>
      <c r="C3106">
        <v>1.07076703954581</v>
      </c>
      <c r="D3106">
        <v>1.0816619184176</v>
      </c>
      <c r="E3106">
        <v>1.13675280031557</v>
      </c>
      <c r="F3106">
        <v>1.1284954646671901</v>
      </c>
      <c r="G3106">
        <v>0.60263558821994101</v>
      </c>
      <c r="H3106">
        <v>0.189363091296191</v>
      </c>
      <c r="I3106">
        <v>9.8072350044896894E-2</v>
      </c>
      <c r="J3106">
        <v>9.0694838931615201E-2</v>
      </c>
      <c r="K3106">
        <v>6.8839886060205593E-2</v>
      </c>
      <c r="L3106">
        <v>3181.9537759136301</v>
      </c>
      <c r="M3106">
        <v>55.530373435247299</v>
      </c>
      <c r="N3106">
        <v>57.537426240791</v>
      </c>
      <c r="O3106">
        <v>57.226972036041403</v>
      </c>
      <c r="P3106">
        <v>-0.21785545322484301</v>
      </c>
      <c r="Q3106">
        <v>0.101954467533743</v>
      </c>
      <c r="R3106">
        <v>0.97437203922488902</v>
      </c>
      <c r="S3106" t="s">
        <v>7846</v>
      </c>
      <c r="T3106" t="s">
        <v>9478</v>
      </c>
      <c r="U3106" t="s">
        <v>9478</v>
      </c>
      <c r="V3106" t="s">
        <v>9478</v>
      </c>
      <c r="W3106">
        <v>5</v>
      </c>
      <c r="X3106" t="s">
        <v>12584</v>
      </c>
      <c r="Y3106">
        <v>0.62169783367691489</v>
      </c>
      <c r="Z3106" t="str">
        <f>HYPERLINK("Melting_Curves/meltCurve_sp_Q9BPX5_ARP5L_HUMAN_.pdf", "Melting_Curves/meltCurve_sp_Q9BPX5_ARP5L_HUMAN_.pdf")</f>
        <v>Melting_Curves/meltCurve_sp_Q9BPX5_ARP5L_HUMAN_.pdf</v>
      </c>
      <c r="AA3106" t="s">
        <v>17273</v>
      </c>
      <c r="AB3106" t="s">
        <v>21940</v>
      </c>
    </row>
    <row r="3107" spans="1:28" x14ac:dyDescent="0.25">
      <c r="A3107" t="s">
        <v>3111</v>
      </c>
      <c r="B3107">
        <v>0.99904790336628502</v>
      </c>
      <c r="C3107">
        <v>0.905505157356843</v>
      </c>
      <c r="D3107">
        <v>0.93528032787819004</v>
      </c>
      <c r="E3107">
        <v>0.53832065270530904</v>
      </c>
      <c r="F3107">
        <v>0.204803522590498</v>
      </c>
      <c r="G3107">
        <v>0.100252535796405</v>
      </c>
      <c r="H3107">
        <v>5.8933947816440999E-2</v>
      </c>
      <c r="I3107">
        <v>0.11127056416476</v>
      </c>
      <c r="J3107">
        <v>6.4743897585222199E-2</v>
      </c>
      <c r="K3107">
        <v>0</v>
      </c>
      <c r="L3107">
        <v>1390.12139664253</v>
      </c>
      <c r="M3107">
        <v>27.7905043677479</v>
      </c>
      <c r="N3107">
        <v>50.240475521868099</v>
      </c>
      <c r="O3107">
        <v>49.764592987345402</v>
      </c>
      <c r="P3107">
        <v>-0.13164617213456101</v>
      </c>
      <c r="Q3107">
        <v>5.7050530202931597E-2</v>
      </c>
      <c r="R3107">
        <v>0.99083237953695702</v>
      </c>
      <c r="S3107" t="s">
        <v>7847</v>
      </c>
      <c r="T3107" t="s">
        <v>9478</v>
      </c>
      <c r="U3107" t="s">
        <v>9478</v>
      </c>
      <c r="V3107" t="s">
        <v>9478</v>
      </c>
      <c r="W3107">
        <v>1</v>
      </c>
      <c r="X3107" t="s">
        <v>12585</v>
      </c>
      <c r="Y3107">
        <v>0.3788516730073398</v>
      </c>
      <c r="Z3107" t="str">
        <f>HYPERLINK("Melting_Curves/meltCurve_sp_Q9BQ24_ZFY21_HUMAN_.pdf", "Melting_Curves/meltCurve_sp_Q9BQ24_ZFY21_HUMAN_.pdf")</f>
        <v>Melting_Curves/meltCurve_sp_Q9BQ24_ZFY21_HUMAN_.pdf</v>
      </c>
      <c r="AA3107" t="s">
        <v>17274</v>
      </c>
      <c r="AB3107" t="s">
        <v>21941</v>
      </c>
    </row>
    <row r="3108" spans="1:28" x14ac:dyDescent="0.25">
      <c r="A3108" t="s">
        <v>3112</v>
      </c>
      <c r="B3108">
        <v>0.99904790336628502</v>
      </c>
      <c r="C3108">
        <v>0.97441014689980598</v>
      </c>
      <c r="D3108">
        <v>0.96472294346097098</v>
      </c>
      <c r="E3108">
        <v>0.92188660055486804</v>
      </c>
      <c r="F3108">
        <v>0.79407255877317495</v>
      </c>
      <c r="G3108">
        <v>0.65815795055878201</v>
      </c>
      <c r="H3108">
        <v>0.46012883772052998</v>
      </c>
      <c r="I3108">
        <v>0.34985574792413698</v>
      </c>
      <c r="J3108">
        <v>0.18884510577230801</v>
      </c>
      <c r="K3108">
        <v>7.1963693980579904E-2</v>
      </c>
      <c r="L3108">
        <v>750.67903864523805</v>
      </c>
      <c r="M3108">
        <v>12.552068041041499</v>
      </c>
      <c r="N3108">
        <v>59.805207970127803</v>
      </c>
      <c r="O3108">
        <v>58.348139476152902</v>
      </c>
      <c r="P3108">
        <v>-5.3791815969368703E-2</v>
      </c>
      <c r="Q3108">
        <v>0</v>
      </c>
      <c r="R3108">
        <v>0.99147277481517304</v>
      </c>
      <c r="S3108" t="s">
        <v>7848</v>
      </c>
      <c r="T3108" t="s">
        <v>9478</v>
      </c>
      <c r="U3108" t="s">
        <v>9478</v>
      </c>
      <c r="V3108" t="s">
        <v>9478</v>
      </c>
      <c r="W3108">
        <v>27</v>
      </c>
      <c r="X3108" t="s">
        <v>12586</v>
      </c>
      <c r="Y3108">
        <v>0.66479323570026283</v>
      </c>
      <c r="Z3108" t="str">
        <f>HYPERLINK("Melting_Curves/meltCurve_sp_Q9BQ52_RNZ2_HUMAN_.pdf", "Melting_Curves/meltCurve_sp_Q9BQ52_RNZ2_HUMAN_.pdf")</f>
        <v>Melting_Curves/meltCurve_sp_Q9BQ52_RNZ2_HUMAN_.pdf</v>
      </c>
      <c r="AA3108" t="s">
        <v>17275</v>
      </c>
      <c r="AB3108" t="s">
        <v>21942</v>
      </c>
    </row>
    <row r="3109" spans="1:28" x14ac:dyDescent="0.25">
      <c r="A3109" t="s">
        <v>3113</v>
      </c>
      <c r="B3109">
        <v>0.99904790336628502</v>
      </c>
      <c r="C3109">
        <v>1.0730017349434999</v>
      </c>
      <c r="D3109">
        <v>0.99132685283677702</v>
      </c>
      <c r="E3109">
        <v>1.08956109483199</v>
      </c>
      <c r="F3109">
        <v>1.1717930722736101</v>
      </c>
      <c r="G3109">
        <v>0.98570276585088601</v>
      </c>
      <c r="H3109">
        <v>0.93040450392901597</v>
      </c>
      <c r="I3109">
        <v>0.88655483011119396</v>
      </c>
      <c r="J3109">
        <v>1.0015379800066699</v>
      </c>
      <c r="K3109">
        <v>1.1305821432971099</v>
      </c>
      <c r="L3109">
        <v>10272.7557206533</v>
      </c>
      <c r="M3109">
        <v>250</v>
      </c>
      <c r="O3109">
        <v>41.0883926551708</v>
      </c>
      <c r="P3109">
        <v>4.4021539734720901E-2</v>
      </c>
      <c r="Q3109">
        <v>1.0289403893997899</v>
      </c>
      <c r="R3109">
        <v>1.12843126914761E-2</v>
      </c>
      <c r="S3109" t="s">
        <v>7849</v>
      </c>
      <c r="T3109" t="s">
        <v>9478</v>
      </c>
      <c r="U3109" t="s">
        <v>9478</v>
      </c>
      <c r="V3109" t="s">
        <v>9478</v>
      </c>
      <c r="W3109">
        <v>6</v>
      </c>
      <c r="X3109" t="s">
        <v>12587</v>
      </c>
      <c r="Y3109">
        <v>1.0278856519606601</v>
      </c>
      <c r="Z3109" t="str">
        <f>HYPERLINK("Melting_Curves/meltCurve_sp_Q9BQ61_CS043_HUMAN_.pdf", "Melting_Curves/meltCurve_sp_Q9BQ61_CS043_HUMAN_.pdf")</f>
        <v>Melting_Curves/meltCurve_sp_Q9BQ61_CS043_HUMAN_.pdf</v>
      </c>
      <c r="AA3109" t="s">
        <v>17276</v>
      </c>
      <c r="AB3109" t="s">
        <v>21943</v>
      </c>
    </row>
    <row r="3110" spans="1:28" x14ac:dyDescent="0.25">
      <c r="A3110" t="s">
        <v>3114</v>
      </c>
      <c r="B3110">
        <v>0.99904790336628502</v>
      </c>
      <c r="C3110">
        <v>0.89487251868672202</v>
      </c>
      <c r="D3110">
        <v>0.80810452497196394</v>
      </c>
      <c r="E3110">
        <v>0.69323397674827203</v>
      </c>
      <c r="F3110">
        <v>0.42533599680339701</v>
      </c>
      <c r="G3110">
        <v>0.19258083597504499</v>
      </c>
      <c r="H3110">
        <v>0.11824576057444799</v>
      </c>
      <c r="I3110">
        <v>6.0462471133380401E-2</v>
      </c>
      <c r="J3110">
        <v>1.2677768436948299E-2</v>
      </c>
      <c r="K3110">
        <v>1.7941393495637701E-2</v>
      </c>
      <c r="L3110">
        <v>727.46857611534904</v>
      </c>
      <c r="M3110">
        <v>14.0182285984733</v>
      </c>
      <c r="N3110">
        <v>51.8944612808437</v>
      </c>
      <c r="O3110">
        <v>50.872645102587001</v>
      </c>
      <c r="P3110">
        <v>-6.8897902506314002E-2</v>
      </c>
      <c r="Q3110">
        <v>0</v>
      </c>
      <c r="R3110">
        <v>0.99169547035296202</v>
      </c>
      <c r="S3110" t="s">
        <v>7850</v>
      </c>
      <c r="T3110" t="s">
        <v>9478</v>
      </c>
      <c r="U3110" t="s">
        <v>9478</v>
      </c>
      <c r="V3110" t="s">
        <v>9478</v>
      </c>
      <c r="W3110">
        <v>1</v>
      </c>
      <c r="X3110" t="s">
        <v>12588</v>
      </c>
      <c r="Y3110">
        <v>0.42132950840656652</v>
      </c>
      <c r="Z3110" t="str">
        <f>HYPERLINK("Melting_Curves/meltCurve_sp_Q9BQ67_GRWD1_HUMAN_.pdf", "Melting_Curves/meltCurve_sp_Q9BQ67_GRWD1_HUMAN_.pdf")</f>
        <v>Melting_Curves/meltCurve_sp_Q9BQ67_GRWD1_HUMAN_.pdf</v>
      </c>
      <c r="AA3110" t="s">
        <v>17277</v>
      </c>
      <c r="AB3110" t="s">
        <v>21944</v>
      </c>
    </row>
    <row r="3111" spans="1:28" x14ac:dyDescent="0.25">
      <c r="A3111" t="s">
        <v>3115</v>
      </c>
      <c r="B3111">
        <v>0.99904790336628502</v>
      </c>
      <c r="C3111">
        <v>0.78080409352700297</v>
      </c>
      <c r="D3111">
        <v>0.67365325871898796</v>
      </c>
      <c r="E3111">
        <v>0.32224444425572202</v>
      </c>
      <c r="F3111">
        <v>0.210380459449798</v>
      </c>
      <c r="G3111">
        <v>8.8168304032554198E-2</v>
      </c>
      <c r="H3111">
        <v>0.16001461302032899</v>
      </c>
      <c r="I3111">
        <v>4.7181524461535701E-2</v>
      </c>
      <c r="J3111">
        <v>3.9702775595956002E-2</v>
      </c>
      <c r="K3111">
        <v>3.5208203620056798E-2</v>
      </c>
      <c r="L3111">
        <v>723.99191100442704</v>
      </c>
      <c r="M3111">
        <v>15.2685585087139</v>
      </c>
      <c r="N3111">
        <v>47.7226732119234</v>
      </c>
      <c r="O3111">
        <v>46.626137439426302</v>
      </c>
      <c r="P3111">
        <v>-7.8062715562872295E-2</v>
      </c>
      <c r="Q3111">
        <v>4.6558674158825697E-2</v>
      </c>
      <c r="R3111">
        <v>0.98490132465435798</v>
      </c>
      <c r="S3111" t="s">
        <v>7851</v>
      </c>
      <c r="T3111" t="s">
        <v>9478</v>
      </c>
      <c r="U3111" t="s">
        <v>9478</v>
      </c>
      <c r="V3111" t="s">
        <v>9478</v>
      </c>
      <c r="W3111">
        <v>15</v>
      </c>
      <c r="X3111" t="s">
        <v>12589</v>
      </c>
      <c r="Y3111">
        <v>0.30666711549900261</v>
      </c>
      <c r="Z3111" t="str">
        <f>HYPERLINK("Melting_Curves/meltCurve_sp_Q9BQ69_MACD1_HUMAN_.pdf", "Melting_Curves/meltCurve_sp_Q9BQ69_MACD1_HUMAN_.pdf")</f>
        <v>Melting_Curves/meltCurve_sp_Q9BQ69_MACD1_HUMAN_.pdf</v>
      </c>
      <c r="AA3111" t="s">
        <v>17278</v>
      </c>
      <c r="AB3111" t="s">
        <v>21945</v>
      </c>
    </row>
    <row r="3112" spans="1:28" x14ac:dyDescent="0.25">
      <c r="A3112" t="s">
        <v>3116</v>
      </c>
      <c r="B3112">
        <v>0.99904790336628502</v>
      </c>
      <c r="C3112">
        <v>0.93528080908974198</v>
      </c>
      <c r="D3112">
        <v>1.06658970191963</v>
      </c>
      <c r="E3112">
        <v>0.93620940605846603</v>
      </c>
      <c r="F3112">
        <v>0.81018418210101495</v>
      </c>
      <c r="G3112">
        <v>0.41873762545187299</v>
      </c>
      <c r="H3112">
        <v>0.188223031874649</v>
      </c>
      <c r="I3112">
        <v>0.10411676887953999</v>
      </c>
      <c r="J3112">
        <v>9.8616597916484694E-2</v>
      </c>
      <c r="K3112">
        <v>9.6326757807997598E-2</v>
      </c>
      <c r="L3112">
        <v>1404.29162179676</v>
      </c>
      <c r="M3112">
        <v>25.180119624037701</v>
      </c>
      <c r="N3112">
        <v>56.182597924022602</v>
      </c>
      <c r="O3112">
        <v>55.421681826028497</v>
      </c>
      <c r="P3112">
        <v>-0.103993899413201</v>
      </c>
      <c r="Q3112">
        <v>8.4445907911682799E-2</v>
      </c>
      <c r="R3112">
        <v>0.99383602588027298</v>
      </c>
      <c r="S3112" t="s">
        <v>7852</v>
      </c>
      <c r="T3112" t="s">
        <v>9478</v>
      </c>
      <c r="U3112" t="s">
        <v>9478</v>
      </c>
      <c r="V3112" t="s">
        <v>9478</v>
      </c>
      <c r="W3112">
        <v>2</v>
      </c>
      <c r="X3112" t="s">
        <v>12590</v>
      </c>
      <c r="Y3112">
        <v>0.57404286596911291</v>
      </c>
      <c r="Z3112" t="str">
        <f>HYPERLINK("Melting_Curves/meltCurve_sp_Q9BQ90_KLDC3_HUMAN_.pdf", "Melting_Curves/meltCurve_sp_Q9BQ90_KLDC3_HUMAN_.pdf")</f>
        <v>Melting_Curves/meltCurve_sp_Q9BQ90_KLDC3_HUMAN_.pdf</v>
      </c>
      <c r="AA3112" t="s">
        <v>17279</v>
      </c>
      <c r="AB3112" t="s">
        <v>21946</v>
      </c>
    </row>
    <row r="3113" spans="1:28" x14ac:dyDescent="0.25">
      <c r="A3113" t="s">
        <v>3117</v>
      </c>
      <c r="B3113">
        <v>0.99904790336628502</v>
      </c>
      <c r="C3113">
        <v>1.0644752455772899</v>
      </c>
      <c r="D3113">
        <v>1.18455669230636</v>
      </c>
      <c r="E3113">
        <v>0.98644972646953999</v>
      </c>
      <c r="F3113">
        <v>0.45965301228098598</v>
      </c>
      <c r="G3113">
        <v>7.5968041682207499E-2</v>
      </c>
      <c r="H3113">
        <v>3.3709837460827403E-2</v>
      </c>
      <c r="I3113">
        <v>2.38466096336593E-2</v>
      </c>
      <c r="J3113">
        <v>1.76873075221004E-2</v>
      </c>
      <c r="K3113">
        <v>7.2622997688009004E-3</v>
      </c>
      <c r="L3113">
        <v>3312.6458278181899</v>
      </c>
      <c r="M3113">
        <v>62.717638398316097</v>
      </c>
      <c r="N3113">
        <v>52.869463993377103</v>
      </c>
      <c r="O3113">
        <v>52.764779958722698</v>
      </c>
      <c r="P3113">
        <v>-0.28842509069210598</v>
      </c>
      <c r="Q3113">
        <v>2.9384151065294101E-2</v>
      </c>
      <c r="R3113">
        <v>0.98292649924406605</v>
      </c>
      <c r="S3113" t="s">
        <v>7853</v>
      </c>
      <c r="T3113" t="s">
        <v>9478</v>
      </c>
      <c r="U3113" t="s">
        <v>9478</v>
      </c>
      <c r="V3113" t="s">
        <v>9478</v>
      </c>
      <c r="W3113">
        <v>4</v>
      </c>
      <c r="X3113" t="s">
        <v>12591</v>
      </c>
      <c r="Y3113">
        <v>0.44554346555157109</v>
      </c>
      <c r="Z3113" t="str">
        <f>HYPERLINK("Melting_Curves/meltCurve_sp_Q9BQA1_MEP50_HUMAN_.pdf", "Melting_Curves/meltCurve_sp_Q9BQA1_MEP50_HUMAN_.pdf")</f>
        <v>Melting_Curves/meltCurve_sp_Q9BQA1_MEP50_HUMAN_.pdf</v>
      </c>
      <c r="AA3113" t="s">
        <v>17280</v>
      </c>
      <c r="AB3113" t="s">
        <v>21947</v>
      </c>
    </row>
    <row r="3114" spans="1:28" x14ac:dyDescent="0.25">
      <c r="A3114" t="s">
        <v>3118</v>
      </c>
      <c r="B3114">
        <v>0.99904790336628502</v>
      </c>
      <c r="C3114">
        <v>0.92042074266439999</v>
      </c>
      <c r="D3114">
        <v>0.95860824999601901</v>
      </c>
      <c r="E3114">
        <v>0.81354885905570395</v>
      </c>
      <c r="F3114">
        <v>0.69884997135758797</v>
      </c>
      <c r="G3114">
        <v>0.42107927262011502</v>
      </c>
      <c r="H3114">
        <v>0.241152433977466</v>
      </c>
      <c r="I3114">
        <v>0.19302777043323199</v>
      </c>
      <c r="J3114">
        <v>0.16293305574144701</v>
      </c>
      <c r="K3114">
        <v>0.21714391773105099</v>
      </c>
      <c r="L3114">
        <v>913.277324761209</v>
      </c>
      <c r="M3114">
        <v>16.798472623914201</v>
      </c>
      <c r="N3114">
        <v>55.531975167777297</v>
      </c>
      <c r="O3114">
        <v>53.613781746998797</v>
      </c>
      <c r="P3114">
        <v>-6.6700327960413794E-2</v>
      </c>
      <c r="Q3114">
        <v>0.148535816469196</v>
      </c>
      <c r="R3114">
        <v>0.990322015268294</v>
      </c>
      <c r="S3114" t="s">
        <v>7854</v>
      </c>
      <c r="T3114" t="s">
        <v>9478</v>
      </c>
      <c r="U3114" t="s">
        <v>9478</v>
      </c>
      <c r="V3114" t="s">
        <v>9478</v>
      </c>
      <c r="W3114">
        <v>2</v>
      </c>
      <c r="X3114" t="s">
        <v>12592</v>
      </c>
      <c r="Y3114">
        <v>0.57112705757031679</v>
      </c>
      <c r="Z3114" t="str">
        <f>HYPERLINK("Melting_Curves/meltCurve_sp_Q9BQC3_DPH2_HUMAN_.pdf", "Melting_Curves/meltCurve_sp_Q9BQC3_DPH2_HUMAN_.pdf")</f>
        <v>Melting_Curves/meltCurve_sp_Q9BQC3_DPH2_HUMAN_.pdf</v>
      </c>
      <c r="AA3114" t="s">
        <v>17281</v>
      </c>
      <c r="AB3114" t="s">
        <v>21948</v>
      </c>
    </row>
    <row r="3115" spans="1:28" x14ac:dyDescent="0.25">
      <c r="A3115" t="s">
        <v>3119</v>
      </c>
      <c r="B3115">
        <v>0.99904790336628502</v>
      </c>
      <c r="C3115">
        <v>0.774058877655874</v>
      </c>
      <c r="D3115">
        <v>0.629392324706465</v>
      </c>
      <c r="E3115">
        <v>0.369755164396877</v>
      </c>
      <c r="F3115">
        <v>0.157866692197804</v>
      </c>
      <c r="G3115">
        <v>7.8990569170296995E-2</v>
      </c>
      <c r="H3115">
        <v>3.2292820392416301E-2</v>
      </c>
      <c r="I3115">
        <v>1.4131170389565699E-2</v>
      </c>
      <c r="J3115">
        <v>1.35171982470051E-2</v>
      </c>
      <c r="K3115">
        <v>0</v>
      </c>
      <c r="L3115">
        <v>692.546613547275</v>
      </c>
      <c r="M3115">
        <v>14.5501956026283</v>
      </c>
      <c r="N3115">
        <v>47.597066754862297</v>
      </c>
      <c r="O3115">
        <v>46.725104200247003</v>
      </c>
      <c r="P3115">
        <v>-7.7858858648303095E-2</v>
      </c>
      <c r="Q3115">
        <v>0</v>
      </c>
      <c r="R3115">
        <v>0.99255309188580698</v>
      </c>
      <c r="S3115" t="s">
        <v>7855</v>
      </c>
      <c r="T3115" t="s">
        <v>9478</v>
      </c>
      <c r="U3115" t="s">
        <v>9478</v>
      </c>
      <c r="V3115" t="s">
        <v>9478</v>
      </c>
      <c r="W3115">
        <v>16</v>
      </c>
      <c r="X3115" t="s">
        <v>12593</v>
      </c>
      <c r="Y3115">
        <v>0.28114020880680662</v>
      </c>
      <c r="Z3115" t="str">
        <f>HYPERLINK("Melting_Curves/meltCurve_sp_Q9BQE3_TBA1C_HUMAN_.pdf", "Melting_Curves/meltCurve_sp_Q9BQE3_TBA1C_HUMAN_.pdf")</f>
        <v>Melting_Curves/meltCurve_sp_Q9BQE3_TBA1C_HUMAN_.pdf</v>
      </c>
      <c r="AA3115" t="s">
        <v>17282</v>
      </c>
      <c r="AB3115" t="s">
        <v>21949</v>
      </c>
    </row>
    <row r="3116" spans="1:28" x14ac:dyDescent="0.25">
      <c r="A3116" t="s">
        <v>3120</v>
      </c>
      <c r="B3116">
        <v>0.99904790336628502</v>
      </c>
      <c r="C3116">
        <v>1.0539265011964301</v>
      </c>
      <c r="D3116">
        <v>0.92914683379602603</v>
      </c>
      <c r="E3116">
        <v>0.80806165379220796</v>
      </c>
      <c r="F3116">
        <v>0.68146420253297801</v>
      </c>
      <c r="G3116">
        <v>0.34611224929263801</v>
      </c>
      <c r="H3116">
        <v>0.267178050999405</v>
      </c>
      <c r="I3116">
        <v>0.235333686490699</v>
      </c>
      <c r="J3116">
        <v>0.20660216518893201</v>
      </c>
      <c r="K3116">
        <v>0.21273624409248601</v>
      </c>
      <c r="L3116">
        <v>1038.57372387024</v>
      </c>
      <c r="M3116">
        <v>19.412094072483502</v>
      </c>
      <c r="N3116">
        <v>54.907910230132401</v>
      </c>
      <c r="O3116">
        <v>52.943332284260499</v>
      </c>
      <c r="P3116">
        <v>-7.3709762356241895E-2</v>
      </c>
      <c r="Q3116">
        <v>0.195904175655741</v>
      </c>
      <c r="R3116">
        <v>0.99148407929259796</v>
      </c>
      <c r="S3116" t="s">
        <v>7856</v>
      </c>
      <c r="T3116" t="s">
        <v>9478</v>
      </c>
      <c r="U3116" t="s">
        <v>9478</v>
      </c>
      <c r="V3116" t="s">
        <v>9478</v>
      </c>
      <c r="W3116">
        <v>3</v>
      </c>
      <c r="X3116" t="s">
        <v>12594</v>
      </c>
      <c r="Y3116">
        <v>0.56934098888051887</v>
      </c>
      <c r="Z3116" t="str">
        <f>HYPERLINK("Melting_Curves/meltCurve_sp_Q9BQE5_APOL2_HUMAN_.pdf", "Melting_Curves/meltCurve_sp_Q9BQE5_APOL2_HUMAN_.pdf")</f>
        <v>Melting_Curves/meltCurve_sp_Q9BQE5_APOL2_HUMAN_.pdf</v>
      </c>
      <c r="AA3116" t="s">
        <v>17283</v>
      </c>
      <c r="AB3116" t="s">
        <v>21950</v>
      </c>
    </row>
    <row r="3117" spans="1:28" x14ac:dyDescent="0.25">
      <c r="A3117" t="s">
        <v>3121</v>
      </c>
      <c r="B3117">
        <v>0.99904790336628502</v>
      </c>
      <c r="C3117">
        <v>1.2668550286362601</v>
      </c>
      <c r="D3117">
        <v>1.0243991466317801</v>
      </c>
      <c r="E3117">
        <v>0.96133542431978403</v>
      </c>
      <c r="F3117">
        <v>0.82824034690955906</v>
      </c>
      <c r="G3117">
        <v>0.70859163690267601</v>
      </c>
      <c r="H3117">
        <v>0.62601865965605097</v>
      </c>
      <c r="I3117">
        <v>0.70568616327162204</v>
      </c>
      <c r="J3117">
        <v>0.67961125434513403</v>
      </c>
      <c r="K3117">
        <v>0.83533482550050198</v>
      </c>
      <c r="L3117">
        <v>2328.3754847079899</v>
      </c>
      <c r="M3117">
        <v>44.377340073641697</v>
      </c>
      <c r="O3117">
        <v>52.361458621165198</v>
      </c>
      <c r="P3117">
        <v>-6.1489286651189599E-2</v>
      </c>
      <c r="Q3117">
        <v>0.70979204685724295</v>
      </c>
      <c r="R3117">
        <v>0.73200864544320898</v>
      </c>
      <c r="S3117" t="s">
        <v>7857</v>
      </c>
      <c r="T3117" t="s">
        <v>9478</v>
      </c>
      <c r="U3117" t="s">
        <v>9478</v>
      </c>
      <c r="V3117" t="s">
        <v>9478</v>
      </c>
      <c r="W3117">
        <v>2</v>
      </c>
      <c r="X3117" t="s">
        <v>12595</v>
      </c>
      <c r="Y3117">
        <v>0.8312528591383187</v>
      </c>
      <c r="Z3117" t="str">
        <f>HYPERLINK("Melting_Curves/meltCurve_sp_Q9BQG0_MBB1A_HUMAN_.pdf", "Melting_Curves/meltCurve_sp_Q9BQG0_MBB1A_HUMAN_.pdf")</f>
        <v>Melting_Curves/meltCurve_sp_Q9BQG0_MBB1A_HUMAN_.pdf</v>
      </c>
      <c r="AA3117" t="s">
        <v>17284</v>
      </c>
      <c r="AB3117" t="s">
        <v>21951</v>
      </c>
    </row>
    <row r="3118" spans="1:28" x14ac:dyDescent="0.25">
      <c r="A3118" t="s">
        <v>3122</v>
      </c>
      <c r="B3118">
        <v>0.99904790336628502</v>
      </c>
      <c r="C3118">
        <v>0.97410360674932805</v>
      </c>
      <c r="D3118">
        <v>0.98576353715171305</v>
      </c>
      <c r="E3118">
        <v>0.76030823701573802</v>
      </c>
      <c r="F3118">
        <v>0.34519214247034102</v>
      </c>
      <c r="G3118">
        <v>0.15074074222143899</v>
      </c>
      <c r="H3118">
        <v>8.3886306949834594E-2</v>
      </c>
      <c r="I3118">
        <v>6.1835309757073999E-2</v>
      </c>
      <c r="J3118">
        <v>5.9369776736973197E-2</v>
      </c>
      <c r="K3118">
        <v>4.5402234259414302E-2</v>
      </c>
      <c r="L3118">
        <v>1563.0176948877399</v>
      </c>
      <c r="M3118">
        <v>30.249776436937999</v>
      </c>
      <c r="N3118">
        <v>51.909019261126097</v>
      </c>
      <c r="O3118">
        <v>51.446154863258798</v>
      </c>
      <c r="P3118">
        <v>-0.137455272316615</v>
      </c>
      <c r="Q3118">
        <v>6.4918696288145505E-2</v>
      </c>
      <c r="R3118">
        <v>0.99834294778914501</v>
      </c>
      <c r="S3118" t="s">
        <v>7858</v>
      </c>
      <c r="T3118" t="s">
        <v>9478</v>
      </c>
      <c r="U3118" t="s">
        <v>9478</v>
      </c>
      <c r="V3118" t="s">
        <v>9478</v>
      </c>
      <c r="W3118">
        <v>15</v>
      </c>
      <c r="X3118" t="s">
        <v>12596</v>
      </c>
      <c r="Y3118">
        <v>0.43452368041070011</v>
      </c>
      <c r="Z3118" t="str">
        <f>HYPERLINK("Melting_Curves/meltCurve_sp_Q9BQG2_NUD12_HUMAN_.pdf", "Melting_Curves/meltCurve_sp_Q9BQG2_NUD12_HUMAN_.pdf")</f>
        <v>Melting_Curves/meltCurve_sp_Q9BQG2_NUD12_HUMAN_.pdf</v>
      </c>
      <c r="AA3118" t="s">
        <v>17285</v>
      </c>
      <c r="AB3118" t="s">
        <v>21952</v>
      </c>
    </row>
    <row r="3119" spans="1:28" x14ac:dyDescent="0.25">
      <c r="A3119" t="s">
        <v>3123</v>
      </c>
      <c r="B3119">
        <v>0.99904790336628502</v>
      </c>
      <c r="C3119">
        <v>1.0078865861519699</v>
      </c>
      <c r="D3119">
        <v>0.98841238303476298</v>
      </c>
      <c r="E3119">
        <v>0.86626875199099196</v>
      </c>
      <c r="F3119">
        <v>0.55838062495431595</v>
      </c>
      <c r="G3119">
        <v>0.28134873018934897</v>
      </c>
      <c r="H3119">
        <v>0.22870674840140701</v>
      </c>
      <c r="I3119">
        <v>0.17011653663545401</v>
      </c>
      <c r="J3119">
        <v>0.192598410204955</v>
      </c>
      <c r="K3119">
        <v>0.18707029716064599</v>
      </c>
      <c r="L3119">
        <v>1495.93257127687</v>
      </c>
      <c r="M3119">
        <v>28.3635562371555</v>
      </c>
      <c r="N3119">
        <v>53.637807000888301</v>
      </c>
      <c r="O3119">
        <v>52.481282763905497</v>
      </c>
      <c r="P3119">
        <v>-0.109609969650932</v>
      </c>
      <c r="Q3119">
        <v>0.18875834161920599</v>
      </c>
      <c r="R3119">
        <v>0.99894470072877894</v>
      </c>
      <c r="S3119" t="s">
        <v>7859</v>
      </c>
      <c r="T3119" t="s">
        <v>9478</v>
      </c>
      <c r="U3119" t="s">
        <v>9478</v>
      </c>
      <c r="V3119" t="s">
        <v>9478</v>
      </c>
      <c r="W3119">
        <v>3</v>
      </c>
      <c r="X3119" t="s">
        <v>12597</v>
      </c>
      <c r="Y3119">
        <v>0.53915212328379603</v>
      </c>
      <c r="Z3119" t="str">
        <f>HYPERLINK("Melting_Curves/meltCurve_sp_Q9BQK8_2_LPIN3_HUMAN_.pdf", "Melting_Curves/meltCurve_sp_Q9BQK8_2_LPIN3_HUMAN_.pdf")</f>
        <v>Melting_Curves/meltCurve_sp_Q9BQK8_2_LPIN3_HUMAN_.pdf</v>
      </c>
      <c r="AA3119" t="s">
        <v>17286</v>
      </c>
      <c r="AB3119" t="s">
        <v>21953</v>
      </c>
    </row>
    <row r="3120" spans="1:28" x14ac:dyDescent="0.25">
      <c r="A3120" t="s">
        <v>3124</v>
      </c>
      <c r="B3120">
        <v>0.99904790336628502</v>
      </c>
      <c r="C3120">
        <v>1.08763351396915</v>
      </c>
      <c r="D3120">
        <v>0.96060727271504598</v>
      </c>
      <c r="E3120">
        <v>0.91991134132164798</v>
      </c>
      <c r="F3120">
        <v>0.58311198397798503</v>
      </c>
      <c r="G3120">
        <v>0.17792981761010099</v>
      </c>
      <c r="H3120">
        <v>8.9884991731056796E-2</v>
      </c>
      <c r="I3120">
        <v>8.83243498793225E-2</v>
      </c>
      <c r="J3120">
        <v>8.5891628420730906E-2</v>
      </c>
      <c r="K3120">
        <v>8.6624693323048202E-2</v>
      </c>
      <c r="L3120">
        <v>1825.1392698432201</v>
      </c>
      <c r="M3120">
        <v>34.244647443640503</v>
      </c>
      <c r="N3120">
        <v>53.586493399914602</v>
      </c>
      <c r="O3120">
        <v>53.116300583157702</v>
      </c>
      <c r="P3120">
        <v>-0.14756980124424099</v>
      </c>
      <c r="Q3120">
        <v>8.4431309902773199E-2</v>
      </c>
      <c r="R3120">
        <v>0.99487250630430302</v>
      </c>
      <c r="S3120" t="s">
        <v>7860</v>
      </c>
      <c r="T3120" t="s">
        <v>9478</v>
      </c>
      <c r="U3120" t="s">
        <v>9478</v>
      </c>
      <c r="V3120" t="s">
        <v>9478</v>
      </c>
      <c r="W3120">
        <v>3</v>
      </c>
      <c r="X3120" t="s">
        <v>12598</v>
      </c>
      <c r="Y3120">
        <v>0.49483746867541151</v>
      </c>
      <c r="Z3120" t="str">
        <f>HYPERLINK("Melting_Curves/meltCurve_sp_Q9BQP7_MGME1_HUMAN_.pdf", "Melting_Curves/meltCurve_sp_Q9BQP7_MGME1_HUMAN_.pdf")</f>
        <v>Melting_Curves/meltCurve_sp_Q9BQP7_MGME1_HUMAN_.pdf</v>
      </c>
      <c r="AA3120" t="s">
        <v>17287</v>
      </c>
      <c r="AB3120" t="s">
        <v>21954</v>
      </c>
    </row>
    <row r="3121" spans="1:28" x14ac:dyDescent="0.25">
      <c r="A3121" t="s">
        <v>3125</v>
      </c>
      <c r="B3121">
        <v>0.99904790336628502</v>
      </c>
      <c r="C3121">
        <v>1.0323537362350499</v>
      </c>
      <c r="D3121">
        <v>1.0662937238521699</v>
      </c>
      <c r="E3121">
        <v>0.85746638971188305</v>
      </c>
      <c r="F3121">
        <v>0.65178012256291595</v>
      </c>
      <c r="G3121">
        <v>0.41769793765003799</v>
      </c>
      <c r="H3121">
        <v>0.23389651908813799</v>
      </c>
      <c r="I3121">
        <v>0.15796171868929801</v>
      </c>
      <c r="J3121">
        <v>0.12619230749900501</v>
      </c>
      <c r="K3121">
        <v>9.9515148071526893E-2</v>
      </c>
      <c r="L3121">
        <v>986.551053155722</v>
      </c>
      <c r="M3121">
        <v>17.9867012287996</v>
      </c>
      <c r="N3121">
        <v>55.491875222652403</v>
      </c>
      <c r="O3121">
        <v>54.184417388491802</v>
      </c>
      <c r="P3121">
        <v>-7.5186210731268605E-2</v>
      </c>
      <c r="Q3121">
        <v>9.4059687301126793E-2</v>
      </c>
      <c r="R3121">
        <v>0.99169239219612804</v>
      </c>
      <c r="S3121" t="s">
        <v>7861</v>
      </c>
      <c r="T3121" t="s">
        <v>9478</v>
      </c>
      <c r="U3121" t="s">
        <v>9478</v>
      </c>
      <c r="V3121" t="s">
        <v>9478</v>
      </c>
      <c r="W3121">
        <v>27</v>
      </c>
      <c r="X3121" t="s">
        <v>12599</v>
      </c>
      <c r="Y3121">
        <v>0.55658004646249215</v>
      </c>
      <c r="Z3121" t="str">
        <f>HYPERLINK("Melting_Curves/meltCurve_sp_Q9BQS8_FYCO1_HUMAN_.pdf", "Melting_Curves/meltCurve_sp_Q9BQS8_FYCO1_HUMAN_.pdf")</f>
        <v>Melting_Curves/meltCurve_sp_Q9BQS8_FYCO1_HUMAN_.pdf</v>
      </c>
      <c r="AA3121" t="s">
        <v>17288</v>
      </c>
      <c r="AB3121" t="s">
        <v>21955</v>
      </c>
    </row>
    <row r="3122" spans="1:28" x14ac:dyDescent="0.25">
      <c r="A3122" t="s">
        <v>3126</v>
      </c>
      <c r="B3122">
        <v>0.99904790336628502</v>
      </c>
      <c r="C3122">
        <v>0.88079468665173999</v>
      </c>
      <c r="D3122">
        <v>0.88563684057654901</v>
      </c>
      <c r="E3122">
        <v>0.69151504808585795</v>
      </c>
      <c r="F3122">
        <v>0.55594889682419801</v>
      </c>
      <c r="G3122">
        <v>0.32968200617020899</v>
      </c>
      <c r="H3122">
        <v>0.26769484637979502</v>
      </c>
      <c r="I3122">
        <v>0.18348469069259599</v>
      </c>
      <c r="J3122">
        <v>0.20151035192768299</v>
      </c>
      <c r="K3122">
        <v>0.17138552075130001</v>
      </c>
      <c r="L3122">
        <v>646.78844665869497</v>
      </c>
      <c r="M3122">
        <v>12.347554503694001</v>
      </c>
      <c r="N3122">
        <v>53.652324798284901</v>
      </c>
      <c r="O3122">
        <v>51.064833080065704</v>
      </c>
      <c r="P3122">
        <v>-5.2799367424913597E-2</v>
      </c>
      <c r="Q3122">
        <v>0.126755275377546</v>
      </c>
      <c r="R3122">
        <v>0.99178707690478995</v>
      </c>
      <c r="S3122" t="s">
        <v>7862</v>
      </c>
      <c r="T3122" t="s">
        <v>9478</v>
      </c>
      <c r="U3122" t="s">
        <v>9478</v>
      </c>
      <c r="V3122" t="s">
        <v>9478</v>
      </c>
      <c r="W3122">
        <v>4</v>
      </c>
      <c r="X3122" t="s">
        <v>12600</v>
      </c>
      <c r="Y3122">
        <v>0.5122955803290915</v>
      </c>
      <c r="Z3122" t="str">
        <f>HYPERLINK("Melting_Curves/meltCurve_sp_Q9BR61_ACBD6_HUMAN_.pdf", "Melting_Curves/meltCurve_sp_Q9BR61_ACBD6_HUMAN_.pdf")</f>
        <v>Melting_Curves/meltCurve_sp_Q9BR61_ACBD6_HUMAN_.pdf</v>
      </c>
      <c r="AA3122" t="s">
        <v>17289</v>
      </c>
      <c r="AB3122" t="s">
        <v>21956</v>
      </c>
    </row>
    <row r="3123" spans="1:28" x14ac:dyDescent="0.25">
      <c r="A3123" t="s">
        <v>3127</v>
      </c>
      <c r="B3123">
        <v>0.99904790336628502</v>
      </c>
      <c r="C3123">
        <v>0.97915754686679601</v>
      </c>
      <c r="D3123">
        <v>1.0452733406780499</v>
      </c>
      <c r="E3123">
        <v>0.91832385950871598</v>
      </c>
      <c r="F3123">
        <v>0.52534678375819399</v>
      </c>
      <c r="G3123">
        <v>0.16093776872721499</v>
      </c>
      <c r="H3123">
        <v>0.10311506674234699</v>
      </c>
      <c r="I3123">
        <v>8.9331616758254004E-2</v>
      </c>
      <c r="J3123">
        <v>9.0303444377634504E-2</v>
      </c>
      <c r="K3123">
        <v>8.67908772802546E-2</v>
      </c>
      <c r="L3123">
        <v>2030.3132154582499</v>
      </c>
      <c r="M3123">
        <v>38.375497973864697</v>
      </c>
      <c r="N3123">
        <v>53.192500566317896</v>
      </c>
      <c r="O3123">
        <v>52.763449361984698</v>
      </c>
      <c r="P3123">
        <v>-0.16487848117078199</v>
      </c>
      <c r="Q3123">
        <v>9.3219818854364395E-2</v>
      </c>
      <c r="R3123">
        <v>0.99820900815935698</v>
      </c>
      <c r="S3123" t="s">
        <v>7863</v>
      </c>
      <c r="T3123" t="s">
        <v>9478</v>
      </c>
      <c r="U3123" t="s">
        <v>9478</v>
      </c>
      <c r="V3123" t="s">
        <v>9478</v>
      </c>
      <c r="W3123">
        <v>19</v>
      </c>
      <c r="X3123" t="s">
        <v>12601</v>
      </c>
      <c r="Y3123">
        <v>0.48693177553100209</v>
      </c>
      <c r="Z3123" t="str">
        <f>HYPERLINK("Melting_Curves/meltCurve_sp_Q9BR76_COR1B_HUMAN_.pdf", "Melting_Curves/meltCurve_sp_Q9BR76_COR1B_HUMAN_.pdf")</f>
        <v>Melting_Curves/meltCurve_sp_Q9BR76_COR1B_HUMAN_.pdf</v>
      </c>
      <c r="AA3123" t="s">
        <v>17290</v>
      </c>
      <c r="AB3123" t="s">
        <v>21957</v>
      </c>
    </row>
    <row r="3124" spans="1:28" x14ac:dyDescent="0.25">
      <c r="A3124" t="s">
        <v>3128</v>
      </c>
      <c r="B3124">
        <v>0.99904790336628502</v>
      </c>
      <c r="C3124">
        <v>0.95586901355964404</v>
      </c>
      <c r="D3124">
        <v>0.87555076752577199</v>
      </c>
      <c r="E3124">
        <v>0.905973879944314</v>
      </c>
      <c r="F3124">
        <v>0.83719266533941605</v>
      </c>
      <c r="G3124">
        <v>0.83811622119596096</v>
      </c>
      <c r="H3124">
        <v>0.71689158683768495</v>
      </c>
      <c r="I3124">
        <v>0.70497185491097403</v>
      </c>
      <c r="J3124">
        <v>0.660537548902556</v>
      </c>
      <c r="K3124">
        <v>0.50963172345024899</v>
      </c>
      <c r="L3124">
        <v>330.22521132118601</v>
      </c>
      <c r="M3124">
        <v>4.4305744378037799</v>
      </c>
      <c r="O3124">
        <v>63.075373803190999</v>
      </c>
      <c r="P3124">
        <v>-1.77223600473249E-2</v>
      </c>
      <c r="Q3124">
        <v>0</v>
      </c>
      <c r="R3124">
        <v>0.93521064823359601</v>
      </c>
      <c r="S3124" t="s">
        <v>7864</v>
      </c>
      <c r="T3124" t="s">
        <v>9478</v>
      </c>
      <c r="U3124" t="s">
        <v>9478</v>
      </c>
      <c r="V3124" t="s">
        <v>9478</v>
      </c>
      <c r="W3124">
        <v>6</v>
      </c>
      <c r="X3124" t="s">
        <v>12602</v>
      </c>
      <c r="Y3124">
        <v>0.80943459725567013</v>
      </c>
      <c r="Z3124" t="str">
        <f>HYPERLINK("Melting_Curves/meltCurve_sp_Q9BRA2_TXD17_HUMAN_.pdf", "Melting_Curves/meltCurve_sp_Q9BRA2_TXD17_HUMAN_.pdf")</f>
        <v>Melting_Curves/meltCurve_sp_Q9BRA2_TXD17_HUMAN_.pdf</v>
      </c>
      <c r="AA3124" t="s">
        <v>17291</v>
      </c>
      <c r="AB3124" t="s">
        <v>21958</v>
      </c>
    </row>
    <row r="3125" spans="1:28" x14ac:dyDescent="0.25">
      <c r="A3125" t="s">
        <v>3129</v>
      </c>
      <c r="B3125">
        <v>0.99904790336628502</v>
      </c>
      <c r="C3125">
        <v>0.943112669744536</v>
      </c>
      <c r="D3125">
        <v>0.91393958429462996</v>
      </c>
      <c r="E3125">
        <v>0.92062168694021995</v>
      </c>
      <c r="F3125">
        <v>0.846504902960173</v>
      </c>
      <c r="G3125">
        <v>0.71395230935276</v>
      </c>
      <c r="H3125">
        <v>0.50943921878195297</v>
      </c>
      <c r="I3125">
        <v>0.46751947130639099</v>
      </c>
      <c r="J3125">
        <v>0.42488525719866799</v>
      </c>
      <c r="K3125">
        <v>0.33123922718649501</v>
      </c>
      <c r="L3125">
        <v>597.92086528803895</v>
      </c>
      <c r="M3125">
        <v>9.9800768908933293</v>
      </c>
      <c r="N3125">
        <v>62.819607211347702</v>
      </c>
      <c r="O3125">
        <v>57.655001353891002</v>
      </c>
      <c r="P3125">
        <v>-3.5286678229480603E-2</v>
      </c>
      <c r="Q3125">
        <v>0.18499377642541701</v>
      </c>
      <c r="R3125">
        <v>0.98508101893379396</v>
      </c>
      <c r="S3125" t="s">
        <v>7865</v>
      </c>
      <c r="T3125" t="s">
        <v>9478</v>
      </c>
      <c r="U3125" t="s">
        <v>9478</v>
      </c>
      <c r="V3125" t="s">
        <v>9478</v>
      </c>
      <c r="W3125">
        <v>12</v>
      </c>
      <c r="X3125" t="s">
        <v>12603</v>
      </c>
      <c r="Y3125">
        <v>0.72316126659454971</v>
      </c>
      <c r="Z3125" t="str">
        <f>HYPERLINK("Melting_Curves/meltCurve_sp_Q9BRF8_CPPED_HUMAN_.pdf", "Melting_Curves/meltCurve_sp_Q9BRF8_CPPED_HUMAN_.pdf")</f>
        <v>Melting_Curves/meltCurve_sp_Q9BRF8_CPPED_HUMAN_.pdf</v>
      </c>
      <c r="AA3125" t="s">
        <v>17292</v>
      </c>
      <c r="AB3125" t="s">
        <v>21959</v>
      </c>
    </row>
    <row r="3126" spans="1:28" x14ac:dyDescent="0.25">
      <c r="A3126" t="s">
        <v>3130</v>
      </c>
      <c r="B3126">
        <v>0.99904790336628502</v>
      </c>
      <c r="C3126">
        <v>0.98161267822338505</v>
      </c>
      <c r="D3126">
        <v>1.0084117163653299</v>
      </c>
      <c r="E3126">
        <v>0.82385312493017904</v>
      </c>
      <c r="F3126">
        <v>0.560253284434026</v>
      </c>
      <c r="G3126">
        <v>0.186661523054127</v>
      </c>
      <c r="H3126">
        <v>8.59147351650624E-2</v>
      </c>
      <c r="I3126">
        <v>6.0731551038267197E-2</v>
      </c>
      <c r="J3126">
        <v>4.5565348685363098E-2</v>
      </c>
      <c r="K3126">
        <v>3.7829220671302698E-2</v>
      </c>
      <c r="L3126">
        <v>1318.4288047386599</v>
      </c>
      <c r="M3126">
        <v>24.758458887748301</v>
      </c>
      <c r="N3126">
        <v>53.432757435099901</v>
      </c>
      <c r="O3126">
        <v>52.907911909267199</v>
      </c>
      <c r="P3126">
        <v>-0.112281715789838</v>
      </c>
      <c r="Q3126">
        <v>4.0246289358510899E-2</v>
      </c>
      <c r="R3126">
        <v>0.99905570213816897</v>
      </c>
      <c r="S3126" t="s">
        <v>7866</v>
      </c>
      <c r="T3126" t="s">
        <v>9478</v>
      </c>
      <c r="U3126" t="s">
        <v>9478</v>
      </c>
      <c r="V3126" t="s">
        <v>9478</v>
      </c>
      <c r="W3126">
        <v>8</v>
      </c>
      <c r="X3126" t="s">
        <v>12604</v>
      </c>
      <c r="Y3126">
        <v>0.47320303733707803</v>
      </c>
      <c r="Z3126" t="str">
        <f>HYPERLINK("Melting_Curves/meltCurve_sp_Q9BRG1_VPS25_HUMAN_.pdf", "Melting_Curves/meltCurve_sp_Q9BRG1_VPS25_HUMAN_.pdf")</f>
        <v>Melting_Curves/meltCurve_sp_Q9BRG1_VPS25_HUMAN_.pdf</v>
      </c>
      <c r="AA3126" t="s">
        <v>17293</v>
      </c>
      <c r="AB3126" t="s">
        <v>21960</v>
      </c>
    </row>
    <row r="3127" spans="1:28" x14ac:dyDescent="0.25">
      <c r="A3127" t="s">
        <v>3131</v>
      </c>
      <c r="B3127">
        <v>0.99904790336628502</v>
      </c>
      <c r="C3127">
        <v>1.0226208411056501</v>
      </c>
      <c r="D3127">
        <v>0.99185996749438299</v>
      </c>
      <c r="E3127">
        <v>0.91141347262736905</v>
      </c>
      <c r="F3127">
        <v>0.87895393011908995</v>
      </c>
      <c r="G3127">
        <v>0.62639892219219095</v>
      </c>
      <c r="H3127">
        <v>0.61701126698919195</v>
      </c>
      <c r="I3127">
        <v>0.55772728839471497</v>
      </c>
      <c r="J3127">
        <v>0.56573396778545604</v>
      </c>
      <c r="K3127">
        <v>0.57454863759567798</v>
      </c>
      <c r="L3127">
        <v>1410.0576785035701</v>
      </c>
      <c r="M3127">
        <v>26.038640686510199</v>
      </c>
      <c r="O3127">
        <v>53.836150076818001</v>
      </c>
      <c r="P3127">
        <v>-5.2509185428847797E-2</v>
      </c>
      <c r="Q3127">
        <v>0.56574396100770896</v>
      </c>
      <c r="R3127">
        <v>0.98366333467209</v>
      </c>
      <c r="S3127" t="s">
        <v>7867</v>
      </c>
      <c r="T3127" t="s">
        <v>9478</v>
      </c>
      <c r="U3127" t="s">
        <v>9478</v>
      </c>
      <c r="V3127" t="s">
        <v>9478</v>
      </c>
      <c r="W3127">
        <v>9</v>
      </c>
      <c r="X3127" t="s">
        <v>12605</v>
      </c>
      <c r="Y3127">
        <v>0.77433620062686459</v>
      </c>
      <c r="Z3127" t="str">
        <f>HYPERLINK("Melting_Curves/meltCurve_sp_Q9BRK5_CAB45_HUMAN_.pdf", "Melting_Curves/meltCurve_sp_Q9BRK5_CAB45_HUMAN_.pdf")</f>
        <v>Melting_Curves/meltCurve_sp_Q9BRK5_CAB45_HUMAN_.pdf</v>
      </c>
      <c r="AA3127" t="s">
        <v>17294</v>
      </c>
      <c r="AB3127" t="s">
        <v>21961</v>
      </c>
    </row>
    <row r="3128" spans="1:28" x14ac:dyDescent="0.25">
      <c r="A3128" t="s">
        <v>3132</v>
      </c>
      <c r="B3128">
        <v>0.99904790336628502</v>
      </c>
      <c r="C3128">
        <v>0.95735785219215197</v>
      </c>
      <c r="D3128">
        <v>1.05570055799791</v>
      </c>
      <c r="E3128">
        <v>0.88285061869391601</v>
      </c>
      <c r="F3128">
        <v>0.83260396461333797</v>
      </c>
      <c r="G3128">
        <v>0.61013736015829201</v>
      </c>
      <c r="H3128">
        <v>0.206198392068182</v>
      </c>
      <c r="I3128">
        <v>5.9364543712270901E-2</v>
      </c>
      <c r="J3128">
        <v>3.9193227752442703E-2</v>
      </c>
      <c r="K3128">
        <v>2.2560611379789701E-2</v>
      </c>
      <c r="L3128">
        <v>1258.7613070550999</v>
      </c>
      <c r="M3128">
        <v>21.8667408122799</v>
      </c>
      <c r="N3128">
        <v>57.565114542513598</v>
      </c>
      <c r="O3128">
        <v>57.090169526705097</v>
      </c>
      <c r="P3128">
        <v>-9.5757493423131598E-2</v>
      </c>
      <c r="Q3128">
        <v>0</v>
      </c>
      <c r="R3128">
        <v>0.98919158112424099</v>
      </c>
      <c r="S3128" t="s">
        <v>7868</v>
      </c>
      <c r="T3128" t="s">
        <v>9478</v>
      </c>
      <c r="U3128" t="s">
        <v>9478</v>
      </c>
      <c r="V3128" t="s">
        <v>9478</v>
      </c>
      <c r="W3128">
        <v>3</v>
      </c>
      <c r="X3128" t="s">
        <v>12606</v>
      </c>
      <c r="Y3128">
        <v>0.59611764564672043</v>
      </c>
      <c r="Z3128" t="str">
        <f>HYPERLINK("Melting_Curves/meltCurve_sp_Q9BRP4_PAAF1_HUMAN_.pdf", "Melting_Curves/meltCurve_sp_Q9BRP4_PAAF1_HUMAN_.pdf")</f>
        <v>Melting_Curves/meltCurve_sp_Q9BRP4_PAAF1_HUMAN_.pdf</v>
      </c>
      <c r="AA3128" t="s">
        <v>17295</v>
      </c>
      <c r="AB3128" t="s">
        <v>21962</v>
      </c>
    </row>
    <row r="3129" spans="1:28" x14ac:dyDescent="0.25">
      <c r="A3129" t="s">
        <v>3133</v>
      </c>
      <c r="B3129">
        <v>0.99904790336628502</v>
      </c>
      <c r="C3129">
        <v>0.96263428813336505</v>
      </c>
      <c r="D3129">
        <v>0.91861917477789501</v>
      </c>
      <c r="E3129">
        <v>0.887475663790249</v>
      </c>
      <c r="F3129">
        <v>0.96375506927375998</v>
      </c>
      <c r="G3129">
        <v>0.78815735248383201</v>
      </c>
      <c r="H3129">
        <v>0.71817282097912005</v>
      </c>
      <c r="I3129">
        <v>0.70498132120938695</v>
      </c>
      <c r="J3129">
        <v>0.75213276694634201</v>
      </c>
      <c r="K3129">
        <v>0.80810684656670895</v>
      </c>
      <c r="L3129">
        <v>632.00930965785597</v>
      </c>
      <c r="M3129">
        <v>11.9099150684935</v>
      </c>
      <c r="O3129">
        <v>51.636112691182397</v>
      </c>
      <c r="P3129">
        <v>-1.5865536044265299E-2</v>
      </c>
      <c r="Q3129">
        <v>0.72492456656661497</v>
      </c>
      <c r="R3129">
        <v>0.77834033266338198</v>
      </c>
      <c r="S3129" t="s">
        <v>7869</v>
      </c>
      <c r="T3129" t="s">
        <v>9478</v>
      </c>
      <c r="U3129" t="s">
        <v>9478</v>
      </c>
      <c r="V3129" t="s">
        <v>9478</v>
      </c>
      <c r="W3129">
        <v>8</v>
      </c>
      <c r="X3129" t="s">
        <v>12607</v>
      </c>
      <c r="Y3129">
        <v>0.85258343179942486</v>
      </c>
      <c r="Z3129" t="str">
        <f>HYPERLINK("Melting_Curves/meltCurve_sp_Q9BRP8_2_WIBG_HUMAN_.pdf", "Melting_Curves/meltCurve_sp_Q9BRP8_2_WIBG_HUMAN_.pdf")</f>
        <v>Melting_Curves/meltCurve_sp_Q9BRP8_2_WIBG_HUMAN_.pdf</v>
      </c>
      <c r="AA3129" t="s">
        <v>17296</v>
      </c>
      <c r="AB3129" t="s">
        <v>21963</v>
      </c>
    </row>
    <row r="3130" spans="1:28" x14ac:dyDescent="0.25">
      <c r="A3130" t="s">
        <v>3134</v>
      </c>
      <c r="B3130">
        <v>0.99904790336628502</v>
      </c>
      <c r="C3130">
        <v>0.89764866523504006</v>
      </c>
      <c r="D3130">
        <v>0.74445903875145802</v>
      </c>
      <c r="E3130">
        <v>0.41562781357731399</v>
      </c>
      <c r="F3130">
        <v>0.246563037947374</v>
      </c>
      <c r="G3130">
        <v>0.12586986934080999</v>
      </c>
      <c r="H3130">
        <v>8.8305643351392099E-2</v>
      </c>
      <c r="I3130">
        <v>6.5732585842854102E-2</v>
      </c>
      <c r="J3130">
        <v>3.8354637129573002E-2</v>
      </c>
      <c r="K3130">
        <v>4.77325539159522E-2</v>
      </c>
      <c r="L3130">
        <v>804.47330299493899</v>
      </c>
      <c r="M3130">
        <v>16.5075125231421</v>
      </c>
      <c r="N3130">
        <v>49.0019539407919</v>
      </c>
      <c r="O3130">
        <v>48.035420963484299</v>
      </c>
      <c r="P3130">
        <v>-8.2208166071822603E-2</v>
      </c>
      <c r="Q3130">
        <v>4.3191876688413101E-2</v>
      </c>
      <c r="R3130">
        <v>0.99905806339518299</v>
      </c>
      <c r="S3130" t="s">
        <v>7870</v>
      </c>
      <c r="T3130" t="s">
        <v>9478</v>
      </c>
      <c r="U3130" t="s">
        <v>9478</v>
      </c>
      <c r="V3130" t="s">
        <v>9478</v>
      </c>
      <c r="W3130">
        <v>2</v>
      </c>
      <c r="X3130" t="s">
        <v>12608</v>
      </c>
      <c r="Y3130">
        <v>0.34154993584755922</v>
      </c>
      <c r="Z3130" t="str">
        <f>HYPERLINK("Melting_Curves/meltCurve_sp_Q9BRQ8_2_AIFM2_HUMAN_.pdf", "Melting_Curves/meltCurve_sp_Q9BRQ8_2_AIFM2_HUMAN_.pdf")</f>
        <v>Melting_Curves/meltCurve_sp_Q9BRQ8_2_AIFM2_HUMAN_.pdf</v>
      </c>
      <c r="AA3130" t="s">
        <v>17297</v>
      </c>
      <c r="AB3130" t="s">
        <v>21964</v>
      </c>
    </row>
    <row r="3131" spans="1:28" x14ac:dyDescent="0.25">
      <c r="A3131" t="s">
        <v>3135</v>
      </c>
      <c r="B3131">
        <v>0.99904790336628502</v>
      </c>
      <c r="C3131">
        <v>0.98638468927820599</v>
      </c>
      <c r="D3131">
        <v>0.91946185545033599</v>
      </c>
      <c r="E3131">
        <v>0.94962647714756199</v>
      </c>
      <c r="F3131">
        <v>0.77583619961491401</v>
      </c>
      <c r="G3131">
        <v>0.77401355767616598</v>
      </c>
      <c r="H3131">
        <v>0.57512957043215396</v>
      </c>
      <c r="I3131">
        <v>0.64049912131908904</v>
      </c>
      <c r="J3131">
        <v>0.62481490938916495</v>
      </c>
      <c r="K3131">
        <v>0.56815468134706304</v>
      </c>
      <c r="L3131">
        <v>706.42835915890498</v>
      </c>
      <c r="M3131">
        <v>12.945210627578099</v>
      </c>
      <c r="O3131">
        <v>53.317631481681502</v>
      </c>
      <c r="P3131">
        <v>-2.6774411021785099E-2</v>
      </c>
      <c r="Q3131">
        <v>0.55897463554980598</v>
      </c>
      <c r="R3131">
        <v>0.93746065652815302</v>
      </c>
      <c r="S3131" t="s">
        <v>7871</v>
      </c>
      <c r="T3131" t="s">
        <v>9478</v>
      </c>
      <c r="U3131" t="s">
        <v>9478</v>
      </c>
      <c r="V3131" t="s">
        <v>9478</v>
      </c>
      <c r="W3131">
        <v>3</v>
      </c>
      <c r="X3131" t="s">
        <v>12609</v>
      </c>
      <c r="Y3131">
        <v>0.78336001286486812</v>
      </c>
      <c r="Z3131" t="str">
        <f>HYPERLINK("Melting_Curves/meltCurve_sp_Q9BRT3_MIEN1_HUMAN_.pdf", "Melting_Curves/meltCurve_sp_Q9BRT3_MIEN1_HUMAN_.pdf")</f>
        <v>Melting_Curves/meltCurve_sp_Q9BRT3_MIEN1_HUMAN_.pdf</v>
      </c>
      <c r="AA3131" t="s">
        <v>17298</v>
      </c>
      <c r="AB3131" t="s">
        <v>21965</v>
      </c>
    </row>
    <row r="3132" spans="1:28" x14ac:dyDescent="0.25">
      <c r="A3132" t="s">
        <v>3136</v>
      </c>
      <c r="B3132">
        <v>0.99904790336628502</v>
      </c>
      <c r="C3132">
        <v>0.99762230188545398</v>
      </c>
      <c r="D3132">
        <v>0.96385746907079195</v>
      </c>
      <c r="E3132">
        <v>0.81731626287814196</v>
      </c>
      <c r="F3132">
        <v>0.65953518155396795</v>
      </c>
      <c r="G3132">
        <v>0.416274883432661</v>
      </c>
      <c r="H3132">
        <v>0.29647401037162702</v>
      </c>
      <c r="I3132">
        <v>0.26583709645068399</v>
      </c>
      <c r="J3132">
        <v>0.255001842856729</v>
      </c>
      <c r="K3132">
        <v>0.218757914678434</v>
      </c>
      <c r="L3132">
        <v>942.33627069657905</v>
      </c>
      <c r="M3132">
        <v>17.577977606240001</v>
      </c>
      <c r="N3132">
        <v>55.420546391844802</v>
      </c>
      <c r="O3132">
        <v>52.9295259065727</v>
      </c>
      <c r="P3132">
        <v>-6.48848638057858E-2</v>
      </c>
      <c r="Q3132">
        <v>0.21853605250781799</v>
      </c>
      <c r="R3132">
        <v>0.99926271558832702</v>
      </c>
      <c r="S3132" t="s">
        <v>7872</v>
      </c>
      <c r="T3132" t="s">
        <v>9478</v>
      </c>
      <c r="U3132" t="s">
        <v>9478</v>
      </c>
      <c r="V3132" t="s">
        <v>9478</v>
      </c>
      <c r="W3132">
        <v>18</v>
      </c>
      <c r="X3132" t="s">
        <v>12610</v>
      </c>
      <c r="Y3132">
        <v>0.58612491727041138</v>
      </c>
      <c r="Z3132" t="str">
        <f>HYPERLINK("Melting_Curves/meltCurve_sp_Q9BRZ2_TRI56_HUMAN_.pdf", "Melting_Curves/meltCurve_sp_Q9BRZ2_TRI56_HUMAN_.pdf")</f>
        <v>Melting_Curves/meltCurve_sp_Q9BRZ2_TRI56_HUMAN_.pdf</v>
      </c>
      <c r="AA3132" t="s">
        <v>17299</v>
      </c>
      <c r="AB3132" t="s">
        <v>21966</v>
      </c>
    </row>
    <row r="3133" spans="1:28" x14ac:dyDescent="0.25">
      <c r="A3133" t="s">
        <v>3137</v>
      </c>
      <c r="B3133">
        <v>0.99904790336628502</v>
      </c>
      <c r="C3133">
        <v>0.95823151574224497</v>
      </c>
      <c r="D3133">
        <v>0.94190055778230997</v>
      </c>
      <c r="E3133">
        <v>0.90494006224705303</v>
      </c>
      <c r="F3133">
        <v>0.74774998770531098</v>
      </c>
      <c r="G3133">
        <v>0.274515431778172</v>
      </c>
      <c r="H3133">
        <v>0.118441240229182</v>
      </c>
      <c r="I3133">
        <v>7.7137691356556098E-2</v>
      </c>
      <c r="J3133">
        <v>4.9704141219355499E-2</v>
      </c>
      <c r="K3133">
        <v>3.7695199743586198E-2</v>
      </c>
      <c r="L3133">
        <v>1453.52708517977</v>
      </c>
      <c r="M3133">
        <v>26.532944085266099</v>
      </c>
      <c r="N3133">
        <v>54.978011559333702</v>
      </c>
      <c r="O3133">
        <v>54.4736289480606</v>
      </c>
      <c r="P3133">
        <v>-0.11627474169346699</v>
      </c>
      <c r="Q3133">
        <v>4.5135764546655598E-2</v>
      </c>
      <c r="R3133">
        <v>0.99606730329682203</v>
      </c>
      <c r="S3133" t="s">
        <v>7873</v>
      </c>
      <c r="T3133" t="s">
        <v>9478</v>
      </c>
      <c r="U3133" t="s">
        <v>9478</v>
      </c>
      <c r="V3133" t="s">
        <v>9478</v>
      </c>
      <c r="W3133">
        <v>19</v>
      </c>
      <c r="X3133" t="s">
        <v>12611</v>
      </c>
      <c r="Y3133">
        <v>0.52357325209725436</v>
      </c>
      <c r="Z3133" t="str">
        <f>HYPERLINK("Melting_Curves/meltCurve_sp_Q9BS26_ERP44_HUMAN_.pdf", "Melting_Curves/meltCurve_sp_Q9BS26_ERP44_HUMAN_.pdf")</f>
        <v>Melting_Curves/meltCurve_sp_Q9BS26_ERP44_HUMAN_.pdf</v>
      </c>
      <c r="AA3133" t="s">
        <v>17300</v>
      </c>
      <c r="AB3133" t="s">
        <v>21967</v>
      </c>
    </row>
    <row r="3134" spans="1:28" x14ac:dyDescent="0.25">
      <c r="A3134" t="s">
        <v>3138</v>
      </c>
      <c r="B3134">
        <v>0.99904790336628502</v>
      </c>
      <c r="C3134">
        <v>0.73046449331455598</v>
      </c>
      <c r="D3134">
        <v>0.61485719323255095</v>
      </c>
      <c r="E3134">
        <v>0.41473278047711398</v>
      </c>
      <c r="F3134">
        <v>0.36980747105193701</v>
      </c>
      <c r="G3134">
        <v>0.22199003801922901</v>
      </c>
      <c r="H3134">
        <v>0.21292870350176499</v>
      </c>
      <c r="I3134">
        <v>0.154137640192681</v>
      </c>
      <c r="J3134">
        <v>0.22473504630163499</v>
      </c>
      <c r="K3134">
        <v>0.19767226046860401</v>
      </c>
      <c r="L3134">
        <v>604.92488697237002</v>
      </c>
      <c r="M3134">
        <v>13.008120683672701</v>
      </c>
      <c r="N3134">
        <v>48.147926597287203</v>
      </c>
      <c r="O3134">
        <v>45.445766422140302</v>
      </c>
      <c r="P3134">
        <v>-5.8735220821168103E-2</v>
      </c>
      <c r="Q3134">
        <v>0.179344397485389</v>
      </c>
      <c r="R3134">
        <v>0.97424393409341303</v>
      </c>
      <c r="S3134" t="s">
        <v>7874</v>
      </c>
      <c r="T3134" t="s">
        <v>9478</v>
      </c>
      <c r="U3134" t="s">
        <v>9478</v>
      </c>
      <c r="V3134" t="s">
        <v>9478</v>
      </c>
      <c r="W3134">
        <v>1</v>
      </c>
      <c r="X3134" t="s">
        <v>12612</v>
      </c>
      <c r="Y3134">
        <v>0.38797753362980758</v>
      </c>
      <c r="Z3134" t="str">
        <f>HYPERLINK("Melting_Curves/meltCurve_sp_Q9BSD7_NTPCR_HUMAN_.pdf", "Melting_Curves/meltCurve_sp_Q9BSD7_NTPCR_HUMAN_.pdf")</f>
        <v>Melting_Curves/meltCurve_sp_Q9BSD7_NTPCR_HUMAN_.pdf</v>
      </c>
      <c r="AA3134" t="s">
        <v>17301</v>
      </c>
      <c r="AB3134" t="s">
        <v>21968</v>
      </c>
    </row>
    <row r="3135" spans="1:28" x14ac:dyDescent="0.25">
      <c r="A3135" t="s">
        <v>3139</v>
      </c>
      <c r="B3135">
        <v>0.99904790336628502</v>
      </c>
      <c r="C3135">
        <v>0.91003316252436905</v>
      </c>
      <c r="D3135">
        <v>0.76362732687327395</v>
      </c>
      <c r="E3135">
        <v>0.41085870207714398</v>
      </c>
      <c r="F3135">
        <v>0.22125810395065301</v>
      </c>
      <c r="G3135">
        <v>0.15994332628253199</v>
      </c>
      <c r="H3135">
        <v>0.15370490508409801</v>
      </c>
      <c r="I3135">
        <v>0.123544550025956</v>
      </c>
      <c r="J3135">
        <v>9.8457174301810599E-2</v>
      </c>
      <c r="K3135">
        <v>7.1611341870638501E-2</v>
      </c>
      <c r="L3135">
        <v>935.40118623600495</v>
      </c>
      <c r="M3135">
        <v>19.366731913566301</v>
      </c>
      <c r="N3135">
        <v>48.886581241359202</v>
      </c>
      <c r="O3135">
        <v>47.793258081340298</v>
      </c>
      <c r="P3135">
        <v>-9.0795315547102406E-2</v>
      </c>
      <c r="Q3135">
        <v>0.10377372639768399</v>
      </c>
      <c r="R3135">
        <v>0.99681810464578902</v>
      </c>
      <c r="S3135" t="s">
        <v>7875</v>
      </c>
      <c r="T3135" t="s">
        <v>9478</v>
      </c>
      <c r="U3135" t="s">
        <v>9478</v>
      </c>
      <c r="V3135" t="s">
        <v>9478</v>
      </c>
      <c r="W3135">
        <v>6</v>
      </c>
      <c r="X3135" t="s">
        <v>12613</v>
      </c>
      <c r="Y3135">
        <v>0.36525825328803629</v>
      </c>
      <c r="Z3135" t="str">
        <f>HYPERLINK("Melting_Curves/meltCurve_sp_Q9BSE5_SPEB_HUMAN_.pdf", "Melting_Curves/meltCurve_sp_Q9BSE5_SPEB_HUMAN_.pdf")</f>
        <v>Melting_Curves/meltCurve_sp_Q9BSE5_SPEB_HUMAN_.pdf</v>
      </c>
      <c r="AA3135" t="s">
        <v>17302</v>
      </c>
      <c r="AB3135" t="s">
        <v>21969</v>
      </c>
    </row>
    <row r="3136" spans="1:28" x14ac:dyDescent="0.25">
      <c r="A3136" t="s">
        <v>3140</v>
      </c>
      <c r="B3136">
        <v>0.99904790336628502</v>
      </c>
      <c r="C3136">
        <v>0.94889029680975401</v>
      </c>
      <c r="D3136">
        <v>0.94269984970845799</v>
      </c>
      <c r="E3136">
        <v>0.84382376464555697</v>
      </c>
      <c r="F3136">
        <v>0.51757380936644604</v>
      </c>
      <c r="G3136">
        <v>0.17613571440390499</v>
      </c>
      <c r="H3136">
        <v>0.103516399697827</v>
      </c>
      <c r="I3136">
        <v>7.4634509170095398E-2</v>
      </c>
      <c r="J3136">
        <v>6.7336315510843195E-2</v>
      </c>
      <c r="K3136">
        <v>6.1722567041216397E-2</v>
      </c>
      <c r="L3136">
        <v>1394.0713886742899</v>
      </c>
      <c r="M3136">
        <v>26.362826920480199</v>
      </c>
      <c r="N3136">
        <v>53.158445502670602</v>
      </c>
      <c r="O3136">
        <v>52.578735258616497</v>
      </c>
      <c r="P3136">
        <v>-0.117272084523269</v>
      </c>
      <c r="Q3136">
        <v>6.4447739096825399E-2</v>
      </c>
      <c r="R3136">
        <v>0.99723955985827895</v>
      </c>
      <c r="S3136" t="s">
        <v>7876</v>
      </c>
      <c r="T3136" t="s">
        <v>9478</v>
      </c>
      <c r="U3136" t="s">
        <v>9478</v>
      </c>
      <c r="V3136" t="s">
        <v>9478</v>
      </c>
      <c r="W3136">
        <v>15</v>
      </c>
      <c r="X3136" t="s">
        <v>12614</v>
      </c>
      <c r="Y3136">
        <v>0.47389912646872617</v>
      </c>
      <c r="Z3136" t="str">
        <f>HYPERLINK("Melting_Curves/meltCurve_sp_Q9BSH4_TACO1_HUMAN_.pdf", "Melting_Curves/meltCurve_sp_Q9BSH4_TACO1_HUMAN_.pdf")</f>
        <v>Melting_Curves/meltCurve_sp_Q9BSH4_TACO1_HUMAN_.pdf</v>
      </c>
      <c r="AA3136" t="s">
        <v>17303</v>
      </c>
      <c r="AB3136" t="s">
        <v>21970</v>
      </c>
    </row>
    <row r="3137" spans="1:28" x14ac:dyDescent="0.25">
      <c r="A3137" t="s">
        <v>3141</v>
      </c>
      <c r="B3137">
        <v>0.99904790336628502</v>
      </c>
      <c r="C3137">
        <v>0.93347854473821201</v>
      </c>
      <c r="D3137">
        <v>0.89661566949494897</v>
      </c>
      <c r="E3137">
        <v>0.87535112942294402</v>
      </c>
      <c r="F3137">
        <v>0.83111843795103602</v>
      </c>
      <c r="G3137">
        <v>0.65328308642390998</v>
      </c>
      <c r="H3137">
        <v>0.37395835894792001</v>
      </c>
      <c r="I3137">
        <v>0.172238237035267</v>
      </c>
      <c r="J3137">
        <v>9.8570390320118995E-2</v>
      </c>
      <c r="K3137">
        <v>6.7955287738992301E-2</v>
      </c>
      <c r="L3137">
        <v>907.61994649742098</v>
      </c>
      <c r="M3137">
        <v>15.4890446129262</v>
      </c>
      <c r="N3137">
        <v>58.5975426737917</v>
      </c>
      <c r="O3137">
        <v>57.646843181416401</v>
      </c>
      <c r="P3137">
        <v>-6.7178092369312201E-2</v>
      </c>
      <c r="Q3137">
        <v>0</v>
      </c>
      <c r="R3137">
        <v>0.98366100274185198</v>
      </c>
      <c r="S3137" t="s">
        <v>7877</v>
      </c>
      <c r="T3137" t="s">
        <v>9478</v>
      </c>
      <c r="U3137" t="s">
        <v>9478</v>
      </c>
      <c r="V3137" t="s">
        <v>9478</v>
      </c>
      <c r="W3137">
        <v>14</v>
      </c>
      <c r="X3137" t="s">
        <v>12615</v>
      </c>
      <c r="Y3137">
        <v>0.63169777567208951</v>
      </c>
      <c r="Z3137" t="str">
        <f>HYPERLINK("Melting_Curves/meltCurve_sp_Q9BSH5_HDHD3_HUMAN_.pdf", "Melting_Curves/meltCurve_sp_Q9BSH5_HDHD3_HUMAN_.pdf")</f>
        <v>Melting_Curves/meltCurve_sp_Q9BSH5_HDHD3_HUMAN_.pdf</v>
      </c>
      <c r="AA3137" t="s">
        <v>17304</v>
      </c>
      <c r="AB3137" t="s">
        <v>21971</v>
      </c>
    </row>
    <row r="3138" spans="1:28" x14ac:dyDescent="0.25">
      <c r="A3138" t="s">
        <v>3142</v>
      </c>
      <c r="B3138">
        <v>0.99904790336628502</v>
      </c>
      <c r="C3138">
        <v>1.0171722433625401</v>
      </c>
      <c r="D3138">
        <v>0.94682112096063198</v>
      </c>
      <c r="E3138">
        <v>0.72382926362509603</v>
      </c>
      <c r="F3138">
        <v>0.15681953684314001</v>
      </c>
      <c r="G3138">
        <v>8.7554810589861101E-2</v>
      </c>
      <c r="H3138">
        <v>4.1909111297939797E-2</v>
      </c>
      <c r="I3138">
        <v>2.9416108234092801E-2</v>
      </c>
      <c r="J3138">
        <v>2.5450801981958999E-2</v>
      </c>
      <c r="K3138">
        <v>2.3914981988219501E-2</v>
      </c>
      <c r="L3138">
        <v>2451.0279655140298</v>
      </c>
      <c r="M3138">
        <v>48.136519586643999</v>
      </c>
      <c r="N3138">
        <v>51.004686714185198</v>
      </c>
      <c r="O3138">
        <v>50.830616231633499</v>
      </c>
      <c r="P3138">
        <v>-0.227478105798091</v>
      </c>
      <c r="Q3138">
        <v>3.9162705321317298E-2</v>
      </c>
      <c r="R3138">
        <v>0.99728689629621103</v>
      </c>
      <c r="S3138" t="s">
        <v>7878</v>
      </c>
      <c r="T3138" t="s">
        <v>9478</v>
      </c>
      <c r="U3138" t="s">
        <v>9478</v>
      </c>
      <c r="V3138" t="s">
        <v>9478</v>
      </c>
      <c r="W3138">
        <v>2</v>
      </c>
      <c r="X3138" t="s">
        <v>12616</v>
      </c>
      <c r="Y3138">
        <v>0.39118117882522002</v>
      </c>
      <c r="Z3138" t="str">
        <f>HYPERLINK("Melting_Curves/meltCurve_sp_Q9BSJ5_3_CQ080_HUMAN_.pdf", "Melting_Curves/meltCurve_sp_Q9BSJ5_3_CQ080_HUMAN_.pdf")</f>
        <v>Melting_Curves/meltCurve_sp_Q9BSJ5_3_CQ080_HUMAN_.pdf</v>
      </c>
      <c r="AA3138" t="s">
        <v>17305</v>
      </c>
      <c r="AB3138" t="s">
        <v>21972</v>
      </c>
    </row>
    <row r="3139" spans="1:28" x14ac:dyDescent="0.25">
      <c r="A3139" t="s">
        <v>3143</v>
      </c>
      <c r="B3139">
        <v>0.99904790336628502</v>
      </c>
      <c r="C3139">
        <v>0.96571022569986198</v>
      </c>
      <c r="D3139">
        <v>0.88405961404723099</v>
      </c>
      <c r="E3139">
        <v>0.67541185179325103</v>
      </c>
      <c r="F3139">
        <v>0.51832723578045303</v>
      </c>
      <c r="G3139">
        <v>0.24692019436865201</v>
      </c>
      <c r="H3139">
        <v>9.81035340658854E-2</v>
      </c>
      <c r="I3139">
        <v>6.1829039465453102E-2</v>
      </c>
      <c r="J3139">
        <v>4.2729271769805802E-2</v>
      </c>
      <c r="K3139">
        <v>3.02442322572971E-2</v>
      </c>
      <c r="L3139">
        <v>778.42820748080203</v>
      </c>
      <c r="M3139">
        <v>14.751135030241199</v>
      </c>
      <c r="N3139">
        <v>52.770743779405699</v>
      </c>
      <c r="O3139">
        <v>51.8293748997379</v>
      </c>
      <c r="P3139">
        <v>-7.1160062815216696E-2</v>
      </c>
      <c r="Q3139">
        <v>0</v>
      </c>
      <c r="R3139">
        <v>0.998399479228256</v>
      </c>
      <c r="S3139" t="s">
        <v>7879</v>
      </c>
      <c r="T3139" t="s">
        <v>9478</v>
      </c>
      <c r="U3139" t="s">
        <v>9478</v>
      </c>
      <c r="V3139" t="s">
        <v>9478</v>
      </c>
      <c r="W3139">
        <v>12</v>
      </c>
      <c r="X3139" t="s">
        <v>12617</v>
      </c>
      <c r="Y3139">
        <v>0.44793394204524101</v>
      </c>
      <c r="Z3139" t="str">
        <f>HYPERLINK("Melting_Curves/meltCurve_sp_Q9BSJ8_ESYT1_HUMAN_.pdf", "Melting_Curves/meltCurve_sp_Q9BSJ8_ESYT1_HUMAN_.pdf")</f>
        <v>Melting_Curves/meltCurve_sp_Q9BSJ8_ESYT1_HUMAN_.pdf</v>
      </c>
      <c r="AA3139" t="s">
        <v>17306</v>
      </c>
      <c r="AB3139" t="s">
        <v>21973</v>
      </c>
    </row>
    <row r="3140" spans="1:28" x14ac:dyDescent="0.25">
      <c r="A3140" t="s">
        <v>3144</v>
      </c>
      <c r="B3140">
        <v>0.99904790336628502</v>
      </c>
      <c r="C3140">
        <v>0.89571336274592195</v>
      </c>
      <c r="D3140">
        <v>0.97326839924138497</v>
      </c>
      <c r="E3140">
        <v>0.88154434783864399</v>
      </c>
      <c r="F3140">
        <v>0.61270032560941201</v>
      </c>
      <c r="G3140">
        <v>0.458134915181728</v>
      </c>
      <c r="H3140">
        <v>0.28714930706652497</v>
      </c>
      <c r="I3140">
        <v>0.176637546780717</v>
      </c>
      <c r="J3140">
        <v>0.10359382291595</v>
      </c>
      <c r="K3140">
        <v>7.6005852497422297E-2</v>
      </c>
      <c r="L3140">
        <v>703.32950724420903</v>
      </c>
      <c r="M3140">
        <v>12.5379736503745</v>
      </c>
      <c r="N3140">
        <v>56.095935937698599</v>
      </c>
      <c r="O3140">
        <v>54.7262984883752</v>
      </c>
      <c r="P3140">
        <v>-5.7287463603492302E-2</v>
      </c>
      <c r="Q3140">
        <v>0</v>
      </c>
      <c r="R3140">
        <v>0.98709393352171204</v>
      </c>
      <c r="S3140" t="s">
        <v>7880</v>
      </c>
      <c r="T3140" t="s">
        <v>9478</v>
      </c>
      <c r="U3140" t="s">
        <v>9478</v>
      </c>
      <c r="V3140" t="s">
        <v>9478</v>
      </c>
      <c r="W3140">
        <v>2</v>
      </c>
      <c r="X3140" t="s">
        <v>12618</v>
      </c>
      <c r="Y3140">
        <v>0.55624590572128862</v>
      </c>
      <c r="Z3140" t="str">
        <f>HYPERLINK("Melting_Curves/meltCurve_sp_Q9BSL1_UBAC1_HUMAN_.pdf", "Melting_Curves/meltCurve_sp_Q9BSL1_UBAC1_HUMAN_.pdf")</f>
        <v>Melting_Curves/meltCurve_sp_Q9BSL1_UBAC1_HUMAN_.pdf</v>
      </c>
      <c r="AA3140" t="s">
        <v>17307</v>
      </c>
      <c r="AB3140" t="s">
        <v>21974</v>
      </c>
    </row>
    <row r="3141" spans="1:28" x14ac:dyDescent="0.25">
      <c r="A3141" t="s">
        <v>3145</v>
      </c>
      <c r="B3141">
        <v>0.99904790336628502</v>
      </c>
      <c r="C3141">
        <v>1.11868307397191</v>
      </c>
      <c r="D3141">
        <v>1.11066698243655</v>
      </c>
      <c r="E3141">
        <v>0.78291666182608199</v>
      </c>
      <c r="F3141">
        <v>0.36884548695578401</v>
      </c>
      <c r="G3141">
        <v>0.15810368531631</v>
      </c>
      <c r="H3141">
        <v>0.10307011392647</v>
      </c>
      <c r="I3141">
        <v>6.4940659423218403E-2</v>
      </c>
      <c r="J3141">
        <v>6.5022304696337796E-2</v>
      </c>
      <c r="K3141">
        <v>2.1319941784823999E-2</v>
      </c>
      <c r="L3141">
        <v>1737.6895983741999</v>
      </c>
      <c r="M3141">
        <v>33.4935727924573</v>
      </c>
      <c r="N3141">
        <v>52.117045102964902</v>
      </c>
      <c r="O3141">
        <v>51.697387191428597</v>
      </c>
      <c r="P3141">
        <v>-0.150583008707978</v>
      </c>
      <c r="Q3141">
        <v>7.0303375727032602E-2</v>
      </c>
      <c r="R3141">
        <v>0.98239737388642501</v>
      </c>
      <c r="S3141" t="s">
        <v>7881</v>
      </c>
      <c r="T3141" t="s">
        <v>9478</v>
      </c>
      <c r="U3141" t="s">
        <v>9478</v>
      </c>
      <c r="V3141" t="s">
        <v>9478</v>
      </c>
      <c r="W3141">
        <v>4</v>
      </c>
      <c r="X3141" t="s">
        <v>12619</v>
      </c>
      <c r="Y3141">
        <v>0.4432628052506426</v>
      </c>
      <c r="Z3141" t="str">
        <f>HYPERLINK("Melting_Curves/meltCurve_sp_Q9BST9_RTKN_HUMAN_.pdf", "Melting_Curves/meltCurve_sp_Q9BST9_RTKN_HUMAN_.pdf")</f>
        <v>Melting_Curves/meltCurve_sp_Q9BST9_RTKN_HUMAN_.pdf</v>
      </c>
      <c r="AA3141" t="s">
        <v>17308</v>
      </c>
      <c r="AB3141" t="s">
        <v>21975</v>
      </c>
    </row>
    <row r="3142" spans="1:28" x14ac:dyDescent="0.25">
      <c r="A3142" t="s">
        <v>3146</v>
      </c>
      <c r="B3142">
        <v>0.99904790336628502</v>
      </c>
      <c r="C3142">
        <v>1.0322894729673799</v>
      </c>
      <c r="D3142">
        <v>1.0719606332638101</v>
      </c>
      <c r="E3142">
        <v>0.90818059452066502</v>
      </c>
      <c r="F3142">
        <v>0.73260086109221101</v>
      </c>
      <c r="G3142">
        <v>0.30909926052229603</v>
      </c>
      <c r="H3142">
        <v>0.183689840769514</v>
      </c>
      <c r="I3142">
        <v>8.5100431375390403E-2</v>
      </c>
      <c r="J3142">
        <v>8.6016204073503605E-2</v>
      </c>
      <c r="K3142">
        <v>4.7381072149219702E-2</v>
      </c>
      <c r="L3142">
        <v>1358.75481801248</v>
      </c>
      <c r="M3142">
        <v>24.7756497926074</v>
      </c>
      <c r="N3142">
        <v>55.171198238536597</v>
      </c>
      <c r="O3142">
        <v>54.488806244121101</v>
      </c>
      <c r="P3142">
        <v>-0.105871546979754</v>
      </c>
      <c r="Q3142">
        <v>6.8644612920611595E-2</v>
      </c>
      <c r="R3142">
        <v>0.99368632385275202</v>
      </c>
      <c r="S3142" t="s">
        <v>7882</v>
      </c>
      <c r="T3142" t="s">
        <v>9478</v>
      </c>
      <c r="U3142" t="s">
        <v>9478</v>
      </c>
      <c r="V3142" t="s">
        <v>9478</v>
      </c>
      <c r="W3142">
        <v>6</v>
      </c>
      <c r="X3142" t="s">
        <v>12620</v>
      </c>
      <c r="Y3142">
        <v>0.53818648181337703</v>
      </c>
      <c r="Z3142" t="str">
        <f>HYPERLINK("Melting_Curves/meltCurve_sp_Q9BSU1_CP070_HUMAN_.pdf", "Melting_Curves/meltCurve_sp_Q9BSU1_CP070_HUMAN_.pdf")</f>
        <v>Melting_Curves/meltCurve_sp_Q9BSU1_CP070_HUMAN_.pdf</v>
      </c>
      <c r="AA3142" t="s">
        <v>17309</v>
      </c>
      <c r="AB3142" t="s">
        <v>21976</v>
      </c>
    </row>
    <row r="3143" spans="1:28" x14ac:dyDescent="0.25">
      <c r="A3143" t="s">
        <v>3147</v>
      </c>
      <c r="B3143">
        <v>0.99904790336628502</v>
      </c>
      <c r="C3143">
        <v>0.95107905886445998</v>
      </c>
      <c r="D3143">
        <v>0.93083490557253501</v>
      </c>
      <c r="E3143">
        <v>0.91819544002422104</v>
      </c>
      <c r="F3143">
        <v>0.90205695541986297</v>
      </c>
      <c r="G3143">
        <v>0.697877165192892</v>
      </c>
      <c r="H3143">
        <v>0.58671592269917605</v>
      </c>
      <c r="I3143">
        <v>0.55636251596265296</v>
      </c>
      <c r="J3143">
        <v>0.54910350910207895</v>
      </c>
      <c r="K3143">
        <v>0.52397073710288999</v>
      </c>
      <c r="L3143">
        <v>940.28711187865395</v>
      </c>
      <c r="M3143">
        <v>16.8426479089797</v>
      </c>
      <c r="O3143">
        <v>55.058574086776098</v>
      </c>
      <c r="P3143">
        <v>-3.7690052644830399E-2</v>
      </c>
      <c r="Q3143">
        <v>0.50719701473172796</v>
      </c>
      <c r="R3143">
        <v>0.97580678142279897</v>
      </c>
      <c r="S3143" t="s">
        <v>7883</v>
      </c>
      <c r="T3143" t="s">
        <v>9478</v>
      </c>
      <c r="U3143" t="s">
        <v>9478</v>
      </c>
      <c r="V3143" t="s">
        <v>9478</v>
      </c>
      <c r="W3143">
        <v>6</v>
      </c>
      <c r="X3143" t="s">
        <v>12621</v>
      </c>
      <c r="Y3143">
        <v>0.77511361439585924</v>
      </c>
      <c r="Z3143" t="str">
        <f>HYPERLINK("Melting_Curves/meltCurve_sp_Q9BSY4_CHCH5_HUMAN_.pdf", "Melting_Curves/meltCurve_sp_Q9BSY4_CHCH5_HUMAN_.pdf")</f>
        <v>Melting_Curves/meltCurve_sp_Q9BSY4_CHCH5_HUMAN_.pdf</v>
      </c>
      <c r="AA3143" t="s">
        <v>17310</v>
      </c>
      <c r="AB3143" t="s">
        <v>21977</v>
      </c>
    </row>
    <row r="3144" spans="1:28" x14ac:dyDescent="0.25">
      <c r="A3144" t="s">
        <v>3148</v>
      </c>
      <c r="B3144">
        <v>0.99904790336628502</v>
      </c>
      <c r="C3144">
        <v>1.01692891309907</v>
      </c>
      <c r="D3144">
        <v>0.96204327623776598</v>
      </c>
      <c r="E3144">
        <v>0.89252436101699595</v>
      </c>
      <c r="F3144">
        <v>0.836725509296397</v>
      </c>
      <c r="G3144">
        <v>0.61367768792773802</v>
      </c>
      <c r="H3144">
        <v>0.54582719784465905</v>
      </c>
      <c r="I3144">
        <v>0.479089690813637</v>
      </c>
      <c r="J3144">
        <v>0.52740865938954695</v>
      </c>
      <c r="K3144">
        <v>0.50490402940498502</v>
      </c>
      <c r="L3144">
        <v>1086.39836861715</v>
      </c>
      <c r="M3144">
        <v>20.038129241044501</v>
      </c>
      <c r="N3144">
        <v>67.945186229714494</v>
      </c>
      <c r="O3144">
        <v>53.685251362273803</v>
      </c>
      <c r="P3144">
        <v>-4.7471885643034797E-2</v>
      </c>
      <c r="Q3144">
        <v>0.49127829812295098</v>
      </c>
      <c r="R3144">
        <v>0.98858759205524505</v>
      </c>
      <c r="S3144" t="s">
        <v>7884</v>
      </c>
      <c r="T3144" t="s">
        <v>9478</v>
      </c>
      <c r="U3144" t="s">
        <v>9478</v>
      </c>
      <c r="V3144" t="s">
        <v>9478</v>
      </c>
      <c r="W3144">
        <v>11</v>
      </c>
      <c r="X3144" t="s">
        <v>12622</v>
      </c>
      <c r="Y3144">
        <v>0.73922253694019135</v>
      </c>
      <c r="Z3144" t="str">
        <f>HYPERLINK("Melting_Curves/meltCurve_sp_Q9BT09_CNPY3_HUMAN_.pdf", "Melting_Curves/meltCurve_sp_Q9BT09_CNPY3_HUMAN_.pdf")</f>
        <v>Melting_Curves/meltCurve_sp_Q9BT09_CNPY3_HUMAN_.pdf</v>
      </c>
      <c r="AA3144" t="s">
        <v>17311</v>
      </c>
      <c r="AB3144" t="s">
        <v>21978</v>
      </c>
    </row>
    <row r="3145" spans="1:28" x14ac:dyDescent="0.25">
      <c r="A3145" t="s">
        <v>3149</v>
      </c>
      <c r="B3145">
        <v>0.99904790336628502</v>
      </c>
      <c r="C3145">
        <v>0.82423515853455498</v>
      </c>
      <c r="D3145">
        <v>0.59488913000812005</v>
      </c>
      <c r="E3145">
        <v>0.244912514408371</v>
      </c>
      <c r="F3145">
        <v>0.14099193315740499</v>
      </c>
      <c r="G3145">
        <v>8.5653291674473594E-2</v>
      </c>
      <c r="H3145">
        <v>6.4557962472613306E-2</v>
      </c>
      <c r="I3145">
        <v>3.6488984805704401E-2</v>
      </c>
      <c r="J3145">
        <v>3.1685087974537E-2</v>
      </c>
      <c r="K3145">
        <v>2.4195432475791701E-2</v>
      </c>
      <c r="L3145">
        <v>866.41770349432204</v>
      </c>
      <c r="M3145">
        <v>18.547516224590801</v>
      </c>
      <c r="N3145">
        <v>46.907634060414601</v>
      </c>
      <c r="O3145">
        <v>46.180526326635402</v>
      </c>
      <c r="P3145">
        <v>-9.6700663655938698E-2</v>
      </c>
      <c r="Q3145">
        <v>3.6961442197021598E-2</v>
      </c>
      <c r="R3145">
        <v>0.99740262929296697</v>
      </c>
      <c r="S3145" t="s">
        <v>7885</v>
      </c>
      <c r="T3145" t="s">
        <v>9478</v>
      </c>
      <c r="U3145" t="s">
        <v>9478</v>
      </c>
      <c r="V3145" t="s">
        <v>9478</v>
      </c>
      <c r="W3145">
        <v>6</v>
      </c>
      <c r="X3145" t="s">
        <v>12623</v>
      </c>
      <c r="Y3145">
        <v>0.26935451582858461</v>
      </c>
      <c r="Z3145" t="str">
        <f>HYPERLINK("Melting_Curves/meltCurve_sp_Q9BT30_ALKB7_HUMAN_.pdf", "Melting_Curves/meltCurve_sp_Q9BT30_ALKB7_HUMAN_.pdf")</f>
        <v>Melting_Curves/meltCurve_sp_Q9BT30_ALKB7_HUMAN_.pdf</v>
      </c>
      <c r="AA3145" t="s">
        <v>17312</v>
      </c>
      <c r="AB3145" t="s">
        <v>21979</v>
      </c>
    </row>
    <row r="3146" spans="1:28" x14ac:dyDescent="0.25">
      <c r="A3146" t="s">
        <v>3150</v>
      </c>
      <c r="B3146">
        <v>0.99904790336628502</v>
      </c>
      <c r="C3146">
        <v>0.974301705644677</v>
      </c>
      <c r="D3146">
        <v>1.01953055880295</v>
      </c>
      <c r="E3146">
        <v>1.1038067802048901</v>
      </c>
      <c r="F3146">
        <v>1.10291537382303</v>
      </c>
      <c r="G3146">
        <v>0.86423011910937397</v>
      </c>
      <c r="H3146">
        <v>0.63340652177460699</v>
      </c>
      <c r="I3146">
        <v>0.590210379313167</v>
      </c>
      <c r="J3146">
        <v>0.42657815509220998</v>
      </c>
      <c r="K3146">
        <v>0.34269526092188202</v>
      </c>
      <c r="L3146">
        <v>1327.85599400614</v>
      </c>
      <c r="M3146">
        <v>21.628460066287602</v>
      </c>
      <c r="N3146">
        <v>64.5588752170964</v>
      </c>
      <c r="O3146">
        <v>60.876312966342098</v>
      </c>
      <c r="P3146">
        <v>-5.9793505930797901E-2</v>
      </c>
      <c r="Q3146">
        <v>0.32682747316573302</v>
      </c>
      <c r="R3146">
        <v>0.94885011403174202</v>
      </c>
      <c r="S3146" t="s">
        <v>7886</v>
      </c>
      <c r="T3146" t="s">
        <v>9478</v>
      </c>
      <c r="U3146" t="s">
        <v>9478</v>
      </c>
      <c r="V3146" t="s">
        <v>9478</v>
      </c>
      <c r="W3146">
        <v>2</v>
      </c>
      <c r="X3146" t="s">
        <v>12624</v>
      </c>
      <c r="Y3146">
        <v>0.81055596662799445</v>
      </c>
      <c r="Z3146" t="str">
        <f>HYPERLINK("Melting_Curves/meltCurve_sp_Q9BT73_PSMG3_HUMAN_.pdf", "Melting_Curves/meltCurve_sp_Q9BT73_PSMG3_HUMAN_.pdf")</f>
        <v>Melting_Curves/meltCurve_sp_Q9BT73_PSMG3_HUMAN_.pdf</v>
      </c>
      <c r="AA3146" t="s">
        <v>17313</v>
      </c>
      <c r="AB3146" t="s">
        <v>21980</v>
      </c>
    </row>
    <row r="3147" spans="1:28" x14ac:dyDescent="0.25">
      <c r="A3147" t="s">
        <v>3151</v>
      </c>
      <c r="B3147">
        <v>0.99904790336628502</v>
      </c>
      <c r="C3147">
        <v>1.1004278704951</v>
      </c>
      <c r="D3147">
        <v>1.16523453915542</v>
      </c>
      <c r="E3147">
        <v>1.0999594199868299</v>
      </c>
      <c r="F3147">
        <v>0.89349449310048301</v>
      </c>
      <c r="G3147">
        <v>0.37964621109920799</v>
      </c>
      <c r="H3147">
        <v>9.0363612432632495E-2</v>
      </c>
      <c r="I3147">
        <v>5.0176468971071399E-2</v>
      </c>
      <c r="J3147">
        <v>3.1568908588361498E-2</v>
      </c>
      <c r="K3147">
        <v>2.3886572446777301E-2</v>
      </c>
      <c r="L3147">
        <v>2157.83932916397</v>
      </c>
      <c r="M3147">
        <v>38.441757518695397</v>
      </c>
      <c r="N3147">
        <v>56.239375281504401</v>
      </c>
      <c r="O3147">
        <v>55.981435807389701</v>
      </c>
      <c r="P3147">
        <v>-0.16563563024932701</v>
      </c>
      <c r="Q3147">
        <v>3.5164017474521601E-2</v>
      </c>
      <c r="R3147">
        <v>0.97858126988208005</v>
      </c>
      <c r="S3147" t="s">
        <v>7887</v>
      </c>
      <c r="T3147" t="s">
        <v>9478</v>
      </c>
      <c r="U3147" t="s">
        <v>9478</v>
      </c>
      <c r="V3147" t="s">
        <v>9478</v>
      </c>
      <c r="W3147">
        <v>17</v>
      </c>
      <c r="X3147" t="s">
        <v>12625</v>
      </c>
      <c r="Y3147">
        <v>0.5580295907323386</v>
      </c>
      <c r="Z3147" t="str">
        <f>HYPERLINK("Melting_Curves/meltCurve_sp_Q9BT78_CSN4_HUMAN_.pdf", "Melting_Curves/meltCurve_sp_Q9BT78_CSN4_HUMAN_.pdf")</f>
        <v>Melting_Curves/meltCurve_sp_Q9BT78_CSN4_HUMAN_.pdf</v>
      </c>
      <c r="AA3147" t="s">
        <v>17314</v>
      </c>
      <c r="AB3147" t="s">
        <v>21981</v>
      </c>
    </row>
    <row r="3148" spans="1:28" x14ac:dyDescent="0.25">
      <c r="A3148" t="s">
        <v>3152</v>
      </c>
      <c r="B3148">
        <v>0.99904790336628502</v>
      </c>
      <c r="C3148">
        <v>0.95329282910217195</v>
      </c>
      <c r="D3148">
        <v>0.69998556905887099</v>
      </c>
      <c r="E3148">
        <v>0.45548592925271397</v>
      </c>
      <c r="F3148">
        <v>0.39520899472494397</v>
      </c>
      <c r="G3148">
        <v>0.24061729871891799</v>
      </c>
      <c r="H3148">
        <v>0.25581310479799202</v>
      </c>
      <c r="I3148">
        <v>0.16057940173928001</v>
      </c>
      <c r="J3148">
        <v>0.162967879346919</v>
      </c>
      <c r="K3148">
        <v>0.112243213607786</v>
      </c>
      <c r="L3148">
        <v>699.72350669122898</v>
      </c>
      <c r="M3148">
        <v>14.380734983749599</v>
      </c>
      <c r="N3148">
        <v>49.893228406843001</v>
      </c>
      <c r="O3148">
        <v>47.745162731568598</v>
      </c>
      <c r="P3148">
        <v>-6.4021618543856004E-2</v>
      </c>
      <c r="Q3148">
        <v>0.14987454145404</v>
      </c>
      <c r="R3148">
        <v>0.98301926677515805</v>
      </c>
      <c r="S3148" t="s">
        <v>7888</v>
      </c>
      <c r="T3148" t="s">
        <v>9478</v>
      </c>
      <c r="U3148" t="s">
        <v>9478</v>
      </c>
      <c r="V3148" t="s">
        <v>9478</v>
      </c>
      <c r="W3148">
        <v>2</v>
      </c>
      <c r="X3148" t="s">
        <v>12626</v>
      </c>
      <c r="Y3148">
        <v>0.41822663469993998</v>
      </c>
      <c r="Z3148" t="str">
        <f>HYPERLINK("Melting_Curves/meltCurve_sp_Q9BTA9_2_WAC_HUMAN_.pdf", "Melting_Curves/meltCurve_sp_Q9BTA9_2_WAC_HUMAN_.pdf")</f>
        <v>Melting_Curves/meltCurve_sp_Q9BTA9_2_WAC_HUMAN_.pdf</v>
      </c>
      <c r="AA3148" t="s">
        <v>17315</v>
      </c>
      <c r="AB3148" t="s">
        <v>21982</v>
      </c>
    </row>
    <row r="3149" spans="1:28" x14ac:dyDescent="0.25">
      <c r="A3149" t="s">
        <v>3153</v>
      </c>
      <c r="B3149">
        <v>0.99904790336628502</v>
      </c>
      <c r="C3149">
        <v>1.0774221421364201</v>
      </c>
      <c r="D3149">
        <v>1.01919530074228</v>
      </c>
      <c r="E3149">
        <v>0.93461024139614302</v>
      </c>
      <c r="F3149">
        <v>0.93500166365319404</v>
      </c>
      <c r="G3149">
        <v>0.64181522776347899</v>
      </c>
      <c r="H3149">
        <v>0.52545039256320303</v>
      </c>
      <c r="I3149">
        <v>0.44413503725791598</v>
      </c>
      <c r="J3149">
        <v>0.42683483552308299</v>
      </c>
      <c r="K3149">
        <v>0.47865233378553601</v>
      </c>
      <c r="L3149">
        <v>1609.78279565874</v>
      </c>
      <c r="M3149">
        <v>28.7416537070538</v>
      </c>
      <c r="N3149">
        <v>60.852979504536101</v>
      </c>
      <c r="O3149">
        <v>55.739654770977999</v>
      </c>
      <c r="P3149">
        <v>-7.0995788035844803E-2</v>
      </c>
      <c r="Q3149">
        <v>0.44926601778103398</v>
      </c>
      <c r="R3149">
        <v>0.98081770802776103</v>
      </c>
      <c r="S3149" t="s">
        <v>7889</v>
      </c>
      <c r="T3149" t="s">
        <v>9478</v>
      </c>
      <c r="U3149" t="s">
        <v>9478</v>
      </c>
      <c r="V3149" t="s">
        <v>9478</v>
      </c>
      <c r="W3149">
        <v>14</v>
      </c>
      <c r="X3149" t="s">
        <v>12627</v>
      </c>
      <c r="Y3149">
        <v>0.74712032593051236</v>
      </c>
      <c r="Z3149" t="str">
        <f>HYPERLINK("Melting_Curves/meltCurve_sp_Q9BTC0_DIDO1_HUMAN_.pdf", "Melting_Curves/meltCurve_sp_Q9BTC0_DIDO1_HUMAN_.pdf")</f>
        <v>Melting_Curves/meltCurve_sp_Q9BTC0_DIDO1_HUMAN_.pdf</v>
      </c>
      <c r="AA3149" t="s">
        <v>17316</v>
      </c>
      <c r="AB3149" t="s">
        <v>21983</v>
      </c>
    </row>
    <row r="3150" spans="1:28" x14ac:dyDescent="0.25">
      <c r="A3150" t="s">
        <v>3154</v>
      </c>
      <c r="B3150">
        <v>0.99904790336628502</v>
      </c>
      <c r="C3150">
        <v>1.1190201486238001</v>
      </c>
      <c r="D3150">
        <v>1.0713903679029699</v>
      </c>
      <c r="E3150">
        <v>0.984968517780339</v>
      </c>
      <c r="F3150">
        <v>0.83364829482734704</v>
      </c>
      <c r="G3150">
        <v>0.64310100861880803</v>
      </c>
      <c r="H3150">
        <v>0.43337706085098598</v>
      </c>
      <c r="I3150">
        <v>0.28597386851682699</v>
      </c>
      <c r="J3150">
        <v>9.4801433454203096E-2</v>
      </c>
      <c r="K3150">
        <v>3.5058328163338703E-2</v>
      </c>
      <c r="L3150">
        <v>963.83609053886505</v>
      </c>
      <c r="M3150">
        <v>16.2110894060128</v>
      </c>
      <c r="N3150">
        <v>59.455356231896197</v>
      </c>
      <c r="O3150">
        <v>58.572707528788399</v>
      </c>
      <c r="P3150">
        <v>-6.9197317473341693E-2</v>
      </c>
      <c r="Q3150">
        <v>0</v>
      </c>
      <c r="R3150">
        <v>0.97927833220274296</v>
      </c>
      <c r="S3150" t="s">
        <v>7890</v>
      </c>
      <c r="T3150" t="s">
        <v>9478</v>
      </c>
      <c r="U3150" t="s">
        <v>9478</v>
      </c>
      <c r="V3150" t="s">
        <v>9478</v>
      </c>
      <c r="W3150">
        <v>2</v>
      </c>
      <c r="X3150" t="s">
        <v>12628</v>
      </c>
      <c r="Y3150">
        <v>0.65792809574596234</v>
      </c>
      <c r="Z3150" t="str">
        <f>HYPERLINK("Melting_Curves/meltCurve_sp_Q9BTE1_2_DCTN5_HUMAN_.pdf", "Melting_Curves/meltCurve_sp_Q9BTE1_2_DCTN5_HUMAN_.pdf")</f>
        <v>Melting_Curves/meltCurve_sp_Q9BTE1_2_DCTN5_HUMAN_.pdf</v>
      </c>
      <c r="AA3150" t="s">
        <v>17317</v>
      </c>
      <c r="AB3150" t="s">
        <v>21984</v>
      </c>
    </row>
    <row r="3151" spans="1:28" x14ac:dyDescent="0.25">
      <c r="A3151" t="s">
        <v>3155</v>
      </c>
      <c r="B3151">
        <v>0.99904790336628502</v>
      </c>
      <c r="C3151">
        <v>0.97475783156038598</v>
      </c>
      <c r="D3151">
        <v>0.97559952408165096</v>
      </c>
      <c r="E3151">
        <v>0.56771316643888103</v>
      </c>
      <c r="F3151">
        <v>0.23701394275575199</v>
      </c>
      <c r="G3151">
        <v>0.13440148783074801</v>
      </c>
      <c r="H3151">
        <v>9.2724293192685298E-2</v>
      </c>
      <c r="I3151">
        <v>7.7229757374979197E-2</v>
      </c>
      <c r="J3151">
        <v>5.2385238921038801E-2</v>
      </c>
      <c r="K3151">
        <v>5.1387183068733702E-2</v>
      </c>
      <c r="L3151">
        <v>1510.52155532955</v>
      </c>
      <c r="M3151">
        <v>30.0375954355702</v>
      </c>
      <c r="N3151">
        <v>50.557731710140899</v>
      </c>
      <c r="O3151">
        <v>50.0664106330143</v>
      </c>
      <c r="P3151">
        <v>-0.138873674769698</v>
      </c>
      <c r="Q3151">
        <v>7.4112495965651101E-2</v>
      </c>
      <c r="R3151">
        <v>0.99767057368753298</v>
      </c>
      <c r="S3151" t="s">
        <v>7891</v>
      </c>
      <c r="T3151" t="s">
        <v>9478</v>
      </c>
      <c r="U3151" t="s">
        <v>9478</v>
      </c>
      <c r="V3151" t="s">
        <v>9478</v>
      </c>
      <c r="W3151">
        <v>11</v>
      </c>
      <c r="X3151" t="s">
        <v>12629</v>
      </c>
      <c r="Y3151">
        <v>0.39736004358822669</v>
      </c>
      <c r="Z3151" t="str">
        <f>HYPERLINK("Melting_Curves/meltCurve_sp_Q9BTE3_2_MCMBP_HUMAN_.pdf", "Melting_Curves/meltCurve_sp_Q9BTE3_2_MCMBP_HUMAN_.pdf")</f>
        <v>Melting_Curves/meltCurve_sp_Q9BTE3_2_MCMBP_HUMAN_.pdf</v>
      </c>
      <c r="AA3151" t="s">
        <v>17318</v>
      </c>
      <c r="AB3151" t="s">
        <v>21985</v>
      </c>
    </row>
    <row r="3152" spans="1:28" x14ac:dyDescent="0.25">
      <c r="A3152" t="s">
        <v>3156</v>
      </c>
      <c r="B3152">
        <v>0.99904790336628502</v>
      </c>
      <c r="C3152">
        <v>1.0217133957662199</v>
      </c>
      <c r="D3152">
        <v>0.99017653176729004</v>
      </c>
      <c r="E3152">
        <v>0.60760426161938097</v>
      </c>
      <c r="F3152">
        <v>0.24919972504183099</v>
      </c>
      <c r="G3152">
        <v>8.9257502197932007E-2</v>
      </c>
      <c r="H3152">
        <v>4.5703120324306998E-2</v>
      </c>
      <c r="I3152">
        <v>3.9107117741158597E-2</v>
      </c>
      <c r="J3152">
        <v>4.0187042254846497E-2</v>
      </c>
      <c r="K3152">
        <v>3.2342341097033503E-2</v>
      </c>
      <c r="L3152">
        <v>1548.05375643512</v>
      </c>
      <c r="M3152">
        <v>30.539834840233201</v>
      </c>
      <c r="N3152">
        <v>50.834804690403402</v>
      </c>
      <c r="O3152">
        <v>50.473819844936301</v>
      </c>
      <c r="P3152">
        <v>-0.14495111386901699</v>
      </c>
      <c r="Q3152">
        <v>4.1751219314464599E-2</v>
      </c>
      <c r="R3152">
        <v>0.99876451375035102</v>
      </c>
      <c r="S3152" t="s">
        <v>7892</v>
      </c>
      <c r="T3152" t="s">
        <v>9478</v>
      </c>
      <c r="U3152" t="s">
        <v>9478</v>
      </c>
      <c r="V3152" t="s">
        <v>9478</v>
      </c>
      <c r="W3152">
        <v>11</v>
      </c>
      <c r="X3152" t="s">
        <v>12630</v>
      </c>
      <c r="Y3152">
        <v>0.3889794549992916</v>
      </c>
      <c r="Z3152" t="str">
        <f>HYPERLINK("Melting_Curves/meltCurve_sp_Q9BTE6_AASD1_HUMAN_.pdf", "Melting_Curves/meltCurve_sp_Q9BTE6_AASD1_HUMAN_.pdf")</f>
        <v>Melting_Curves/meltCurve_sp_Q9BTE6_AASD1_HUMAN_.pdf</v>
      </c>
      <c r="AA3152" t="s">
        <v>17319</v>
      </c>
      <c r="AB3152" t="s">
        <v>21986</v>
      </c>
    </row>
    <row r="3153" spans="1:28" x14ac:dyDescent="0.25">
      <c r="A3153" t="s">
        <v>3157</v>
      </c>
      <c r="B3153">
        <v>0.99904790336628502</v>
      </c>
      <c r="C3153">
        <v>1.1194300333095899</v>
      </c>
      <c r="D3153">
        <v>1.2779187359535999</v>
      </c>
      <c r="E3153">
        <v>1.07097012749625</v>
      </c>
      <c r="F3153">
        <v>0.93722514498649401</v>
      </c>
      <c r="G3153">
        <v>0.69839570292993003</v>
      </c>
      <c r="H3153">
        <v>0.58126715214569702</v>
      </c>
      <c r="I3153">
        <v>0.53296085556605899</v>
      </c>
      <c r="J3153">
        <v>0.57976038495394799</v>
      </c>
      <c r="K3153">
        <v>0.63455470691673699</v>
      </c>
      <c r="L3153">
        <v>2366.2582835694002</v>
      </c>
      <c r="M3153">
        <v>42.537833052928498</v>
      </c>
      <c r="O3153">
        <v>55.5046354629958</v>
      </c>
      <c r="P3153">
        <v>-8.0405593687510796E-2</v>
      </c>
      <c r="Q3153">
        <v>0.58033824655547195</v>
      </c>
      <c r="R3153">
        <v>0.84155740533601497</v>
      </c>
      <c r="S3153" t="s">
        <v>7893</v>
      </c>
      <c r="T3153" t="s">
        <v>9478</v>
      </c>
      <c r="U3153" t="s">
        <v>9478</v>
      </c>
      <c r="V3153" t="s">
        <v>9478</v>
      </c>
      <c r="W3153">
        <v>2</v>
      </c>
      <c r="X3153" t="s">
        <v>12631</v>
      </c>
      <c r="Y3153">
        <v>0.80036292937806974</v>
      </c>
      <c r="Z3153" t="str">
        <f>HYPERLINK("Melting_Curves/meltCurve_sp_Q9BTL3_RAM_HUMAN_.pdf", "Melting_Curves/meltCurve_sp_Q9BTL3_RAM_HUMAN_.pdf")</f>
        <v>Melting_Curves/meltCurve_sp_Q9BTL3_RAM_HUMAN_.pdf</v>
      </c>
      <c r="AA3153" t="s">
        <v>17320</v>
      </c>
      <c r="AB3153" t="s">
        <v>21987</v>
      </c>
    </row>
    <row r="3154" spans="1:28" x14ac:dyDescent="0.25">
      <c r="A3154" t="s">
        <v>3158</v>
      </c>
      <c r="B3154">
        <v>0.99904790336628502</v>
      </c>
      <c r="C3154">
        <v>1.0147048754246399</v>
      </c>
      <c r="D3154">
        <v>1.00561799612255</v>
      </c>
      <c r="E3154">
        <v>0.915889966365522</v>
      </c>
      <c r="F3154">
        <v>0.80494468075757797</v>
      </c>
      <c r="G3154">
        <v>0.66273541283841597</v>
      </c>
      <c r="H3154">
        <v>0.58189846716752802</v>
      </c>
      <c r="I3154">
        <v>0.56716961420895995</v>
      </c>
      <c r="J3154">
        <v>0.58512029200257198</v>
      </c>
      <c r="K3154">
        <v>0.48407778729270001</v>
      </c>
      <c r="L3154">
        <v>993.05675360355394</v>
      </c>
      <c r="M3154">
        <v>18.325255337634999</v>
      </c>
      <c r="O3154">
        <v>53.5576543622239</v>
      </c>
      <c r="P3154">
        <v>-4.0372717861584702E-2</v>
      </c>
      <c r="Q3154">
        <v>0.52804614664866401</v>
      </c>
      <c r="R3154">
        <v>0.98581124282544197</v>
      </c>
      <c r="S3154" t="s">
        <v>7894</v>
      </c>
      <c r="T3154" t="s">
        <v>9478</v>
      </c>
      <c r="U3154" t="s">
        <v>9478</v>
      </c>
      <c r="V3154" t="s">
        <v>9478</v>
      </c>
      <c r="W3154">
        <v>6</v>
      </c>
      <c r="X3154" t="s">
        <v>12632</v>
      </c>
      <c r="Y3154">
        <v>0.75860451414094754</v>
      </c>
      <c r="Z3154" t="str">
        <f>HYPERLINK("Melting_Curves/meltCurve_sp_Q9BTT0_AN32E_HUMAN_.pdf", "Melting_Curves/meltCurve_sp_Q9BTT0_AN32E_HUMAN_.pdf")</f>
        <v>Melting_Curves/meltCurve_sp_Q9BTT0_AN32E_HUMAN_.pdf</v>
      </c>
      <c r="AA3154" t="s">
        <v>17321</v>
      </c>
      <c r="AB3154" t="s">
        <v>21988</v>
      </c>
    </row>
    <row r="3155" spans="1:28" x14ac:dyDescent="0.25">
      <c r="A3155" t="s">
        <v>3159</v>
      </c>
      <c r="B3155">
        <v>0.99904790336628502</v>
      </c>
      <c r="C3155">
        <v>0.999967931701081</v>
      </c>
      <c r="D3155">
        <v>0.98067721915488104</v>
      </c>
      <c r="E3155">
        <v>0.73887107927217699</v>
      </c>
      <c r="F3155">
        <v>0.45358292636020098</v>
      </c>
      <c r="G3155">
        <v>0.205458537118064</v>
      </c>
      <c r="H3155">
        <v>0.112877133836897</v>
      </c>
      <c r="I3155">
        <v>9.2746151492964696E-2</v>
      </c>
      <c r="J3155">
        <v>6.5263581087862996E-2</v>
      </c>
      <c r="K3155">
        <v>5.9246673034234303E-2</v>
      </c>
      <c r="L3155">
        <v>1146.5988351188701</v>
      </c>
      <c r="M3155">
        <v>21.953209723251799</v>
      </c>
      <c r="N3155">
        <v>52.575563410778699</v>
      </c>
      <c r="O3155">
        <v>51.801625758965301</v>
      </c>
      <c r="P3155">
        <v>-9.8817724740293197E-2</v>
      </c>
      <c r="Q3155">
        <v>6.7324803570990993E-2</v>
      </c>
      <c r="R3155">
        <v>0.99917990222141595</v>
      </c>
      <c r="S3155" t="s">
        <v>7895</v>
      </c>
      <c r="T3155" t="s">
        <v>9478</v>
      </c>
      <c r="U3155" t="s">
        <v>9478</v>
      </c>
      <c r="V3155" t="s">
        <v>9478</v>
      </c>
      <c r="W3155">
        <v>11</v>
      </c>
      <c r="X3155" t="s">
        <v>12633</v>
      </c>
      <c r="Y3155">
        <v>0.45841525232072811</v>
      </c>
      <c r="Z3155" t="str">
        <f>HYPERLINK("Melting_Curves/meltCurve_sp_Q9BTW9_TBCD_HUMAN_.pdf", "Melting_Curves/meltCurve_sp_Q9BTW9_TBCD_HUMAN_.pdf")</f>
        <v>Melting_Curves/meltCurve_sp_Q9BTW9_TBCD_HUMAN_.pdf</v>
      </c>
      <c r="AA3155" t="s">
        <v>17322</v>
      </c>
      <c r="AB3155" t="s">
        <v>21989</v>
      </c>
    </row>
    <row r="3156" spans="1:28" x14ac:dyDescent="0.25">
      <c r="A3156" t="s">
        <v>3160</v>
      </c>
      <c r="B3156">
        <v>0.99904790336628502</v>
      </c>
      <c r="C3156">
        <v>0.83174915146522099</v>
      </c>
      <c r="D3156">
        <v>0.83474126910005297</v>
      </c>
      <c r="E3156">
        <v>0.76652613550561999</v>
      </c>
      <c r="F3156">
        <v>0.74959173664643197</v>
      </c>
      <c r="G3156">
        <v>0.56917240542484904</v>
      </c>
      <c r="H3156">
        <v>0.37596640362474198</v>
      </c>
      <c r="I3156">
        <v>0.16306637146914901</v>
      </c>
      <c r="J3156">
        <v>6.9475234965711397E-2</v>
      </c>
      <c r="K3156">
        <v>4.4463165246424102E-2</v>
      </c>
      <c r="L3156">
        <v>644.96899304835904</v>
      </c>
      <c r="M3156">
        <v>11.3471594639401</v>
      </c>
      <c r="N3156">
        <v>56.839687034956498</v>
      </c>
      <c r="O3156">
        <v>55.1602042107817</v>
      </c>
      <c r="P3156">
        <v>-5.1443590075581899E-2</v>
      </c>
      <c r="Q3156">
        <v>0</v>
      </c>
      <c r="R3156">
        <v>0.94559016362331505</v>
      </c>
      <c r="S3156" t="s">
        <v>7896</v>
      </c>
      <c r="T3156" t="s">
        <v>9478</v>
      </c>
      <c r="U3156" t="s">
        <v>9478</v>
      </c>
      <c r="V3156" t="s">
        <v>9478</v>
      </c>
      <c r="W3156">
        <v>6</v>
      </c>
      <c r="X3156" t="s">
        <v>12634</v>
      </c>
      <c r="Y3156">
        <v>0.57872197853902052</v>
      </c>
      <c r="Z3156" t="str">
        <f>HYPERLINK("Melting_Curves/meltCurve_sp_Q9BTX7_TTPAL_HUMAN_.pdf", "Melting_Curves/meltCurve_sp_Q9BTX7_TTPAL_HUMAN_.pdf")</f>
        <v>Melting_Curves/meltCurve_sp_Q9BTX7_TTPAL_HUMAN_.pdf</v>
      </c>
      <c r="AA3156" t="s">
        <v>17323</v>
      </c>
      <c r="AB3156" t="s">
        <v>21990</v>
      </c>
    </row>
    <row r="3157" spans="1:28" x14ac:dyDescent="0.25">
      <c r="A3157" t="s">
        <v>3161</v>
      </c>
      <c r="B3157">
        <v>0.99904790336628502</v>
      </c>
      <c r="C3157">
        <v>0.93334754442016499</v>
      </c>
      <c r="D3157">
        <v>0.98380385464641495</v>
      </c>
      <c r="E3157">
        <v>0.97752040611714797</v>
      </c>
      <c r="F3157">
        <v>0.91930387445847805</v>
      </c>
      <c r="G3157">
        <v>0.69753074213563704</v>
      </c>
      <c r="H3157">
        <v>0.267554290011772</v>
      </c>
      <c r="I3157">
        <v>7.4945253610832901E-2</v>
      </c>
      <c r="J3157">
        <v>3.8812636601910401E-2</v>
      </c>
      <c r="K3157">
        <v>3.8272601135614898E-2</v>
      </c>
      <c r="L3157">
        <v>1596.2573602324901</v>
      </c>
      <c r="M3157">
        <v>27.2344987682553</v>
      </c>
      <c r="N3157">
        <v>58.6486124784184</v>
      </c>
      <c r="O3157">
        <v>58.298298982988598</v>
      </c>
      <c r="P3157">
        <v>-0.115795415340277</v>
      </c>
      <c r="Q3157">
        <v>8.5202506027499507E-3</v>
      </c>
      <c r="R3157">
        <v>0.99600663222194796</v>
      </c>
      <c r="S3157" t="s">
        <v>7897</v>
      </c>
      <c r="T3157" t="s">
        <v>9478</v>
      </c>
      <c r="U3157" t="s">
        <v>9478</v>
      </c>
      <c r="V3157" t="s">
        <v>9478</v>
      </c>
      <c r="W3157">
        <v>11</v>
      </c>
      <c r="X3157" t="s">
        <v>12635</v>
      </c>
      <c r="Y3157">
        <v>0.63105683296298787</v>
      </c>
      <c r="Z3157" t="str">
        <f>HYPERLINK("Melting_Curves/meltCurve_sp_Q9BTY2_FUCO2_HUMAN_.pdf", "Melting_Curves/meltCurve_sp_Q9BTY2_FUCO2_HUMAN_.pdf")</f>
        <v>Melting_Curves/meltCurve_sp_Q9BTY2_FUCO2_HUMAN_.pdf</v>
      </c>
      <c r="AA3157" t="s">
        <v>17324</v>
      </c>
      <c r="AB3157" t="s">
        <v>21991</v>
      </c>
    </row>
    <row r="3158" spans="1:28" x14ac:dyDescent="0.25">
      <c r="A3158" t="s">
        <v>3162</v>
      </c>
      <c r="B3158">
        <v>0.99904790336628502</v>
      </c>
      <c r="C3158">
        <v>0.96894101808478195</v>
      </c>
      <c r="D3158">
        <v>0.83862355128269395</v>
      </c>
      <c r="E3158">
        <v>0.45302650551135398</v>
      </c>
      <c r="F3158">
        <v>0.24189484854144699</v>
      </c>
      <c r="G3158">
        <v>0.164583267915239</v>
      </c>
      <c r="H3158">
        <v>9.75154333789333E-2</v>
      </c>
      <c r="I3158">
        <v>0.114159966537195</v>
      </c>
      <c r="J3158">
        <v>0.108288328693325</v>
      </c>
      <c r="K3158">
        <v>0.10796459161044999</v>
      </c>
      <c r="L3158">
        <v>1115.01373513406</v>
      </c>
      <c r="M3158">
        <v>22.743789343431299</v>
      </c>
      <c r="N3158">
        <v>49.549984976831702</v>
      </c>
      <c r="O3158">
        <v>48.650707172949701</v>
      </c>
      <c r="P3158">
        <v>-0.104361132275688</v>
      </c>
      <c r="Q3158">
        <v>0.10707192506138601</v>
      </c>
      <c r="R3158">
        <v>0.99929141512585695</v>
      </c>
      <c r="S3158" t="s">
        <v>7898</v>
      </c>
      <c r="T3158" t="s">
        <v>9478</v>
      </c>
      <c r="U3158" t="s">
        <v>9478</v>
      </c>
      <c r="V3158" t="s">
        <v>9478</v>
      </c>
      <c r="W3158">
        <v>7</v>
      </c>
      <c r="X3158" t="s">
        <v>12636</v>
      </c>
      <c r="Y3158">
        <v>0.38530806203266832</v>
      </c>
      <c r="Z3158" t="str">
        <f>HYPERLINK("Melting_Curves/meltCurve_sp_Q9BTY7_F203A_HUMAN_.pdf", "Melting_Curves/meltCurve_sp_Q9BTY7_F203A_HUMAN_.pdf")</f>
        <v>Melting_Curves/meltCurve_sp_Q9BTY7_F203A_HUMAN_.pdf</v>
      </c>
      <c r="AA3158" t="s">
        <v>17325</v>
      </c>
      <c r="AB3158" t="s">
        <v>21992</v>
      </c>
    </row>
    <row r="3159" spans="1:28" x14ac:dyDescent="0.25">
      <c r="A3159" t="s">
        <v>3163</v>
      </c>
      <c r="B3159">
        <v>0.99904790336628502</v>
      </c>
      <c r="C3159">
        <v>0.99571151972702299</v>
      </c>
      <c r="D3159">
        <v>0.73450979080149503</v>
      </c>
      <c r="E3159">
        <v>0.49284563892035399</v>
      </c>
      <c r="F3159">
        <v>0.27222037354021</v>
      </c>
      <c r="G3159">
        <v>0.19928902401131299</v>
      </c>
      <c r="H3159">
        <v>0.120233045534066</v>
      </c>
      <c r="I3159">
        <v>0.115718678031102</v>
      </c>
      <c r="J3159">
        <v>7.6587177842755899E-2</v>
      </c>
      <c r="K3159">
        <v>4.5808183255016899E-2</v>
      </c>
      <c r="L3159">
        <v>817.04587328191701</v>
      </c>
      <c r="M3159">
        <v>16.5947288380133</v>
      </c>
      <c r="N3159">
        <v>49.728138236539998</v>
      </c>
      <c r="O3159">
        <v>48.536966315506</v>
      </c>
      <c r="P3159">
        <v>-7.8998436934134497E-2</v>
      </c>
      <c r="Q3159">
        <v>7.5830995956366901E-2</v>
      </c>
      <c r="R3159">
        <v>0.99132011972170797</v>
      </c>
      <c r="S3159" t="s">
        <v>7899</v>
      </c>
      <c r="T3159" t="s">
        <v>9478</v>
      </c>
      <c r="U3159" t="s">
        <v>9478</v>
      </c>
      <c r="V3159" t="s">
        <v>9478</v>
      </c>
      <c r="W3159">
        <v>13</v>
      </c>
      <c r="X3159" t="s">
        <v>12637</v>
      </c>
      <c r="Y3159">
        <v>0.37900719461117433</v>
      </c>
      <c r="Z3159" t="str">
        <f>HYPERLINK("Melting_Curves/meltCurve_sp_Q9BTZ2_DHRS4_HUMAN_.pdf", "Melting_Curves/meltCurve_sp_Q9BTZ2_DHRS4_HUMAN_.pdf")</f>
        <v>Melting_Curves/meltCurve_sp_Q9BTZ2_DHRS4_HUMAN_.pdf</v>
      </c>
      <c r="AA3159" t="s">
        <v>17326</v>
      </c>
      <c r="AB3159" t="s">
        <v>21993</v>
      </c>
    </row>
    <row r="3160" spans="1:28" x14ac:dyDescent="0.25">
      <c r="A3160" t="s">
        <v>3164</v>
      </c>
      <c r="B3160">
        <v>0.99904790336628502</v>
      </c>
      <c r="C3160">
        <v>0.92206147457173504</v>
      </c>
      <c r="D3160">
        <v>0.91093230948076298</v>
      </c>
      <c r="E3160">
        <v>0.86809963473125396</v>
      </c>
      <c r="F3160">
        <v>0.80369463448576905</v>
      </c>
      <c r="G3160">
        <v>0.471176613299087</v>
      </c>
      <c r="H3160">
        <v>0.280208260798952</v>
      </c>
      <c r="I3160">
        <v>0.19945565964925899</v>
      </c>
      <c r="J3160">
        <v>0.19332748411828399</v>
      </c>
      <c r="K3160">
        <v>0.19884263301593899</v>
      </c>
      <c r="L3160">
        <v>1019.30403544052</v>
      </c>
      <c r="M3160">
        <v>18.3443035770566</v>
      </c>
      <c r="N3160">
        <v>56.7036927846476</v>
      </c>
      <c r="O3160">
        <v>54.917460748419501</v>
      </c>
      <c r="P3160">
        <v>-7.0646958901581902E-2</v>
      </c>
      <c r="Q3160">
        <v>0.15405361967275599</v>
      </c>
      <c r="R3160">
        <v>0.98536122345148403</v>
      </c>
      <c r="S3160" t="s">
        <v>7900</v>
      </c>
      <c r="T3160" t="s">
        <v>9478</v>
      </c>
      <c r="U3160" t="s">
        <v>9478</v>
      </c>
      <c r="V3160" t="s">
        <v>9478</v>
      </c>
      <c r="W3160">
        <v>5</v>
      </c>
      <c r="X3160" t="s">
        <v>12638</v>
      </c>
      <c r="Y3160">
        <v>0.60541692592503937</v>
      </c>
      <c r="Z3160" t="str">
        <f>HYPERLINK("Melting_Curves/meltCurve_sp_Q9BU02_THTPA_HUMAN_.pdf", "Melting_Curves/meltCurve_sp_Q9BU02_THTPA_HUMAN_.pdf")</f>
        <v>Melting_Curves/meltCurve_sp_Q9BU02_THTPA_HUMAN_.pdf</v>
      </c>
      <c r="AA3160" t="s">
        <v>17327</v>
      </c>
      <c r="AB3160" t="s">
        <v>21994</v>
      </c>
    </row>
    <row r="3161" spans="1:28" x14ac:dyDescent="0.25">
      <c r="A3161" t="s">
        <v>3165</v>
      </c>
      <c r="B3161">
        <v>0.99904790336628502</v>
      </c>
      <c r="C3161">
        <v>1.03310208763845</v>
      </c>
      <c r="D3161">
        <v>0.85919662187883905</v>
      </c>
      <c r="E3161">
        <v>0.68385304623679199</v>
      </c>
      <c r="F3161">
        <v>0.47163312238949001</v>
      </c>
      <c r="G3161">
        <v>0.18580245077543001</v>
      </c>
      <c r="H3161">
        <v>0.109675847289322</v>
      </c>
      <c r="I3161">
        <v>7.0298769481471193E-2</v>
      </c>
      <c r="J3161">
        <v>5.8883797830823703E-2</v>
      </c>
      <c r="K3161">
        <v>5.8528812519479098E-2</v>
      </c>
      <c r="L3161">
        <v>891.27228436750204</v>
      </c>
      <c r="M3161">
        <v>17.119681912644399</v>
      </c>
      <c r="N3161">
        <v>52.288957732635701</v>
      </c>
      <c r="O3161">
        <v>51.366506851614602</v>
      </c>
      <c r="P3161">
        <v>-8.0333317603727403E-2</v>
      </c>
      <c r="Q3161">
        <v>3.59185493378925E-2</v>
      </c>
      <c r="R3161">
        <v>0.99507669220448702</v>
      </c>
      <c r="S3161" t="s">
        <v>7901</v>
      </c>
      <c r="T3161" t="s">
        <v>9478</v>
      </c>
      <c r="U3161" t="s">
        <v>9478</v>
      </c>
      <c r="V3161" t="s">
        <v>9478</v>
      </c>
      <c r="W3161">
        <v>2</v>
      </c>
      <c r="X3161" t="s">
        <v>12639</v>
      </c>
      <c r="Y3161">
        <v>0.44095535062498797</v>
      </c>
      <c r="Z3161" t="str">
        <f>HYPERLINK("Melting_Curves/meltCurve_sp_Q9BU61_NDUF3_HUMAN_.pdf", "Melting_Curves/meltCurve_sp_Q9BU61_NDUF3_HUMAN_.pdf")</f>
        <v>Melting_Curves/meltCurve_sp_Q9BU61_NDUF3_HUMAN_.pdf</v>
      </c>
      <c r="AA3161" t="s">
        <v>17328</v>
      </c>
      <c r="AB3161" t="s">
        <v>21995</v>
      </c>
    </row>
    <row r="3162" spans="1:28" x14ac:dyDescent="0.25">
      <c r="A3162" t="s">
        <v>3166</v>
      </c>
      <c r="B3162">
        <v>0.99904790336628502</v>
      </c>
      <c r="C3162">
        <v>0.97829390931765603</v>
      </c>
      <c r="D3162">
        <v>0.945641729785065</v>
      </c>
      <c r="E3162">
        <v>0.82411168824469605</v>
      </c>
      <c r="F3162">
        <v>0.67890015703608797</v>
      </c>
      <c r="G3162">
        <v>0.47790180575650998</v>
      </c>
      <c r="H3162">
        <v>0.34971218326051401</v>
      </c>
      <c r="I3162">
        <v>0.303693359774938</v>
      </c>
      <c r="J3162">
        <v>0.25963115367247103</v>
      </c>
      <c r="K3162">
        <v>0.27989098265698797</v>
      </c>
      <c r="L3162">
        <v>817.34384962450497</v>
      </c>
      <c r="M3162">
        <v>15.1292856928772</v>
      </c>
      <c r="N3162">
        <v>56.440730760888698</v>
      </c>
      <c r="O3162">
        <v>53.106493321763899</v>
      </c>
      <c r="P3162">
        <v>-5.4246820516681303E-2</v>
      </c>
      <c r="Q3162">
        <v>0.23841050416638801</v>
      </c>
      <c r="R3162">
        <v>0.99914379874580805</v>
      </c>
      <c r="S3162" t="s">
        <v>7902</v>
      </c>
      <c r="T3162" t="s">
        <v>9478</v>
      </c>
      <c r="U3162" t="s">
        <v>9478</v>
      </c>
      <c r="V3162" t="s">
        <v>9478</v>
      </c>
      <c r="W3162">
        <v>3</v>
      </c>
      <c r="X3162" t="s">
        <v>12640</v>
      </c>
      <c r="Y3162">
        <v>0.60986735695540661</v>
      </c>
      <c r="Z3162" t="str">
        <f>HYPERLINK("Melting_Curves/meltCurve_sp_Q9BU89_DOHH_HUMAN_.pdf", "Melting_Curves/meltCurve_sp_Q9BU89_DOHH_HUMAN_.pdf")</f>
        <v>Melting_Curves/meltCurve_sp_Q9BU89_DOHH_HUMAN_.pdf</v>
      </c>
      <c r="AA3162" t="s">
        <v>17329</v>
      </c>
      <c r="AB3162" t="s">
        <v>21996</v>
      </c>
    </row>
    <row r="3163" spans="1:28" x14ac:dyDescent="0.25">
      <c r="A3163" t="s">
        <v>3167</v>
      </c>
      <c r="B3163">
        <v>0.99904790336628502</v>
      </c>
      <c r="C3163">
        <v>0.97031306210633295</v>
      </c>
      <c r="D3163">
        <v>0.99434658763362804</v>
      </c>
      <c r="E3163">
        <v>0.92366943892338105</v>
      </c>
      <c r="F3163">
        <v>0.83531081493751203</v>
      </c>
      <c r="G3163">
        <v>0.63294112484168197</v>
      </c>
      <c r="H3163">
        <v>0.43483835537465998</v>
      </c>
      <c r="I3163">
        <v>0.27017156750802501</v>
      </c>
      <c r="J3163">
        <v>0.167617845886331</v>
      </c>
      <c r="K3163">
        <v>0.135345694093117</v>
      </c>
      <c r="L3163">
        <v>799.90974057724804</v>
      </c>
      <c r="M3163">
        <v>13.4741397435709</v>
      </c>
      <c r="N3163">
        <v>59.4414007055437</v>
      </c>
      <c r="O3163">
        <v>58.104409417525503</v>
      </c>
      <c r="P3163">
        <v>-5.74933312396105E-2</v>
      </c>
      <c r="Q3163">
        <v>8.4405046601373802E-3</v>
      </c>
      <c r="R3163">
        <v>0.99847615731710604</v>
      </c>
      <c r="S3163" t="s">
        <v>7903</v>
      </c>
      <c r="T3163" t="s">
        <v>9478</v>
      </c>
      <c r="U3163" t="s">
        <v>9478</v>
      </c>
      <c r="V3163" t="s">
        <v>9478</v>
      </c>
      <c r="W3163">
        <v>3</v>
      </c>
      <c r="X3163" t="s">
        <v>12641</v>
      </c>
      <c r="Y3163">
        <v>0.65654055605973416</v>
      </c>
      <c r="Z3163" t="str">
        <f>HYPERLINK("Melting_Curves/meltCurve_sp_Q9BUE6_ISCA1_HUMAN_.pdf", "Melting_Curves/meltCurve_sp_Q9BUE6_ISCA1_HUMAN_.pdf")</f>
        <v>Melting_Curves/meltCurve_sp_Q9BUE6_ISCA1_HUMAN_.pdf</v>
      </c>
      <c r="AA3163" t="s">
        <v>17330</v>
      </c>
      <c r="AB3163" t="s">
        <v>21997</v>
      </c>
    </row>
    <row r="3164" spans="1:28" x14ac:dyDescent="0.25">
      <c r="A3164" t="s">
        <v>3168</v>
      </c>
      <c r="B3164">
        <v>0.99904790336628502</v>
      </c>
      <c r="C3164">
        <v>0.97151661293943903</v>
      </c>
      <c r="D3164">
        <v>0.96907270022289105</v>
      </c>
      <c r="E3164">
        <v>0.89169307150647603</v>
      </c>
      <c r="F3164">
        <v>0.88416850468295205</v>
      </c>
      <c r="G3164">
        <v>0.65413597417486002</v>
      </c>
      <c r="H3164">
        <v>0.52717273319703395</v>
      </c>
      <c r="I3164">
        <v>0.44713103571586299</v>
      </c>
      <c r="J3164">
        <v>0.34407870764017401</v>
      </c>
      <c r="K3164">
        <v>0.244978866609324</v>
      </c>
      <c r="L3164">
        <v>603.18274801470602</v>
      </c>
      <c r="M3164">
        <v>9.8144830985632208</v>
      </c>
      <c r="N3164">
        <v>61.930918809349997</v>
      </c>
      <c r="O3164">
        <v>59.069936116809998</v>
      </c>
      <c r="P3164">
        <v>-4.0060102496654502E-2</v>
      </c>
      <c r="Q3164">
        <v>3.6072698696228603E-2</v>
      </c>
      <c r="R3164">
        <v>0.99237276094568705</v>
      </c>
      <c r="S3164" t="s">
        <v>7904</v>
      </c>
      <c r="T3164" t="s">
        <v>9478</v>
      </c>
      <c r="U3164" t="s">
        <v>9478</v>
      </c>
      <c r="V3164" t="s">
        <v>9478</v>
      </c>
      <c r="W3164">
        <v>10</v>
      </c>
      <c r="X3164" t="s">
        <v>12642</v>
      </c>
      <c r="Y3164">
        <v>0.70892002490107375</v>
      </c>
      <c r="Z3164" t="str">
        <f>HYPERLINK("Melting_Curves/meltCurve_sp_Q9BUH6_CI142_HUMAN_.pdf", "Melting_Curves/meltCurve_sp_Q9BUH6_CI142_HUMAN_.pdf")</f>
        <v>Melting_Curves/meltCurve_sp_Q9BUH6_CI142_HUMAN_.pdf</v>
      </c>
      <c r="AA3164" t="s">
        <v>17331</v>
      </c>
      <c r="AB3164" t="s">
        <v>21998</v>
      </c>
    </row>
    <row r="3165" spans="1:28" x14ac:dyDescent="0.25">
      <c r="A3165" t="s">
        <v>3169</v>
      </c>
      <c r="B3165">
        <v>0.99904790336628502</v>
      </c>
      <c r="C3165">
        <v>0.956851514421585</v>
      </c>
      <c r="D3165">
        <v>0.90842233595725796</v>
      </c>
      <c r="E3165">
        <v>0.73156851745281903</v>
      </c>
      <c r="F3165">
        <v>0.571560095498992</v>
      </c>
      <c r="G3165">
        <v>0.38889941834128</v>
      </c>
      <c r="H3165">
        <v>0.30966678613273901</v>
      </c>
      <c r="I3165">
        <v>0.26976624071400401</v>
      </c>
      <c r="J3165">
        <v>0.28764271942920799</v>
      </c>
      <c r="K3165">
        <v>0.293871923266255</v>
      </c>
      <c r="L3165">
        <v>841.71868687972005</v>
      </c>
      <c r="M3165">
        <v>16.277075796572401</v>
      </c>
      <c r="N3165">
        <v>54.1803729476079</v>
      </c>
      <c r="O3165">
        <v>50.950261234344097</v>
      </c>
      <c r="P3165">
        <v>-5.8960727786774102E-2</v>
      </c>
      <c r="Q3165">
        <v>0.26182188492269698</v>
      </c>
      <c r="R3165">
        <v>0.99787946877054301</v>
      </c>
      <c r="S3165" t="s">
        <v>7905</v>
      </c>
      <c r="T3165" t="s">
        <v>9478</v>
      </c>
      <c r="U3165" t="s">
        <v>9478</v>
      </c>
      <c r="V3165" t="s">
        <v>9478</v>
      </c>
      <c r="W3165">
        <v>25</v>
      </c>
      <c r="X3165" t="s">
        <v>12643</v>
      </c>
      <c r="Y3165">
        <v>0.564621892634667</v>
      </c>
      <c r="Z3165" t="str">
        <f>HYPERLINK("Melting_Curves/meltCurve_sp_Q9BUJ2_2_HNRL1_HUMAN_.pdf", "Melting_Curves/meltCurve_sp_Q9BUJ2_2_HNRL1_HUMAN_.pdf")</f>
        <v>Melting_Curves/meltCurve_sp_Q9BUJ2_2_HNRL1_HUMAN_.pdf</v>
      </c>
      <c r="AA3165" t="s">
        <v>17332</v>
      </c>
      <c r="AB3165" t="s">
        <v>21999</v>
      </c>
    </row>
    <row r="3166" spans="1:28" x14ac:dyDescent="0.25">
      <c r="A3166" t="s">
        <v>3170</v>
      </c>
      <c r="B3166">
        <v>0.99904790336628502</v>
      </c>
      <c r="C3166">
        <v>0.90314847239578799</v>
      </c>
      <c r="D3166">
        <v>0.826671936324887</v>
      </c>
      <c r="E3166">
        <v>0.73212542484932097</v>
      </c>
      <c r="F3166">
        <v>0.55615268134394602</v>
      </c>
      <c r="G3166">
        <v>0.42994000421378498</v>
      </c>
      <c r="H3166">
        <v>0.33064918210666</v>
      </c>
      <c r="I3166">
        <v>0.27653279347316501</v>
      </c>
      <c r="J3166">
        <v>0.25543559996378901</v>
      </c>
      <c r="K3166">
        <v>0.22124213287852501</v>
      </c>
      <c r="L3166">
        <v>531.28400650988897</v>
      </c>
      <c r="M3166">
        <v>10.0488576771104</v>
      </c>
      <c r="N3166">
        <v>54.921507067797698</v>
      </c>
      <c r="O3166">
        <v>50.904338379027998</v>
      </c>
      <c r="P3166">
        <v>-4.1649340204198401E-2</v>
      </c>
      <c r="Q3166">
        <v>0.15647310565024999</v>
      </c>
      <c r="R3166">
        <v>0.99544582094258804</v>
      </c>
      <c r="S3166" t="s">
        <v>7906</v>
      </c>
      <c r="T3166" t="s">
        <v>9478</v>
      </c>
      <c r="U3166" t="s">
        <v>9478</v>
      </c>
      <c r="V3166" t="s">
        <v>9478</v>
      </c>
      <c r="W3166">
        <v>8</v>
      </c>
      <c r="X3166" t="s">
        <v>12644</v>
      </c>
      <c r="Y3166">
        <v>0.54749440561228713</v>
      </c>
      <c r="Z3166" t="str">
        <f>HYPERLINK("Melting_Curves/meltCurve_sp_Q9BUP0_EFHD1_HUMAN_.pdf", "Melting_Curves/meltCurve_sp_Q9BUP0_EFHD1_HUMAN_.pdf")</f>
        <v>Melting_Curves/meltCurve_sp_Q9BUP0_EFHD1_HUMAN_.pdf</v>
      </c>
      <c r="AA3166" t="s">
        <v>17333</v>
      </c>
      <c r="AB3166" t="s">
        <v>22000</v>
      </c>
    </row>
    <row r="3167" spans="1:28" x14ac:dyDescent="0.25">
      <c r="A3167" t="s">
        <v>3171</v>
      </c>
      <c r="B3167">
        <v>0.99904790336628502</v>
      </c>
      <c r="C3167">
        <v>0.90809850946239901</v>
      </c>
      <c r="D3167">
        <v>0.81532417784779398</v>
      </c>
      <c r="E3167">
        <v>0.83359532963254002</v>
      </c>
      <c r="F3167">
        <v>0.59586334578531197</v>
      </c>
      <c r="G3167">
        <v>0.43070585474795497</v>
      </c>
      <c r="H3167">
        <v>0.26539170037856502</v>
      </c>
      <c r="I3167">
        <v>0.28324430433258602</v>
      </c>
      <c r="J3167">
        <v>0.20132802942359099</v>
      </c>
      <c r="K3167">
        <v>0.22803304894013399</v>
      </c>
      <c r="L3167">
        <v>607.26212496981896</v>
      </c>
      <c r="M3167">
        <v>11.287592244979599</v>
      </c>
      <c r="N3167">
        <v>55.365773596107502</v>
      </c>
      <c r="O3167">
        <v>52.193445474221001</v>
      </c>
      <c r="P3167">
        <v>-4.6689062394570699E-2</v>
      </c>
      <c r="Q3167">
        <v>0.13670908268982601</v>
      </c>
      <c r="R3167">
        <v>0.97624358319641402</v>
      </c>
      <c r="S3167" t="s">
        <v>7907</v>
      </c>
      <c r="T3167" t="s">
        <v>9478</v>
      </c>
      <c r="U3167" t="s">
        <v>9478</v>
      </c>
      <c r="V3167" t="s">
        <v>9478</v>
      </c>
      <c r="W3167">
        <v>1</v>
      </c>
      <c r="X3167" t="s">
        <v>12645</v>
      </c>
      <c r="Y3167">
        <v>0.55810696505398028</v>
      </c>
      <c r="Z3167" t="str">
        <f>HYPERLINK("Melting_Curves/meltCurve_sp_Q9BUQ8_DDX23_HUMAN_.pdf", "Melting_Curves/meltCurve_sp_Q9BUQ8_DDX23_HUMAN_.pdf")</f>
        <v>Melting_Curves/meltCurve_sp_Q9BUQ8_DDX23_HUMAN_.pdf</v>
      </c>
      <c r="AA3167" t="s">
        <v>17334</v>
      </c>
      <c r="AB3167" t="s">
        <v>22001</v>
      </c>
    </row>
    <row r="3168" spans="1:28" x14ac:dyDescent="0.25">
      <c r="A3168" t="s">
        <v>3172</v>
      </c>
      <c r="B3168">
        <v>0.99904790336628502</v>
      </c>
      <c r="C3168">
        <v>1.0163459273706601</v>
      </c>
      <c r="D3168">
        <v>1.04126981592946</v>
      </c>
      <c r="E3168">
        <v>0.72461103336388599</v>
      </c>
      <c r="F3168">
        <v>0.225212345220656</v>
      </c>
      <c r="G3168">
        <v>8.7354919413300106E-2</v>
      </c>
      <c r="H3168">
        <v>5.6287453590110101E-2</v>
      </c>
      <c r="I3168">
        <v>3.1328614457672502E-2</v>
      </c>
      <c r="J3168">
        <v>2.3945629973916902E-2</v>
      </c>
      <c r="K3168">
        <v>2.04365158460648E-2</v>
      </c>
      <c r="L3168">
        <v>2076.3332135973401</v>
      </c>
      <c r="M3168">
        <v>40.596457988948401</v>
      </c>
      <c r="N3168">
        <v>51.251266408990197</v>
      </c>
      <c r="O3168">
        <v>51.022040168536101</v>
      </c>
      <c r="P3168">
        <v>-0.19093633906979701</v>
      </c>
      <c r="Q3168">
        <v>4.0118976604444197E-2</v>
      </c>
      <c r="R3168">
        <v>0.99741526993237595</v>
      </c>
      <c r="S3168" t="s">
        <v>7908</v>
      </c>
      <c r="T3168" t="s">
        <v>9478</v>
      </c>
      <c r="U3168" t="s">
        <v>9478</v>
      </c>
      <c r="V3168" t="s">
        <v>9478</v>
      </c>
      <c r="W3168">
        <v>12</v>
      </c>
      <c r="X3168" t="s">
        <v>12646</v>
      </c>
      <c r="Y3168">
        <v>0.40002980146576039</v>
      </c>
      <c r="Z3168" t="str">
        <f>HYPERLINK("Melting_Curves/meltCurve_sp_Q9BUT1_BDH2_HUMAN_.pdf", "Melting_Curves/meltCurve_sp_Q9BUT1_BDH2_HUMAN_.pdf")</f>
        <v>Melting_Curves/meltCurve_sp_Q9BUT1_BDH2_HUMAN_.pdf</v>
      </c>
      <c r="AA3168" t="s">
        <v>17335</v>
      </c>
      <c r="AB3168" t="s">
        <v>22002</v>
      </c>
    </row>
    <row r="3169" spans="1:28" x14ac:dyDescent="0.25">
      <c r="A3169" t="s">
        <v>3173</v>
      </c>
      <c r="B3169">
        <v>0.99904790336628502</v>
      </c>
      <c r="C3169">
        <v>1.07439128660281</v>
      </c>
      <c r="D3169">
        <v>1.0484980094356799</v>
      </c>
      <c r="E3169">
        <v>0.99365034605929003</v>
      </c>
      <c r="F3169">
        <v>0.91345344297109299</v>
      </c>
      <c r="G3169">
        <v>0.59692236885813799</v>
      </c>
      <c r="H3169">
        <v>0.52420925354946102</v>
      </c>
      <c r="I3169">
        <v>0.46007639882190199</v>
      </c>
      <c r="J3169">
        <v>0.40391616204481601</v>
      </c>
      <c r="K3169">
        <v>0.41915782157099202</v>
      </c>
      <c r="L3169">
        <v>1695.71107400306</v>
      </c>
      <c r="M3169">
        <v>30.449493215348699</v>
      </c>
      <c r="N3169">
        <v>59.667796270460897</v>
      </c>
      <c r="O3169">
        <v>55.450765784295797</v>
      </c>
      <c r="P3169">
        <v>-7.7653655141812897E-2</v>
      </c>
      <c r="Q3169">
        <v>0.434351447256068</v>
      </c>
      <c r="R3169">
        <v>0.98178104152623702</v>
      </c>
      <c r="S3169" t="s">
        <v>7909</v>
      </c>
      <c r="T3169" t="s">
        <v>9478</v>
      </c>
      <c r="U3169" t="s">
        <v>9478</v>
      </c>
      <c r="V3169" t="s">
        <v>9478</v>
      </c>
      <c r="W3169">
        <v>4</v>
      </c>
      <c r="X3169" t="s">
        <v>12647</v>
      </c>
      <c r="Y3169">
        <v>0.73383794479853004</v>
      </c>
      <c r="Z3169" t="str">
        <f>HYPERLINK("Melting_Curves/meltCurve_sp_Q9BUT9_F195A_HUMAN_.pdf", "Melting_Curves/meltCurve_sp_Q9BUT9_F195A_HUMAN_.pdf")</f>
        <v>Melting_Curves/meltCurve_sp_Q9BUT9_F195A_HUMAN_.pdf</v>
      </c>
      <c r="AA3169" t="s">
        <v>17336</v>
      </c>
      <c r="AB3169" t="s">
        <v>22003</v>
      </c>
    </row>
    <row r="3170" spans="1:28" x14ac:dyDescent="0.25">
      <c r="A3170" t="s">
        <v>3174</v>
      </c>
      <c r="B3170">
        <v>0.99904790336628502</v>
      </c>
      <c r="C3170">
        <v>0.91653053844961396</v>
      </c>
      <c r="D3170">
        <v>0.98477961934249303</v>
      </c>
      <c r="E3170">
        <v>0.86778491695466897</v>
      </c>
      <c r="F3170">
        <v>0.29394198011357597</v>
      </c>
      <c r="G3170">
        <v>0.151301513188214</v>
      </c>
      <c r="H3170">
        <v>0.35013341364238298</v>
      </c>
      <c r="I3170">
        <v>0.37801934673911203</v>
      </c>
      <c r="J3170">
        <v>0.38259717405009602</v>
      </c>
      <c r="K3170">
        <v>0.309153896486422</v>
      </c>
      <c r="L3170">
        <v>12571.9001039454</v>
      </c>
      <c r="M3170">
        <v>250</v>
      </c>
      <c r="N3170">
        <v>50.483903182615201</v>
      </c>
      <c r="O3170">
        <v>50.284382360308697</v>
      </c>
      <c r="P3170">
        <v>-0.856556229842796</v>
      </c>
      <c r="Q3170">
        <v>0.31085758545396702</v>
      </c>
      <c r="R3170">
        <v>0.95604277822878803</v>
      </c>
      <c r="S3170" t="s">
        <v>7910</v>
      </c>
      <c r="T3170" t="s">
        <v>9478</v>
      </c>
      <c r="U3170" t="s">
        <v>9478</v>
      </c>
      <c r="V3170" t="s">
        <v>9478</v>
      </c>
      <c r="W3170">
        <v>4</v>
      </c>
      <c r="X3170" t="s">
        <v>12648</v>
      </c>
      <c r="Y3170">
        <v>0.54723913134557123</v>
      </c>
      <c r="Z3170" t="str">
        <f>HYPERLINK("Melting_Curves/meltCurve_sp_Q9BV19_CA050_HUMAN_.pdf", "Melting_Curves/meltCurve_sp_Q9BV19_CA050_HUMAN_.pdf")</f>
        <v>Melting_Curves/meltCurve_sp_Q9BV19_CA050_HUMAN_.pdf</v>
      </c>
      <c r="AA3170" t="s">
        <v>17337</v>
      </c>
      <c r="AB3170" t="s">
        <v>22004</v>
      </c>
    </row>
    <row r="3171" spans="1:28" x14ac:dyDescent="0.25">
      <c r="A3171" t="s">
        <v>3175</v>
      </c>
      <c r="B3171">
        <v>0.99904790336628502</v>
      </c>
      <c r="C3171">
        <v>0.97495467511881595</v>
      </c>
      <c r="D3171">
        <v>0.90907420174213505</v>
      </c>
      <c r="E3171">
        <v>0.91583043265382003</v>
      </c>
      <c r="F3171">
        <v>0.89166518496083202</v>
      </c>
      <c r="G3171">
        <v>0.602791683097463</v>
      </c>
      <c r="H3171">
        <v>0.204220434813838</v>
      </c>
      <c r="I3171">
        <v>7.1829784673877697E-2</v>
      </c>
      <c r="J3171">
        <v>4.8439637463373597E-2</v>
      </c>
      <c r="K3171">
        <v>4.0464142144472602E-2</v>
      </c>
      <c r="L3171">
        <v>1397.0335813187201</v>
      </c>
      <c r="M3171">
        <v>24.207490765928199</v>
      </c>
      <c r="N3171">
        <v>57.752929657690203</v>
      </c>
      <c r="O3171">
        <v>57.321291530312102</v>
      </c>
      <c r="P3171">
        <v>-0.104656044892752</v>
      </c>
      <c r="Q3171">
        <v>8.7484764389503394E-3</v>
      </c>
      <c r="R3171">
        <v>0.99143217527664496</v>
      </c>
      <c r="S3171" t="s">
        <v>7911</v>
      </c>
      <c r="T3171" t="s">
        <v>9478</v>
      </c>
      <c r="U3171" t="s">
        <v>9478</v>
      </c>
      <c r="V3171" t="s">
        <v>9478</v>
      </c>
      <c r="W3171">
        <v>13</v>
      </c>
      <c r="X3171" t="s">
        <v>12649</v>
      </c>
      <c r="Y3171">
        <v>0.60307869931126235</v>
      </c>
      <c r="Z3171" t="str">
        <f>HYPERLINK("Melting_Curves/meltCurve_sp_Q9BV20_MTNA_HUMAN_.pdf", "Melting_Curves/meltCurve_sp_Q9BV20_MTNA_HUMAN_.pdf")</f>
        <v>Melting_Curves/meltCurve_sp_Q9BV20_MTNA_HUMAN_.pdf</v>
      </c>
      <c r="AA3171" t="s">
        <v>17338</v>
      </c>
      <c r="AB3171" t="s">
        <v>22005</v>
      </c>
    </row>
    <row r="3172" spans="1:28" x14ac:dyDescent="0.25">
      <c r="A3172" t="s">
        <v>3176</v>
      </c>
      <c r="B3172">
        <v>0.99904790336628502</v>
      </c>
      <c r="C3172">
        <v>0.96017100450653003</v>
      </c>
      <c r="D3172">
        <v>0.93095176919258305</v>
      </c>
      <c r="E3172">
        <v>0.87846261685211702</v>
      </c>
      <c r="F3172">
        <v>0.77803603624711903</v>
      </c>
      <c r="G3172">
        <v>0.52394792458494599</v>
      </c>
      <c r="H3172">
        <v>0.280712032079102</v>
      </c>
      <c r="I3172">
        <v>0.115923164661941</v>
      </c>
      <c r="J3172">
        <v>7.7689868613277605E-2</v>
      </c>
      <c r="K3172">
        <v>7.1686384938648096E-2</v>
      </c>
      <c r="L3172">
        <v>886.37788620797505</v>
      </c>
      <c r="M3172">
        <v>15.529675330903601</v>
      </c>
      <c r="N3172">
        <v>57.076395242502201</v>
      </c>
      <c r="O3172">
        <v>56.155101697539799</v>
      </c>
      <c r="P3172">
        <v>-6.9143515082596405E-2</v>
      </c>
      <c r="Q3172">
        <v>0</v>
      </c>
      <c r="R3172">
        <v>0.99530629308387497</v>
      </c>
      <c r="S3172" t="s">
        <v>7912</v>
      </c>
      <c r="T3172" t="s">
        <v>9478</v>
      </c>
      <c r="U3172" t="s">
        <v>9478</v>
      </c>
      <c r="V3172" t="s">
        <v>9478</v>
      </c>
      <c r="W3172">
        <v>4</v>
      </c>
      <c r="X3172" t="s">
        <v>12650</v>
      </c>
      <c r="Y3172">
        <v>0.58455207155601374</v>
      </c>
      <c r="Z3172" t="str">
        <f>HYPERLINK("Melting_Curves/meltCurve_sp_Q9BV44_THUM3_HUMAN_.pdf", "Melting_Curves/meltCurve_sp_Q9BV44_THUM3_HUMAN_.pdf")</f>
        <v>Melting_Curves/meltCurve_sp_Q9BV44_THUM3_HUMAN_.pdf</v>
      </c>
      <c r="AA3172" t="s">
        <v>17339</v>
      </c>
      <c r="AB3172" t="s">
        <v>22006</v>
      </c>
    </row>
    <row r="3173" spans="1:28" x14ac:dyDescent="0.25">
      <c r="A3173" t="s">
        <v>3177</v>
      </c>
      <c r="B3173">
        <v>0.99904790336628502</v>
      </c>
      <c r="C3173">
        <v>0.96802778079958596</v>
      </c>
      <c r="D3173">
        <v>0.95239681573854995</v>
      </c>
      <c r="E3173">
        <v>0.84949564967712898</v>
      </c>
      <c r="F3173">
        <v>0.61829796108595203</v>
      </c>
      <c r="G3173">
        <v>0.26187269088854898</v>
      </c>
      <c r="H3173">
        <v>0.118540026461725</v>
      </c>
      <c r="I3173">
        <v>8.0642370230289806E-2</v>
      </c>
      <c r="J3173">
        <v>6.7773226645636495E-2</v>
      </c>
      <c r="K3173">
        <v>6.0279364973739202E-2</v>
      </c>
      <c r="L3173">
        <v>1170.0546688791301</v>
      </c>
      <c r="M3173">
        <v>21.7265501107033</v>
      </c>
      <c r="N3173">
        <v>54.124294764372898</v>
      </c>
      <c r="O3173">
        <v>53.403676393836299</v>
      </c>
      <c r="P3173">
        <v>-9.6476464237224099E-2</v>
      </c>
      <c r="Q3173">
        <v>5.1468925705074497E-2</v>
      </c>
      <c r="R3173">
        <v>0.99895532436777701</v>
      </c>
      <c r="S3173" t="s">
        <v>7913</v>
      </c>
      <c r="T3173" t="s">
        <v>9478</v>
      </c>
      <c r="U3173" t="s">
        <v>9478</v>
      </c>
      <c r="V3173" t="s">
        <v>9478</v>
      </c>
      <c r="W3173">
        <v>11</v>
      </c>
      <c r="X3173" t="s">
        <v>12651</v>
      </c>
      <c r="Y3173">
        <v>0.50074308479165708</v>
      </c>
      <c r="Z3173" t="str">
        <f>HYPERLINK("Melting_Curves/meltCurve_sp_Q9BV57_MTND_HUMAN_.pdf", "Melting_Curves/meltCurve_sp_Q9BV57_MTND_HUMAN_.pdf")</f>
        <v>Melting_Curves/meltCurve_sp_Q9BV57_MTND_HUMAN_.pdf</v>
      </c>
      <c r="AA3173" t="s">
        <v>17340</v>
      </c>
      <c r="AB3173" t="s">
        <v>22007</v>
      </c>
    </row>
    <row r="3174" spans="1:28" x14ac:dyDescent="0.25">
      <c r="A3174" t="s">
        <v>3178</v>
      </c>
      <c r="B3174">
        <v>0.99904790336628502</v>
      </c>
      <c r="C3174">
        <v>0.88867350356582697</v>
      </c>
      <c r="D3174">
        <v>0.80090666957867296</v>
      </c>
      <c r="E3174">
        <v>0.48642061857013202</v>
      </c>
      <c r="F3174">
        <v>0.1596773687212</v>
      </c>
      <c r="G3174">
        <v>8.3547647697222005E-2</v>
      </c>
      <c r="H3174">
        <v>4.3450612222788697E-2</v>
      </c>
      <c r="I3174">
        <v>3.3718457355566299E-2</v>
      </c>
      <c r="J3174">
        <v>2.4830461438079598E-2</v>
      </c>
      <c r="K3174">
        <v>2.3064277608442301E-2</v>
      </c>
      <c r="L3174">
        <v>952.00081948432603</v>
      </c>
      <c r="M3174">
        <v>19.3230926823692</v>
      </c>
      <c r="N3174">
        <v>49.347316064429798</v>
      </c>
      <c r="O3174">
        <v>48.7489775348349</v>
      </c>
      <c r="P3174">
        <v>-9.7574289187217306E-2</v>
      </c>
      <c r="Q3174">
        <v>1.5381795889289999E-2</v>
      </c>
      <c r="R3174">
        <v>0.993691380828296</v>
      </c>
      <c r="S3174" t="s">
        <v>7914</v>
      </c>
      <c r="T3174" t="s">
        <v>9478</v>
      </c>
      <c r="U3174" t="s">
        <v>9478</v>
      </c>
      <c r="V3174" t="s">
        <v>9478</v>
      </c>
      <c r="W3174">
        <v>10</v>
      </c>
      <c r="X3174" t="s">
        <v>12652</v>
      </c>
      <c r="Y3174">
        <v>0.33429235281178848</v>
      </c>
      <c r="Z3174" t="str">
        <f>HYPERLINK("Melting_Curves/meltCurve_sp_Q9BV79_MECR_HUMAN_.pdf", "Melting_Curves/meltCurve_sp_Q9BV79_MECR_HUMAN_.pdf")</f>
        <v>Melting_Curves/meltCurve_sp_Q9BV79_MECR_HUMAN_.pdf</v>
      </c>
      <c r="AA3174" t="s">
        <v>17341</v>
      </c>
      <c r="AB3174" t="s">
        <v>22008</v>
      </c>
    </row>
    <row r="3175" spans="1:28" x14ac:dyDescent="0.25">
      <c r="A3175" t="s">
        <v>3179</v>
      </c>
      <c r="B3175">
        <v>0.99904790336628502</v>
      </c>
      <c r="C3175">
        <v>0.97502877078596295</v>
      </c>
      <c r="D3175">
        <v>0.54793959591853802</v>
      </c>
      <c r="E3175">
        <v>0.20332193272156901</v>
      </c>
      <c r="F3175">
        <v>0.108052181480046</v>
      </c>
      <c r="G3175">
        <v>6.36425157760558E-2</v>
      </c>
      <c r="H3175">
        <v>3.59853637449047E-2</v>
      </c>
      <c r="I3175">
        <v>2.9866176429919698E-2</v>
      </c>
      <c r="J3175">
        <v>2.51954487231929E-2</v>
      </c>
      <c r="K3175">
        <v>2.51029692523334E-2</v>
      </c>
      <c r="L3175">
        <v>1237.34077072485</v>
      </c>
      <c r="M3175">
        <v>26.6016349334563</v>
      </c>
      <c r="N3175">
        <v>46.670179273747998</v>
      </c>
      <c r="O3175">
        <v>46.253244003480603</v>
      </c>
      <c r="P3175">
        <v>-0.13764999864081401</v>
      </c>
      <c r="Q3175">
        <v>4.2661591554180499E-2</v>
      </c>
      <c r="R3175">
        <v>0.99322546063546902</v>
      </c>
      <c r="S3175" t="s">
        <v>7915</v>
      </c>
      <c r="T3175" t="s">
        <v>9478</v>
      </c>
      <c r="U3175" t="s">
        <v>9478</v>
      </c>
      <c r="V3175" t="s">
        <v>9478</v>
      </c>
      <c r="W3175">
        <v>4</v>
      </c>
      <c r="X3175" t="s">
        <v>12653</v>
      </c>
      <c r="Y3175">
        <v>0.25805202946383071</v>
      </c>
      <c r="Z3175" t="str">
        <f>HYPERLINK("Melting_Curves/meltCurve_sp_Q9BV86_NTM1A_HUMAN_.pdf", "Melting_Curves/meltCurve_sp_Q9BV86_NTM1A_HUMAN_.pdf")</f>
        <v>Melting_Curves/meltCurve_sp_Q9BV86_NTM1A_HUMAN_.pdf</v>
      </c>
      <c r="AA3175" t="s">
        <v>17342</v>
      </c>
      <c r="AB3175" t="s">
        <v>22009</v>
      </c>
    </row>
    <row r="3176" spans="1:28" x14ac:dyDescent="0.25">
      <c r="A3176" t="s">
        <v>3180</v>
      </c>
      <c r="B3176">
        <v>0.99904790336628502</v>
      </c>
      <c r="C3176">
        <v>0.97555492484721895</v>
      </c>
      <c r="D3176">
        <v>0.99166168941250499</v>
      </c>
      <c r="E3176">
        <v>0.97383388942090798</v>
      </c>
      <c r="F3176">
        <v>0.93280955528530896</v>
      </c>
      <c r="G3176">
        <v>0.68679145611041104</v>
      </c>
      <c r="H3176">
        <v>0.40511061230996398</v>
      </c>
      <c r="I3176">
        <v>0.25512962657119198</v>
      </c>
      <c r="J3176">
        <v>0.20892166155394701</v>
      </c>
      <c r="K3176">
        <v>0.163068973161486</v>
      </c>
      <c r="L3176">
        <v>1268.28276849652</v>
      </c>
      <c r="M3176">
        <v>21.661246460644801</v>
      </c>
      <c r="N3176">
        <v>59.498659057825797</v>
      </c>
      <c r="O3176">
        <v>58.058585896256098</v>
      </c>
      <c r="P3176">
        <v>-7.9664714462414798E-2</v>
      </c>
      <c r="Q3176">
        <v>0.145919377107468</v>
      </c>
      <c r="R3176">
        <v>0.99901799729866103</v>
      </c>
      <c r="S3176" t="s">
        <v>7916</v>
      </c>
      <c r="T3176" t="s">
        <v>9478</v>
      </c>
      <c r="U3176" t="s">
        <v>9478</v>
      </c>
      <c r="V3176" t="s">
        <v>9478</v>
      </c>
      <c r="W3176">
        <v>12</v>
      </c>
      <c r="X3176" t="s">
        <v>12654</v>
      </c>
      <c r="Y3176">
        <v>0.6825457121745887</v>
      </c>
      <c r="Z3176" t="str">
        <f>HYPERLINK("Melting_Curves/meltCurve_sp_Q9BVG4_PBDC1_HUMAN_.pdf", "Melting_Curves/meltCurve_sp_Q9BVG4_PBDC1_HUMAN_.pdf")</f>
        <v>Melting_Curves/meltCurve_sp_Q9BVG4_PBDC1_HUMAN_.pdf</v>
      </c>
      <c r="AA3176" t="s">
        <v>17343</v>
      </c>
      <c r="AB3176" t="s">
        <v>22010</v>
      </c>
    </row>
    <row r="3177" spans="1:28" x14ac:dyDescent="0.25">
      <c r="A3177" t="s">
        <v>3181</v>
      </c>
      <c r="B3177">
        <v>0.99904790336628502</v>
      </c>
      <c r="C3177">
        <v>0.97252055495807799</v>
      </c>
      <c r="D3177">
        <v>0.94835890438941295</v>
      </c>
      <c r="E3177">
        <v>0.99831552852264005</v>
      </c>
      <c r="F3177">
        <v>0.95411064363661402</v>
      </c>
      <c r="G3177">
        <v>0.70110877479570799</v>
      </c>
      <c r="H3177">
        <v>0.59768525604303402</v>
      </c>
      <c r="I3177">
        <v>0.43015969702901302</v>
      </c>
      <c r="J3177">
        <v>0.44513090829595198</v>
      </c>
      <c r="K3177">
        <v>0.496896073573316</v>
      </c>
      <c r="L3177">
        <v>1498.28378379525</v>
      </c>
      <c r="M3177">
        <v>26.284795442972499</v>
      </c>
      <c r="N3177">
        <v>62.855293052204097</v>
      </c>
      <c r="O3177">
        <v>56.675048744065201</v>
      </c>
      <c r="P3177">
        <v>-6.2987205005097205E-2</v>
      </c>
      <c r="Q3177">
        <v>0.45675611975102598</v>
      </c>
      <c r="R3177">
        <v>0.97603974081421996</v>
      </c>
      <c r="S3177" t="s">
        <v>7917</v>
      </c>
      <c r="T3177" t="s">
        <v>9478</v>
      </c>
      <c r="U3177" t="s">
        <v>9478</v>
      </c>
      <c r="V3177" t="s">
        <v>9478</v>
      </c>
      <c r="W3177">
        <v>6</v>
      </c>
      <c r="X3177" t="s">
        <v>12655</v>
      </c>
      <c r="Y3177">
        <v>0.76915044348191108</v>
      </c>
      <c r="Z3177" t="str">
        <f>HYPERLINK("Melting_Curves/meltCurve_sp_Q9BVJ6_3_UT14A_HUMAN_.pdf", "Melting_Curves/meltCurve_sp_Q9BVJ6_3_UT14A_HUMAN_.pdf")</f>
        <v>Melting_Curves/meltCurve_sp_Q9BVJ6_3_UT14A_HUMAN_.pdf</v>
      </c>
      <c r="AA3177" t="s">
        <v>17344</v>
      </c>
      <c r="AB3177" t="s">
        <v>22011</v>
      </c>
    </row>
    <row r="3178" spans="1:28" x14ac:dyDescent="0.25">
      <c r="A3178" t="s">
        <v>3182</v>
      </c>
      <c r="B3178">
        <v>0.99904790336628502</v>
      </c>
      <c r="C3178">
        <v>0.97036121353707505</v>
      </c>
      <c r="D3178">
        <v>0.90727664833715904</v>
      </c>
      <c r="E3178">
        <v>0.91104771972774801</v>
      </c>
      <c r="F3178">
        <v>0.85276561117024896</v>
      </c>
      <c r="G3178">
        <v>0.53251019102536101</v>
      </c>
      <c r="H3178">
        <v>0.176997962056191</v>
      </c>
      <c r="I3178">
        <v>5.4094469422527602E-2</v>
      </c>
      <c r="J3178">
        <v>5.5337129207137299E-2</v>
      </c>
      <c r="K3178">
        <v>3.0582378795464701E-2</v>
      </c>
      <c r="L3178">
        <v>1260.7531016119401</v>
      </c>
      <c r="M3178">
        <v>22.0823473185017</v>
      </c>
      <c r="N3178">
        <v>57.093256591435498</v>
      </c>
      <c r="O3178">
        <v>56.631232205875499</v>
      </c>
      <c r="P3178">
        <v>-9.7485231557348007E-2</v>
      </c>
      <c r="Q3178">
        <v>0</v>
      </c>
      <c r="R3178">
        <v>0.99190066079915495</v>
      </c>
      <c r="S3178" t="s">
        <v>7918</v>
      </c>
      <c r="T3178" t="s">
        <v>9478</v>
      </c>
      <c r="U3178" t="s">
        <v>9478</v>
      </c>
      <c r="V3178" t="s">
        <v>9478</v>
      </c>
      <c r="W3178">
        <v>13</v>
      </c>
      <c r="X3178" t="s">
        <v>12656</v>
      </c>
      <c r="Y3178">
        <v>0.58052014460611856</v>
      </c>
      <c r="Z3178" t="str">
        <f>HYPERLINK("Melting_Curves/meltCurve_sp_Q9BVJ7_DUS23_HUMAN_.pdf", "Melting_Curves/meltCurve_sp_Q9BVJ7_DUS23_HUMAN_.pdf")</f>
        <v>Melting_Curves/meltCurve_sp_Q9BVJ7_DUS23_HUMAN_.pdf</v>
      </c>
      <c r="AA3178" t="s">
        <v>17345</v>
      </c>
      <c r="AB3178" t="s">
        <v>22012</v>
      </c>
    </row>
    <row r="3179" spans="1:28" x14ac:dyDescent="0.25">
      <c r="A3179" t="s">
        <v>3183</v>
      </c>
      <c r="B3179">
        <v>0.99904790336628502</v>
      </c>
      <c r="C3179">
        <v>0.795098084319942</v>
      </c>
      <c r="D3179">
        <v>0.43079318836626201</v>
      </c>
      <c r="E3179">
        <v>0.180509694538492</v>
      </c>
      <c r="F3179">
        <v>8.8353179156073006E-2</v>
      </c>
      <c r="G3179">
        <v>5.3440711054446699E-2</v>
      </c>
      <c r="H3179">
        <v>3.2154902075593197E-2</v>
      </c>
      <c r="I3179">
        <v>2.43151511529489E-2</v>
      </c>
      <c r="J3179">
        <v>2.050539324661E-2</v>
      </c>
      <c r="K3179">
        <v>2.0164798891478701E-2</v>
      </c>
      <c r="L3179">
        <v>987.64707126890301</v>
      </c>
      <c r="M3179">
        <v>21.718086747962499</v>
      </c>
      <c r="N3179">
        <v>45.614157839563902</v>
      </c>
      <c r="O3179">
        <v>45.095499971666896</v>
      </c>
      <c r="P3179">
        <v>-0.116565410348851</v>
      </c>
      <c r="Q3179">
        <v>3.18757582862675E-2</v>
      </c>
      <c r="R3179">
        <v>0.99625186415727396</v>
      </c>
      <c r="S3179" t="s">
        <v>7919</v>
      </c>
      <c r="T3179" t="s">
        <v>9478</v>
      </c>
      <c r="U3179" t="s">
        <v>9478</v>
      </c>
      <c r="V3179" t="s">
        <v>9478</v>
      </c>
      <c r="W3179">
        <v>19</v>
      </c>
      <c r="X3179" t="s">
        <v>12657</v>
      </c>
      <c r="Y3179">
        <v>0.22146466413201621</v>
      </c>
      <c r="Z3179" t="str">
        <f>HYPERLINK("Melting_Curves/meltCurve_sp_Q9BVL4_SELO_HUMAN_.pdf", "Melting_Curves/meltCurve_sp_Q9BVL4_SELO_HUMAN_.pdf")</f>
        <v>Melting_Curves/meltCurve_sp_Q9BVL4_SELO_HUMAN_.pdf</v>
      </c>
      <c r="AA3179" t="s">
        <v>17346</v>
      </c>
      <c r="AB3179" t="s">
        <v>22013</v>
      </c>
    </row>
    <row r="3180" spans="1:28" x14ac:dyDescent="0.25">
      <c r="A3180" t="s">
        <v>3184</v>
      </c>
      <c r="B3180">
        <v>0.99904790336628502</v>
      </c>
      <c r="C3180">
        <v>0.96726001413143703</v>
      </c>
      <c r="D3180">
        <v>0.92805657737695701</v>
      </c>
      <c r="E3180">
        <v>0.84965709857191096</v>
      </c>
      <c r="F3180">
        <v>0.54012129064492298</v>
      </c>
      <c r="G3180">
        <v>0.152587806937862</v>
      </c>
      <c r="H3180">
        <v>7.7649805520818696E-2</v>
      </c>
      <c r="I3180">
        <v>4.9494356553962698E-2</v>
      </c>
      <c r="J3180">
        <v>3.6504998148195203E-2</v>
      </c>
      <c r="K3180">
        <v>3.4186903466392103E-2</v>
      </c>
      <c r="L3180">
        <v>1403.09328659632</v>
      </c>
      <c r="M3180">
        <v>26.413930900288602</v>
      </c>
      <c r="N3180">
        <v>53.263494391507201</v>
      </c>
      <c r="O3180">
        <v>52.817778756515203</v>
      </c>
      <c r="P3180">
        <v>-0.120715284647263</v>
      </c>
      <c r="Q3180">
        <v>3.4472481116173903E-2</v>
      </c>
      <c r="R3180">
        <v>0.99720242842955997</v>
      </c>
      <c r="S3180" t="s">
        <v>7920</v>
      </c>
      <c r="T3180" t="s">
        <v>9478</v>
      </c>
      <c r="U3180" t="s">
        <v>9478</v>
      </c>
      <c r="V3180" t="s">
        <v>9478</v>
      </c>
      <c r="W3180">
        <v>3</v>
      </c>
      <c r="X3180" t="s">
        <v>12658</v>
      </c>
      <c r="Y3180">
        <v>0.46473158121773372</v>
      </c>
      <c r="Z3180" t="str">
        <f>HYPERLINK("Melting_Curves/meltCurve_sp_Q9BVM4_GGACT_HUMAN_.pdf", "Melting_Curves/meltCurve_sp_Q9BVM4_GGACT_HUMAN_.pdf")</f>
        <v>Melting_Curves/meltCurve_sp_Q9BVM4_GGACT_HUMAN_.pdf</v>
      </c>
      <c r="AA3180" t="s">
        <v>17347</v>
      </c>
      <c r="AB3180" t="s">
        <v>22014</v>
      </c>
    </row>
    <row r="3181" spans="1:28" x14ac:dyDescent="0.25">
      <c r="A3181" t="s">
        <v>3185</v>
      </c>
      <c r="B3181">
        <v>0.99904790336628502</v>
      </c>
      <c r="C3181">
        <v>1.0476474757413199</v>
      </c>
      <c r="D3181">
        <v>1.06725074322675</v>
      </c>
      <c r="E3181">
        <v>0.88138938294985103</v>
      </c>
      <c r="F3181">
        <v>0.738809674766715</v>
      </c>
      <c r="G3181">
        <v>0.413451133457232</v>
      </c>
      <c r="H3181">
        <v>7.1628717299606001E-2</v>
      </c>
      <c r="I3181">
        <v>4.1050362998824301E-2</v>
      </c>
      <c r="J3181">
        <v>3.1767869463512503E-2</v>
      </c>
      <c r="K3181">
        <v>3.4011402164108098E-2</v>
      </c>
      <c r="L3181">
        <v>1229.91485137376</v>
      </c>
      <c r="M3181">
        <v>22.109654512226701</v>
      </c>
      <c r="N3181">
        <v>55.627953226819102</v>
      </c>
      <c r="O3181">
        <v>55.178884467529699</v>
      </c>
      <c r="P3181">
        <v>-0.100174824637806</v>
      </c>
      <c r="Q3181">
        <v>0</v>
      </c>
      <c r="R3181">
        <v>0.99174777630607402</v>
      </c>
      <c r="S3181" t="s">
        <v>7921</v>
      </c>
      <c r="T3181" t="s">
        <v>9478</v>
      </c>
      <c r="U3181" t="s">
        <v>9478</v>
      </c>
      <c r="V3181" t="s">
        <v>9478</v>
      </c>
      <c r="W3181">
        <v>7</v>
      </c>
      <c r="X3181" t="s">
        <v>12659</v>
      </c>
      <c r="Y3181">
        <v>0.53218839935611728</v>
      </c>
      <c r="Z3181" t="str">
        <f>HYPERLINK("Melting_Curves/meltCurve_sp_Q9BVS5_TR61B_HUMAN_.pdf", "Melting_Curves/meltCurve_sp_Q9BVS5_TR61B_HUMAN_.pdf")</f>
        <v>Melting_Curves/meltCurve_sp_Q9BVS5_TR61B_HUMAN_.pdf</v>
      </c>
      <c r="AA3181" t="s">
        <v>17348</v>
      </c>
      <c r="AB3181" t="s">
        <v>22015</v>
      </c>
    </row>
    <row r="3182" spans="1:28" x14ac:dyDescent="0.25">
      <c r="A3182" t="s">
        <v>3186</v>
      </c>
      <c r="B3182">
        <v>0.99904790336628502</v>
      </c>
      <c r="C3182">
        <v>1.07097943588588</v>
      </c>
      <c r="D3182">
        <v>1.0935722044348899</v>
      </c>
      <c r="E3182">
        <v>0.92908988475049004</v>
      </c>
      <c r="F3182">
        <v>0.80931602165645999</v>
      </c>
      <c r="G3182">
        <v>0.28330464144669498</v>
      </c>
      <c r="H3182">
        <v>0.11426954297061501</v>
      </c>
      <c r="I3182">
        <v>6.17931506511879E-2</v>
      </c>
      <c r="J3182">
        <v>5.7645579643905098E-2</v>
      </c>
      <c r="K3182">
        <v>4.2534809568639302E-2</v>
      </c>
      <c r="L3182">
        <v>1778.9251806884799</v>
      </c>
      <c r="M3182">
        <v>32.281552494879598</v>
      </c>
      <c r="N3182">
        <v>55.300591751052103</v>
      </c>
      <c r="O3182">
        <v>54.896377986724403</v>
      </c>
      <c r="P3182">
        <v>-0.139140374768009</v>
      </c>
      <c r="Q3182">
        <v>5.3544228843391203E-2</v>
      </c>
      <c r="R3182">
        <v>0.99170416149259799</v>
      </c>
      <c r="S3182" t="s">
        <v>7922</v>
      </c>
      <c r="T3182" t="s">
        <v>9478</v>
      </c>
      <c r="U3182" t="s">
        <v>9478</v>
      </c>
      <c r="V3182" t="s">
        <v>9478</v>
      </c>
      <c r="W3182">
        <v>5</v>
      </c>
      <c r="X3182" t="s">
        <v>12660</v>
      </c>
      <c r="Y3182">
        <v>0.5355990348161096</v>
      </c>
      <c r="Z3182" t="str">
        <f>HYPERLINK("Melting_Curves/meltCurve_sp_Q9BW27_NUP85_HUMAN_.pdf", "Melting_Curves/meltCurve_sp_Q9BW27_NUP85_HUMAN_.pdf")</f>
        <v>Melting_Curves/meltCurve_sp_Q9BW27_NUP85_HUMAN_.pdf</v>
      </c>
      <c r="AA3182" t="s">
        <v>17349</v>
      </c>
      <c r="AB3182" t="s">
        <v>22016</v>
      </c>
    </row>
    <row r="3183" spans="1:28" x14ac:dyDescent="0.25">
      <c r="A3183" t="s">
        <v>3187</v>
      </c>
      <c r="B3183">
        <v>0.99904790336628502</v>
      </c>
      <c r="C3183">
        <v>1.0267819592268399</v>
      </c>
      <c r="D3183">
        <v>1.1066163318392299</v>
      </c>
      <c r="E3183">
        <v>0.96086087750303795</v>
      </c>
      <c r="F3183">
        <v>0.76576239153115699</v>
      </c>
      <c r="G3183">
        <v>0.50494061400021995</v>
      </c>
      <c r="H3183">
        <v>0.34079383217949399</v>
      </c>
      <c r="I3183">
        <v>0.207992344439133</v>
      </c>
      <c r="J3183">
        <v>0.15146946836005801</v>
      </c>
      <c r="K3183">
        <v>0.14330987113787</v>
      </c>
      <c r="L3183">
        <v>1065.3781230858001</v>
      </c>
      <c r="M3183">
        <v>18.8874605770174</v>
      </c>
      <c r="N3183">
        <v>57.292861391285797</v>
      </c>
      <c r="O3183">
        <v>55.785732726373702</v>
      </c>
      <c r="P3183">
        <v>-7.3923710744573698E-2</v>
      </c>
      <c r="Q3183">
        <v>0.12667558913206001</v>
      </c>
      <c r="R3183">
        <v>0.98586022518925998</v>
      </c>
      <c r="S3183" t="s">
        <v>7923</v>
      </c>
      <c r="T3183" t="s">
        <v>9478</v>
      </c>
      <c r="U3183" t="s">
        <v>9478</v>
      </c>
      <c r="V3183" t="s">
        <v>9478</v>
      </c>
      <c r="W3183">
        <v>4</v>
      </c>
      <c r="X3183" t="s">
        <v>12661</v>
      </c>
      <c r="Y3183">
        <v>0.61614875299564631</v>
      </c>
      <c r="Z3183" t="str">
        <f>HYPERLINK("Melting_Curves/meltCurve_sp_Q9BW61_DDA1_HUMAN_.pdf", "Melting_Curves/meltCurve_sp_Q9BW61_DDA1_HUMAN_.pdf")</f>
        <v>Melting_Curves/meltCurve_sp_Q9BW61_DDA1_HUMAN_.pdf</v>
      </c>
      <c r="AA3183" t="s">
        <v>17350</v>
      </c>
      <c r="AB3183" t="s">
        <v>22017</v>
      </c>
    </row>
    <row r="3184" spans="1:28" x14ac:dyDescent="0.25">
      <c r="A3184" t="s">
        <v>3188</v>
      </c>
      <c r="B3184">
        <v>0.99904790336628502</v>
      </c>
      <c r="C3184">
        <v>1.0393568901760899</v>
      </c>
      <c r="D3184">
        <v>1.01915197994632</v>
      </c>
      <c r="E3184">
        <v>0.94431957108226094</v>
      </c>
      <c r="F3184">
        <v>0.95991636834354699</v>
      </c>
      <c r="G3184">
        <v>0.73935788503622102</v>
      </c>
      <c r="H3184">
        <v>0.69275431966210399</v>
      </c>
      <c r="I3184">
        <v>0.62142396098597896</v>
      </c>
      <c r="J3184">
        <v>0.75014690443576504</v>
      </c>
      <c r="K3184">
        <v>0.72711791782064195</v>
      </c>
      <c r="L3184">
        <v>2659.7254252453199</v>
      </c>
      <c r="M3184">
        <v>48.452191228383697</v>
      </c>
      <c r="O3184">
        <v>54.800546841408099</v>
      </c>
      <c r="P3184">
        <v>-6.6957358363433403E-2</v>
      </c>
      <c r="Q3184">
        <v>0.69707903266698101</v>
      </c>
      <c r="R3184">
        <v>0.93560383693865401</v>
      </c>
      <c r="S3184" t="s">
        <v>7924</v>
      </c>
      <c r="T3184" t="s">
        <v>9478</v>
      </c>
      <c r="U3184" t="s">
        <v>9478</v>
      </c>
      <c r="V3184" t="s">
        <v>9478</v>
      </c>
      <c r="W3184">
        <v>6</v>
      </c>
      <c r="X3184" t="s">
        <v>12662</v>
      </c>
      <c r="Y3184">
        <v>0.84824810823793062</v>
      </c>
      <c r="Z3184" t="str">
        <f>HYPERLINK("Melting_Curves/meltCurve_sp_Q9BW71_HIRP3_HUMAN_.pdf", "Melting_Curves/meltCurve_sp_Q9BW71_HIRP3_HUMAN_.pdf")</f>
        <v>Melting_Curves/meltCurve_sp_Q9BW71_HIRP3_HUMAN_.pdf</v>
      </c>
      <c r="AA3184" t="s">
        <v>17351</v>
      </c>
      <c r="AB3184" t="s">
        <v>22018</v>
      </c>
    </row>
    <row r="3185" spans="1:28" x14ac:dyDescent="0.25">
      <c r="A3185" t="s">
        <v>3189</v>
      </c>
      <c r="B3185">
        <v>0.99904790336628502</v>
      </c>
      <c r="C3185">
        <v>0.95539891046727998</v>
      </c>
      <c r="D3185">
        <v>0.76028215005569499</v>
      </c>
      <c r="E3185">
        <v>0.48696151102674401</v>
      </c>
      <c r="F3185">
        <v>0.20672867761375999</v>
      </c>
      <c r="G3185">
        <v>8.1748441662031004E-2</v>
      </c>
      <c r="H3185">
        <v>4.1856528099259903E-2</v>
      </c>
      <c r="I3185">
        <v>2.9923547253539101E-2</v>
      </c>
      <c r="J3185">
        <v>2.0730798194458399E-2</v>
      </c>
      <c r="K3185">
        <v>1.91934297064922E-2</v>
      </c>
      <c r="L3185">
        <v>897.59416561849605</v>
      </c>
      <c r="M3185">
        <v>18.178930418996</v>
      </c>
      <c r="N3185">
        <v>49.4320804064632</v>
      </c>
      <c r="O3185">
        <v>48.7896703720508</v>
      </c>
      <c r="P3185">
        <v>-9.2195112112461106E-2</v>
      </c>
      <c r="Q3185">
        <v>1.02925571995843E-2</v>
      </c>
      <c r="R3185">
        <v>0.99751464503935605</v>
      </c>
      <c r="S3185" t="s">
        <v>7925</v>
      </c>
      <c r="T3185" t="s">
        <v>9478</v>
      </c>
      <c r="U3185" t="s">
        <v>9478</v>
      </c>
      <c r="V3185" t="s">
        <v>9478</v>
      </c>
      <c r="W3185">
        <v>5</v>
      </c>
      <c r="X3185" t="s">
        <v>12663</v>
      </c>
      <c r="Y3185">
        <v>0.33629703517470311</v>
      </c>
      <c r="Z3185" t="str">
        <f>HYPERLINK("Melting_Curves/meltCurve_sp_Q9BW83_2_IFT27_HUMAN_.pdf", "Melting_Curves/meltCurve_sp_Q9BW83_2_IFT27_HUMAN_.pdf")</f>
        <v>Melting_Curves/meltCurve_sp_Q9BW83_2_IFT27_HUMAN_.pdf</v>
      </c>
      <c r="AA3185" t="s">
        <v>17352</v>
      </c>
      <c r="AB3185" t="s">
        <v>22019</v>
      </c>
    </row>
    <row r="3186" spans="1:28" x14ac:dyDescent="0.25">
      <c r="A3186" t="s">
        <v>3190</v>
      </c>
      <c r="B3186">
        <v>0.99904790336628502</v>
      </c>
      <c r="C3186">
        <v>1.0983093169140301</v>
      </c>
      <c r="D3186">
        <v>1.01756694924879</v>
      </c>
      <c r="E3186">
        <v>0.93686574440391102</v>
      </c>
      <c r="F3186">
        <v>0.84043674670997803</v>
      </c>
      <c r="G3186">
        <v>0.63008389109963803</v>
      </c>
      <c r="H3186">
        <v>0.50038489106362705</v>
      </c>
      <c r="I3186">
        <v>0.45770924896161003</v>
      </c>
      <c r="J3186">
        <v>0.45639584629199598</v>
      </c>
      <c r="K3186">
        <v>0.37311730506757401</v>
      </c>
      <c r="L3186">
        <v>1080.1421279993799</v>
      </c>
      <c r="M3186">
        <v>19.372628294063599</v>
      </c>
      <c r="N3186">
        <v>60.865199244565197</v>
      </c>
      <c r="O3186">
        <v>55.172183176059796</v>
      </c>
      <c r="P3186">
        <v>-5.25258941536208E-2</v>
      </c>
      <c r="Q3186">
        <v>0.40165862916640999</v>
      </c>
      <c r="R3186">
        <v>0.980097765763979</v>
      </c>
      <c r="S3186" t="s">
        <v>7926</v>
      </c>
      <c r="T3186" t="s">
        <v>9478</v>
      </c>
      <c r="U3186" t="s">
        <v>9478</v>
      </c>
      <c r="V3186" t="s">
        <v>9478</v>
      </c>
      <c r="W3186">
        <v>8</v>
      </c>
      <c r="X3186" t="s">
        <v>12664</v>
      </c>
      <c r="Y3186">
        <v>0.72403791593644784</v>
      </c>
      <c r="Z3186" t="str">
        <f>HYPERLINK("Melting_Curves/meltCurve_sp_Q9BW85_CCD94_HUMAN_.pdf", "Melting_Curves/meltCurve_sp_Q9BW85_CCD94_HUMAN_.pdf")</f>
        <v>Melting_Curves/meltCurve_sp_Q9BW85_CCD94_HUMAN_.pdf</v>
      </c>
      <c r="AA3186" t="s">
        <v>17353</v>
      </c>
      <c r="AB3186" t="s">
        <v>22020</v>
      </c>
    </row>
    <row r="3187" spans="1:28" x14ac:dyDescent="0.25">
      <c r="A3187" t="s">
        <v>3191</v>
      </c>
      <c r="B3187">
        <v>0.99904790336628502</v>
      </c>
      <c r="C3187">
        <v>0.96698619101096495</v>
      </c>
      <c r="D3187">
        <v>0.99193566707223402</v>
      </c>
      <c r="E3187">
        <v>1.02115854795562</v>
      </c>
      <c r="F3187">
        <v>0.92755411194385795</v>
      </c>
      <c r="G3187">
        <v>0.73106508991208996</v>
      </c>
      <c r="H3187">
        <v>0.46317714322144299</v>
      </c>
      <c r="I3187">
        <v>0.37549262733202099</v>
      </c>
      <c r="J3187">
        <v>0.36604277014873099</v>
      </c>
      <c r="K3187">
        <v>0.33572378280549697</v>
      </c>
      <c r="L3187">
        <v>1539.9042521739</v>
      </c>
      <c r="M3187">
        <v>26.665387528952301</v>
      </c>
      <c r="N3187">
        <v>60.272514175212798</v>
      </c>
      <c r="O3187">
        <v>57.4273422661851</v>
      </c>
      <c r="P3187">
        <v>-7.7049296570993395E-2</v>
      </c>
      <c r="Q3187">
        <v>0.33626484773682103</v>
      </c>
      <c r="R3187">
        <v>0.99661500515531198</v>
      </c>
      <c r="S3187" t="s">
        <v>7927</v>
      </c>
      <c r="T3187" t="s">
        <v>9478</v>
      </c>
      <c r="U3187" t="s">
        <v>9478</v>
      </c>
      <c r="V3187" t="s">
        <v>9478</v>
      </c>
      <c r="W3187">
        <v>14</v>
      </c>
      <c r="X3187" t="s">
        <v>12665</v>
      </c>
      <c r="Y3187">
        <v>0.73425969195953078</v>
      </c>
      <c r="Z3187" t="str">
        <f>HYPERLINK("Melting_Curves/meltCurve_sp_Q9BW91_2_NUDT9_HUMAN_.pdf", "Melting_Curves/meltCurve_sp_Q9BW91_2_NUDT9_HUMAN_.pdf")</f>
        <v>Melting_Curves/meltCurve_sp_Q9BW91_2_NUDT9_HUMAN_.pdf</v>
      </c>
      <c r="AA3187" t="s">
        <v>17354</v>
      </c>
      <c r="AB3187" t="s">
        <v>22021</v>
      </c>
    </row>
    <row r="3188" spans="1:28" x14ac:dyDescent="0.25">
      <c r="A3188" t="s">
        <v>3192</v>
      </c>
      <c r="B3188">
        <v>0.99904790336628502</v>
      </c>
      <c r="C3188">
        <v>0.93040334283535997</v>
      </c>
      <c r="D3188">
        <v>0.89526000662613403</v>
      </c>
      <c r="E3188">
        <v>0.53685981035050401</v>
      </c>
      <c r="F3188">
        <v>0.20760684953369901</v>
      </c>
      <c r="G3188">
        <v>0.105907599091524</v>
      </c>
      <c r="H3188">
        <v>5.9822161223671802E-2</v>
      </c>
      <c r="I3188">
        <v>3.8928627481898702E-2</v>
      </c>
      <c r="J3188">
        <v>2.9976297175455701E-2</v>
      </c>
      <c r="K3188">
        <v>2.3200186365469701E-2</v>
      </c>
      <c r="L3188">
        <v>1178.109925058</v>
      </c>
      <c r="M3188">
        <v>23.548679235187802</v>
      </c>
      <c r="N3188">
        <v>50.175778930958899</v>
      </c>
      <c r="O3188">
        <v>49.672117842656696</v>
      </c>
      <c r="P3188">
        <v>-0.114570085158908</v>
      </c>
      <c r="Q3188">
        <v>3.33484601413837E-2</v>
      </c>
      <c r="R3188">
        <v>0.997085706655648</v>
      </c>
      <c r="S3188" t="s">
        <v>7928</v>
      </c>
      <c r="T3188" t="s">
        <v>9478</v>
      </c>
      <c r="U3188" t="s">
        <v>9478</v>
      </c>
      <c r="V3188" t="s">
        <v>9478</v>
      </c>
      <c r="W3188">
        <v>22</v>
      </c>
      <c r="X3188" t="s">
        <v>12666</v>
      </c>
      <c r="Y3188">
        <v>0.36623350345061001</v>
      </c>
      <c r="Z3188" t="str">
        <f>HYPERLINK("Melting_Curves/meltCurve_sp_Q9BW92_SYTM_HUMAN_.pdf", "Melting_Curves/meltCurve_sp_Q9BW92_SYTM_HUMAN_.pdf")</f>
        <v>Melting_Curves/meltCurve_sp_Q9BW92_SYTM_HUMAN_.pdf</v>
      </c>
      <c r="AA3188" t="s">
        <v>17355</v>
      </c>
      <c r="AB3188" t="s">
        <v>22022</v>
      </c>
    </row>
    <row r="3189" spans="1:28" x14ac:dyDescent="0.25">
      <c r="A3189" t="s">
        <v>3193</v>
      </c>
      <c r="B3189">
        <v>0.99904790336628502</v>
      </c>
      <c r="C3189">
        <v>0.96663152340486402</v>
      </c>
      <c r="D3189">
        <v>1.06112968568036</v>
      </c>
      <c r="E3189">
        <v>1.0017269612042901</v>
      </c>
      <c r="F3189">
        <v>0.95475792811145499</v>
      </c>
      <c r="G3189">
        <v>0.702077835250009</v>
      </c>
      <c r="H3189">
        <v>0.59306702068610695</v>
      </c>
      <c r="I3189">
        <v>0.50033153151238396</v>
      </c>
      <c r="J3189">
        <v>0.13522150845686001</v>
      </c>
      <c r="K3189">
        <v>4.9242826204429303E-2</v>
      </c>
      <c r="L3189">
        <v>1036.61086744928</v>
      </c>
      <c r="M3189">
        <v>16.741063261511801</v>
      </c>
      <c r="N3189">
        <v>61.920253131875597</v>
      </c>
      <c r="O3189">
        <v>61.056970475586802</v>
      </c>
      <c r="P3189">
        <v>-6.85513960419077E-2</v>
      </c>
      <c r="Q3189">
        <v>0</v>
      </c>
      <c r="R3189">
        <v>0.96060377831245503</v>
      </c>
      <c r="S3189" t="s">
        <v>7929</v>
      </c>
      <c r="T3189" t="s">
        <v>9478</v>
      </c>
      <c r="U3189" t="s">
        <v>9478</v>
      </c>
      <c r="V3189" t="s">
        <v>9478</v>
      </c>
      <c r="W3189">
        <v>25</v>
      </c>
      <c r="X3189" t="s">
        <v>12667</v>
      </c>
      <c r="Y3189">
        <v>0.73110572022885278</v>
      </c>
      <c r="Z3189" t="str">
        <f>HYPERLINK("Melting_Curves/meltCurve_sp_Q9BWD1_THIC_HUMAN_.pdf", "Melting_Curves/meltCurve_sp_Q9BWD1_THIC_HUMAN_.pdf")</f>
        <v>Melting_Curves/meltCurve_sp_Q9BWD1_THIC_HUMAN_.pdf</v>
      </c>
      <c r="AA3189" t="s">
        <v>17356</v>
      </c>
      <c r="AB3189" t="s">
        <v>22023</v>
      </c>
    </row>
    <row r="3190" spans="1:28" x14ac:dyDescent="0.25">
      <c r="A3190" t="s">
        <v>3194</v>
      </c>
      <c r="B3190">
        <v>0.99904790336628502</v>
      </c>
      <c r="C3190">
        <v>1.1948697956103</v>
      </c>
      <c r="D3190">
        <v>1.1103978214967101</v>
      </c>
      <c r="E3190">
        <v>1.12794868473083</v>
      </c>
      <c r="F3190">
        <v>1.1776113667172901</v>
      </c>
      <c r="G3190">
        <v>1.1484050148226901</v>
      </c>
      <c r="H3190">
        <v>0.79231922156754997</v>
      </c>
      <c r="I3190">
        <v>0.71667023939559704</v>
      </c>
      <c r="J3190">
        <v>0.59002800683955903</v>
      </c>
      <c r="K3190">
        <v>0.27882866120751698</v>
      </c>
      <c r="L3190">
        <v>1392.3117917132199</v>
      </c>
      <c r="M3190">
        <v>20.689756026636399</v>
      </c>
      <c r="N3190">
        <v>67.294760125213699</v>
      </c>
      <c r="O3190">
        <v>66.675556720801097</v>
      </c>
      <c r="P3190">
        <v>-7.7578471582387495E-2</v>
      </c>
      <c r="Q3190">
        <v>0</v>
      </c>
      <c r="R3190">
        <v>0.82994097882172901</v>
      </c>
      <c r="S3190" t="s">
        <v>7930</v>
      </c>
      <c r="T3190" t="s">
        <v>9478</v>
      </c>
      <c r="U3190" t="s">
        <v>9478</v>
      </c>
      <c r="V3190" t="s">
        <v>9478</v>
      </c>
      <c r="W3190">
        <v>5</v>
      </c>
      <c r="X3190" t="s">
        <v>12668</v>
      </c>
      <c r="Y3190">
        <v>0.87834096921164007</v>
      </c>
      <c r="Z3190" t="str">
        <f>HYPERLINK("Melting_Curves/meltCurve_sp_Q9BWE0_REPI1_HUMAN_.pdf", "Melting_Curves/meltCurve_sp_Q9BWE0_REPI1_HUMAN_.pdf")</f>
        <v>Melting_Curves/meltCurve_sp_Q9BWE0_REPI1_HUMAN_.pdf</v>
      </c>
      <c r="AA3190" t="s">
        <v>17357</v>
      </c>
      <c r="AB3190" t="s">
        <v>22024</v>
      </c>
    </row>
    <row r="3191" spans="1:28" x14ac:dyDescent="0.25">
      <c r="A3191" t="s">
        <v>3195</v>
      </c>
      <c r="B3191">
        <v>0.99904790336628502</v>
      </c>
      <c r="C3191">
        <v>1.1476274820788701</v>
      </c>
      <c r="D3191">
        <v>1.00459372550772</v>
      </c>
      <c r="E3191">
        <v>0.83981800162584597</v>
      </c>
      <c r="F3191">
        <v>0.62389147431929104</v>
      </c>
      <c r="G3191">
        <v>0.37663609871294501</v>
      </c>
      <c r="H3191">
        <v>0.270439670797813</v>
      </c>
      <c r="I3191">
        <v>0.29472278202705998</v>
      </c>
      <c r="J3191">
        <v>0.296614103201505</v>
      </c>
      <c r="K3191">
        <v>0.28761287858448698</v>
      </c>
      <c r="L3191">
        <v>1380.3912790469701</v>
      </c>
      <c r="M3191">
        <v>26.192039653914801</v>
      </c>
      <c r="N3191">
        <v>54.427088916960997</v>
      </c>
      <c r="O3191">
        <v>52.398366116256398</v>
      </c>
      <c r="P3191">
        <v>-8.9734272609308996E-2</v>
      </c>
      <c r="Q3191">
        <v>0.28193811617979397</v>
      </c>
      <c r="R3191">
        <v>0.97817928777763696</v>
      </c>
      <c r="S3191" t="s">
        <v>7931</v>
      </c>
      <c r="T3191" t="s">
        <v>9478</v>
      </c>
      <c r="U3191" t="s">
        <v>9478</v>
      </c>
      <c r="V3191" t="s">
        <v>9478</v>
      </c>
      <c r="W3191">
        <v>2</v>
      </c>
      <c r="X3191" t="s">
        <v>12669</v>
      </c>
      <c r="Y3191">
        <v>0.59201893384035531</v>
      </c>
      <c r="Z3191" t="str">
        <f>HYPERLINK("Melting_Curves/meltCurve_sp_Q9BWH6_2_RPAP1_HUMAN_.pdf", "Melting_Curves/meltCurve_sp_Q9BWH6_2_RPAP1_HUMAN_.pdf")</f>
        <v>Melting_Curves/meltCurve_sp_Q9BWH6_2_RPAP1_HUMAN_.pdf</v>
      </c>
      <c r="AA3191" t="s">
        <v>17358</v>
      </c>
      <c r="AB3191" t="s">
        <v>22025</v>
      </c>
    </row>
    <row r="3192" spans="1:28" x14ac:dyDescent="0.25">
      <c r="A3192" t="s">
        <v>3196</v>
      </c>
      <c r="B3192">
        <v>0.99904790336628502</v>
      </c>
      <c r="C3192">
        <v>1.0496959779238699</v>
      </c>
      <c r="D3192">
        <v>1.1282564760012399</v>
      </c>
      <c r="E3192">
        <v>0.85415907661102897</v>
      </c>
      <c r="F3192">
        <v>0.41916558863622499</v>
      </c>
      <c r="G3192">
        <v>0.14417277858279001</v>
      </c>
      <c r="H3192">
        <v>8.6441834666320494E-2</v>
      </c>
      <c r="I3192">
        <v>4.6661617251280603E-2</v>
      </c>
      <c r="J3192">
        <v>8.2556954973107999E-2</v>
      </c>
      <c r="K3192">
        <v>9.70708160960181E-2</v>
      </c>
      <c r="L3192">
        <v>1989.79507025936</v>
      </c>
      <c r="M3192">
        <v>38.0720352100494</v>
      </c>
      <c r="N3192">
        <v>52.511849679446598</v>
      </c>
      <c r="O3192">
        <v>52.120380309596499</v>
      </c>
      <c r="P3192">
        <v>-0.167596697241085</v>
      </c>
      <c r="Q3192">
        <v>8.22468713465066E-2</v>
      </c>
      <c r="R3192">
        <v>0.98826391908355005</v>
      </c>
      <c r="S3192" t="s">
        <v>7932</v>
      </c>
      <c r="T3192" t="s">
        <v>9478</v>
      </c>
      <c r="U3192" t="s">
        <v>9478</v>
      </c>
      <c r="V3192" t="s">
        <v>9478</v>
      </c>
      <c r="W3192">
        <v>1</v>
      </c>
      <c r="X3192" t="s">
        <v>12670</v>
      </c>
      <c r="Y3192">
        <v>0.46108212144977861</v>
      </c>
      <c r="Z3192" t="str">
        <f>HYPERLINK("Melting_Curves/meltCurve_sp_Q9BWJ5_SF3B5_HUMAN_.pdf", "Melting_Curves/meltCurve_sp_Q9BWJ5_SF3B5_HUMAN_.pdf")</f>
        <v>Melting_Curves/meltCurve_sp_Q9BWJ5_SF3B5_HUMAN_.pdf</v>
      </c>
      <c r="AA3192" t="s">
        <v>17359</v>
      </c>
      <c r="AB3192" t="s">
        <v>22026</v>
      </c>
    </row>
    <row r="3193" spans="1:28" x14ac:dyDescent="0.25">
      <c r="A3193" t="s">
        <v>3197</v>
      </c>
      <c r="B3193">
        <v>0.99904790336628502</v>
      </c>
      <c r="C3193">
        <v>1.03774841858814</v>
      </c>
      <c r="D3193">
        <v>0.98993998089233304</v>
      </c>
      <c r="E3193">
        <v>0.87269007330199999</v>
      </c>
      <c r="F3193">
        <v>0.309178852490269</v>
      </c>
      <c r="G3193">
        <v>0.14036445395056199</v>
      </c>
      <c r="H3193">
        <v>7.8868082203289003E-2</v>
      </c>
      <c r="I3193">
        <v>6.9742509257463906E-2</v>
      </c>
      <c r="J3193">
        <v>7.52974292800353E-2</v>
      </c>
      <c r="K3193">
        <v>8.2964428760413697E-2</v>
      </c>
      <c r="L3193">
        <v>2540.3310041483901</v>
      </c>
      <c r="M3193">
        <v>49.029156606898098</v>
      </c>
      <c r="N3193">
        <v>52.013964004498</v>
      </c>
      <c r="O3193">
        <v>51.726667278494602</v>
      </c>
      <c r="P3193">
        <v>-0.216485135013052</v>
      </c>
      <c r="Q3193">
        <v>8.6417287010929794E-2</v>
      </c>
      <c r="R3193">
        <v>0.99780295800768304</v>
      </c>
      <c r="S3193" t="s">
        <v>7933</v>
      </c>
      <c r="T3193" t="s">
        <v>9478</v>
      </c>
      <c r="U3193" t="s">
        <v>9478</v>
      </c>
      <c r="V3193" t="s">
        <v>9478</v>
      </c>
      <c r="W3193">
        <v>2</v>
      </c>
      <c r="X3193" t="s">
        <v>12671</v>
      </c>
      <c r="Y3193">
        <v>0.44831714148551532</v>
      </c>
      <c r="Z3193" t="str">
        <f>HYPERLINK("Melting_Curves/meltCurve_sp_Q9BWS9_3_CHID1_HUMAN_.pdf", "Melting_Curves/meltCurve_sp_Q9BWS9_3_CHID1_HUMAN_.pdf")</f>
        <v>Melting_Curves/meltCurve_sp_Q9BWS9_3_CHID1_HUMAN_.pdf</v>
      </c>
      <c r="AA3193" t="s">
        <v>17360</v>
      </c>
      <c r="AB3193" t="s">
        <v>22027</v>
      </c>
    </row>
    <row r="3194" spans="1:28" x14ac:dyDescent="0.25">
      <c r="A3194" t="s">
        <v>3198</v>
      </c>
      <c r="B3194">
        <v>0.99904790336628502</v>
      </c>
      <c r="C3194">
        <v>1.0081440729803499</v>
      </c>
      <c r="D3194">
        <v>0.98428565983078997</v>
      </c>
      <c r="E3194">
        <v>0.97069624169897895</v>
      </c>
      <c r="F3194">
        <v>0.84794017647067899</v>
      </c>
      <c r="G3194">
        <v>0.49989637444082002</v>
      </c>
      <c r="H3194">
        <v>0.342994522083442</v>
      </c>
      <c r="I3194">
        <v>0.29068942349562799</v>
      </c>
      <c r="J3194">
        <v>0.27761633631324101</v>
      </c>
      <c r="K3194">
        <v>0.277045884071486</v>
      </c>
      <c r="L3194">
        <v>1557.15183913295</v>
      </c>
      <c r="M3194">
        <v>28.082497721818299</v>
      </c>
      <c r="N3194">
        <v>57.088696657849503</v>
      </c>
      <c r="O3194">
        <v>55.170286979976403</v>
      </c>
      <c r="P3194">
        <v>-9.2032119728386597E-2</v>
      </c>
      <c r="Q3194">
        <v>0.27678841113418401</v>
      </c>
      <c r="R3194">
        <v>0.99946647915009201</v>
      </c>
      <c r="S3194" t="s">
        <v>7934</v>
      </c>
      <c r="T3194" t="s">
        <v>9478</v>
      </c>
      <c r="U3194" t="s">
        <v>9478</v>
      </c>
      <c r="V3194" t="s">
        <v>9478</v>
      </c>
      <c r="W3194">
        <v>17</v>
      </c>
      <c r="X3194" t="s">
        <v>12672</v>
      </c>
      <c r="Y3194">
        <v>0.65465748527767365</v>
      </c>
      <c r="Z3194" t="str">
        <f>HYPERLINK("Melting_Curves/meltCurve_sp_Q9BWU0_NADAP_HUMAN_.pdf", "Melting_Curves/meltCurve_sp_Q9BWU0_NADAP_HUMAN_.pdf")</f>
        <v>Melting_Curves/meltCurve_sp_Q9BWU0_NADAP_HUMAN_.pdf</v>
      </c>
      <c r="AA3194" t="s">
        <v>17361</v>
      </c>
      <c r="AB3194" t="s">
        <v>22028</v>
      </c>
    </row>
    <row r="3195" spans="1:28" x14ac:dyDescent="0.25">
      <c r="A3195" t="s">
        <v>3199</v>
      </c>
      <c r="B3195">
        <v>0.99904790336628502</v>
      </c>
      <c r="C3195">
        <v>1.00620205688625</v>
      </c>
      <c r="D3195">
        <v>1.1031549403408201</v>
      </c>
      <c r="E3195">
        <v>1.33665864368904</v>
      </c>
      <c r="F3195">
        <v>1.3839586399283801</v>
      </c>
      <c r="G3195">
        <v>0.97441478036931395</v>
      </c>
      <c r="H3195">
        <v>0.94908540076405401</v>
      </c>
      <c r="I3195">
        <v>1.2978692706144599</v>
      </c>
      <c r="J3195">
        <v>1.29604637912117</v>
      </c>
      <c r="K3195">
        <v>1.3887655089137201</v>
      </c>
      <c r="L3195">
        <v>11510.371924183801</v>
      </c>
      <c r="M3195">
        <v>250</v>
      </c>
      <c r="O3195">
        <v>46.038541125203601</v>
      </c>
      <c r="P3195">
        <v>0.31549626251999902</v>
      </c>
      <c r="Q3195">
        <v>1.23239980335684</v>
      </c>
      <c r="R3195">
        <v>0.29097934388601898</v>
      </c>
      <c r="S3195" t="s">
        <v>7935</v>
      </c>
      <c r="T3195" t="s">
        <v>9478</v>
      </c>
      <c r="U3195" t="s">
        <v>9478</v>
      </c>
      <c r="V3195" t="s">
        <v>9478</v>
      </c>
      <c r="W3195">
        <v>32</v>
      </c>
      <c r="X3195" t="s">
        <v>12673</v>
      </c>
      <c r="Y3195">
        <v>1.1855796732092021</v>
      </c>
      <c r="Z3195" t="str">
        <f>HYPERLINK("Melting_Curves/meltCurve_sp_Q9BX66_5_SRBS1_HUMAN_.pdf", "Melting_Curves/meltCurve_sp_Q9BX66_5_SRBS1_HUMAN_.pdf")</f>
        <v>Melting_Curves/meltCurve_sp_Q9BX66_5_SRBS1_HUMAN_.pdf</v>
      </c>
      <c r="AA3195" t="s">
        <v>17362</v>
      </c>
      <c r="AB3195" t="s">
        <v>22029</v>
      </c>
    </row>
    <row r="3196" spans="1:28" x14ac:dyDescent="0.25">
      <c r="A3196" t="s">
        <v>3200</v>
      </c>
      <c r="B3196">
        <v>0.99904790336628502</v>
      </c>
      <c r="C3196">
        <v>1.0004198711582</v>
      </c>
      <c r="D3196">
        <v>0.93908102389336401</v>
      </c>
      <c r="E3196">
        <v>0.90361502612168099</v>
      </c>
      <c r="F3196">
        <v>0.89194537853367295</v>
      </c>
      <c r="G3196">
        <v>0.65013190205164295</v>
      </c>
      <c r="H3196">
        <v>0.59722911294626702</v>
      </c>
      <c r="I3196">
        <v>0.50551971649784699</v>
      </c>
      <c r="J3196">
        <v>0.53752733934318697</v>
      </c>
      <c r="K3196">
        <v>0.53807657479692095</v>
      </c>
      <c r="L3196">
        <v>1066.4386348829601</v>
      </c>
      <c r="M3196">
        <v>19.376254669131601</v>
      </c>
      <c r="O3196">
        <v>54.462244251965402</v>
      </c>
      <c r="P3196">
        <v>-4.3304986626795702E-2</v>
      </c>
      <c r="Q3196">
        <v>0.51313609523034698</v>
      </c>
      <c r="R3196">
        <v>0.97614704368661898</v>
      </c>
      <c r="S3196" t="s">
        <v>7936</v>
      </c>
      <c r="T3196" t="s">
        <v>9478</v>
      </c>
      <c r="U3196" t="s">
        <v>9478</v>
      </c>
      <c r="V3196" t="s">
        <v>9478</v>
      </c>
      <c r="W3196">
        <v>33</v>
      </c>
      <c r="X3196" t="s">
        <v>12674</v>
      </c>
      <c r="Y3196">
        <v>0.76397647141943636</v>
      </c>
      <c r="Z3196" t="str">
        <f>HYPERLINK("Melting_Curves/meltCurve_sp_Q9BX66_9_SRBS1_HUMAN_.pdf", "Melting_Curves/meltCurve_sp_Q9BX66_9_SRBS1_HUMAN_.pdf")</f>
        <v>Melting_Curves/meltCurve_sp_Q9BX66_9_SRBS1_HUMAN_.pdf</v>
      </c>
      <c r="AA3196" t="s">
        <v>17362</v>
      </c>
      <c r="AB3196" t="s">
        <v>22030</v>
      </c>
    </row>
    <row r="3197" spans="1:28" x14ac:dyDescent="0.25">
      <c r="A3197" t="s">
        <v>3201</v>
      </c>
      <c r="B3197">
        <v>0.99904790336628502</v>
      </c>
      <c r="C3197">
        <v>1.1483676079908101</v>
      </c>
      <c r="D3197">
        <v>1.0758589602647699</v>
      </c>
      <c r="E3197">
        <v>1.03891572198256</v>
      </c>
      <c r="F3197">
        <v>1.2310668081026099</v>
      </c>
      <c r="G3197">
        <v>0.87410992315806402</v>
      </c>
      <c r="H3197">
        <v>0.76037709210141902</v>
      </c>
      <c r="I3197">
        <v>0.72157499647977696</v>
      </c>
      <c r="J3197">
        <v>0.72856387860849203</v>
      </c>
      <c r="K3197">
        <v>0.55426512532064498</v>
      </c>
      <c r="L3197">
        <v>1660.1117286178901</v>
      </c>
      <c r="M3197">
        <v>27.670250139864699</v>
      </c>
      <c r="O3197">
        <v>59.685527129276103</v>
      </c>
      <c r="P3197">
        <v>-4.24215653799647E-2</v>
      </c>
      <c r="Q3197">
        <v>0.63398513231618903</v>
      </c>
      <c r="R3197">
        <v>0.75645337380933697</v>
      </c>
      <c r="S3197" t="s">
        <v>7937</v>
      </c>
      <c r="T3197" t="s">
        <v>9478</v>
      </c>
      <c r="U3197" t="s">
        <v>9478</v>
      </c>
      <c r="V3197" t="s">
        <v>9478</v>
      </c>
      <c r="W3197">
        <v>9</v>
      </c>
      <c r="X3197" t="s">
        <v>12675</v>
      </c>
      <c r="Y3197">
        <v>0.88040331508763925</v>
      </c>
      <c r="Z3197" t="str">
        <f>HYPERLINK("Melting_Curves/meltCurve_sp_Q9BX68_HINT2_HUMAN_.pdf", "Melting_Curves/meltCurve_sp_Q9BX68_HINT2_HUMAN_.pdf")</f>
        <v>Melting_Curves/meltCurve_sp_Q9BX68_HINT2_HUMAN_.pdf</v>
      </c>
      <c r="AA3197" t="s">
        <v>17363</v>
      </c>
      <c r="AB3197" t="s">
        <v>22031</v>
      </c>
    </row>
    <row r="3198" spans="1:28" x14ac:dyDescent="0.25">
      <c r="A3198" t="s">
        <v>3202</v>
      </c>
      <c r="B3198">
        <v>0.99904790336628502</v>
      </c>
      <c r="C3198">
        <v>0.98970968693868799</v>
      </c>
      <c r="D3198">
        <v>0.96221600157488896</v>
      </c>
      <c r="E3198">
        <v>0.88672705817420405</v>
      </c>
      <c r="F3198">
        <v>0.78516685935904296</v>
      </c>
      <c r="G3198">
        <v>0.74284456634735496</v>
      </c>
      <c r="H3198">
        <v>0.69187919430960099</v>
      </c>
      <c r="I3198">
        <v>0.78612055732921005</v>
      </c>
      <c r="J3198">
        <v>0.94196986731313204</v>
      </c>
      <c r="K3198">
        <v>0.61871393361460103</v>
      </c>
      <c r="L3198">
        <v>1485.5292070733301</v>
      </c>
      <c r="M3198">
        <v>29.745387770349801</v>
      </c>
      <c r="O3198">
        <v>49.717406865506597</v>
      </c>
      <c r="P3198">
        <v>-3.6703453963583398E-2</v>
      </c>
      <c r="Q3198">
        <v>0.75461228137280201</v>
      </c>
      <c r="R3198">
        <v>0.63121584179645196</v>
      </c>
      <c r="S3198" t="s">
        <v>7938</v>
      </c>
      <c r="T3198" t="s">
        <v>9478</v>
      </c>
      <c r="U3198" t="s">
        <v>9478</v>
      </c>
      <c r="V3198" t="s">
        <v>9478</v>
      </c>
      <c r="W3198">
        <v>2</v>
      </c>
      <c r="X3198" t="s">
        <v>12676</v>
      </c>
      <c r="Y3198">
        <v>0.83747238427537452</v>
      </c>
      <c r="Z3198" t="str">
        <f>HYPERLINK("Melting_Curves/meltCurve_sp_Q9BX95_SGPP1_HUMAN_.pdf", "Melting_Curves/meltCurve_sp_Q9BX95_SGPP1_HUMAN_.pdf")</f>
        <v>Melting_Curves/meltCurve_sp_Q9BX95_SGPP1_HUMAN_.pdf</v>
      </c>
      <c r="AA3198" t="s">
        <v>17364</v>
      </c>
      <c r="AB3198" t="s">
        <v>22032</v>
      </c>
    </row>
    <row r="3199" spans="1:28" x14ac:dyDescent="0.25">
      <c r="A3199" t="s">
        <v>3203</v>
      </c>
      <c r="B3199">
        <v>0.99904790336628502</v>
      </c>
      <c r="C3199">
        <v>1.1283569653062899</v>
      </c>
      <c r="D3199">
        <v>1.07848887376275</v>
      </c>
      <c r="E3199">
        <v>0.80810957337216704</v>
      </c>
      <c r="F3199">
        <v>0.469116128057392</v>
      </c>
      <c r="G3199">
        <v>0.29650167194018601</v>
      </c>
      <c r="H3199">
        <v>0.17642933906563901</v>
      </c>
      <c r="I3199">
        <v>0.19942605314613401</v>
      </c>
      <c r="J3199">
        <v>0.188655669786986</v>
      </c>
      <c r="K3199">
        <v>0.155855509602673</v>
      </c>
      <c r="L3199">
        <v>1576.5287668553001</v>
      </c>
      <c r="M3199">
        <v>30.295660721390401</v>
      </c>
      <c r="N3199">
        <v>52.856223466147497</v>
      </c>
      <c r="O3199">
        <v>51.812950103854497</v>
      </c>
      <c r="P3199">
        <v>-0.118819968380454</v>
      </c>
      <c r="Q3199">
        <v>0.18716088370955</v>
      </c>
      <c r="R3199">
        <v>0.97976270066733195</v>
      </c>
      <c r="S3199" t="s">
        <v>7939</v>
      </c>
      <c r="T3199" t="s">
        <v>9478</v>
      </c>
      <c r="U3199" t="s">
        <v>9478</v>
      </c>
      <c r="V3199" t="s">
        <v>9478</v>
      </c>
      <c r="W3199">
        <v>3</v>
      </c>
      <c r="X3199" t="s">
        <v>12677</v>
      </c>
      <c r="Y3199">
        <v>0.51842546615305496</v>
      </c>
      <c r="Z3199" t="str">
        <f>HYPERLINK("Melting_Curves/meltCurve_sp_Q9BXB4_OSB11_HUMAN_.pdf", "Melting_Curves/meltCurve_sp_Q9BXB4_OSB11_HUMAN_.pdf")</f>
        <v>Melting_Curves/meltCurve_sp_Q9BXB4_OSB11_HUMAN_.pdf</v>
      </c>
      <c r="AA3199" t="s">
        <v>17365</v>
      </c>
      <c r="AB3199" t="s">
        <v>22033</v>
      </c>
    </row>
    <row r="3200" spans="1:28" x14ac:dyDescent="0.25">
      <c r="A3200" t="s">
        <v>3204</v>
      </c>
      <c r="B3200">
        <v>0.99904790336628502</v>
      </c>
      <c r="C3200">
        <v>0.90817137387151603</v>
      </c>
      <c r="D3200">
        <v>0.75753913838954401</v>
      </c>
      <c r="E3200">
        <v>0.59995794235813205</v>
      </c>
      <c r="F3200">
        <v>0.471693098003381</v>
      </c>
      <c r="G3200">
        <v>0.30059803799143198</v>
      </c>
      <c r="H3200">
        <v>0.19840981297393701</v>
      </c>
      <c r="I3200">
        <v>0.17394200002106799</v>
      </c>
      <c r="J3200">
        <v>0.18887798872511799</v>
      </c>
      <c r="K3200">
        <v>0.22491062368352399</v>
      </c>
      <c r="L3200">
        <v>629.68303579141002</v>
      </c>
      <c r="M3200">
        <v>12.547072302816201</v>
      </c>
      <c r="N3200">
        <v>51.685601039674999</v>
      </c>
      <c r="O3200">
        <v>48.962017752764702</v>
      </c>
      <c r="P3200">
        <v>-5.4300163487945897E-2</v>
      </c>
      <c r="Q3200">
        <v>0.15259704102882099</v>
      </c>
      <c r="R3200">
        <v>0.99064614140416596</v>
      </c>
      <c r="S3200" t="s">
        <v>7940</v>
      </c>
      <c r="T3200" t="s">
        <v>9478</v>
      </c>
      <c r="U3200" t="s">
        <v>9478</v>
      </c>
      <c r="V3200" t="s">
        <v>9478</v>
      </c>
      <c r="W3200">
        <v>6</v>
      </c>
      <c r="X3200" t="s">
        <v>12678</v>
      </c>
      <c r="Y3200">
        <v>0.46737296118179511</v>
      </c>
      <c r="Z3200" t="str">
        <f>HYPERLINK("Melting_Curves/meltCurve_sp_Q9BXI6_TB10A_HUMAN_.pdf", "Melting_Curves/meltCurve_sp_Q9BXI6_TB10A_HUMAN_.pdf")</f>
        <v>Melting_Curves/meltCurve_sp_Q9BXI6_TB10A_HUMAN_.pdf</v>
      </c>
      <c r="AA3200" t="s">
        <v>17366</v>
      </c>
      <c r="AB3200" t="s">
        <v>22034</v>
      </c>
    </row>
    <row r="3201" spans="1:28" x14ac:dyDescent="0.25">
      <c r="A3201" t="s">
        <v>3205</v>
      </c>
      <c r="B3201">
        <v>0.99904790336628502</v>
      </c>
      <c r="C3201">
        <v>0.99478302358536397</v>
      </c>
      <c r="D3201">
        <v>1.0366815659167199</v>
      </c>
      <c r="E3201">
        <v>0.87601478061919602</v>
      </c>
      <c r="F3201">
        <v>0.36676399611428701</v>
      </c>
      <c r="G3201">
        <v>0.121565855808742</v>
      </c>
      <c r="H3201">
        <v>6.3413833326680297E-2</v>
      </c>
      <c r="I3201">
        <v>4.6304125706728497E-2</v>
      </c>
      <c r="J3201">
        <v>3.0626908349688901E-2</v>
      </c>
      <c r="K3201">
        <v>2.4396780933013101E-2</v>
      </c>
      <c r="L3201">
        <v>2165.4324172920001</v>
      </c>
      <c r="M3201">
        <v>41.495956476759901</v>
      </c>
      <c r="N3201">
        <v>52.316143850491997</v>
      </c>
      <c r="O3201">
        <v>52.063401077449598</v>
      </c>
      <c r="P3201">
        <v>-0.18935606214579001</v>
      </c>
      <c r="Q3201">
        <v>4.9689861116609099E-2</v>
      </c>
      <c r="R3201">
        <v>0.99739677669283699</v>
      </c>
      <c r="S3201" t="s">
        <v>7941</v>
      </c>
      <c r="T3201" t="s">
        <v>9478</v>
      </c>
      <c r="U3201" t="s">
        <v>9478</v>
      </c>
      <c r="V3201" t="s">
        <v>9478</v>
      </c>
      <c r="W3201">
        <v>20</v>
      </c>
      <c r="X3201" t="s">
        <v>12679</v>
      </c>
      <c r="Y3201">
        <v>0.43883032991357612</v>
      </c>
      <c r="Z3201" t="str">
        <f>HYPERLINK("Melting_Curves/meltCurve_sp_Q9BXJ9_NAA15_HUMAN_.pdf", "Melting_Curves/meltCurve_sp_Q9BXJ9_NAA15_HUMAN_.pdf")</f>
        <v>Melting_Curves/meltCurve_sp_Q9BXJ9_NAA15_HUMAN_.pdf</v>
      </c>
      <c r="AA3201" t="s">
        <v>17367</v>
      </c>
      <c r="AB3201" t="s">
        <v>22035</v>
      </c>
    </row>
    <row r="3202" spans="1:28" x14ac:dyDescent="0.25">
      <c r="A3202" t="s">
        <v>3206</v>
      </c>
      <c r="B3202">
        <v>0.99904790336628502</v>
      </c>
      <c r="C3202">
        <v>0.94596830906359697</v>
      </c>
      <c r="D3202">
        <v>0.964180231449838</v>
      </c>
      <c r="E3202">
        <v>0.86916794103676198</v>
      </c>
      <c r="F3202">
        <v>0.68651402905171399</v>
      </c>
      <c r="G3202">
        <v>0.50057205225585799</v>
      </c>
      <c r="H3202">
        <v>0.27028430194118502</v>
      </c>
      <c r="I3202">
        <v>0.122968304668676</v>
      </c>
      <c r="J3202">
        <v>7.0338773955842301E-2</v>
      </c>
      <c r="K3202">
        <v>3.5722221530827401E-2</v>
      </c>
      <c r="L3202">
        <v>822.52398730824405</v>
      </c>
      <c r="M3202">
        <v>14.5792045813116</v>
      </c>
      <c r="N3202">
        <v>56.417608506390998</v>
      </c>
      <c r="O3202">
        <v>55.3880464420184</v>
      </c>
      <c r="P3202">
        <v>-6.5812264706217594E-2</v>
      </c>
      <c r="Q3202">
        <v>0</v>
      </c>
      <c r="R3202">
        <v>0.995434513831989</v>
      </c>
      <c r="S3202" t="s">
        <v>7942</v>
      </c>
      <c r="T3202" t="s">
        <v>9478</v>
      </c>
      <c r="U3202" t="s">
        <v>9478</v>
      </c>
      <c r="V3202" t="s">
        <v>9478</v>
      </c>
      <c r="W3202">
        <v>9</v>
      </c>
      <c r="X3202" t="s">
        <v>12680</v>
      </c>
      <c r="Y3202">
        <v>0.56459167461851389</v>
      </c>
      <c r="Z3202" t="str">
        <f>HYPERLINK("Melting_Curves/meltCurve_sp_Q9BXK5_B2L13_HUMAN_.pdf", "Melting_Curves/meltCurve_sp_Q9BXK5_B2L13_HUMAN_.pdf")</f>
        <v>Melting_Curves/meltCurve_sp_Q9BXK5_B2L13_HUMAN_.pdf</v>
      </c>
      <c r="AA3202" t="s">
        <v>17368</v>
      </c>
      <c r="AB3202" t="s">
        <v>22036</v>
      </c>
    </row>
    <row r="3203" spans="1:28" x14ac:dyDescent="0.25">
      <c r="A3203" t="s">
        <v>3207</v>
      </c>
      <c r="B3203">
        <v>0.99904790336628502</v>
      </c>
      <c r="C3203">
        <v>1.01679203113808</v>
      </c>
      <c r="D3203">
        <v>0.90917980886669103</v>
      </c>
      <c r="E3203">
        <v>0.39364912985970502</v>
      </c>
      <c r="F3203">
        <v>0.20375167080939299</v>
      </c>
      <c r="G3203">
        <v>0.13843625019276401</v>
      </c>
      <c r="H3203">
        <v>9.4690211910820499E-2</v>
      </c>
      <c r="I3203">
        <v>9.0078763753231095E-2</v>
      </c>
      <c r="J3203">
        <v>7.4708816084698301E-2</v>
      </c>
      <c r="K3203">
        <v>5.8873019656706903E-2</v>
      </c>
      <c r="L3203">
        <v>1504.1382998909501</v>
      </c>
      <c r="M3203">
        <v>30.6757046971283</v>
      </c>
      <c r="N3203">
        <v>49.357619040162902</v>
      </c>
      <c r="O3203">
        <v>48.826569836042502</v>
      </c>
      <c r="P3203">
        <v>-0.14273946963385201</v>
      </c>
      <c r="Q3203">
        <v>9.1210820494432507E-2</v>
      </c>
      <c r="R3203">
        <v>0.99678210887664997</v>
      </c>
      <c r="S3203" t="s">
        <v>7943</v>
      </c>
      <c r="T3203" t="s">
        <v>9478</v>
      </c>
      <c r="U3203" t="s">
        <v>9478</v>
      </c>
      <c r="V3203" t="s">
        <v>9478</v>
      </c>
      <c r="W3203">
        <v>22</v>
      </c>
      <c r="X3203" t="s">
        <v>12681</v>
      </c>
      <c r="Y3203">
        <v>0.37015435413320052</v>
      </c>
      <c r="Z3203" t="str">
        <f>HYPERLINK("Melting_Curves/meltCurve_sp_Q9BXP5_5_SRRT_HUMAN_.pdf", "Melting_Curves/meltCurve_sp_Q9BXP5_5_SRRT_HUMAN_.pdf")</f>
        <v>Melting_Curves/meltCurve_sp_Q9BXP5_5_SRRT_HUMAN_.pdf</v>
      </c>
      <c r="AA3203" t="s">
        <v>17369</v>
      </c>
      <c r="AB3203" t="s">
        <v>22037</v>
      </c>
    </row>
    <row r="3204" spans="1:28" x14ac:dyDescent="0.25">
      <c r="A3204" t="s">
        <v>3208</v>
      </c>
      <c r="B3204">
        <v>0.99904790336628502</v>
      </c>
      <c r="C3204">
        <v>1.02073987883136</v>
      </c>
      <c r="D3204">
        <v>1.0243903074268399</v>
      </c>
      <c r="E3204">
        <v>0.93480074708849004</v>
      </c>
      <c r="F3204">
        <v>0.78278148599143904</v>
      </c>
      <c r="G3204">
        <v>0.40395359986670798</v>
      </c>
      <c r="H3204">
        <v>0.22872976758659799</v>
      </c>
      <c r="I3204">
        <v>0.18928907745198401</v>
      </c>
      <c r="J3204">
        <v>0.12709956364629699</v>
      </c>
      <c r="K3204">
        <v>4.3440732250382003E-2</v>
      </c>
      <c r="L3204">
        <v>1198.4907940186999</v>
      </c>
      <c r="M3204">
        <v>21.520855348749301</v>
      </c>
      <c r="N3204">
        <v>56.208878225691102</v>
      </c>
      <c r="O3204">
        <v>55.215579573362902</v>
      </c>
      <c r="P3204">
        <v>-8.8660151828981501E-2</v>
      </c>
      <c r="Q3204">
        <v>9.0128636514888005E-2</v>
      </c>
      <c r="R3204">
        <v>0.99427130656642804</v>
      </c>
      <c r="S3204" t="s">
        <v>7944</v>
      </c>
      <c r="T3204" t="s">
        <v>9478</v>
      </c>
      <c r="U3204" t="s">
        <v>9478</v>
      </c>
      <c r="V3204" t="s">
        <v>9478</v>
      </c>
      <c r="W3204">
        <v>8</v>
      </c>
      <c r="X3204" t="s">
        <v>12682</v>
      </c>
      <c r="Y3204">
        <v>0.57664198487076335</v>
      </c>
      <c r="Z3204" t="str">
        <f>HYPERLINK("Melting_Curves/meltCurve_sp_Q9BXR0_TGT_HUMAN_.pdf", "Melting_Curves/meltCurve_sp_Q9BXR0_TGT_HUMAN_.pdf")</f>
        <v>Melting_Curves/meltCurve_sp_Q9BXR0_TGT_HUMAN_.pdf</v>
      </c>
      <c r="AA3204" t="s">
        <v>17370</v>
      </c>
      <c r="AB3204" t="s">
        <v>22038</v>
      </c>
    </row>
    <row r="3205" spans="1:28" x14ac:dyDescent="0.25">
      <c r="A3205" t="s">
        <v>3209</v>
      </c>
      <c r="B3205">
        <v>0.99904790336628502</v>
      </c>
      <c r="C3205">
        <v>0.99583867472811605</v>
      </c>
      <c r="D3205">
        <v>1.07705014946392</v>
      </c>
      <c r="E3205">
        <v>0.92955133708345505</v>
      </c>
      <c r="F3205">
        <v>0.80790695344782804</v>
      </c>
      <c r="G3205">
        <v>0.45117145146732901</v>
      </c>
      <c r="H3205">
        <v>0.24229289693563699</v>
      </c>
      <c r="I3205">
        <v>0.101596986409476</v>
      </c>
      <c r="J3205">
        <v>4.3814175942856602E-2</v>
      </c>
      <c r="K3205">
        <v>3.1346748428221098E-2</v>
      </c>
      <c r="L3205">
        <v>1122.34677345621</v>
      </c>
      <c r="M3205">
        <v>19.803435810923901</v>
      </c>
      <c r="N3205">
        <v>56.741462241282299</v>
      </c>
      <c r="O3205">
        <v>56.105933954165302</v>
      </c>
      <c r="P3205">
        <v>-8.7222734582540498E-2</v>
      </c>
      <c r="Q3205">
        <v>1.1576093230623899E-2</v>
      </c>
      <c r="R3205">
        <v>0.99428289257243896</v>
      </c>
      <c r="S3205" t="s">
        <v>7945</v>
      </c>
      <c r="T3205" t="s">
        <v>9478</v>
      </c>
      <c r="U3205" t="s">
        <v>9478</v>
      </c>
      <c r="V3205" t="s">
        <v>9478</v>
      </c>
      <c r="W3205">
        <v>16</v>
      </c>
      <c r="X3205" t="s">
        <v>12683</v>
      </c>
      <c r="Y3205">
        <v>0.57343675477832623</v>
      </c>
      <c r="Z3205" t="str">
        <f>HYPERLINK("Melting_Curves/meltCurve_sp_Q9BXS5_AP1M1_HUMAN_.pdf", "Melting_Curves/meltCurve_sp_Q9BXS5_AP1M1_HUMAN_.pdf")</f>
        <v>Melting_Curves/meltCurve_sp_Q9BXS5_AP1M1_HUMAN_.pdf</v>
      </c>
      <c r="AA3205" t="s">
        <v>17371</v>
      </c>
      <c r="AB3205" t="s">
        <v>22039</v>
      </c>
    </row>
    <row r="3206" spans="1:28" x14ac:dyDescent="0.25">
      <c r="A3206" t="s">
        <v>3210</v>
      </c>
      <c r="B3206">
        <v>0.99904790336628502</v>
      </c>
      <c r="C3206">
        <v>0.94415458448887102</v>
      </c>
      <c r="D3206">
        <v>0.94569387243078395</v>
      </c>
      <c r="E3206">
        <v>0.88262700722017495</v>
      </c>
      <c r="F3206">
        <v>0.711281437898175</v>
      </c>
      <c r="G3206">
        <v>0.26934558708453599</v>
      </c>
      <c r="H3206">
        <v>0.11030847059247401</v>
      </c>
      <c r="I3206">
        <v>6.8373584864376794E-2</v>
      </c>
      <c r="J3206">
        <v>5.8689699696408699E-2</v>
      </c>
      <c r="K3206">
        <v>6.0389378628662699E-2</v>
      </c>
      <c r="L3206">
        <v>1362.3488642503</v>
      </c>
      <c r="M3206">
        <v>25.002669428774698</v>
      </c>
      <c r="N3206">
        <v>54.711805389463102</v>
      </c>
      <c r="O3206">
        <v>54.143181687361597</v>
      </c>
      <c r="P3206">
        <v>-0.10983987682138199</v>
      </c>
      <c r="Q3206">
        <v>4.8581896432043699E-2</v>
      </c>
      <c r="R3206">
        <v>0.99581646156111103</v>
      </c>
      <c r="S3206" t="s">
        <v>7946</v>
      </c>
      <c r="T3206" t="s">
        <v>9478</v>
      </c>
      <c r="U3206" t="s">
        <v>9478</v>
      </c>
      <c r="V3206" t="s">
        <v>9478</v>
      </c>
      <c r="W3206">
        <v>3</v>
      </c>
      <c r="X3206" t="s">
        <v>12684</v>
      </c>
      <c r="Y3206">
        <v>0.51686620742093337</v>
      </c>
      <c r="Z3206" t="str">
        <f>HYPERLINK("Melting_Curves/meltCurve_sp_Q9BXS6_7_NUSAP_HUMAN_.pdf", "Melting_Curves/meltCurve_sp_Q9BXS6_7_NUSAP_HUMAN_.pdf")</f>
        <v>Melting_Curves/meltCurve_sp_Q9BXS6_7_NUSAP_HUMAN_.pdf</v>
      </c>
      <c r="AA3206" t="s">
        <v>17372</v>
      </c>
      <c r="AB3206" t="s">
        <v>22040</v>
      </c>
    </row>
    <row r="3207" spans="1:28" x14ac:dyDescent="0.25">
      <c r="A3207" t="s">
        <v>3211</v>
      </c>
      <c r="B3207">
        <v>0.99904790336628502</v>
      </c>
      <c r="C3207">
        <v>1.0211117608194999</v>
      </c>
      <c r="D3207">
        <v>0.99079544201356096</v>
      </c>
      <c r="E3207">
        <v>0.98451075024192602</v>
      </c>
      <c r="F3207">
        <v>0.99015385982611204</v>
      </c>
      <c r="G3207">
        <v>0.76442801294853902</v>
      </c>
      <c r="H3207">
        <v>0.58056059600695098</v>
      </c>
      <c r="I3207">
        <v>0.608795908563323</v>
      </c>
      <c r="J3207">
        <v>0.66920416441115704</v>
      </c>
      <c r="K3207">
        <v>0.64666298539881495</v>
      </c>
      <c r="L3207">
        <v>14219.5689221946</v>
      </c>
      <c r="M3207">
        <v>250</v>
      </c>
      <c r="O3207">
        <v>56.874657736489198</v>
      </c>
      <c r="P3207">
        <v>-0.410655473613319</v>
      </c>
      <c r="Q3207">
        <v>0.62630591118749501</v>
      </c>
      <c r="R3207">
        <v>0.98248049116740199</v>
      </c>
      <c r="S3207" t="s">
        <v>7947</v>
      </c>
      <c r="T3207" t="s">
        <v>9478</v>
      </c>
      <c r="U3207" t="s">
        <v>9478</v>
      </c>
      <c r="V3207" t="s">
        <v>9478</v>
      </c>
      <c r="W3207">
        <v>3</v>
      </c>
      <c r="X3207" t="s">
        <v>12685</v>
      </c>
      <c r="Y3207">
        <v>0.83658694198884165</v>
      </c>
      <c r="Z3207" t="str">
        <f>HYPERLINK("Melting_Curves/meltCurve_sp_Q9BXV9_CN142_HUMAN_.pdf", "Melting_Curves/meltCurve_sp_Q9BXV9_CN142_HUMAN_.pdf")</f>
        <v>Melting_Curves/meltCurve_sp_Q9BXV9_CN142_HUMAN_.pdf</v>
      </c>
      <c r="AA3207" t="s">
        <v>17373</v>
      </c>
      <c r="AB3207" t="s">
        <v>22041</v>
      </c>
    </row>
    <row r="3208" spans="1:28" x14ac:dyDescent="0.25">
      <c r="A3208" t="s">
        <v>3212</v>
      </c>
      <c r="B3208">
        <v>0.99904790336628502</v>
      </c>
      <c r="C3208">
        <v>0.97589662199928495</v>
      </c>
      <c r="D3208">
        <v>0.90021299080960704</v>
      </c>
      <c r="E3208">
        <v>0.90768434267751597</v>
      </c>
      <c r="F3208">
        <v>0.59262764262281298</v>
      </c>
      <c r="G3208">
        <v>0.30508356012565901</v>
      </c>
      <c r="H3208">
        <v>0.113608485992627</v>
      </c>
      <c r="I3208">
        <v>6.7557912008754203E-2</v>
      </c>
      <c r="J3208">
        <v>2.5873520301076602E-2</v>
      </c>
      <c r="K3208">
        <v>1.8527385893624501E-2</v>
      </c>
      <c r="L3208">
        <v>1056.62040637155</v>
      </c>
      <c r="M3208">
        <v>19.4318877120627</v>
      </c>
      <c r="N3208">
        <v>54.419478356950997</v>
      </c>
      <c r="O3208">
        <v>53.809542897473499</v>
      </c>
      <c r="P3208">
        <v>-8.95822640133207E-2</v>
      </c>
      <c r="Q3208">
        <v>7.7742179307297996E-3</v>
      </c>
      <c r="R3208">
        <v>0.99355774842863798</v>
      </c>
      <c r="S3208" t="s">
        <v>7948</v>
      </c>
      <c r="T3208" t="s">
        <v>9478</v>
      </c>
      <c r="U3208" t="s">
        <v>9478</v>
      </c>
      <c r="V3208" t="s">
        <v>9478</v>
      </c>
      <c r="W3208">
        <v>2</v>
      </c>
      <c r="X3208" t="s">
        <v>12686</v>
      </c>
      <c r="Y3208">
        <v>0.49724634019661401</v>
      </c>
      <c r="Z3208" t="str">
        <f>HYPERLINK("Melting_Curves/meltCurve_sp_Q9BXW6_OSBL1_HUMAN_.pdf", "Melting_Curves/meltCurve_sp_Q9BXW6_OSBL1_HUMAN_.pdf")</f>
        <v>Melting_Curves/meltCurve_sp_Q9BXW6_OSBL1_HUMAN_.pdf</v>
      </c>
      <c r="AA3208" t="s">
        <v>17374</v>
      </c>
      <c r="AB3208" t="s">
        <v>22042</v>
      </c>
    </row>
    <row r="3209" spans="1:28" x14ac:dyDescent="0.25">
      <c r="A3209" t="s">
        <v>3213</v>
      </c>
      <c r="B3209">
        <v>0.99904790336628502</v>
      </c>
      <c r="C3209">
        <v>0.91154422412851199</v>
      </c>
      <c r="D3209">
        <v>0.57891226342373503</v>
      </c>
      <c r="E3209">
        <v>0.20142659796382201</v>
      </c>
      <c r="F3209">
        <v>0.10535255918408799</v>
      </c>
      <c r="G3209">
        <v>0.111522644569183</v>
      </c>
      <c r="H3209">
        <v>3.2603505565311101E-2</v>
      </c>
      <c r="I3209">
        <v>2.4452621421699398E-2</v>
      </c>
      <c r="J3209">
        <v>3.5873031377637199E-2</v>
      </c>
      <c r="K3209">
        <v>2.2693781165498701E-2</v>
      </c>
      <c r="L3209">
        <v>1111.9309874737701</v>
      </c>
      <c r="M3209">
        <v>23.8668818513936</v>
      </c>
      <c r="N3209">
        <v>46.766498087312797</v>
      </c>
      <c r="O3209">
        <v>46.265507576071997</v>
      </c>
      <c r="P3209">
        <v>-0.12338053075513999</v>
      </c>
      <c r="Q3209">
        <v>4.3332304453014198E-2</v>
      </c>
      <c r="R3209">
        <v>0.99593532991688105</v>
      </c>
      <c r="S3209" t="s">
        <v>7949</v>
      </c>
      <c r="T3209" t="s">
        <v>9478</v>
      </c>
      <c r="U3209" t="s">
        <v>9478</v>
      </c>
      <c r="V3209" t="s">
        <v>9478</v>
      </c>
      <c r="W3209">
        <v>16</v>
      </c>
      <c r="X3209" t="s">
        <v>12687</v>
      </c>
      <c r="Y3209">
        <v>0.26302299949069502</v>
      </c>
      <c r="Z3209" t="str">
        <f>HYPERLINK("Melting_Curves/meltCurve_sp_Q9BXW7_2_CECR5_HUMAN_.pdf", "Melting_Curves/meltCurve_sp_Q9BXW7_2_CECR5_HUMAN_.pdf")</f>
        <v>Melting_Curves/meltCurve_sp_Q9BXW7_2_CECR5_HUMAN_.pdf</v>
      </c>
      <c r="AA3209" t="s">
        <v>17375</v>
      </c>
      <c r="AB3209" t="s">
        <v>22043</v>
      </c>
    </row>
    <row r="3210" spans="1:28" x14ac:dyDescent="0.25">
      <c r="A3210" t="s">
        <v>3214</v>
      </c>
      <c r="B3210">
        <v>0.99904790336628502</v>
      </c>
      <c r="C3210">
        <v>0.87628062989076105</v>
      </c>
      <c r="D3210">
        <v>0.83314296039871705</v>
      </c>
      <c r="E3210">
        <v>0.87093634258407304</v>
      </c>
      <c r="F3210">
        <v>0.90354941894565399</v>
      </c>
      <c r="G3210">
        <v>0.83416091481164301</v>
      </c>
      <c r="H3210">
        <v>0.63043988385218097</v>
      </c>
      <c r="I3210">
        <v>0.43187142873791501</v>
      </c>
      <c r="J3210">
        <v>0.202207101876374</v>
      </c>
      <c r="K3210">
        <v>6.9856544052542893E-2</v>
      </c>
      <c r="L3210">
        <v>1103.08814103749</v>
      </c>
      <c r="M3210">
        <v>17.673687554668401</v>
      </c>
      <c r="N3210">
        <v>62.414148512758501</v>
      </c>
      <c r="O3210">
        <v>61.631536247865697</v>
      </c>
      <c r="P3210">
        <v>-7.1694727527779903E-2</v>
      </c>
      <c r="Q3210">
        <v>0</v>
      </c>
      <c r="R3210">
        <v>0.92970792225594301</v>
      </c>
      <c r="S3210" t="s">
        <v>7950</v>
      </c>
      <c r="T3210" t="s">
        <v>9478</v>
      </c>
      <c r="U3210" t="s">
        <v>9478</v>
      </c>
      <c r="V3210" t="s">
        <v>9478</v>
      </c>
      <c r="W3210">
        <v>1</v>
      </c>
      <c r="X3210" t="s">
        <v>12688</v>
      </c>
      <c r="Y3210">
        <v>0.74640134092679822</v>
      </c>
      <c r="Z3210" t="str">
        <f>HYPERLINK("Melting_Curves/meltCurve_sp_Q9BY32_ITPA_HUMAN_.pdf", "Melting_Curves/meltCurve_sp_Q9BY32_ITPA_HUMAN_.pdf")</f>
        <v>Melting_Curves/meltCurve_sp_Q9BY32_ITPA_HUMAN_.pdf</v>
      </c>
      <c r="AA3210" t="s">
        <v>17376</v>
      </c>
      <c r="AB3210" t="s">
        <v>22044</v>
      </c>
    </row>
    <row r="3211" spans="1:28" x14ac:dyDescent="0.25">
      <c r="A3211" t="s">
        <v>3215</v>
      </c>
      <c r="B3211">
        <v>0.99904790336628502</v>
      </c>
      <c r="C3211">
        <v>0.96080091529883105</v>
      </c>
      <c r="D3211">
        <v>0.93191383788916005</v>
      </c>
      <c r="E3211">
        <v>0.93716757961703201</v>
      </c>
      <c r="F3211">
        <v>0.86228062800043004</v>
      </c>
      <c r="G3211">
        <v>0.58433823363660498</v>
      </c>
      <c r="H3211">
        <v>0.31641735346960598</v>
      </c>
      <c r="I3211">
        <v>0.27861838449628001</v>
      </c>
      <c r="J3211">
        <v>0.29312236109705803</v>
      </c>
      <c r="K3211">
        <v>0.30060888050732198</v>
      </c>
      <c r="L3211">
        <v>1428.11448870099</v>
      </c>
      <c r="M3211">
        <v>25.4701851132968</v>
      </c>
      <c r="N3211">
        <v>57.827369748168501</v>
      </c>
      <c r="O3211">
        <v>55.727840902459597</v>
      </c>
      <c r="P3211">
        <v>-8.3478050970331993E-2</v>
      </c>
      <c r="Q3211">
        <v>0.26942138765897</v>
      </c>
      <c r="R3211">
        <v>0.98931898301822496</v>
      </c>
      <c r="S3211" t="s">
        <v>7951</v>
      </c>
      <c r="T3211" t="s">
        <v>9478</v>
      </c>
      <c r="U3211" t="s">
        <v>9478</v>
      </c>
      <c r="V3211" t="s">
        <v>9478</v>
      </c>
      <c r="W3211">
        <v>6</v>
      </c>
      <c r="X3211" t="s">
        <v>12689</v>
      </c>
      <c r="Y3211">
        <v>0.66726484304250333</v>
      </c>
      <c r="Z3211" t="str">
        <f>HYPERLINK("Melting_Curves/meltCurve_sp_Q9BY42_RTF2_HUMAN_.pdf", "Melting_Curves/meltCurve_sp_Q9BY42_RTF2_HUMAN_.pdf")</f>
        <v>Melting_Curves/meltCurve_sp_Q9BY42_RTF2_HUMAN_.pdf</v>
      </c>
      <c r="AA3211" t="s">
        <v>17377</v>
      </c>
      <c r="AB3211" t="s">
        <v>22045</v>
      </c>
    </row>
    <row r="3212" spans="1:28" x14ac:dyDescent="0.25">
      <c r="A3212" t="s">
        <v>3216</v>
      </c>
      <c r="B3212">
        <v>0.99904790336628502</v>
      </c>
      <c r="C3212">
        <v>1.0260188971266699</v>
      </c>
      <c r="D3212">
        <v>0.94868757810832605</v>
      </c>
      <c r="E3212">
        <v>0.86350801091476204</v>
      </c>
      <c r="F3212">
        <v>0.87211425262200504</v>
      </c>
      <c r="G3212">
        <v>0.58746494404780802</v>
      </c>
      <c r="H3212">
        <v>0.54708811688472103</v>
      </c>
      <c r="I3212">
        <v>0.58738645536323897</v>
      </c>
      <c r="J3212">
        <v>0.66309309021829799</v>
      </c>
      <c r="K3212">
        <v>0.64698742496535799</v>
      </c>
      <c r="L3212">
        <v>1430.1284090889301</v>
      </c>
      <c r="M3212">
        <v>27.0205906228251</v>
      </c>
      <c r="O3212">
        <v>52.640008902906203</v>
      </c>
      <c r="P3212">
        <v>-5.1312567300704701E-2</v>
      </c>
      <c r="Q3212">
        <v>0.60014682259500496</v>
      </c>
      <c r="R3212">
        <v>0.91209355559341598</v>
      </c>
      <c r="S3212" t="s">
        <v>7952</v>
      </c>
      <c r="T3212" t="s">
        <v>9478</v>
      </c>
      <c r="U3212" t="s">
        <v>9478</v>
      </c>
      <c r="V3212" t="s">
        <v>9478</v>
      </c>
      <c r="W3212">
        <v>12</v>
      </c>
      <c r="X3212" t="s">
        <v>12690</v>
      </c>
      <c r="Y3212">
        <v>0.77562225269666873</v>
      </c>
      <c r="Z3212" t="str">
        <f>HYPERLINK("Melting_Curves/meltCurve_sp_Q9BY43_CHM4A_HUMAN_.pdf", "Melting_Curves/meltCurve_sp_Q9BY43_CHM4A_HUMAN_.pdf")</f>
        <v>Melting_Curves/meltCurve_sp_Q9BY43_CHM4A_HUMAN_.pdf</v>
      </c>
      <c r="AA3212" t="s">
        <v>17378</v>
      </c>
      <c r="AB3212" t="s">
        <v>22046</v>
      </c>
    </row>
    <row r="3213" spans="1:28" x14ac:dyDescent="0.25">
      <c r="A3213" t="s">
        <v>3217</v>
      </c>
      <c r="B3213">
        <v>0.99904790336628502</v>
      </c>
      <c r="C3213">
        <v>0.84935727008829298</v>
      </c>
      <c r="D3213">
        <v>0.60957963594123099</v>
      </c>
      <c r="E3213">
        <v>0.30365047774848802</v>
      </c>
      <c r="F3213">
        <v>0.15360533346632699</v>
      </c>
      <c r="G3213">
        <v>9.0971117298123502E-2</v>
      </c>
      <c r="H3213">
        <v>4.6085764652310603E-2</v>
      </c>
      <c r="I3213">
        <v>3.2713691678732698E-2</v>
      </c>
      <c r="J3213">
        <v>2.3600718700494398E-2</v>
      </c>
      <c r="K3213">
        <v>1.86140769649027E-2</v>
      </c>
      <c r="L3213">
        <v>808.88800906160202</v>
      </c>
      <c r="M3213">
        <v>17.1232328977304</v>
      </c>
      <c r="N3213">
        <v>47.375548275253003</v>
      </c>
      <c r="O3213">
        <v>46.609028440142602</v>
      </c>
      <c r="P3213">
        <v>-8.9642144082896502E-2</v>
      </c>
      <c r="Q3213">
        <v>2.4043380421376999E-2</v>
      </c>
      <c r="R3213">
        <v>0.99809039912598696</v>
      </c>
      <c r="S3213" t="s">
        <v>7953</v>
      </c>
      <c r="T3213" t="s">
        <v>9478</v>
      </c>
      <c r="U3213" t="s">
        <v>9478</v>
      </c>
      <c r="V3213" t="s">
        <v>9478</v>
      </c>
      <c r="W3213">
        <v>15</v>
      </c>
      <c r="X3213" t="s">
        <v>12691</v>
      </c>
      <c r="Y3213">
        <v>0.27936833337610489</v>
      </c>
      <c r="Z3213" t="str">
        <f>HYPERLINK("Melting_Curves/meltCurve_sp_Q9BY49_PECR_HUMAN_.pdf", "Melting_Curves/meltCurve_sp_Q9BY49_PECR_HUMAN_.pdf")</f>
        <v>Melting_Curves/meltCurve_sp_Q9BY49_PECR_HUMAN_.pdf</v>
      </c>
      <c r="AA3213" t="s">
        <v>17379</v>
      </c>
      <c r="AB3213" t="s">
        <v>22047</v>
      </c>
    </row>
    <row r="3214" spans="1:28" x14ac:dyDescent="0.25">
      <c r="A3214" t="s">
        <v>3218</v>
      </c>
      <c r="B3214">
        <v>0.99904790336628502</v>
      </c>
      <c r="C3214">
        <v>0.97564935798772401</v>
      </c>
      <c r="D3214">
        <v>0.97696949732015603</v>
      </c>
      <c r="E3214">
        <v>0.89483784860605198</v>
      </c>
      <c r="F3214">
        <v>0.89934816208355794</v>
      </c>
      <c r="G3214">
        <v>0.67837025017973096</v>
      </c>
      <c r="H3214">
        <v>0.59161238977656905</v>
      </c>
      <c r="I3214">
        <v>0.54950347401884103</v>
      </c>
      <c r="J3214">
        <v>0.59303739910815301</v>
      </c>
      <c r="K3214">
        <v>0.37137320464391199</v>
      </c>
      <c r="L3214">
        <v>595.81371587506601</v>
      </c>
      <c r="M3214">
        <v>10.050521473925899</v>
      </c>
      <c r="N3214">
        <v>66.260510856996504</v>
      </c>
      <c r="O3214">
        <v>57.078414758491398</v>
      </c>
      <c r="P3214">
        <v>-2.9661266320613999E-2</v>
      </c>
      <c r="Q3214">
        <v>0.32651830631003398</v>
      </c>
      <c r="R3214">
        <v>0.94712653447800998</v>
      </c>
      <c r="S3214" t="s">
        <v>7954</v>
      </c>
      <c r="T3214" t="s">
        <v>9478</v>
      </c>
      <c r="U3214" t="s">
        <v>9478</v>
      </c>
      <c r="V3214" t="s">
        <v>9478</v>
      </c>
      <c r="W3214">
        <v>3</v>
      </c>
      <c r="X3214" t="s">
        <v>12692</v>
      </c>
      <c r="Y3214">
        <v>0.76041172601581508</v>
      </c>
      <c r="Z3214" t="str">
        <f>HYPERLINK("Melting_Curves/meltCurve_sp_Q9BY67_2_CADM1_HUMAN_.pdf", "Melting_Curves/meltCurve_sp_Q9BY67_2_CADM1_HUMAN_.pdf")</f>
        <v>Melting_Curves/meltCurve_sp_Q9BY67_2_CADM1_HUMAN_.pdf</v>
      </c>
      <c r="AA3214" t="s">
        <v>17380</v>
      </c>
      <c r="AB3214" t="s">
        <v>22048</v>
      </c>
    </row>
    <row r="3215" spans="1:28" x14ac:dyDescent="0.25">
      <c r="A3215" t="s">
        <v>3219</v>
      </c>
      <c r="B3215">
        <v>0.99904790336628502</v>
      </c>
      <c r="C3215">
        <v>0.94815378977530496</v>
      </c>
      <c r="D3215">
        <v>0.98094277413685405</v>
      </c>
      <c r="E3215">
        <v>0.91924091111943795</v>
      </c>
      <c r="F3215">
        <v>0.929011591273605</v>
      </c>
      <c r="G3215">
        <v>0.64073738874159203</v>
      </c>
      <c r="H3215">
        <v>0.54684479246994</v>
      </c>
      <c r="I3215">
        <v>0.48732003556476999</v>
      </c>
      <c r="J3215">
        <v>0.45156227632937301</v>
      </c>
      <c r="K3215">
        <v>0.39324590028732198</v>
      </c>
      <c r="L3215">
        <v>1044.8225058430301</v>
      </c>
      <c r="M3215">
        <v>18.432415417241401</v>
      </c>
      <c r="N3215">
        <v>62.269168955540501</v>
      </c>
      <c r="O3215">
        <v>56.0294238378453</v>
      </c>
      <c r="P3215">
        <v>-4.8996029522770698E-2</v>
      </c>
      <c r="Q3215">
        <v>0.404289475414146</v>
      </c>
      <c r="R3215">
        <v>0.98008276351708801</v>
      </c>
      <c r="S3215" t="s">
        <v>7955</v>
      </c>
      <c r="T3215" t="s">
        <v>9478</v>
      </c>
      <c r="U3215" t="s">
        <v>9478</v>
      </c>
      <c r="V3215" t="s">
        <v>9478</v>
      </c>
      <c r="W3215">
        <v>6</v>
      </c>
      <c r="X3215" t="s">
        <v>12693</v>
      </c>
      <c r="Y3215">
        <v>0.7437567855532774</v>
      </c>
      <c r="Z3215" t="str">
        <f>HYPERLINK("Melting_Curves/meltCurve_sp_Q9BY77_PDIP3_HUMAN_.pdf", "Melting_Curves/meltCurve_sp_Q9BY77_PDIP3_HUMAN_.pdf")</f>
        <v>Melting_Curves/meltCurve_sp_Q9BY77_PDIP3_HUMAN_.pdf</v>
      </c>
      <c r="AA3215" t="s">
        <v>17381</v>
      </c>
      <c r="AB3215" t="s">
        <v>22049</v>
      </c>
    </row>
    <row r="3216" spans="1:28" x14ac:dyDescent="0.25">
      <c r="A3216" t="s">
        <v>3220</v>
      </c>
      <c r="B3216">
        <v>0.99904790336628502</v>
      </c>
      <c r="C3216">
        <v>0.98352149484632101</v>
      </c>
      <c r="D3216">
        <v>0.96257208611036404</v>
      </c>
      <c r="E3216">
        <v>0.88714893709113096</v>
      </c>
      <c r="F3216">
        <v>0.82727099989816899</v>
      </c>
      <c r="G3216">
        <v>0.66465200284968995</v>
      </c>
      <c r="H3216">
        <v>0.544525001402548</v>
      </c>
      <c r="I3216">
        <v>0.43311971965095702</v>
      </c>
      <c r="J3216">
        <v>0.46974919552861699</v>
      </c>
      <c r="K3216">
        <v>0.47497987296271299</v>
      </c>
      <c r="L3216">
        <v>845.20388544974401</v>
      </c>
      <c r="M3216">
        <v>15.233763091428701</v>
      </c>
      <c r="N3216">
        <v>63.188766391432402</v>
      </c>
      <c r="O3216">
        <v>54.552568016836901</v>
      </c>
      <c r="P3216">
        <v>-4.0355294722916803E-2</v>
      </c>
      <c r="Q3216">
        <v>0.42200090512570398</v>
      </c>
      <c r="R3216">
        <v>0.98906784965420702</v>
      </c>
      <c r="S3216" t="s">
        <v>7956</v>
      </c>
      <c r="T3216" t="s">
        <v>9478</v>
      </c>
      <c r="U3216" t="s">
        <v>9478</v>
      </c>
      <c r="V3216" t="s">
        <v>9478</v>
      </c>
      <c r="W3216">
        <v>12</v>
      </c>
      <c r="X3216" t="s">
        <v>12694</v>
      </c>
      <c r="Y3216">
        <v>0.73087156578976109</v>
      </c>
      <c r="Z3216" t="str">
        <f>HYPERLINK("Melting_Curves/meltCurve_sp_Q9BY89_K1671_HUMAN_.pdf", "Melting_Curves/meltCurve_sp_Q9BY89_K1671_HUMAN_.pdf")</f>
        <v>Melting_Curves/meltCurve_sp_Q9BY89_K1671_HUMAN_.pdf</v>
      </c>
      <c r="AA3216" t="s">
        <v>17382</v>
      </c>
      <c r="AB3216" t="s">
        <v>22050</v>
      </c>
    </row>
    <row r="3217" spans="1:28" x14ac:dyDescent="0.25">
      <c r="A3217" t="s">
        <v>3221</v>
      </c>
      <c r="B3217">
        <v>0.99904790336628502</v>
      </c>
      <c r="C3217">
        <v>0.90860101793180104</v>
      </c>
      <c r="D3217">
        <v>0.61126877435018101</v>
      </c>
      <c r="E3217">
        <v>0.29301767481785901</v>
      </c>
      <c r="F3217">
        <v>0.13405514365756399</v>
      </c>
      <c r="G3217">
        <v>6.30872363026381E-2</v>
      </c>
      <c r="H3217">
        <v>4.2590557588639402E-2</v>
      </c>
      <c r="I3217">
        <v>4.1340128478197798E-2</v>
      </c>
      <c r="J3217">
        <v>4.7002864813878997E-2</v>
      </c>
      <c r="K3217">
        <v>3.8384884778428503E-2</v>
      </c>
      <c r="L3217">
        <v>948.30630850387899</v>
      </c>
      <c r="M3217">
        <v>20.102987109741399</v>
      </c>
      <c r="N3217">
        <v>47.362258390878601</v>
      </c>
      <c r="O3217">
        <v>46.7130634465505</v>
      </c>
      <c r="P3217">
        <v>-0.103426302219845</v>
      </c>
      <c r="Q3217">
        <v>3.8708965335485498E-2</v>
      </c>
      <c r="R3217">
        <v>0.99809505584400005</v>
      </c>
      <c r="S3217" t="s">
        <v>7957</v>
      </c>
      <c r="T3217" t="s">
        <v>9478</v>
      </c>
      <c r="U3217" t="s">
        <v>9478</v>
      </c>
      <c r="V3217" t="s">
        <v>9478</v>
      </c>
      <c r="W3217">
        <v>4</v>
      </c>
      <c r="X3217" t="s">
        <v>12695</v>
      </c>
      <c r="Y3217">
        <v>0.28235826443880668</v>
      </c>
      <c r="Z3217" t="str">
        <f>HYPERLINK("Melting_Curves/meltCurve_sp_Q9BYD6_RM01_HUMAN_.pdf", "Melting_Curves/meltCurve_sp_Q9BYD6_RM01_HUMAN_.pdf")</f>
        <v>Melting_Curves/meltCurve_sp_Q9BYD6_RM01_HUMAN_.pdf</v>
      </c>
      <c r="AA3217" t="s">
        <v>17383</v>
      </c>
      <c r="AB3217" t="s">
        <v>22051</v>
      </c>
    </row>
    <row r="3218" spans="1:28" x14ac:dyDescent="0.25">
      <c r="A3218" t="s">
        <v>3222</v>
      </c>
      <c r="B3218">
        <v>0.99904790336628502</v>
      </c>
      <c r="C3218">
        <v>1.0629533581369599</v>
      </c>
      <c r="D3218">
        <v>1.1054647353882301</v>
      </c>
      <c r="E3218">
        <v>0.96911935201451005</v>
      </c>
      <c r="F3218">
        <v>0.830839628320442</v>
      </c>
      <c r="G3218">
        <v>0.52169853242806097</v>
      </c>
      <c r="H3218">
        <v>0.26586950599426501</v>
      </c>
      <c r="I3218">
        <v>0.17445038141260799</v>
      </c>
      <c r="J3218">
        <v>0.14482586947454401</v>
      </c>
      <c r="K3218">
        <v>0.13562453996987001</v>
      </c>
      <c r="L3218">
        <v>1317.7431944709599</v>
      </c>
      <c r="M3218">
        <v>23.317661719676</v>
      </c>
      <c r="N3218">
        <v>57.219879696482202</v>
      </c>
      <c r="O3218">
        <v>56.1019378238421</v>
      </c>
      <c r="P3218">
        <v>-9.0900653852773905E-2</v>
      </c>
      <c r="Q3218">
        <v>0.125193169438961</v>
      </c>
      <c r="R3218">
        <v>0.98927634634121697</v>
      </c>
      <c r="S3218" t="s">
        <v>7958</v>
      </c>
      <c r="T3218" t="s">
        <v>9478</v>
      </c>
      <c r="U3218" t="s">
        <v>9478</v>
      </c>
      <c r="V3218" t="s">
        <v>9478</v>
      </c>
      <c r="W3218">
        <v>4</v>
      </c>
      <c r="X3218" t="s">
        <v>12696</v>
      </c>
      <c r="Y3218">
        <v>0.61558759666815166</v>
      </c>
      <c r="Z3218" t="str">
        <f>HYPERLINK("Melting_Curves/meltCurve_sp_Q9BYM8_HOIL1_HUMAN_.pdf", "Melting_Curves/meltCurve_sp_Q9BYM8_HOIL1_HUMAN_.pdf")</f>
        <v>Melting_Curves/meltCurve_sp_Q9BYM8_HOIL1_HUMAN_.pdf</v>
      </c>
      <c r="AA3218" t="s">
        <v>17384</v>
      </c>
      <c r="AB3218" t="s">
        <v>22052</v>
      </c>
    </row>
    <row r="3219" spans="1:28" x14ac:dyDescent="0.25">
      <c r="A3219" t="s">
        <v>3223</v>
      </c>
      <c r="B3219">
        <v>0.99904790336628502</v>
      </c>
      <c r="C3219">
        <v>0.94705900648935204</v>
      </c>
      <c r="D3219">
        <v>0.82515853910005699</v>
      </c>
      <c r="E3219">
        <v>0.86745435814007499</v>
      </c>
      <c r="F3219">
        <v>0.70094390648192495</v>
      </c>
      <c r="G3219">
        <v>0.46757496590269199</v>
      </c>
      <c r="H3219">
        <v>0.24261216193660901</v>
      </c>
      <c r="I3219">
        <v>0.20682470392163099</v>
      </c>
      <c r="J3219">
        <v>0.185758489670421</v>
      </c>
      <c r="K3219">
        <v>0.17733779815579101</v>
      </c>
      <c r="L3219">
        <v>738.20210003477905</v>
      </c>
      <c r="M3219">
        <v>13.361716625066499</v>
      </c>
      <c r="N3219">
        <v>56.149916317918198</v>
      </c>
      <c r="O3219">
        <v>54.054062678414198</v>
      </c>
      <c r="P3219">
        <v>-5.5835793609450797E-2</v>
      </c>
      <c r="Q3219">
        <v>9.6621145628283195E-2</v>
      </c>
      <c r="R3219">
        <v>0.979003191433232</v>
      </c>
      <c r="S3219" t="s">
        <v>7959</v>
      </c>
      <c r="T3219" t="s">
        <v>9478</v>
      </c>
      <c r="U3219" t="s">
        <v>9478</v>
      </c>
      <c r="V3219" t="s">
        <v>9478</v>
      </c>
      <c r="W3219">
        <v>2</v>
      </c>
      <c r="X3219" t="s">
        <v>12697</v>
      </c>
      <c r="Y3219">
        <v>0.57477540669417559</v>
      </c>
      <c r="Z3219" t="str">
        <f>HYPERLINK("Melting_Curves/meltCurve_sp_Q9BYN0_SRXN1_HUMAN_.pdf", "Melting_Curves/meltCurve_sp_Q9BYN0_SRXN1_HUMAN_.pdf")</f>
        <v>Melting_Curves/meltCurve_sp_Q9BYN0_SRXN1_HUMAN_.pdf</v>
      </c>
      <c r="AA3219" t="s">
        <v>17385</v>
      </c>
      <c r="AB3219" t="s">
        <v>22053</v>
      </c>
    </row>
    <row r="3220" spans="1:28" x14ac:dyDescent="0.25">
      <c r="A3220" t="s">
        <v>3224</v>
      </c>
      <c r="B3220">
        <v>0.99904790336628502</v>
      </c>
      <c r="C3220">
        <v>1.09316686310774</v>
      </c>
      <c r="D3220">
        <v>0.84831049985257101</v>
      </c>
      <c r="E3220">
        <v>0.41988745418831303</v>
      </c>
      <c r="F3220">
        <v>0.25154147749314798</v>
      </c>
      <c r="G3220">
        <v>0.17291095580725999</v>
      </c>
      <c r="H3220">
        <v>8.5569452837107096E-2</v>
      </c>
      <c r="I3220">
        <v>8.7353758021481903E-2</v>
      </c>
      <c r="J3220">
        <v>7.2328730028802704E-2</v>
      </c>
      <c r="K3220">
        <v>7.4869442690151305E-2</v>
      </c>
      <c r="L3220">
        <v>1223.5588730146901</v>
      </c>
      <c r="M3220">
        <v>24.9080181629893</v>
      </c>
      <c r="N3220">
        <v>49.531128701409799</v>
      </c>
      <c r="O3220">
        <v>48.809746588739202</v>
      </c>
      <c r="P3220">
        <v>-0.11574542705121101</v>
      </c>
      <c r="Q3220">
        <v>9.2753656850497204E-2</v>
      </c>
      <c r="R3220">
        <v>0.98720988544209298</v>
      </c>
      <c r="S3220" t="s">
        <v>7960</v>
      </c>
      <c r="T3220" t="s">
        <v>9478</v>
      </c>
      <c r="U3220" t="s">
        <v>9478</v>
      </c>
      <c r="V3220" t="s">
        <v>9478</v>
      </c>
      <c r="W3220">
        <v>2</v>
      </c>
      <c r="X3220" t="s">
        <v>12698</v>
      </c>
      <c r="Y3220">
        <v>0.37675737160885547</v>
      </c>
      <c r="Z3220" t="str">
        <f>HYPERLINK("Melting_Curves/meltCurve_sp_Q9BYN8_RT26_HUMAN_.pdf", "Melting_Curves/meltCurve_sp_Q9BYN8_RT26_HUMAN_.pdf")</f>
        <v>Melting_Curves/meltCurve_sp_Q9BYN8_RT26_HUMAN_.pdf</v>
      </c>
      <c r="AA3220" t="s">
        <v>17386</v>
      </c>
      <c r="AB3220" t="s">
        <v>22054</v>
      </c>
    </row>
    <row r="3221" spans="1:28" x14ac:dyDescent="0.25">
      <c r="A3221" t="s">
        <v>3225</v>
      </c>
      <c r="B3221">
        <v>0.99904790336628502</v>
      </c>
      <c r="C3221">
        <v>1.11811356160664</v>
      </c>
      <c r="D3221">
        <v>0.94968334192037895</v>
      </c>
      <c r="E3221">
        <v>0.90277528691752496</v>
      </c>
      <c r="F3221">
        <v>0.87799172602457398</v>
      </c>
      <c r="G3221">
        <v>0.85909135459204999</v>
      </c>
      <c r="H3221">
        <v>0.66952876092997604</v>
      </c>
      <c r="I3221">
        <v>0.87106826177494601</v>
      </c>
      <c r="J3221">
        <v>0.68706614969216295</v>
      </c>
      <c r="K3221">
        <v>0.49177721254200002</v>
      </c>
      <c r="L3221">
        <v>442.18520511523502</v>
      </c>
      <c r="M3221">
        <v>6.0044993249583598</v>
      </c>
      <c r="O3221">
        <v>66.720332813342694</v>
      </c>
      <c r="P3221">
        <v>-2.2571425284984299E-2</v>
      </c>
      <c r="Q3221">
        <v>0</v>
      </c>
      <c r="R3221">
        <v>0.77377593278787604</v>
      </c>
      <c r="S3221" t="s">
        <v>7961</v>
      </c>
      <c r="T3221" t="s">
        <v>9478</v>
      </c>
      <c r="U3221" t="s">
        <v>9478</v>
      </c>
      <c r="V3221" t="s">
        <v>9478</v>
      </c>
      <c r="W3221">
        <v>5</v>
      </c>
      <c r="X3221" t="s">
        <v>12699</v>
      </c>
      <c r="Y3221">
        <v>0.84800778854846348</v>
      </c>
      <c r="Z3221" t="str">
        <f>HYPERLINK("Melting_Curves/meltCurve_sp_Q9BYP7_3_WNK3_HUMAN_.pdf", "Melting_Curves/meltCurve_sp_Q9BYP7_3_WNK3_HUMAN_.pdf")</f>
        <v>Melting_Curves/meltCurve_sp_Q9BYP7_3_WNK3_HUMAN_.pdf</v>
      </c>
      <c r="AA3221" t="s">
        <v>17387</v>
      </c>
      <c r="AB3221" t="s">
        <v>22055</v>
      </c>
    </row>
    <row r="3222" spans="1:28" x14ac:dyDescent="0.25">
      <c r="A3222" t="s">
        <v>3226</v>
      </c>
      <c r="B3222">
        <v>0.99904790336628502</v>
      </c>
      <c r="C3222">
        <v>0.96969639111163097</v>
      </c>
      <c r="D3222">
        <v>0.95669662419958601</v>
      </c>
      <c r="E3222">
        <v>0.89552671175459797</v>
      </c>
      <c r="F3222">
        <v>0.77025039975951803</v>
      </c>
      <c r="G3222">
        <v>0.58018456311858302</v>
      </c>
      <c r="H3222">
        <v>0.155008500677181</v>
      </c>
      <c r="I3222">
        <v>7.6204533058023299E-2</v>
      </c>
      <c r="J3222">
        <v>4.0639940760545501E-2</v>
      </c>
      <c r="K3222">
        <v>4.0815586101270902E-2</v>
      </c>
      <c r="L3222">
        <v>1116.0509105262399</v>
      </c>
      <c r="M3222">
        <v>19.601432359722001</v>
      </c>
      <c r="N3222">
        <v>56.937211918785898</v>
      </c>
      <c r="O3222">
        <v>56.354533668807797</v>
      </c>
      <c r="P3222">
        <v>-8.6958945276724001E-2</v>
      </c>
      <c r="Q3222">
        <v>0</v>
      </c>
      <c r="R3222">
        <v>0.98931185944961497</v>
      </c>
      <c r="S3222" t="s">
        <v>7962</v>
      </c>
      <c r="T3222" t="s">
        <v>9478</v>
      </c>
      <c r="U3222" t="s">
        <v>9478</v>
      </c>
      <c r="V3222" t="s">
        <v>9478</v>
      </c>
      <c r="W3222">
        <v>33</v>
      </c>
      <c r="X3222" t="s">
        <v>12700</v>
      </c>
      <c r="Y3222">
        <v>0.57715733392131341</v>
      </c>
      <c r="Z3222" t="str">
        <f>HYPERLINK("Melting_Curves/meltCurve_sp_Q9BYT8_NEUL_HUMAN_.pdf", "Melting_Curves/meltCurve_sp_Q9BYT8_NEUL_HUMAN_.pdf")</f>
        <v>Melting_Curves/meltCurve_sp_Q9BYT8_NEUL_HUMAN_.pdf</v>
      </c>
      <c r="AA3222" t="s">
        <v>17388</v>
      </c>
      <c r="AB3222" t="s">
        <v>22056</v>
      </c>
    </row>
    <row r="3223" spans="1:28" x14ac:dyDescent="0.25">
      <c r="A3223" t="s">
        <v>3227</v>
      </c>
      <c r="B3223">
        <v>0.99904790336628502</v>
      </c>
      <c r="C3223">
        <v>0.86662395964849304</v>
      </c>
      <c r="D3223">
        <v>0.803561506306811</v>
      </c>
      <c r="E3223">
        <v>0.62334019883234104</v>
      </c>
      <c r="F3223">
        <v>0.44247931295040599</v>
      </c>
      <c r="G3223">
        <v>0.26724261545072397</v>
      </c>
      <c r="H3223">
        <v>0.11520128578364899</v>
      </c>
      <c r="I3223">
        <v>6.7392232239359806E-2</v>
      </c>
      <c r="J3223">
        <v>4.1411897975260299E-2</v>
      </c>
      <c r="K3223">
        <v>4.3184874702106503E-2</v>
      </c>
      <c r="L3223">
        <v>620.54559806267798</v>
      </c>
      <c r="M3223">
        <v>11.9912543877288</v>
      </c>
      <c r="N3223">
        <v>51.749848525979999</v>
      </c>
      <c r="O3223">
        <v>50.373603999958597</v>
      </c>
      <c r="P3223">
        <v>-5.9525955761797901E-2</v>
      </c>
      <c r="Q3223">
        <v>0</v>
      </c>
      <c r="R3223">
        <v>0.99477420671657202</v>
      </c>
      <c r="S3223" t="s">
        <v>7963</v>
      </c>
      <c r="T3223" t="s">
        <v>9478</v>
      </c>
      <c r="U3223" t="s">
        <v>9478</v>
      </c>
      <c r="V3223" t="s">
        <v>9478</v>
      </c>
      <c r="W3223">
        <v>28</v>
      </c>
      <c r="X3223" t="s">
        <v>12701</v>
      </c>
      <c r="Y3223">
        <v>0.42280537804402568</v>
      </c>
      <c r="Z3223" t="str">
        <f>HYPERLINK("Melting_Curves/meltCurve_sp_Q9BYV1_AGT2_HUMAN_.pdf", "Melting_Curves/meltCurve_sp_Q9BYV1_AGT2_HUMAN_.pdf")</f>
        <v>Melting_Curves/meltCurve_sp_Q9BYV1_AGT2_HUMAN_.pdf</v>
      </c>
      <c r="AA3223" t="s">
        <v>17389</v>
      </c>
      <c r="AB3223" t="s">
        <v>22057</v>
      </c>
    </row>
    <row r="3224" spans="1:28" x14ac:dyDescent="0.25">
      <c r="A3224" t="s">
        <v>3228</v>
      </c>
      <c r="B3224">
        <v>0.99904790336628502</v>
      </c>
      <c r="C3224">
        <v>1.0689240082844</v>
      </c>
      <c r="D3224">
        <v>0.95520071362808501</v>
      </c>
      <c r="E3224">
        <v>0.85639818371430998</v>
      </c>
      <c r="F3224">
        <v>0.65252686678609595</v>
      </c>
      <c r="G3224">
        <v>0.41043320708116099</v>
      </c>
      <c r="H3224">
        <v>0.26151854248996398</v>
      </c>
      <c r="I3224">
        <v>0.216776432880321</v>
      </c>
      <c r="J3224">
        <v>0.14419996502315999</v>
      </c>
      <c r="K3224">
        <v>0.156778911863036</v>
      </c>
      <c r="L3224">
        <v>942.53870145271196</v>
      </c>
      <c r="M3224">
        <v>17.317289886987499</v>
      </c>
      <c r="N3224">
        <v>55.4563517932569</v>
      </c>
      <c r="O3224">
        <v>53.717373810243899</v>
      </c>
      <c r="P3224">
        <v>-6.9526636503837697E-2</v>
      </c>
      <c r="Q3224">
        <v>0.13737683983725199</v>
      </c>
      <c r="R3224">
        <v>0.99412288050563002</v>
      </c>
      <c r="S3224" t="s">
        <v>7964</v>
      </c>
      <c r="T3224" t="s">
        <v>9478</v>
      </c>
      <c r="U3224" t="s">
        <v>9478</v>
      </c>
      <c r="V3224" t="s">
        <v>9478</v>
      </c>
      <c r="W3224">
        <v>6</v>
      </c>
      <c r="X3224" t="s">
        <v>12702</v>
      </c>
      <c r="Y3224">
        <v>0.56661470358011046</v>
      </c>
      <c r="Z3224" t="str">
        <f>HYPERLINK("Melting_Curves/meltCurve_sp_Q9BYV7_4_BCDO2_HUMAN_.pdf", "Melting_Curves/meltCurve_sp_Q9BYV7_4_BCDO2_HUMAN_.pdf")</f>
        <v>Melting_Curves/meltCurve_sp_Q9BYV7_4_BCDO2_HUMAN_.pdf</v>
      </c>
      <c r="AA3224" t="s">
        <v>17390</v>
      </c>
      <c r="AB3224" t="s">
        <v>22058</v>
      </c>
    </row>
    <row r="3225" spans="1:28" x14ac:dyDescent="0.25">
      <c r="A3225" t="s">
        <v>3229</v>
      </c>
      <c r="B3225">
        <v>0.99904790336628502</v>
      </c>
      <c r="C3225">
        <v>1.02584646380111</v>
      </c>
      <c r="D3225">
        <v>1.0063848221740801</v>
      </c>
      <c r="E3225">
        <v>0.73112493072218898</v>
      </c>
      <c r="F3225">
        <v>0.60206643601633703</v>
      </c>
      <c r="G3225">
        <v>0.31193856242283602</v>
      </c>
      <c r="H3225">
        <v>0.14608552132925201</v>
      </c>
      <c r="I3225">
        <v>5.9092049746985002E-2</v>
      </c>
      <c r="J3225">
        <v>0</v>
      </c>
      <c r="K3225">
        <v>0</v>
      </c>
      <c r="L3225">
        <v>901.36240085535201</v>
      </c>
      <c r="M3225">
        <v>16.674206366993999</v>
      </c>
      <c r="N3225">
        <v>54.057289799575102</v>
      </c>
      <c r="O3225">
        <v>53.297714570417703</v>
      </c>
      <c r="P3225">
        <v>-7.8217789876589103E-2</v>
      </c>
      <c r="Q3225">
        <v>0</v>
      </c>
      <c r="R3225">
        <v>0.99307539386277299</v>
      </c>
      <c r="S3225" t="s">
        <v>7965</v>
      </c>
      <c r="T3225" t="s">
        <v>9478</v>
      </c>
      <c r="U3225" t="s">
        <v>9478</v>
      </c>
      <c r="V3225" t="s">
        <v>9478</v>
      </c>
      <c r="W3225">
        <v>2</v>
      </c>
      <c r="X3225" t="s">
        <v>12703</v>
      </c>
      <c r="Y3225">
        <v>0.48639383932127239</v>
      </c>
      <c r="Z3225" t="str">
        <f>HYPERLINK("Melting_Curves/meltCurve_sp_Q9BYX2_4_TBD2A_HUMAN_.pdf", "Melting_Curves/meltCurve_sp_Q9BYX2_4_TBD2A_HUMAN_.pdf")</f>
        <v>Melting_Curves/meltCurve_sp_Q9BYX2_4_TBD2A_HUMAN_.pdf</v>
      </c>
      <c r="AA3225" t="s">
        <v>17391</v>
      </c>
      <c r="AB3225" t="s">
        <v>22059</v>
      </c>
    </row>
    <row r="3226" spans="1:28" x14ac:dyDescent="0.25">
      <c r="A3226" t="s">
        <v>3230</v>
      </c>
      <c r="B3226">
        <v>0.99904790336628502</v>
      </c>
      <c r="C3226">
        <v>1.01826503156321</v>
      </c>
      <c r="D3226">
        <v>0.87737857095827099</v>
      </c>
      <c r="E3226">
        <v>0.54266947340756</v>
      </c>
      <c r="F3226">
        <v>0.33537361101117003</v>
      </c>
      <c r="G3226">
        <v>0.195748275441463</v>
      </c>
      <c r="H3226">
        <v>8.8081926052486895E-2</v>
      </c>
      <c r="I3226">
        <v>3.6893865738245699E-2</v>
      </c>
      <c r="J3226">
        <v>4.7473912549408602E-3</v>
      </c>
      <c r="K3226">
        <v>0</v>
      </c>
      <c r="L3226">
        <v>857.772250483383</v>
      </c>
      <c r="M3226">
        <v>16.854995156069499</v>
      </c>
      <c r="N3226">
        <v>50.949971284069697</v>
      </c>
      <c r="O3226">
        <v>50.1911181824266</v>
      </c>
      <c r="P3226">
        <v>-8.3152229629882696E-2</v>
      </c>
      <c r="Q3226">
        <v>9.61459143385009E-3</v>
      </c>
      <c r="R3226">
        <v>0.994421260437379</v>
      </c>
      <c r="S3226" t="s">
        <v>7966</v>
      </c>
      <c r="T3226" t="s">
        <v>9478</v>
      </c>
      <c r="U3226" t="s">
        <v>9478</v>
      </c>
      <c r="V3226" t="s">
        <v>9478</v>
      </c>
      <c r="W3226">
        <v>2</v>
      </c>
      <c r="X3226" t="s">
        <v>12704</v>
      </c>
      <c r="Y3226">
        <v>0.38796141076111068</v>
      </c>
      <c r="Z3226" t="str">
        <f>HYPERLINK("Melting_Curves/meltCurve_sp_Q9BYX4_IFIH1_HUMAN_.pdf", "Melting_Curves/meltCurve_sp_Q9BYX4_IFIH1_HUMAN_.pdf")</f>
        <v>Melting_Curves/meltCurve_sp_Q9BYX4_IFIH1_HUMAN_.pdf</v>
      </c>
      <c r="AA3226" t="s">
        <v>17392</v>
      </c>
      <c r="AB3226" t="s">
        <v>22060</v>
      </c>
    </row>
    <row r="3227" spans="1:28" x14ac:dyDescent="0.25">
      <c r="A3227" t="s">
        <v>3231</v>
      </c>
      <c r="B3227">
        <v>0.99904790336628502</v>
      </c>
      <c r="C3227">
        <v>0.93292037785085702</v>
      </c>
      <c r="D3227">
        <v>0.82840415829594205</v>
      </c>
      <c r="E3227">
        <v>0.57825604632066596</v>
      </c>
      <c r="F3227">
        <v>0.38352456264624102</v>
      </c>
      <c r="G3227">
        <v>0.219977057117339</v>
      </c>
      <c r="H3227">
        <v>9.4428512386746405E-2</v>
      </c>
      <c r="I3227">
        <v>9.3009562955665495E-2</v>
      </c>
      <c r="J3227">
        <v>5.9415657488337902E-2</v>
      </c>
      <c r="K3227">
        <v>7.7806418731020704E-2</v>
      </c>
      <c r="L3227">
        <v>743.33703683829401</v>
      </c>
      <c r="M3227">
        <v>14.62415122182</v>
      </c>
      <c r="N3227">
        <v>51.143393878805803</v>
      </c>
      <c r="O3227">
        <v>49.907345185107602</v>
      </c>
      <c r="P3227">
        <v>-7.0119122854467905E-2</v>
      </c>
      <c r="Q3227">
        <v>4.2934177473411099E-2</v>
      </c>
      <c r="R3227">
        <v>0.99873055300401004</v>
      </c>
      <c r="S3227" t="s">
        <v>7967</v>
      </c>
      <c r="T3227" t="s">
        <v>9478</v>
      </c>
      <c r="U3227" t="s">
        <v>9478</v>
      </c>
      <c r="V3227" t="s">
        <v>9478</v>
      </c>
      <c r="W3227">
        <v>5</v>
      </c>
      <c r="X3227" t="s">
        <v>12705</v>
      </c>
      <c r="Y3227">
        <v>0.41160631419227561</v>
      </c>
      <c r="Z3227" t="str">
        <f>HYPERLINK("Melting_Curves/meltCurve_sp_Q9BZ23_3_PANK2_HUMAN_.pdf", "Melting_Curves/meltCurve_sp_Q9BZ23_3_PANK2_HUMAN_.pdf")</f>
        <v>Melting_Curves/meltCurve_sp_Q9BZ23_3_PANK2_HUMAN_.pdf</v>
      </c>
      <c r="AA3227" t="s">
        <v>17393</v>
      </c>
      <c r="AB3227" t="s">
        <v>22061</v>
      </c>
    </row>
    <row r="3228" spans="1:28" x14ac:dyDescent="0.25">
      <c r="A3228" t="s">
        <v>3232</v>
      </c>
      <c r="B3228">
        <v>0.99904790336628502</v>
      </c>
      <c r="C3228">
        <v>1.00137678262746</v>
      </c>
      <c r="D3228">
        <v>1.0013094318864</v>
      </c>
      <c r="E3228">
        <v>0.77836128580202202</v>
      </c>
      <c r="F3228">
        <v>0.35517255393689201</v>
      </c>
      <c r="G3228">
        <v>0.18432806413970201</v>
      </c>
      <c r="H3228">
        <v>0.120723123344952</v>
      </c>
      <c r="I3228">
        <v>8.49744558810267E-2</v>
      </c>
      <c r="J3228">
        <v>8.0304022334726805E-2</v>
      </c>
      <c r="K3228">
        <v>5.5802382708210099E-2</v>
      </c>
      <c r="L3228">
        <v>1633.0547496535901</v>
      </c>
      <c r="M3228">
        <v>31.590331003068201</v>
      </c>
      <c r="N3228">
        <v>52.026128388303803</v>
      </c>
      <c r="O3228">
        <v>51.488952275247897</v>
      </c>
      <c r="P3228">
        <v>-0.139407350578553</v>
      </c>
      <c r="Q3228">
        <v>9.11272266620127E-2</v>
      </c>
      <c r="R3228">
        <v>0.99680972207548402</v>
      </c>
      <c r="S3228" t="s">
        <v>7968</v>
      </c>
      <c r="T3228" t="s">
        <v>9478</v>
      </c>
      <c r="U3228" t="s">
        <v>9478</v>
      </c>
      <c r="V3228" t="s">
        <v>9478</v>
      </c>
      <c r="W3228">
        <v>9</v>
      </c>
      <c r="X3228" t="s">
        <v>12706</v>
      </c>
      <c r="Y3228">
        <v>0.45064278486045001</v>
      </c>
      <c r="Z3228" t="str">
        <f>HYPERLINK("Melting_Curves/meltCurve_sp_Q9BZE2_PUS3_HUMAN_.pdf", "Melting_Curves/meltCurve_sp_Q9BZE2_PUS3_HUMAN_.pdf")</f>
        <v>Melting_Curves/meltCurve_sp_Q9BZE2_PUS3_HUMAN_.pdf</v>
      </c>
      <c r="AA3228" t="s">
        <v>17394</v>
      </c>
      <c r="AB3228" t="s">
        <v>22062</v>
      </c>
    </row>
    <row r="3229" spans="1:28" x14ac:dyDescent="0.25">
      <c r="A3229" t="s">
        <v>3233</v>
      </c>
      <c r="B3229">
        <v>0.99904790336628502</v>
      </c>
      <c r="C3229">
        <v>0.92653865824377502</v>
      </c>
      <c r="D3229">
        <v>0.91555442117752905</v>
      </c>
      <c r="E3229">
        <v>0.85112371036461598</v>
      </c>
      <c r="F3229">
        <v>0.65607581660886505</v>
      </c>
      <c r="G3229">
        <v>0.35620181432218401</v>
      </c>
      <c r="H3229">
        <v>0.19774580618687099</v>
      </c>
      <c r="I3229">
        <v>0.13193170951340799</v>
      </c>
      <c r="J3229">
        <v>9.6928524504147004E-2</v>
      </c>
      <c r="K3229">
        <v>8.4081608293769206E-2</v>
      </c>
      <c r="L3229">
        <v>889.65911088033602</v>
      </c>
      <c r="M3229">
        <v>16.2790402065731</v>
      </c>
      <c r="N3229">
        <v>55.020729922619999</v>
      </c>
      <c r="O3229">
        <v>53.8458626918869</v>
      </c>
      <c r="P3229">
        <v>-7.16668529567622E-2</v>
      </c>
      <c r="Q3229">
        <v>5.1865282483311299E-2</v>
      </c>
      <c r="R3229">
        <v>0.99500382549995703</v>
      </c>
      <c r="S3229" t="s">
        <v>7969</v>
      </c>
      <c r="T3229" t="s">
        <v>9478</v>
      </c>
      <c r="U3229" t="s">
        <v>9478</v>
      </c>
      <c r="V3229" t="s">
        <v>9478</v>
      </c>
      <c r="W3229">
        <v>11</v>
      </c>
      <c r="X3229" t="s">
        <v>12707</v>
      </c>
      <c r="Y3229">
        <v>0.5318723776656562</v>
      </c>
      <c r="Z3229" t="str">
        <f>HYPERLINK("Melting_Curves/meltCurve_sp_Q9BZE9_ASPC1_HUMAN_.pdf", "Melting_Curves/meltCurve_sp_Q9BZE9_ASPC1_HUMAN_.pdf")</f>
        <v>Melting_Curves/meltCurve_sp_Q9BZE9_ASPC1_HUMAN_.pdf</v>
      </c>
      <c r="AA3229" t="s">
        <v>17395</v>
      </c>
      <c r="AB3229" t="s">
        <v>22063</v>
      </c>
    </row>
    <row r="3230" spans="1:28" x14ac:dyDescent="0.25">
      <c r="A3230" t="s">
        <v>3234</v>
      </c>
      <c r="B3230">
        <v>0.99904790336628502</v>
      </c>
      <c r="C3230">
        <v>1.1765508894771699</v>
      </c>
      <c r="D3230">
        <v>1.05218725847003</v>
      </c>
      <c r="E3230">
        <v>0.90051427166628495</v>
      </c>
      <c r="F3230">
        <v>1.0189482105282399</v>
      </c>
      <c r="G3230">
        <v>0.55714967406070504</v>
      </c>
      <c r="H3230">
        <v>0.434131234780466</v>
      </c>
      <c r="I3230">
        <v>0.55788505194427596</v>
      </c>
      <c r="J3230">
        <v>0.786677890556013</v>
      </c>
      <c r="K3230">
        <v>0.68945268760288503</v>
      </c>
      <c r="L3230">
        <v>7890.6372776875796</v>
      </c>
      <c r="M3230">
        <v>144.062852233928</v>
      </c>
      <c r="O3230">
        <v>54.761632745139998</v>
      </c>
      <c r="P3230">
        <v>-0.259883484634719</v>
      </c>
      <c r="Q3230">
        <v>0.60484903642323695</v>
      </c>
      <c r="R3230">
        <v>0.79028698452350399</v>
      </c>
      <c r="S3230" t="s">
        <v>7970</v>
      </c>
      <c r="T3230" t="s">
        <v>9478</v>
      </c>
      <c r="U3230" t="s">
        <v>9478</v>
      </c>
      <c r="V3230" t="s">
        <v>9478</v>
      </c>
      <c r="W3230">
        <v>2</v>
      </c>
      <c r="X3230" t="s">
        <v>12708</v>
      </c>
      <c r="Y3230">
        <v>0.79953825211610419</v>
      </c>
      <c r="Z3230" t="str">
        <f>HYPERLINK("Melting_Curves/meltCurve_sp_Q9BZF1_3_OSBL8_HUMAN_.pdf", "Melting_Curves/meltCurve_sp_Q9BZF1_3_OSBL8_HUMAN_.pdf")</f>
        <v>Melting_Curves/meltCurve_sp_Q9BZF1_3_OSBL8_HUMAN_.pdf</v>
      </c>
      <c r="AA3230" t="s">
        <v>17396</v>
      </c>
      <c r="AB3230" t="s">
        <v>22064</v>
      </c>
    </row>
    <row r="3231" spans="1:28" x14ac:dyDescent="0.25">
      <c r="A3231" t="s">
        <v>3235</v>
      </c>
      <c r="B3231">
        <v>0.99904790336628502</v>
      </c>
      <c r="C3231">
        <v>1.04709598673175</v>
      </c>
      <c r="D3231">
        <v>1.08132939062234</v>
      </c>
      <c r="E3231">
        <v>0.95741107351216903</v>
      </c>
      <c r="F3231">
        <v>0.72734225194758795</v>
      </c>
      <c r="G3231">
        <v>0.33902910851180901</v>
      </c>
      <c r="H3231">
        <v>0.13290120065108099</v>
      </c>
      <c r="I3231">
        <v>7.9139002872562703E-2</v>
      </c>
      <c r="J3231">
        <v>7.4104276369997099E-2</v>
      </c>
      <c r="K3231">
        <v>6.4550522710150104E-2</v>
      </c>
      <c r="L3231">
        <v>1453.6586351748099</v>
      </c>
      <c r="M3231">
        <v>26.432973021631899</v>
      </c>
      <c r="N3231">
        <v>55.280884808306403</v>
      </c>
      <c r="O3231">
        <v>54.682276171468899</v>
      </c>
      <c r="P3231">
        <v>-0.113107408691022</v>
      </c>
      <c r="Q3231">
        <v>6.4062316341027006E-2</v>
      </c>
      <c r="R3231">
        <v>0.99413062154437604</v>
      </c>
      <c r="S3231" t="s">
        <v>7971</v>
      </c>
      <c r="T3231" t="s">
        <v>9478</v>
      </c>
      <c r="U3231" t="s">
        <v>9478</v>
      </c>
      <c r="V3231" t="s">
        <v>9478</v>
      </c>
      <c r="W3231">
        <v>15</v>
      </c>
      <c r="X3231" t="s">
        <v>12709</v>
      </c>
      <c r="Y3231">
        <v>0.53969135910389698</v>
      </c>
      <c r="Z3231" t="str">
        <f>HYPERLINK("Melting_Curves/meltCurve_sp_Q9BZH6_WDR11_HUMAN_.pdf", "Melting_Curves/meltCurve_sp_Q9BZH6_WDR11_HUMAN_.pdf")</f>
        <v>Melting_Curves/meltCurve_sp_Q9BZH6_WDR11_HUMAN_.pdf</v>
      </c>
      <c r="AA3231" t="s">
        <v>17397</v>
      </c>
      <c r="AB3231" t="s">
        <v>22065</v>
      </c>
    </row>
    <row r="3232" spans="1:28" x14ac:dyDescent="0.25">
      <c r="A3232" t="s">
        <v>3236</v>
      </c>
      <c r="B3232">
        <v>0.99904790336628502</v>
      </c>
      <c r="C3232">
        <v>1.05357716633186</v>
      </c>
      <c r="D3232">
        <v>1.0469142477286599</v>
      </c>
      <c r="E3232">
        <v>0.98552167346348796</v>
      </c>
      <c r="F3232">
        <v>0.99963372013620899</v>
      </c>
      <c r="G3232">
        <v>0.67877474681713101</v>
      </c>
      <c r="H3232">
        <v>0.60550583392878798</v>
      </c>
      <c r="I3232">
        <v>0.60340098032321898</v>
      </c>
      <c r="J3232">
        <v>0.62929806279086997</v>
      </c>
      <c r="K3232">
        <v>0.66226891333420201</v>
      </c>
      <c r="L3232">
        <v>14147.9960057193</v>
      </c>
      <c r="M3232">
        <v>250</v>
      </c>
      <c r="O3232">
        <v>56.588362508246902</v>
      </c>
      <c r="P3232">
        <v>-0.41404444417312702</v>
      </c>
      <c r="Q3232">
        <v>0.62511844679709805</v>
      </c>
      <c r="R3232">
        <v>0.97971328248295797</v>
      </c>
      <c r="S3232" t="s">
        <v>7972</v>
      </c>
      <c r="T3232" t="s">
        <v>9478</v>
      </c>
      <c r="U3232" t="s">
        <v>9478</v>
      </c>
      <c r="V3232" t="s">
        <v>9478</v>
      </c>
      <c r="W3232">
        <v>9</v>
      </c>
      <c r="X3232" t="s">
        <v>12710</v>
      </c>
      <c r="Y3232">
        <v>0.83248997067618824</v>
      </c>
      <c r="Z3232" t="str">
        <f>HYPERLINK("Melting_Curves/meltCurve_sp_Q9BZI7_2_REN3B_HUMAN_.pdf", "Melting_Curves/meltCurve_sp_Q9BZI7_2_REN3B_HUMAN_.pdf")</f>
        <v>Melting_Curves/meltCurve_sp_Q9BZI7_2_REN3B_HUMAN_.pdf</v>
      </c>
      <c r="AA3232" t="s">
        <v>17398</v>
      </c>
      <c r="AB3232" t="s">
        <v>22066</v>
      </c>
    </row>
    <row r="3233" spans="1:28" x14ac:dyDescent="0.25">
      <c r="A3233" t="s">
        <v>3237</v>
      </c>
      <c r="B3233">
        <v>0.99904790336628502</v>
      </c>
      <c r="C3233">
        <v>1.0422497965840101</v>
      </c>
      <c r="D3233">
        <v>1.03355824950965</v>
      </c>
      <c r="E3233">
        <v>0.97274374140206998</v>
      </c>
      <c r="F3233">
        <v>0.94609238944044904</v>
      </c>
      <c r="G3233">
        <v>0.63287930839057605</v>
      </c>
      <c r="H3233">
        <v>0.34032798390111502</v>
      </c>
      <c r="I3233">
        <v>0.15664672758300799</v>
      </c>
      <c r="J3233">
        <v>8.6153639275588403E-2</v>
      </c>
      <c r="K3233">
        <v>7.3421207061359794E-2</v>
      </c>
      <c r="L3233">
        <v>1320.39647813381</v>
      </c>
      <c r="M3233">
        <v>22.5734394602372</v>
      </c>
      <c r="N3233">
        <v>58.737612229439797</v>
      </c>
      <c r="O3233">
        <v>58.0401046128395</v>
      </c>
      <c r="P3233">
        <v>-9.2877778614902706E-2</v>
      </c>
      <c r="Q3233">
        <v>4.4801561294346898E-2</v>
      </c>
      <c r="R3233">
        <v>0.99652422173120003</v>
      </c>
      <c r="S3233" t="s">
        <v>7973</v>
      </c>
      <c r="T3233" t="s">
        <v>9478</v>
      </c>
      <c r="U3233" t="s">
        <v>9478</v>
      </c>
      <c r="V3233" t="s">
        <v>9478</v>
      </c>
      <c r="W3233">
        <v>10</v>
      </c>
      <c r="X3233" t="s">
        <v>12711</v>
      </c>
      <c r="Y3233">
        <v>0.642780292118727</v>
      </c>
      <c r="Z3233" t="str">
        <f>HYPERLINK("Melting_Curves/meltCurve_sp_Q9BZK7_TBL1R_HUMAN_.pdf", "Melting_Curves/meltCurve_sp_Q9BZK7_TBL1R_HUMAN_.pdf")</f>
        <v>Melting_Curves/meltCurve_sp_Q9BZK7_TBL1R_HUMAN_.pdf</v>
      </c>
      <c r="AA3233" t="s">
        <v>17399</v>
      </c>
      <c r="AB3233" t="s">
        <v>22067</v>
      </c>
    </row>
    <row r="3234" spans="1:28" x14ac:dyDescent="0.25">
      <c r="A3234" t="s">
        <v>3238</v>
      </c>
      <c r="B3234">
        <v>0.99904790336628502</v>
      </c>
      <c r="C3234">
        <v>0.96751975438655502</v>
      </c>
      <c r="D3234">
        <v>0.93537950314039298</v>
      </c>
      <c r="E3234">
        <v>0.90559230978477101</v>
      </c>
      <c r="F3234">
        <v>0.82381373789743095</v>
      </c>
      <c r="G3234">
        <v>0.39355099600193899</v>
      </c>
      <c r="H3234">
        <v>0.19194850495655399</v>
      </c>
      <c r="I3234">
        <v>0.11912304805573699</v>
      </c>
      <c r="J3234">
        <v>8.0476255727434207E-2</v>
      </c>
      <c r="K3234">
        <v>6.7653299625189706E-2</v>
      </c>
      <c r="L3234">
        <v>1290.8075338920701</v>
      </c>
      <c r="M3234">
        <v>23.143580980350499</v>
      </c>
      <c r="N3234">
        <v>56.1142258817517</v>
      </c>
      <c r="O3234">
        <v>55.362486802878898</v>
      </c>
      <c r="P3234">
        <v>-9.7667773112306205E-2</v>
      </c>
      <c r="Q3234">
        <v>6.5480483928154296E-2</v>
      </c>
      <c r="R3234">
        <v>0.99479228808020403</v>
      </c>
      <c r="S3234" t="s">
        <v>7974</v>
      </c>
      <c r="T3234" t="s">
        <v>9478</v>
      </c>
      <c r="U3234" t="s">
        <v>9478</v>
      </c>
      <c r="V3234" t="s">
        <v>9478</v>
      </c>
      <c r="W3234">
        <v>3</v>
      </c>
      <c r="X3234" t="s">
        <v>12712</v>
      </c>
      <c r="Y3234">
        <v>0.5666083734291405</v>
      </c>
      <c r="Z3234" t="str">
        <f>HYPERLINK("Melting_Curves/meltCurve_sp_Q9BZL1_UBL5_HUMAN_.pdf", "Melting_Curves/meltCurve_sp_Q9BZL1_UBL5_HUMAN_.pdf")</f>
        <v>Melting_Curves/meltCurve_sp_Q9BZL1_UBL5_HUMAN_.pdf</v>
      </c>
      <c r="AA3234" t="s">
        <v>17400</v>
      </c>
      <c r="AB3234" t="s">
        <v>22068</v>
      </c>
    </row>
    <row r="3235" spans="1:28" x14ac:dyDescent="0.25">
      <c r="A3235" t="s">
        <v>3239</v>
      </c>
      <c r="B3235">
        <v>0.99904790336628502</v>
      </c>
      <c r="C3235">
        <v>1.00655442904328</v>
      </c>
      <c r="D3235">
        <v>1.00402173488471</v>
      </c>
      <c r="E3235">
        <v>0.92536116241242306</v>
      </c>
      <c r="F3235">
        <v>1.01110761153773</v>
      </c>
      <c r="G3235">
        <v>0.77228165852274799</v>
      </c>
      <c r="H3235">
        <v>0.66588452225902095</v>
      </c>
      <c r="I3235">
        <v>0.69396423404614904</v>
      </c>
      <c r="J3235">
        <v>0.73019114890152004</v>
      </c>
      <c r="K3235">
        <v>0.74170749919293799</v>
      </c>
      <c r="L3235">
        <v>14177.9603594043</v>
      </c>
      <c r="M3235">
        <v>250</v>
      </c>
      <c r="O3235">
        <v>56.708221742135102</v>
      </c>
      <c r="P3235">
        <v>-0.32189247621018002</v>
      </c>
      <c r="Q3235">
        <v>0.70793685038271303</v>
      </c>
      <c r="R3235">
        <v>0.951332957998825</v>
      </c>
      <c r="S3235" t="s">
        <v>7975</v>
      </c>
      <c r="T3235" t="s">
        <v>9478</v>
      </c>
      <c r="U3235" t="s">
        <v>9478</v>
      </c>
      <c r="V3235" t="s">
        <v>9478</v>
      </c>
      <c r="W3235">
        <v>19</v>
      </c>
      <c r="X3235" t="s">
        <v>12713</v>
      </c>
      <c r="Y3235">
        <v>0.87066302049960054</v>
      </c>
      <c r="Z3235" t="str">
        <f>HYPERLINK("Melting_Curves/meltCurve_sp_Q9BZL4_PP12C_HUMAN_.pdf", "Melting_Curves/meltCurve_sp_Q9BZL4_PP12C_HUMAN_.pdf")</f>
        <v>Melting_Curves/meltCurve_sp_Q9BZL4_PP12C_HUMAN_.pdf</v>
      </c>
      <c r="AA3235" t="s">
        <v>17401</v>
      </c>
      <c r="AB3235" t="s">
        <v>22069</v>
      </c>
    </row>
    <row r="3236" spans="1:28" x14ac:dyDescent="0.25">
      <c r="A3236" t="s">
        <v>3240</v>
      </c>
      <c r="B3236">
        <v>0.99904790336628502</v>
      </c>
      <c r="C3236">
        <v>1.0671283405346701</v>
      </c>
      <c r="D3236">
        <v>0.99662031513389504</v>
      </c>
      <c r="E3236">
        <v>0.991143419576622</v>
      </c>
      <c r="F3236">
        <v>0.93077358801104504</v>
      </c>
      <c r="G3236">
        <v>0.44163072978456303</v>
      </c>
      <c r="H3236">
        <v>0.14614120711006301</v>
      </c>
      <c r="I3236">
        <v>8.9811122374427704E-2</v>
      </c>
      <c r="J3236">
        <v>7.3596044320656806E-2</v>
      </c>
      <c r="K3236">
        <v>6.1983630837843501E-2</v>
      </c>
      <c r="L3236">
        <v>2069.98698509617</v>
      </c>
      <c r="M3236">
        <v>36.699764222699002</v>
      </c>
      <c r="N3236">
        <v>56.651265154448602</v>
      </c>
      <c r="O3236">
        <v>56.2365958346033</v>
      </c>
      <c r="P3236">
        <v>-0.15104283211170999</v>
      </c>
      <c r="Q3236">
        <v>7.4205552342043193E-2</v>
      </c>
      <c r="R3236">
        <v>0.99719993501367199</v>
      </c>
      <c r="S3236" t="s">
        <v>7976</v>
      </c>
      <c r="T3236" t="s">
        <v>9478</v>
      </c>
      <c r="U3236" t="s">
        <v>9478</v>
      </c>
      <c r="V3236" t="s">
        <v>9478</v>
      </c>
      <c r="W3236">
        <v>20</v>
      </c>
      <c r="X3236" t="s">
        <v>12714</v>
      </c>
      <c r="Y3236">
        <v>0.58464092725131322</v>
      </c>
      <c r="Z3236" t="str">
        <f>HYPERLINK("Melting_Curves/meltCurve_sp_Q9BZZ5_2_API5_HUMAN_.pdf", "Melting_Curves/meltCurve_sp_Q9BZZ5_2_API5_HUMAN_.pdf")</f>
        <v>Melting_Curves/meltCurve_sp_Q9BZZ5_2_API5_HUMAN_.pdf</v>
      </c>
      <c r="AA3236" t="s">
        <v>17402</v>
      </c>
      <c r="AB3236" t="s">
        <v>22070</v>
      </c>
    </row>
    <row r="3237" spans="1:28" x14ac:dyDescent="0.25">
      <c r="A3237" t="s">
        <v>3241</v>
      </c>
      <c r="B3237">
        <v>0.99904790336628502</v>
      </c>
      <c r="C3237">
        <v>0.93550047811321502</v>
      </c>
      <c r="D3237">
        <v>0.97368695812653905</v>
      </c>
      <c r="E3237">
        <v>0.76612104533811198</v>
      </c>
      <c r="F3237">
        <v>0.72765536666140596</v>
      </c>
      <c r="G3237">
        <v>0.52688074579457</v>
      </c>
      <c r="H3237">
        <v>0.46315682016545001</v>
      </c>
      <c r="I3237">
        <v>0.49201372804279497</v>
      </c>
      <c r="J3237">
        <v>0.52209953684457</v>
      </c>
      <c r="K3237">
        <v>0.49873464225449599</v>
      </c>
      <c r="L3237">
        <v>932.35854629585799</v>
      </c>
      <c r="M3237">
        <v>18.1361042360592</v>
      </c>
      <c r="N3237">
        <v>62.603804778978102</v>
      </c>
      <c r="O3237">
        <v>50.796170298708503</v>
      </c>
      <c r="P3237">
        <v>-4.6374280355287699E-2</v>
      </c>
      <c r="Q3237">
        <v>0.480478719000063</v>
      </c>
      <c r="R3237">
        <v>0.97089835613046105</v>
      </c>
      <c r="S3237" t="s">
        <v>7977</v>
      </c>
      <c r="T3237" t="s">
        <v>9478</v>
      </c>
      <c r="U3237" t="s">
        <v>9478</v>
      </c>
      <c r="V3237" t="s">
        <v>9478</v>
      </c>
      <c r="W3237">
        <v>3</v>
      </c>
      <c r="X3237" t="s">
        <v>12715</v>
      </c>
      <c r="Y3237">
        <v>0.6866483353152284</v>
      </c>
      <c r="Z3237" t="str">
        <f>HYPERLINK("Melting_Curves/meltCurve_sp_Q9C005_DPY30_HUMAN_.pdf", "Melting_Curves/meltCurve_sp_Q9C005_DPY30_HUMAN_.pdf")</f>
        <v>Melting_Curves/meltCurve_sp_Q9C005_DPY30_HUMAN_.pdf</v>
      </c>
      <c r="AA3237" t="s">
        <v>17403</v>
      </c>
      <c r="AB3237" t="s">
        <v>22071</v>
      </c>
    </row>
    <row r="3238" spans="1:28" x14ac:dyDescent="0.25">
      <c r="A3238" t="s">
        <v>3242</v>
      </c>
      <c r="B3238">
        <v>0.99904790336628502</v>
      </c>
      <c r="C3238">
        <v>1.0246967421350099</v>
      </c>
      <c r="D3238">
        <v>1.01212507219662</v>
      </c>
      <c r="E3238">
        <v>0.76456860589700804</v>
      </c>
      <c r="F3238">
        <v>0.38720137830567197</v>
      </c>
      <c r="G3238">
        <v>0.38481601309072699</v>
      </c>
      <c r="H3238">
        <v>0.247869414477359</v>
      </c>
      <c r="I3238">
        <v>0.21212539469990699</v>
      </c>
      <c r="J3238">
        <v>0.13176882974436999</v>
      </c>
      <c r="K3238">
        <v>0.218866234232409</v>
      </c>
      <c r="L3238">
        <v>1477.34366060717</v>
      </c>
      <c r="M3238">
        <v>28.802251145694701</v>
      </c>
      <c r="N3238">
        <v>52.351036219025502</v>
      </c>
      <c r="O3238">
        <v>51.047293298258602</v>
      </c>
      <c r="P3238">
        <v>-0.109927147611036</v>
      </c>
      <c r="Q3238">
        <v>0.220694199219198</v>
      </c>
      <c r="R3238">
        <v>0.97626664099106097</v>
      </c>
      <c r="S3238" t="s">
        <v>7978</v>
      </c>
      <c r="T3238" t="s">
        <v>9478</v>
      </c>
      <c r="U3238" t="s">
        <v>9478</v>
      </c>
      <c r="V3238" t="s">
        <v>9478</v>
      </c>
      <c r="W3238">
        <v>2</v>
      </c>
      <c r="X3238" t="s">
        <v>12716</v>
      </c>
      <c r="Y3238">
        <v>0.51938169101146225</v>
      </c>
      <c r="Z3238" t="str">
        <f>HYPERLINK("Melting_Curves/meltCurve_sp_Q9C035_6_TRIM5_HUMAN_.pdf", "Melting_Curves/meltCurve_sp_Q9C035_6_TRIM5_HUMAN_.pdf")</f>
        <v>Melting_Curves/meltCurve_sp_Q9C035_6_TRIM5_HUMAN_.pdf</v>
      </c>
      <c r="AA3238" t="s">
        <v>17404</v>
      </c>
      <c r="AB3238" t="s">
        <v>22072</v>
      </c>
    </row>
    <row r="3239" spans="1:28" x14ac:dyDescent="0.25">
      <c r="A3239" t="s">
        <v>3243</v>
      </c>
      <c r="B3239">
        <v>0.99904790336628502</v>
      </c>
      <c r="C3239">
        <v>1.04148093390138</v>
      </c>
      <c r="D3239">
        <v>1.09311308219879</v>
      </c>
      <c r="E3239">
        <v>0.92800099476915299</v>
      </c>
      <c r="F3239">
        <v>0.67402937586113798</v>
      </c>
      <c r="G3239">
        <v>0.44506943980984098</v>
      </c>
      <c r="H3239">
        <v>0.36445844704334202</v>
      </c>
      <c r="I3239">
        <v>0.35557344627266102</v>
      </c>
      <c r="J3239">
        <v>0.35791300167956502</v>
      </c>
      <c r="K3239">
        <v>0.37475014491794201</v>
      </c>
      <c r="L3239">
        <v>1763.12251794447</v>
      </c>
      <c r="M3239">
        <v>33.251075385369901</v>
      </c>
      <c r="N3239">
        <v>55.194230418479698</v>
      </c>
      <c r="O3239">
        <v>52.8338413120414</v>
      </c>
      <c r="P3239">
        <v>-9.9957289340572797E-2</v>
      </c>
      <c r="Q3239">
        <v>0.364699682131712</v>
      </c>
      <c r="R3239">
        <v>0.98673876152581597</v>
      </c>
      <c r="S3239" t="s">
        <v>7979</v>
      </c>
      <c r="T3239" t="s">
        <v>9478</v>
      </c>
      <c r="U3239" t="s">
        <v>9478</v>
      </c>
      <c r="V3239" t="s">
        <v>9478</v>
      </c>
      <c r="W3239">
        <v>5</v>
      </c>
      <c r="X3239" t="s">
        <v>12717</v>
      </c>
      <c r="Y3239">
        <v>0.64388022567047543</v>
      </c>
      <c r="Z3239" t="str">
        <f>HYPERLINK("Melting_Curves/meltCurve_sp_Q9C0B0_UNK_HUMAN_.pdf", "Melting_Curves/meltCurve_sp_Q9C0B0_UNK_HUMAN_.pdf")</f>
        <v>Melting_Curves/meltCurve_sp_Q9C0B0_UNK_HUMAN_.pdf</v>
      </c>
      <c r="AA3239" t="s">
        <v>17405</v>
      </c>
      <c r="AB3239" t="s">
        <v>22073</v>
      </c>
    </row>
    <row r="3240" spans="1:28" x14ac:dyDescent="0.25">
      <c r="A3240" t="s">
        <v>3244</v>
      </c>
      <c r="B3240">
        <v>0.99904790336628502</v>
      </c>
      <c r="C3240">
        <v>0.96507629970959596</v>
      </c>
      <c r="D3240">
        <v>0.93019844251342698</v>
      </c>
      <c r="E3240">
        <v>0.67871409440889496</v>
      </c>
      <c r="F3240">
        <v>0.29322958614195699</v>
      </c>
      <c r="G3240">
        <v>0.16465566477923799</v>
      </c>
      <c r="H3240">
        <v>0.101502396778038</v>
      </c>
      <c r="I3240">
        <v>6.0777092151605698E-2</v>
      </c>
      <c r="J3240">
        <v>5.03735293523579E-2</v>
      </c>
      <c r="K3240">
        <v>3.4574277775637201E-2</v>
      </c>
      <c r="L3240">
        <v>1255.34305338998</v>
      </c>
      <c r="M3240">
        <v>24.573856470456199</v>
      </c>
      <c r="N3240">
        <v>51.345698133895198</v>
      </c>
      <c r="O3240">
        <v>50.749806245167598</v>
      </c>
      <c r="P3240">
        <v>-0.113942937689825</v>
      </c>
      <c r="Q3240">
        <v>5.8756005831678101E-2</v>
      </c>
      <c r="R3240">
        <v>0.99613702394938697</v>
      </c>
      <c r="S3240" t="s">
        <v>7980</v>
      </c>
      <c r="T3240" t="s">
        <v>9478</v>
      </c>
      <c r="U3240" t="s">
        <v>9478</v>
      </c>
      <c r="V3240" t="s">
        <v>9478</v>
      </c>
      <c r="W3240">
        <v>11</v>
      </c>
      <c r="X3240" t="s">
        <v>12718</v>
      </c>
      <c r="Y3240">
        <v>0.41533269906593862</v>
      </c>
      <c r="Z3240" t="str">
        <f>HYPERLINK("Melting_Curves/meltCurve_sp_Q9C0B1_FTO_HUMAN_.pdf", "Melting_Curves/meltCurve_sp_Q9C0B1_FTO_HUMAN_.pdf")</f>
        <v>Melting_Curves/meltCurve_sp_Q9C0B1_FTO_HUMAN_.pdf</v>
      </c>
      <c r="AA3240" t="s">
        <v>17406</v>
      </c>
      <c r="AB3240" t="s">
        <v>22074</v>
      </c>
    </row>
    <row r="3241" spans="1:28" x14ac:dyDescent="0.25">
      <c r="A3241" t="s">
        <v>3245</v>
      </c>
      <c r="B3241">
        <v>0.99904790336628502</v>
      </c>
      <c r="C3241">
        <v>0.99776907688595795</v>
      </c>
      <c r="D3241">
        <v>0.82223537881900699</v>
      </c>
      <c r="E3241">
        <v>0.90757881425707498</v>
      </c>
      <c r="F3241">
        <v>1.0831192766747499</v>
      </c>
      <c r="G3241">
        <v>0.84573302092463798</v>
      </c>
      <c r="H3241">
        <v>0.654150650148839</v>
      </c>
      <c r="I3241">
        <v>0.61678298188695602</v>
      </c>
      <c r="J3241">
        <v>0.63734597782094504</v>
      </c>
      <c r="K3241">
        <v>0.61937305800930198</v>
      </c>
      <c r="L3241">
        <v>4997.5107529587003</v>
      </c>
      <c r="M3241">
        <v>87.339010871903596</v>
      </c>
      <c r="O3241">
        <v>57.189707246823403</v>
      </c>
      <c r="P3241">
        <v>-0.14072270311386201</v>
      </c>
      <c r="Q3241">
        <v>0.63141833753542098</v>
      </c>
      <c r="R3241">
        <v>0.830913151424028</v>
      </c>
      <c r="S3241" t="s">
        <v>7981</v>
      </c>
      <c r="T3241" t="s">
        <v>9478</v>
      </c>
      <c r="U3241" t="s">
        <v>9478</v>
      </c>
      <c r="V3241" t="s">
        <v>9478</v>
      </c>
      <c r="W3241">
        <v>2</v>
      </c>
      <c r="X3241" t="s">
        <v>12719</v>
      </c>
      <c r="Y3241">
        <v>0.84328409399197424</v>
      </c>
      <c r="Z3241" t="str">
        <f>HYPERLINK("Melting_Curves/meltCurve_sp_Q9C0B5_2_ZDHC5_HUMAN_.pdf", "Melting_Curves/meltCurve_sp_Q9C0B5_2_ZDHC5_HUMAN_.pdf")</f>
        <v>Melting_Curves/meltCurve_sp_Q9C0B5_2_ZDHC5_HUMAN_.pdf</v>
      </c>
      <c r="AA3241" t="s">
        <v>17407</v>
      </c>
      <c r="AB3241" t="s">
        <v>22075</v>
      </c>
    </row>
    <row r="3242" spans="1:28" x14ac:dyDescent="0.25">
      <c r="A3242" t="s">
        <v>3246</v>
      </c>
      <c r="B3242">
        <v>0.99904790336628502</v>
      </c>
      <c r="C3242">
        <v>0.94927632598317901</v>
      </c>
      <c r="D3242">
        <v>0.84931610454760398</v>
      </c>
      <c r="E3242">
        <v>0.55464624211874103</v>
      </c>
      <c r="F3242">
        <v>0.26136978612013401</v>
      </c>
      <c r="G3242">
        <v>0.13007267414314899</v>
      </c>
      <c r="H3242">
        <v>2.5764987276373399E-2</v>
      </c>
      <c r="I3242">
        <v>3.7669475031878598E-2</v>
      </c>
      <c r="J3242">
        <v>2.5252988616693599E-2</v>
      </c>
      <c r="K3242">
        <v>0</v>
      </c>
      <c r="L3242">
        <v>937.70315333570704</v>
      </c>
      <c r="M3242">
        <v>18.6243042960763</v>
      </c>
      <c r="N3242">
        <v>50.385684892146102</v>
      </c>
      <c r="O3242">
        <v>49.778666737266697</v>
      </c>
      <c r="P3242">
        <v>-9.28987543273707E-2</v>
      </c>
      <c r="Q3242">
        <v>6.8511542172530297E-3</v>
      </c>
      <c r="R3242">
        <v>0.99840414849361203</v>
      </c>
      <c r="S3242" t="s">
        <v>7982</v>
      </c>
      <c r="T3242" t="s">
        <v>9478</v>
      </c>
      <c r="U3242" t="s">
        <v>9478</v>
      </c>
      <c r="V3242" t="s">
        <v>9478</v>
      </c>
      <c r="W3242">
        <v>1</v>
      </c>
      <c r="X3242" t="s">
        <v>12720</v>
      </c>
      <c r="Y3242">
        <v>0.36525108744520379</v>
      </c>
      <c r="Z3242" t="str">
        <f>HYPERLINK("Melting_Curves/meltCurve_sp_Q9C0B7_TNG6_HUMAN_.pdf", "Melting_Curves/meltCurve_sp_Q9C0B7_TNG6_HUMAN_.pdf")</f>
        <v>Melting_Curves/meltCurve_sp_Q9C0B7_TNG6_HUMAN_.pdf</v>
      </c>
      <c r="AA3242" t="s">
        <v>17408</v>
      </c>
      <c r="AB3242" t="s">
        <v>22076</v>
      </c>
    </row>
    <row r="3243" spans="1:28" x14ac:dyDescent="0.25">
      <c r="A3243" t="s">
        <v>3247</v>
      </c>
      <c r="B3243">
        <v>0.99904790336628502</v>
      </c>
      <c r="C3243">
        <v>1.01842370423079</v>
      </c>
      <c r="D3243">
        <v>0.97240911230860105</v>
      </c>
      <c r="E3243">
        <v>0.95686394672425001</v>
      </c>
      <c r="F3243">
        <v>0.91641367946586205</v>
      </c>
      <c r="G3243">
        <v>0.71684431586802799</v>
      </c>
      <c r="H3243">
        <v>0.65087584129575304</v>
      </c>
      <c r="I3243">
        <v>0.61843584136159502</v>
      </c>
      <c r="J3243">
        <v>0.64678820276860804</v>
      </c>
      <c r="K3243">
        <v>0.65674296156658796</v>
      </c>
      <c r="L3243">
        <v>1714.38689097867</v>
      </c>
      <c r="M3243">
        <v>31.304683343241201</v>
      </c>
      <c r="O3243">
        <v>54.542526053007101</v>
      </c>
      <c r="P3243">
        <v>-5.1927563752766803E-2</v>
      </c>
      <c r="Q3243">
        <v>0.63810591630792701</v>
      </c>
      <c r="R3243">
        <v>0.98923860899751603</v>
      </c>
      <c r="S3243" t="s">
        <v>7983</v>
      </c>
      <c r="T3243" t="s">
        <v>9478</v>
      </c>
      <c r="U3243" t="s">
        <v>9478</v>
      </c>
      <c r="V3243" t="s">
        <v>9478</v>
      </c>
      <c r="W3243">
        <v>62</v>
      </c>
      <c r="X3243" t="s">
        <v>12721</v>
      </c>
      <c r="Y3243">
        <v>0.81842149103322848</v>
      </c>
      <c r="Z3243" t="str">
        <f>HYPERLINK("Melting_Curves/meltCurve_sp_Q9C0C2_TB182_HUMAN_.pdf", "Melting_Curves/meltCurve_sp_Q9C0C2_TB182_HUMAN_.pdf")</f>
        <v>Melting_Curves/meltCurve_sp_Q9C0C2_TB182_HUMAN_.pdf</v>
      </c>
      <c r="AA3243" t="s">
        <v>17409</v>
      </c>
      <c r="AB3243" t="s">
        <v>22077</v>
      </c>
    </row>
    <row r="3244" spans="1:28" x14ac:dyDescent="0.25">
      <c r="A3244" t="s">
        <v>3248</v>
      </c>
      <c r="B3244">
        <v>0.99904790336628502</v>
      </c>
      <c r="C3244">
        <v>0.94761658960806405</v>
      </c>
      <c r="D3244">
        <v>0.91909867133317802</v>
      </c>
      <c r="E3244">
        <v>0.76276680090186499</v>
      </c>
      <c r="F3244">
        <v>0.50250647415124505</v>
      </c>
      <c r="G3244">
        <v>0.30027149315505602</v>
      </c>
      <c r="H3244">
        <v>0.17887443982524201</v>
      </c>
      <c r="I3244">
        <v>0.12728858950684899</v>
      </c>
      <c r="J3244">
        <v>9.58094342742878E-2</v>
      </c>
      <c r="K3244">
        <v>8.4891038197815197E-2</v>
      </c>
      <c r="L3244">
        <v>838.93427387299903</v>
      </c>
      <c r="M3244">
        <v>15.8550903993814</v>
      </c>
      <c r="N3244">
        <v>53.4114025740937</v>
      </c>
      <c r="O3244">
        <v>52.092342526575301</v>
      </c>
      <c r="P3244">
        <v>-7.0861017197768605E-2</v>
      </c>
      <c r="Q3244">
        <v>6.8812327455479397E-2</v>
      </c>
      <c r="R3244">
        <v>0.99810574963286702</v>
      </c>
      <c r="S3244" t="s">
        <v>7984</v>
      </c>
      <c r="T3244" t="s">
        <v>9478</v>
      </c>
      <c r="U3244" t="s">
        <v>9478</v>
      </c>
      <c r="V3244" t="s">
        <v>9478</v>
      </c>
      <c r="W3244">
        <v>10</v>
      </c>
      <c r="X3244" t="s">
        <v>12722</v>
      </c>
      <c r="Y3244">
        <v>0.48818560619823181</v>
      </c>
      <c r="Z3244" t="str">
        <f>HYPERLINK("Melting_Curves/meltCurve_sp_Q9C0C9_UBE2O_HUMAN_.pdf", "Melting_Curves/meltCurve_sp_Q9C0C9_UBE2O_HUMAN_.pdf")</f>
        <v>Melting_Curves/meltCurve_sp_Q9C0C9_UBE2O_HUMAN_.pdf</v>
      </c>
      <c r="AA3244" t="s">
        <v>17410</v>
      </c>
      <c r="AB3244" t="s">
        <v>22078</v>
      </c>
    </row>
    <row r="3245" spans="1:28" x14ac:dyDescent="0.25">
      <c r="A3245" t="s">
        <v>3249</v>
      </c>
      <c r="B3245">
        <v>0.99904790336628502</v>
      </c>
      <c r="C3245">
        <v>0.91214833599884704</v>
      </c>
      <c r="D3245">
        <v>0.91104846042697596</v>
      </c>
      <c r="E3245">
        <v>0.79054585909373298</v>
      </c>
      <c r="F3245">
        <v>0.72494993185861401</v>
      </c>
      <c r="G3245">
        <v>0.43715648533571699</v>
      </c>
      <c r="H3245">
        <v>0.37279106855405802</v>
      </c>
      <c r="I3245">
        <v>0.33916418867644299</v>
      </c>
      <c r="J3245">
        <v>0.33657793672756198</v>
      </c>
      <c r="K3245">
        <v>0.365803693799857</v>
      </c>
      <c r="L3245">
        <v>795.80310122589799</v>
      </c>
      <c r="M3245">
        <v>15.0095130756181</v>
      </c>
      <c r="N3245">
        <v>56.6055728120268</v>
      </c>
      <c r="O3245">
        <v>52.105473908584401</v>
      </c>
      <c r="P3245">
        <v>-4.9927398929782998E-2</v>
      </c>
      <c r="Q3245">
        <v>0.306778675129741</v>
      </c>
      <c r="R3245">
        <v>0.977356387414272</v>
      </c>
      <c r="S3245" t="s">
        <v>7985</v>
      </c>
      <c r="T3245" t="s">
        <v>9478</v>
      </c>
      <c r="U3245" t="s">
        <v>9478</v>
      </c>
      <c r="V3245" t="s">
        <v>9478</v>
      </c>
      <c r="W3245">
        <v>12</v>
      </c>
      <c r="X3245" t="s">
        <v>12723</v>
      </c>
      <c r="Y3245">
        <v>0.62252631848793538</v>
      </c>
      <c r="Z3245" t="str">
        <f>HYPERLINK("Melting_Curves/meltCurve_sp_Q9C0H9_5_SRCN1_HUMAN_.pdf", "Melting_Curves/meltCurve_sp_Q9C0H9_5_SRCN1_HUMAN_.pdf")</f>
        <v>Melting_Curves/meltCurve_sp_Q9C0H9_5_SRCN1_HUMAN_.pdf</v>
      </c>
      <c r="AA3245" t="s">
        <v>17411</v>
      </c>
      <c r="AB3245" t="s">
        <v>22079</v>
      </c>
    </row>
    <row r="3246" spans="1:28" x14ac:dyDescent="0.25">
      <c r="A3246" t="s">
        <v>3250</v>
      </c>
      <c r="B3246">
        <v>0.99904790336628502</v>
      </c>
      <c r="C3246">
        <v>1.04956615259807</v>
      </c>
      <c r="D3246">
        <v>1.0330881533259499</v>
      </c>
      <c r="E3246">
        <v>0.988106990337697</v>
      </c>
      <c r="F3246">
        <v>0.93759726306814695</v>
      </c>
      <c r="G3246">
        <v>0.68925981696642402</v>
      </c>
      <c r="H3246">
        <v>0.41334996077806602</v>
      </c>
      <c r="I3246">
        <v>0.102331987747111</v>
      </c>
      <c r="J3246">
        <v>5.8580878862765397E-2</v>
      </c>
      <c r="K3246">
        <v>4.7292513765514202E-2</v>
      </c>
      <c r="L3246">
        <v>1343.8866191050799</v>
      </c>
      <c r="M3246">
        <v>22.642724754644501</v>
      </c>
      <c r="N3246">
        <v>59.351809093082501</v>
      </c>
      <c r="O3246">
        <v>58.894666495710297</v>
      </c>
      <c r="P3246">
        <v>-9.6117237615231693E-2</v>
      </c>
      <c r="Q3246">
        <v>0</v>
      </c>
      <c r="R3246">
        <v>0.99276670250557997</v>
      </c>
      <c r="S3246" t="s">
        <v>7986</v>
      </c>
      <c r="T3246" t="s">
        <v>9478</v>
      </c>
      <c r="U3246" t="s">
        <v>9478</v>
      </c>
      <c r="V3246" t="s">
        <v>9478</v>
      </c>
      <c r="W3246">
        <v>13</v>
      </c>
      <c r="X3246" t="s">
        <v>12724</v>
      </c>
      <c r="Y3246">
        <v>0.65381990886555885</v>
      </c>
      <c r="Z3246" t="str">
        <f>HYPERLINK("Melting_Curves/meltCurve_sp_Q9C0I1_MTMRC_HUMAN_.pdf", "Melting_Curves/meltCurve_sp_Q9C0I1_MTMRC_HUMAN_.pdf")</f>
        <v>Melting_Curves/meltCurve_sp_Q9C0I1_MTMRC_HUMAN_.pdf</v>
      </c>
      <c r="AA3246" t="s">
        <v>17412</v>
      </c>
      <c r="AB3246" t="s">
        <v>22080</v>
      </c>
    </row>
    <row r="3247" spans="1:28" x14ac:dyDescent="0.25">
      <c r="A3247" t="s">
        <v>3251</v>
      </c>
      <c r="B3247">
        <v>0.99904790336628502</v>
      </c>
      <c r="C3247">
        <v>1.1305536931926501</v>
      </c>
      <c r="D3247">
        <v>1.0197862180903901</v>
      </c>
      <c r="E3247">
        <v>1.01150524135454</v>
      </c>
      <c r="F3247">
        <v>1.0019076035204499</v>
      </c>
      <c r="G3247">
        <v>0.628279413182671</v>
      </c>
      <c r="H3247">
        <v>0.625342433256314</v>
      </c>
      <c r="I3247">
        <v>0.59525184389013797</v>
      </c>
      <c r="J3247">
        <v>0.60978550558780298</v>
      </c>
      <c r="K3247">
        <v>0.63232700149758103</v>
      </c>
      <c r="L3247">
        <v>14057.0989855548</v>
      </c>
      <c r="M3247">
        <v>250</v>
      </c>
      <c r="O3247">
        <v>56.224797375984899</v>
      </c>
      <c r="P3247">
        <v>-0.42721730929941099</v>
      </c>
      <c r="Q3247">
        <v>0.61567669183631402</v>
      </c>
      <c r="R3247">
        <v>0.95842540948045296</v>
      </c>
      <c r="S3247" t="s">
        <v>7987</v>
      </c>
      <c r="T3247" t="s">
        <v>9478</v>
      </c>
      <c r="U3247" t="s">
        <v>9478</v>
      </c>
      <c r="V3247" t="s">
        <v>9478</v>
      </c>
      <c r="W3247">
        <v>9</v>
      </c>
      <c r="X3247" t="s">
        <v>12725</v>
      </c>
      <c r="Y3247">
        <v>0.82361297733503069</v>
      </c>
      <c r="Z3247" t="str">
        <f>HYPERLINK("Melting_Curves/meltCurve_sp_Q9C0J8_WDR33_HUMAN_.pdf", "Melting_Curves/meltCurve_sp_Q9C0J8_WDR33_HUMAN_.pdf")</f>
        <v>Melting_Curves/meltCurve_sp_Q9C0J8_WDR33_HUMAN_.pdf</v>
      </c>
      <c r="AA3247" t="s">
        <v>17413</v>
      </c>
      <c r="AB3247" t="s">
        <v>22081</v>
      </c>
    </row>
    <row r="3248" spans="1:28" x14ac:dyDescent="0.25">
      <c r="A3248" t="s">
        <v>3252</v>
      </c>
      <c r="B3248">
        <v>0.99904790336628502</v>
      </c>
      <c r="C3248">
        <v>0.77785849644275196</v>
      </c>
      <c r="D3248">
        <v>1.27240665081725</v>
      </c>
      <c r="E3248">
        <v>0.96650976742912897</v>
      </c>
      <c r="F3248">
        <v>0.96167988319900299</v>
      </c>
      <c r="G3248">
        <v>0.75473261272774805</v>
      </c>
      <c r="H3248">
        <v>0.48054538453612999</v>
      </c>
      <c r="I3248">
        <v>0.262841995012634</v>
      </c>
      <c r="J3248">
        <v>0.152865960562037</v>
      </c>
      <c r="K3248">
        <v>0.26706622178551098</v>
      </c>
      <c r="L3248">
        <v>1506.4554123024</v>
      </c>
      <c r="M3248">
        <v>25.4697442058585</v>
      </c>
      <c r="N3248">
        <v>60.230502068515797</v>
      </c>
      <c r="O3248">
        <v>58.785846093082498</v>
      </c>
      <c r="P3248">
        <v>-8.8408183808688007E-2</v>
      </c>
      <c r="Q3248">
        <v>0.183802381318905</v>
      </c>
      <c r="R3248">
        <v>0.89421902110705498</v>
      </c>
      <c r="S3248" t="s">
        <v>7988</v>
      </c>
      <c r="T3248" t="s">
        <v>9478</v>
      </c>
      <c r="U3248" t="s">
        <v>9478</v>
      </c>
      <c r="V3248" t="s">
        <v>9478</v>
      </c>
      <c r="W3248">
        <v>2</v>
      </c>
      <c r="X3248" t="s">
        <v>12726</v>
      </c>
      <c r="Y3248">
        <v>0.7111924010584123</v>
      </c>
      <c r="Z3248" t="str">
        <f>HYPERLINK("Melting_Curves/meltCurve_sp_Q9GZM5_YIPF3_HUMAN_.pdf", "Melting_Curves/meltCurve_sp_Q9GZM5_YIPF3_HUMAN_.pdf")</f>
        <v>Melting_Curves/meltCurve_sp_Q9GZM5_YIPF3_HUMAN_.pdf</v>
      </c>
      <c r="AA3248" t="s">
        <v>17414</v>
      </c>
      <c r="AB3248" t="s">
        <v>22082</v>
      </c>
    </row>
    <row r="3249" spans="1:28" x14ac:dyDescent="0.25">
      <c r="A3249" t="s">
        <v>3253</v>
      </c>
      <c r="B3249">
        <v>0.99904790336628502</v>
      </c>
      <c r="C3249">
        <v>0.89417223110336597</v>
      </c>
      <c r="D3249">
        <v>0.93727168265916205</v>
      </c>
      <c r="E3249">
        <v>0.83434796166070602</v>
      </c>
      <c r="F3249">
        <v>0.81748299624988896</v>
      </c>
      <c r="G3249">
        <v>0.53188112237126395</v>
      </c>
      <c r="H3249">
        <v>0.35894184047093802</v>
      </c>
      <c r="I3249">
        <v>0.31889941872708299</v>
      </c>
      <c r="J3249">
        <v>0.29509916091160598</v>
      </c>
      <c r="K3249">
        <v>0.223882148420609</v>
      </c>
      <c r="L3249">
        <v>717.87496337913797</v>
      </c>
      <c r="M3249">
        <v>12.740903824263601</v>
      </c>
      <c r="N3249">
        <v>58.2068202520732</v>
      </c>
      <c r="O3249">
        <v>55.010187460624302</v>
      </c>
      <c r="P3249">
        <v>-4.8217649574479798E-2</v>
      </c>
      <c r="Q3249">
        <v>0.16742004948497199</v>
      </c>
      <c r="R3249">
        <v>0.97867650295241204</v>
      </c>
      <c r="S3249" t="s">
        <v>7989</v>
      </c>
      <c r="T3249" t="s">
        <v>9478</v>
      </c>
      <c r="U3249" t="s">
        <v>9478</v>
      </c>
      <c r="V3249" t="s">
        <v>9478</v>
      </c>
      <c r="W3249">
        <v>2</v>
      </c>
      <c r="X3249" t="s">
        <v>12727</v>
      </c>
      <c r="Y3249">
        <v>0.63670069809959873</v>
      </c>
      <c r="Z3249" t="str">
        <f>HYPERLINK("Melting_Curves/meltCurve_sp_Q9GZM7_3_TINAL_HUMAN_.pdf", "Melting_Curves/meltCurve_sp_Q9GZM7_3_TINAL_HUMAN_.pdf")</f>
        <v>Melting_Curves/meltCurve_sp_Q9GZM7_3_TINAL_HUMAN_.pdf</v>
      </c>
      <c r="AA3249" t="s">
        <v>17415</v>
      </c>
      <c r="AB3249" t="s">
        <v>22083</v>
      </c>
    </row>
    <row r="3250" spans="1:28" x14ac:dyDescent="0.25">
      <c r="A3250" t="s">
        <v>3254</v>
      </c>
      <c r="B3250">
        <v>0.99904790336628502</v>
      </c>
      <c r="C3250">
        <v>0.94485500163888902</v>
      </c>
      <c r="D3250">
        <v>0.84268406612688695</v>
      </c>
      <c r="E3250">
        <v>0.84351499906416205</v>
      </c>
      <c r="F3250">
        <v>0.85226603218972197</v>
      </c>
      <c r="G3250">
        <v>0.67716288768783806</v>
      </c>
      <c r="H3250">
        <v>0.42121753492053299</v>
      </c>
      <c r="I3250">
        <v>0.285513329797908</v>
      </c>
      <c r="J3250">
        <v>0.15708588579008601</v>
      </c>
      <c r="K3250">
        <v>0.10265701350022501</v>
      </c>
      <c r="L3250">
        <v>747.178650428987</v>
      </c>
      <c r="M3250">
        <v>12.5870335036723</v>
      </c>
      <c r="N3250">
        <v>59.360980576531603</v>
      </c>
      <c r="O3250">
        <v>57.922438593093098</v>
      </c>
      <c r="P3250">
        <v>-5.4337985979280003E-2</v>
      </c>
      <c r="Q3250">
        <v>0</v>
      </c>
      <c r="R3250">
        <v>0.97103470677705805</v>
      </c>
      <c r="S3250" t="s">
        <v>7990</v>
      </c>
      <c r="T3250" t="s">
        <v>9478</v>
      </c>
      <c r="U3250" t="s">
        <v>9478</v>
      </c>
      <c r="V3250" t="s">
        <v>9478</v>
      </c>
      <c r="W3250">
        <v>3</v>
      </c>
      <c r="X3250" t="s">
        <v>12728</v>
      </c>
      <c r="Y3250">
        <v>0.65234380880892018</v>
      </c>
      <c r="Z3250" t="str">
        <f>HYPERLINK("Melting_Curves/meltCurve_sp_Q9GZN8_CT027_HUMAN_.pdf", "Melting_Curves/meltCurve_sp_Q9GZN8_CT027_HUMAN_.pdf")</f>
        <v>Melting_Curves/meltCurve_sp_Q9GZN8_CT027_HUMAN_.pdf</v>
      </c>
      <c r="AA3250" t="s">
        <v>17416</v>
      </c>
      <c r="AB3250" t="s">
        <v>22084</v>
      </c>
    </row>
    <row r="3251" spans="1:28" x14ac:dyDescent="0.25">
      <c r="A3251" t="s">
        <v>3255</v>
      </c>
      <c r="B3251">
        <v>0.99904790336628502</v>
      </c>
      <c r="C3251">
        <v>1.03021484577308</v>
      </c>
      <c r="D3251">
        <v>0.95790283986667202</v>
      </c>
      <c r="E3251">
        <v>0.97589812370801698</v>
      </c>
      <c r="F3251">
        <v>0.83255454831508102</v>
      </c>
      <c r="G3251">
        <v>0.76653055579317597</v>
      </c>
      <c r="H3251">
        <v>0.51978988897612499</v>
      </c>
      <c r="I3251">
        <v>0.43163126285198899</v>
      </c>
      <c r="J3251">
        <v>0.32277013891168499</v>
      </c>
      <c r="K3251">
        <v>0.18851980842105501</v>
      </c>
      <c r="L3251">
        <v>713.32398216523495</v>
      </c>
      <c r="M3251">
        <v>11.491874564739099</v>
      </c>
      <c r="N3251">
        <v>62.072029976182101</v>
      </c>
      <c r="O3251">
        <v>60.2816699381288</v>
      </c>
      <c r="P3251">
        <v>-4.7672657780964203E-2</v>
      </c>
      <c r="Q3251">
        <v>0</v>
      </c>
      <c r="R3251">
        <v>0.99032043330128094</v>
      </c>
      <c r="S3251" t="s">
        <v>7991</v>
      </c>
      <c r="T3251" t="s">
        <v>9478</v>
      </c>
      <c r="U3251" t="s">
        <v>9478</v>
      </c>
      <c r="V3251" t="s">
        <v>9478</v>
      </c>
      <c r="W3251">
        <v>10</v>
      </c>
      <c r="X3251" t="s">
        <v>12729</v>
      </c>
      <c r="Y3251">
        <v>0.72169107525064657</v>
      </c>
      <c r="Z3251" t="str">
        <f>HYPERLINK("Melting_Curves/meltCurve_sp_Q9GZP4_PITH1_HUMAN_.pdf", "Melting_Curves/meltCurve_sp_Q9GZP4_PITH1_HUMAN_.pdf")</f>
        <v>Melting_Curves/meltCurve_sp_Q9GZP4_PITH1_HUMAN_.pdf</v>
      </c>
      <c r="AA3251" t="s">
        <v>17417</v>
      </c>
      <c r="AB3251" t="s">
        <v>22085</v>
      </c>
    </row>
    <row r="3252" spans="1:28" x14ac:dyDescent="0.25">
      <c r="A3252" t="s">
        <v>3256</v>
      </c>
      <c r="B3252">
        <v>0.99904790336628502</v>
      </c>
      <c r="C3252">
        <v>0.97344221957478205</v>
      </c>
      <c r="D3252">
        <v>0.99248736131213</v>
      </c>
      <c r="E3252">
        <v>0.87314810285224698</v>
      </c>
      <c r="F3252">
        <v>0.75891969787454905</v>
      </c>
      <c r="G3252">
        <v>0.29876673641600698</v>
      </c>
      <c r="H3252">
        <v>7.2454105477653893E-2</v>
      </c>
      <c r="I3252">
        <v>6.6993488727367101E-2</v>
      </c>
      <c r="J3252">
        <v>5.3509440100335301E-2</v>
      </c>
      <c r="K3252">
        <v>4.4927376055150001E-2</v>
      </c>
      <c r="L3252">
        <v>1431.64323637647</v>
      </c>
      <c r="M3252">
        <v>26.074118014090299</v>
      </c>
      <c r="N3252">
        <v>55.059300431713098</v>
      </c>
      <c r="O3252">
        <v>54.586764621471801</v>
      </c>
      <c r="P3252">
        <v>-0.115254060131026</v>
      </c>
      <c r="Q3252">
        <v>3.4862899158524099E-2</v>
      </c>
      <c r="R3252">
        <v>0.99655982252268804</v>
      </c>
      <c r="S3252" t="s">
        <v>7992</v>
      </c>
      <c r="T3252" t="s">
        <v>9478</v>
      </c>
      <c r="U3252" t="s">
        <v>9478</v>
      </c>
      <c r="V3252" t="s">
        <v>9478</v>
      </c>
      <c r="W3252">
        <v>5</v>
      </c>
      <c r="X3252" t="s">
        <v>12730</v>
      </c>
      <c r="Y3252">
        <v>0.52271778943030689</v>
      </c>
      <c r="Z3252" t="str">
        <f>HYPERLINK("Melting_Curves/meltCurve_sp_Q9GZQ3_COMD5_HUMAN_.pdf", "Melting_Curves/meltCurve_sp_Q9GZQ3_COMD5_HUMAN_.pdf")</f>
        <v>Melting_Curves/meltCurve_sp_Q9GZQ3_COMD5_HUMAN_.pdf</v>
      </c>
      <c r="AA3252" t="s">
        <v>17418</v>
      </c>
      <c r="AB3252" t="s">
        <v>22086</v>
      </c>
    </row>
    <row r="3253" spans="1:28" x14ac:dyDescent="0.25">
      <c r="A3253" t="s">
        <v>3257</v>
      </c>
      <c r="B3253">
        <v>0.99904790336628502</v>
      </c>
      <c r="C3253">
        <v>1.01795789169119</v>
      </c>
      <c r="D3253">
        <v>1.0689153360934001</v>
      </c>
      <c r="E3253">
        <v>0.57904568363096598</v>
      </c>
      <c r="F3253">
        <v>0.26043394456286301</v>
      </c>
      <c r="G3253">
        <v>0.15149590581098499</v>
      </c>
      <c r="H3253">
        <v>0.110356803276871</v>
      </c>
      <c r="I3253">
        <v>0.10289530998194001</v>
      </c>
      <c r="J3253">
        <v>0.13380926867309301</v>
      </c>
      <c r="K3253">
        <v>0.13411408496143001</v>
      </c>
      <c r="L3253">
        <v>1987.87399563195</v>
      </c>
      <c r="M3253">
        <v>39.583016460110798</v>
      </c>
      <c r="N3253">
        <v>50.6024340875259</v>
      </c>
      <c r="O3253">
        <v>50.092710343438398</v>
      </c>
      <c r="P3253">
        <v>-0.172032458035944</v>
      </c>
      <c r="Q3253">
        <v>0.129166587485854</v>
      </c>
      <c r="R3253">
        <v>0.99256985965664801</v>
      </c>
      <c r="S3253" t="s">
        <v>7993</v>
      </c>
      <c r="T3253" t="s">
        <v>9478</v>
      </c>
      <c r="U3253" t="s">
        <v>9478</v>
      </c>
      <c r="V3253" t="s">
        <v>9478</v>
      </c>
      <c r="W3253">
        <v>10</v>
      </c>
      <c r="X3253" t="s">
        <v>12731</v>
      </c>
      <c r="Y3253">
        <v>0.42892976552838907</v>
      </c>
      <c r="Z3253" t="str">
        <f>HYPERLINK("Melting_Curves/meltCurve_sp_Q9GZT3_2_SLIRP_HUMAN_.pdf", "Melting_Curves/meltCurve_sp_Q9GZT3_2_SLIRP_HUMAN_.pdf")</f>
        <v>Melting_Curves/meltCurve_sp_Q9GZT3_2_SLIRP_HUMAN_.pdf</v>
      </c>
      <c r="AA3253" t="s">
        <v>17419</v>
      </c>
      <c r="AB3253" t="s">
        <v>22087</v>
      </c>
    </row>
    <row r="3254" spans="1:28" x14ac:dyDescent="0.25">
      <c r="A3254" t="s">
        <v>3258</v>
      </c>
      <c r="B3254">
        <v>0.99904790336628502</v>
      </c>
      <c r="C3254">
        <v>1.06720160681814</v>
      </c>
      <c r="D3254">
        <v>1.0323836500048</v>
      </c>
      <c r="E3254">
        <v>1.1305497551833901</v>
      </c>
      <c r="F3254">
        <v>1.02230554935492</v>
      </c>
      <c r="G3254">
        <v>0.785355910406071</v>
      </c>
      <c r="H3254">
        <v>0.57498230058253996</v>
      </c>
      <c r="I3254">
        <v>0.55861471156325204</v>
      </c>
      <c r="J3254">
        <v>0.46203440850120198</v>
      </c>
      <c r="K3254">
        <v>0.23459355928282</v>
      </c>
      <c r="L3254">
        <v>980.77425960549499</v>
      </c>
      <c r="M3254">
        <v>15.806460319709499</v>
      </c>
      <c r="N3254">
        <v>63.997353265659903</v>
      </c>
      <c r="O3254">
        <v>61.081265602781002</v>
      </c>
      <c r="P3254">
        <v>-5.2342838094281599E-2</v>
      </c>
      <c r="Q3254">
        <v>0.19098806020478201</v>
      </c>
      <c r="R3254">
        <v>0.93449422577510899</v>
      </c>
      <c r="S3254" t="s">
        <v>7994</v>
      </c>
      <c r="T3254" t="s">
        <v>9478</v>
      </c>
      <c r="U3254" t="s">
        <v>9478</v>
      </c>
      <c r="V3254" t="s">
        <v>9478</v>
      </c>
      <c r="W3254">
        <v>12</v>
      </c>
      <c r="X3254" t="s">
        <v>12732</v>
      </c>
      <c r="Y3254">
        <v>0.78428115769307238</v>
      </c>
      <c r="Z3254" t="str">
        <f>HYPERLINK("Melting_Curves/meltCurve_sp_Q9GZT8_2_NIF3L_HUMAN_.pdf", "Melting_Curves/meltCurve_sp_Q9GZT8_2_NIF3L_HUMAN_.pdf")</f>
        <v>Melting_Curves/meltCurve_sp_Q9GZT8_2_NIF3L_HUMAN_.pdf</v>
      </c>
      <c r="AA3254" t="s">
        <v>17420</v>
      </c>
      <c r="AB3254" t="s">
        <v>22088</v>
      </c>
    </row>
    <row r="3255" spans="1:28" x14ac:dyDescent="0.25">
      <c r="A3255" t="s">
        <v>3259</v>
      </c>
      <c r="B3255">
        <v>0.99904790336628502</v>
      </c>
      <c r="C3255">
        <v>0.83425349288478901</v>
      </c>
      <c r="D3255">
        <v>0.66526902074546701</v>
      </c>
      <c r="E3255">
        <v>0.44632765428325399</v>
      </c>
      <c r="F3255">
        <v>0.32586917224429002</v>
      </c>
      <c r="G3255">
        <v>0.235697901968906</v>
      </c>
      <c r="H3255">
        <v>0.18920131923237099</v>
      </c>
      <c r="I3255">
        <v>0.22421883550617699</v>
      </c>
      <c r="J3255">
        <v>0.223144306018979</v>
      </c>
      <c r="K3255">
        <v>0.236540243453259</v>
      </c>
      <c r="L3255">
        <v>752.27846619852403</v>
      </c>
      <c r="M3255">
        <v>16.003201931968299</v>
      </c>
      <c r="N3255">
        <v>48.638984312175999</v>
      </c>
      <c r="O3255">
        <v>46.292361661022603</v>
      </c>
      <c r="P3255">
        <v>-6.8484674260210293E-2</v>
      </c>
      <c r="Q3255">
        <v>0.207641588755131</v>
      </c>
      <c r="R3255">
        <v>0.992852451964779</v>
      </c>
      <c r="S3255" t="s">
        <v>7995</v>
      </c>
      <c r="T3255" t="s">
        <v>9478</v>
      </c>
      <c r="U3255" t="s">
        <v>9478</v>
      </c>
      <c r="V3255" t="s">
        <v>9478</v>
      </c>
      <c r="W3255">
        <v>13</v>
      </c>
      <c r="X3255" t="s">
        <v>12733</v>
      </c>
      <c r="Y3255">
        <v>0.41153926071572999</v>
      </c>
      <c r="Z3255" t="str">
        <f>HYPERLINK("Melting_Curves/meltCurve_sp_Q9GZT9_EGLN1_HUMAN_.pdf", "Melting_Curves/meltCurve_sp_Q9GZT9_EGLN1_HUMAN_.pdf")</f>
        <v>Melting_Curves/meltCurve_sp_Q9GZT9_EGLN1_HUMAN_.pdf</v>
      </c>
      <c r="AA3255" t="s">
        <v>17421</v>
      </c>
      <c r="AB3255" t="s">
        <v>22089</v>
      </c>
    </row>
    <row r="3256" spans="1:28" x14ac:dyDescent="0.25">
      <c r="A3256" t="s">
        <v>3260</v>
      </c>
      <c r="B3256">
        <v>0.99904790336628502</v>
      </c>
      <c r="C3256">
        <v>1.0754682083973499</v>
      </c>
      <c r="D3256">
        <v>1.0824853515114199</v>
      </c>
      <c r="E3256">
        <v>0.99205625169383205</v>
      </c>
      <c r="F3256">
        <v>1.2158643288003701</v>
      </c>
      <c r="G3256">
        <v>0.81204170876217696</v>
      </c>
      <c r="H3256">
        <v>0.77112584170021004</v>
      </c>
      <c r="I3256">
        <v>0.909154321781663</v>
      </c>
      <c r="J3256">
        <v>0.99033333542203195</v>
      </c>
      <c r="K3256">
        <v>1.10070774516392</v>
      </c>
      <c r="S3256" t="s">
        <v>7996</v>
      </c>
      <c r="T3256" t="s">
        <v>9478</v>
      </c>
      <c r="U3256" t="s">
        <v>9479</v>
      </c>
      <c r="V3256" t="s">
        <v>9478</v>
      </c>
      <c r="W3256">
        <v>7</v>
      </c>
      <c r="X3256" t="s">
        <v>12734</v>
      </c>
      <c r="Z3256" t="str">
        <f>HYPERLINK("Melting_Curves/meltCurve_sp_Q9GZU8_F192A_HUMAN_.pdf", "Melting_Curves/meltCurve_sp_Q9GZU8_F192A_HUMAN_.pdf")</f>
        <v>Melting_Curves/meltCurve_sp_Q9GZU8_F192A_HUMAN_.pdf</v>
      </c>
      <c r="AA3256" t="s">
        <v>17422</v>
      </c>
      <c r="AB3256" t="s">
        <v>22090</v>
      </c>
    </row>
    <row r="3257" spans="1:28" x14ac:dyDescent="0.25">
      <c r="A3257" t="s">
        <v>3261</v>
      </c>
      <c r="B3257">
        <v>0.99904790336628502</v>
      </c>
      <c r="C3257">
        <v>0.90391659005595903</v>
      </c>
      <c r="D3257">
        <v>0.83106015925642995</v>
      </c>
      <c r="E3257">
        <v>0.818002247743425</v>
      </c>
      <c r="F3257">
        <v>0.815581068949778</v>
      </c>
      <c r="G3257">
        <v>0.60810514295409901</v>
      </c>
      <c r="H3257">
        <v>0.50740677995361605</v>
      </c>
      <c r="I3257">
        <v>0.44291947646587099</v>
      </c>
      <c r="J3257">
        <v>0.42453431952563497</v>
      </c>
      <c r="K3257">
        <v>0.41743296904224197</v>
      </c>
      <c r="L3257">
        <v>407.102576083266</v>
      </c>
      <c r="M3257">
        <v>7.0040525249090297</v>
      </c>
      <c r="N3257">
        <v>62.663489863805502</v>
      </c>
      <c r="O3257">
        <v>53.942134779131102</v>
      </c>
      <c r="P3257">
        <v>-2.60502200262549E-2</v>
      </c>
      <c r="Q3257">
        <v>0.19897220106831601</v>
      </c>
      <c r="R3257">
        <v>0.96281476368658503</v>
      </c>
      <c r="S3257" t="s">
        <v>7997</v>
      </c>
      <c r="T3257" t="s">
        <v>9478</v>
      </c>
      <c r="U3257" t="s">
        <v>9478</v>
      </c>
      <c r="V3257" t="s">
        <v>9478</v>
      </c>
      <c r="W3257">
        <v>3</v>
      </c>
      <c r="X3257" t="s">
        <v>12735</v>
      </c>
      <c r="Y3257">
        <v>0.68062588713408756</v>
      </c>
      <c r="Z3257" t="str">
        <f>HYPERLINK("Melting_Curves/meltCurve_sp_Q9GZY8_2_MFF_HUMAN_.pdf", "Melting_Curves/meltCurve_sp_Q9GZY8_2_MFF_HUMAN_.pdf")</f>
        <v>Melting_Curves/meltCurve_sp_Q9GZY8_2_MFF_HUMAN_.pdf</v>
      </c>
      <c r="AA3257" t="s">
        <v>17423</v>
      </c>
      <c r="AB3257" t="s">
        <v>22091</v>
      </c>
    </row>
    <row r="3258" spans="1:28" x14ac:dyDescent="0.25">
      <c r="A3258" t="s">
        <v>3262</v>
      </c>
      <c r="B3258">
        <v>0.99904790336628502</v>
      </c>
      <c r="C3258">
        <v>0.97433526921518798</v>
      </c>
      <c r="D3258">
        <v>0.94182079457941703</v>
      </c>
      <c r="E3258">
        <v>0.63249888544418098</v>
      </c>
      <c r="F3258">
        <v>0.34228415586128003</v>
      </c>
      <c r="G3258">
        <v>0.202672284279549</v>
      </c>
      <c r="H3258">
        <v>0.13250930954333701</v>
      </c>
      <c r="I3258">
        <v>0.112596442275608</v>
      </c>
      <c r="J3258">
        <v>9.3059057467007003E-2</v>
      </c>
      <c r="K3258">
        <v>8.9193104937846601E-2</v>
      </c>
      <c r="L3258">
        <v>1144.11528527056</v>
      </c>
      <c r="M3258">
        <v>22.507409516386499</v>
      </c>
      <c r="N3258">
        <v>51.353224651526503</v>
      </c>
      <c r="O3258">
        <v>50.436661350324002</v>
      </c>
      <c r="P3258">
        <v>-0.100188703346269</v>
      </c>
      <c r="Q3258">
        <v>0.10197041473662</v>
      </c>
      <c r="R3258">
        <v>0.99854349266510101</v>
      </c>
      <c r="S3258" t="s">
        <v>7998</v>
      </c>
      <c r="T3258" t="s">
        <v>9478</v>
      </c>
      <c r="U3258" t="s">
        <v>9478</v>
      </c>
      <c r="V3258" t="s">
        <v>9478</v>
      </c>
      <c r="W3258">
        <v>5</v>
      </c>
      <c r="X3258" t="s">
        <v>12736</v>
      </c>
      <c r="Y3258">
        <v>0.43619130950237489</v>
      </c>
      <c r="Z3258" t="str">
        <f>HYPERLINK("Melting_Curves/meltCurve_sp_Q9GZZ9_UBA5_HUMAN_.pdf", "Melting_Curves/meltCurve_sp_Q9GZZ9_UBA5_HUMAN_.pdf")</f>
        <v>Melting_Curves/meltCurve_sp_Q9GZZ9_UBA5_HUMAN_.pdf</v>
      </c>
      <c r="AA3258" t="s">
        <v>17424</v>
      </c>
      <c r="AB3258" t="s">
        <v>22092</v>
      </c>
    </row>
    <row r="3259" spans="1:28" x14ac:dyDescent="0.25">
      <c r="A3259" t="s">
        <v>3263</v>
      </c>
      <c r="B3259">
        <v>0.99904790336628502</v>
      </c>
      <c r="C3259">
        <v>1.0013658367398</v>
      </c>
      <c r="D3259">
        <v>1.0198775180678099</v>
      </c>
      <c r="E3259">
        <v>1.0208383795370699</v>
      </c>
      <c r="F3259">
        <v>1.0050953580119699</v>
      </c>
      <c r="G3259">
        <v>0.79002859993125196</v>
      </c>
      <c r="H3259">
        <v>0.31035839731408499</v>
      </c>
      <c r="I3259">
        <v>8.2732798784499295E-2</v>
      </c>
      <c r="J3259">
        <v>3.8985054128861503E-2</v>
      </c>
      <c r="K3259">
        <v>4.5283177176665898E-2</v>
      </c>
      <c r="L3259">
        <v>2007.7307852210999</v>
      </c>
      <c r="M3259">
        <v>33.863151889621697</v>
      </c>
      <c r="N3259">
        <v>59.381492472122503</v>
      </c>
      <c r="O3259">
        <v>59.083927546331701</v>
      </c>
      <c r="P3259">
        <v>-0.13962525243524501</v>
      </c>
      <c r="Q3259">
        <v>2.5539704788395901E-2</v>
      </c>
      <c r="R3259">
        <v>0.99878339610560796</v>
      </c>
      <c r="S3259" t="s">
        <v>7999</v>
      </c>
      <c r="T3259" t="s">
        <v>9478</v>
      </c>
      <c r="U3259" t="s">
        <v>9478</v>
      </c>
      <c r="V3259" t="s">
        <v>9478</v>
      </c>
      <c r="W3259">
        <v>11</v>
      </c>
      <c r="X3259" t="s">
        <v>12737</v>
      </c>
      <c r="Y3259">
        <v>0.65721729579569232</v>
      </c>
      <c r="Z3259" t="str">
        <f>HYPERLINK("Melting_Curves/meltCurve_sp_Q9H008_LHPP_HUMAN_.pdf", "Melting_Curves/meltCurve_sp_Q9H008_LHPP_HUMAN_.pdf")</f>
        <v>Melting_Curves/meltCurve_sp_Q9H008_LHPP_HUMAN_.pdf</v>
      </c>
      <c r="AA3259" t="s">
        <v>17425</v>
      </c>
      <c r="AB3259" t="s">
        <v>22093</v>
      </c>
    </row>
    <row r="3260" spans="1:28" x14ac:dyDescent="0.25">
      <c r="A3260" t="s">
        <v>3264</v>
      </c>
      <c r="B3260">
        <v>0.99904790336628502</v>
      </c>
      <c r="C3260">
        <v>0.975972844703348</v>
      </c>
      <c r="D3260">
        <v>1.0468250584343799</v>
      </c>
      <c r="E3260">
        <v>0.95954100894370098</v>
      </c>
      <c r="F3260">
        <v>0.91557223819759703</v>
      </c>
      <c r="G3260">
        <v>0.71559664989238603</v>
      </c>
      <c r="H3260">
        <v>0.479105073233278</v>
      </c>
      <c r="I3260">
        <v>0.252880133365747</v>
      </c>
      <c r="J3260">
        <v>0.101978042005647</v>
      </c>
      <c r="K3260">
        <v>5.3641481170519603E-2</v>
      </c>
      <c r="L3260">
        <v>1111.3258428492099</v>
      </c>
      <c r="M3260">
        <v>18.459036755682899</v>
      </c>
      <c r="N3260">
        <v>60.204975274200102</v>
      </c>
      <c r="O3260">
        <v>59.511740170043602</v>
      </c>
      <c r="P3260">
        <v>-7.7547148850604597E-2</v>
      </c>
      <c r="Q3260">
        <v>0</v>
      </c>
      <c r="R3260">
        <v>0.99515964049001104</v>
      </c>
      <c r="S3260" t="s">
        <v>8000</v>
      </c>
      <c r="T3260" t="s">
        <v>9478</v>
      </c>
      <c r="U3260" t="s">
        <v>9478</v>
      </c>
      <c r="V3260" t="s">
        <v>9478</v>
      </c>
      <c r="W3260">
        <v>9</v>
      </c>
      <c r="X3260" t="s">
        <v>12738</v>
      </c>
      <c r="Y3260">
        <v>0.68131198124334524</v>
      </c>
      <c r="Z3260" t="str">
        <f>HYPERLINK("Melting_Curves/meltCurve_sp_Q9H074_PAIP1_HUMAN_.pdf", "Melting_Curves/meltCurve_sp_Q9H074_PAIP1_HUMAN_.pdf")</f>
        <v>Melting_Curves/meltCurve_sp_Q9H074_PAIP1_HUMAN_.pdf</v>
      </c>
      <c r="AA3260" t="s">
        <v>17426</v>
      </c>
      <c r="AB3260" t="s">
        <v>22094</v>
      </c>
    </row>
    <row r="3261" spans="1:28" x14ac:dyDescent="0.25">
      <c r="A3261" t="s">
        <v>3265</v>
      </c>
      <c r="B3261">
        <v>0.99904790336628502</v>
      </c>
      <c r="C3261">
        <v>1.01093747926597</v>
      </c>
      <c r="D3261">
        <v>0.82278194637953606</v>
      </c>
      <c r="E3261">
        <v>0.50166774669929204</v>
      </c>
      <c r="F3261">
        <v>0.35948345131610498</v>
      </c>
      <c r="G3261">
        <v>0.19687865585453901</v>
      </c>
      <c r="H3261">
        <v>0.10813293463094301</v>
      </c>
      <c r="I3261">
        <v>0.120696319058192</v>
      </c>
      <c r="J3261">
        <v>9.1265237706952801E-2</v>
      </c>
      <c r="K3261">
        <v>9.72399449116155E-2</v>
      </c>
      <c r="L3261">
        <v>884.98575686409401</v>
      </c>
      <c r="M3261">
        <v>17.750377528609501</v>
      </c>
      <c r="N3261">
        <v>50.443398269835903</v>
      </c>
      <c r="O3261">
        <v>49.237409977394698</v>
      </c>
      <c r="P3261">
        <v>-8.17325530088788E-2</v>
      </c>
      <c r="Q3261">
        <v>9.3182219895607599E-2</v>
      </c>
      <c r="R3261">
        <v>0.99489064446563102</v>
      </c>
      <c r="S3261" t="s">
        <v>8001</v>
      </c>
      <c r="T3261" t="s">
        <v>9478</v>
      </c>
      <c r="U3261" t="s">
        <v>9478</v>
      </c>
      <c r="V3261" t="s">
        <v>9478</v>
      </c>
      <c r="W3261">
        <v>5</v>
      </c>
      <c r="X3261" t="s">
        <v>12739</v>
      </c>
      <c r="Y3261">
        <v>0.40705354307889352</v>
      </c>
      <c r="Z3261" t="str">
        <f>HYPERLINK("Melting_Curves/meltCurve_sp_Q9H078_2_CLPB_HUMAN_.pdf", "Melting_Curves/meltCurve_sp_Q9H078_2_CLPB_HUMAN_.pdf")</f>
        <v>Melting_Curves/meltCurve_sp_Q9H078_2_CLPB_HUMAN_.pdf</v>
      </c>
      <c r="AA3261" t="s">
        <v>17427</v>
      </c>
      <c r="AB3261" t="s">
        <v>22095</v>
      </c>
    </row>
    <row r="3262" spans="1:28" x14ac:dyDescent="0.25">
      <c r="A3262" t="s">
        <v>3266</v>
      </c>
      <c r="B3262">
        <v>0.99904790336628502</v>
      </c>
      <c r="C3262">
        <v>0.89573311417235402</v>
      </c>
      <c r="D3262">
        <v>0.89822707795018097</v>
      </c>
      <c r="E3262">
        <v>0.88830210462364301</v>
      </c>
      <c r="F3262">
        <v>0.86097204856605403</v>
      </c>
      <c r="G3262">
        <v>0.71116262563266097</v>
      </c>
      <c r="H3262">
        <v>0.61841989646359496</v>
      </c>
      <c r="I3262">
        <v>0.58333543765757701</v>
      </c>
      <c r="J3262">
        <v>0.62051832417924901</v>
      </c>
      <c r="K3262">
        <v>0.67640237321574004</v>
      </c>
      <c r="L3262">
        <v>535.46275259853201</v>
      </c>
      <c r="M3262">
        <v>9.9926982184119009</v>
      </c>
      <c r="O3262">
        <v>51.571977071904399</v>
      </c>
      <c r="P3262">
        <v>-2.08662940071201E-2</v>
      </c>
      <c r="Q3262">
        <v>0.56944904684236297</v>
      </c>
      <c r="R3262">
        <v>0.88990996795139199</v>
      </c>
      <c r="S3262" t="s">
        <v>8002</v>
      </c>
      <c r="T3262" t="s">
        <v>9478</v>
      </c>
      <c r="U3262" t="s">
        <v>9478</v>
      </c>
      <c r="V3262" t="s">
        <v>9478</v>
      </c>
      <c r="W3262">
        <v>8</v>
      </c>
      <c r="X3262" t="s">
        <v>12740</v>
      </c>
      <c r="Y3262">
        <v>0.77816698767563286</v>
      </c>
      <c r="Z3262" t="str">
        <f>HYPERLINK("Melting_Curves/meltCurve_sp_Q9H098_F107B_HUMAN_.pdf", "Melting_Curves/meltCurve_sp_Q9H098_F107B_HUMAN_.pdf")</f>
        <v>Melting_Curves/meltCurve_sp_Q9H098_F107B_HUMAN_.pdf</v>
      </c>
      <c r="AA3262" t="s">
        <v>17428</v>
      </c>
      <c r="AB3262" t="s">
        <v>22096</v>
      </c>
    </row>
    <row r="3263" spans="1:28" x14ac:dyDescent="0.25">
      <c r="A3263" t="s">
        <v>3267</v>
      </c>
      <c r="B3263">
        <v>0.99904790336628502</v>
      </c>
      <c r="C3263">
        <v>1.1051304755579501</v>
      </c>
      <c r="D3263">
        <v>1.2016036908155301</v>
      </c>
      <c r="E3263">
        <v>0.81614525941077798</v>
      </c>
      <c r="F3263">
        <v>0.38387209974897202</v>
      </c>
      <c r="G3263">
        <v>0.17922646586878499</v>
      </c>
      <c r="H3263">
        <v>7.9895289646763998E-2</v>
      </c>
      <c r="I3263">
        <v>4.8699300226055398E-2</v>
      </c>
      <c r="J3263">
        <v>5.1691189881370302E-2</v>
      </c>
      <c r="K3263">
        <v>4.0305943480011597E-2</v>
      </c>
      <c r="L3263">
        <v>1831.94449015341</v>
      </c>
      <c r="M3263">
        <v>35.160111813657402</v>
      </c>
      <c r="N3263">
        <v>52.317905403487401</v>
      </c>
      <c r="O3263">
        <v>51.935212771690303</v>
      </c>
      <c r="P3263">
        <v>-0.15786612817086901</v>
      </c>
      <c r="Q3263">
        <v>6.7262754947202796E-2</v>
      </c>
      <c r="R3263">
        <v>0.97075433344524498</v>
      </c>
      <c r="S3263" t="s">
        <v>8003</v>
      </c>
      <c r="T3263" t="s">
        <v>9478</v>
      </c>
      <c r="U3263" t="s">
        <v>9478</v>
      </c>
      <c r="V3263" t="s">
        <v>9478</v>
      </c>
      <c r="W3263">
        <v>4</v>
      </c>
      <c r="X3263" t="s">
        <v>12741</v>
      </c>
      <c r="Y3263">
        <v>0.44790737606497399</v>
      </c>
      <c r="Z3263" t="str">
        <f>HYPERLINK("Melting_Curves/meltCurve_sp_Q9H0A8_COMD4_HUMAN_.pdf", "Melting_Curves/meltCurve_sp_Q9H0A8_COMD4_HUMAN_.pdf")</f>
        <v>Melting_Curves/meltCurve_sp_Q9H0A8_COMD4_HUMAN_.pdf</v>
      </c>
      <c r="AA3263" t="s">
        <v>17429</v>
      </c>
      <c r="AB3263" t="s">
        <v>22097</v>
      </c>
    </row>
    <row r="3264" spans="1:28" x14ac:dyDescent="0.25">
      <c r="A3264" t="s">
        <v>3268</v>
      </c>
      <c r="B3264">
        <v>0.99904790336628502</v>
      </c>
      <c r="C3264">
        <v>0.978520304261844</v>
      </c>
      <c r="D3264">
        <v>0.90112712096994996</v>
      </c>
      <c r="E3264">
        <v>0.639139969861093</v>
      </c>
      <c r="F3264">
        <v>0.32225703267083899</v>
      </c>
      <c r="G3264">
        <v>0.22345630430399899</v>
      </c>
      <c r="H3264">
        <v>0.13737652333915101</v>
      </c>
      <c r="I3264">
        <v>0.114716770671678</v>
      </c>
      <c r="J3264">
        <v>8.5859989297317807E-2</v>
      </c>
      <c r="K3264">
        <v>5.4326779578188399E-2</v>
      </c>
      <c r="L3264">
        <v>1010.37419208715</v>
      </c>
      <c r="M3264">
        <v>19.8752523629365</v>
      </c>
      <c r="N3264">
        <v>51.328497359793701</v>
      </c>
      <c r="O3264">
        <v>50.3295657235644</v>
      </c>
      <c r="P3264">
        <v>-9.0154805638354193E-2</v>
      </c>
      <c r="Q3264">
        <v>8.6844339751263905E-2</v>
      </c>
      <c r="R3264">
        <v>0.99559412854785001</v>
      </c>
      <c r="S3264" t="s">
        <v>8004</v>
      </c>
      <c r="T3264" t="s">
        <v>9478</v>
      </c>
      <c r="U3264" t="s">
        <v>9478</v>
      </c>
      <c r="V3264" t="s">
        <v>9478</v>
      </c>
      <c r="W3264">
        <v>5</v>
      </c>
      <c r="X3264" t="s">
        <v>12742</v>
      </c>
      <c r="Y3264">
        <v>0.42950123942773483</v>
      </c>
      <c r="Z3264" t="str">
        <f>HYPERLINK("Melting_Curves/meltCurve_sp_Q9H0C8_ILKAP_HUMAN_.pdf", "Melting_Curves/meltCurve_sp_Q9H0C8_ILKAP_HUMAN_.pdf")</f>
        <v>Melting_Curves/meltCurve_sp_Q9H0C8_ILKAP_HUMAN_.pdf</v>
      </c>
      <c r="AA3264" t="s">
        <v>17430</v>
      </c>
      <c r="AB3264" t="s">
        <v>22098</v>
      </c>
    </row>
    <row r="3265" spans="1:28" x14ac:dyDescent="0.25">
      <c r="A3265" t="s">
        <v>3269</v>
      </c>
      <c r="B3265">
        <v>0.99904790336628502</v>
      </c>
      <c r="C3265">
        <v>1.0099073829479199</v>
      </c>
      <c r="D3265">
        <v>1.0521291538505899</v>
      </c>
      <c r="E3265">
        <v>1.0218313673811501</v>
      </c>
      <c r="F3265">
        <v>1.0415075239396701</v>
      </c>
      <c r="G3265">
        <v>0.79595528744773603</v>
      </c>
      <c r="H3265">
        <v>0.56957044301273496</v>
      </c>
      <c r="I3265">
        <v>0.223407353243501</v>
      </c>
      <c r="J3265">
        <v>4.2938026425609302E-2</v>
      </c>
      <c r="K3265">
        <v>3.6453927073618601E-2</v>
      </c>
      <c r="L3265">
        <v>1618.1781483023401</v>
      </c>
      <c r="M3265">
        <v>26.463632069167101</v>
      </c>
      <c r="N3265">
        <v>61.147243279129803</v>
      </c>
      <c r="O3265">
        <v>60.801299318718101</v>
      </c>
      <c r="P3265">
        <v>-0.108813151884127</v>
      </c>
      <c r="Q3265">
        <v>0</v>
      </c>
      <c r="R3265">
        <v>0.98910614921555395</v>
      </c>
      <c r="S3265" t="s">
        <v>8005</v>
      </c>
      <c r="T3265" t="s">
        <v>9478</v>
      </c>
      <c r="U3265" t="s">
        <v>9478</v>
      </c>
      <c r="V3265" t="s">
        <v>9478</v>
      </c>
      <c r="W3265">
        <v>24</v>
      </c>
      <c r="X3265" t="s">
        <v>12743</v>
      </c>
      <c r="Y3265">
        <v>0.71083626791087628</v>
      </c>
      <c r="Z3265" t="str">
        <f>HYPERLINK("Melting_Curves/meltCurve_sp_Q9H0D6_XRN2_HUMAN_.pdf", "Melting_Curves/meltCurve_sp_Q9H0D6_XRN2_HUMAN_.pdf")</f>
        <v>Melting_Curves/meltCurve_sp_Q9H0D6_XRN2_HUMAN_.pdf</v>
      </c>
      <c r="AA3265" t="s">
        <v>17431</v>
      </c>
      <c r="AB3265" t="s">
        <v>22099</v>
      </c>
    </row>
    <row r="3266" spans="1:28" x14ac:dyDescent="0.25">
      <c r="A3266" t="s">
        <v>3270</v>
      </c>
      <c r="B3266">
        <v>0.99904790336628502</v>
      </c>
      <c r="C3266">
        <v>1.03576555271253</v>
      </c>
      <c r="D3266">
        <v>1.01039149268043</v>
      </c>
      <c r="E3266">
        <v>0.86639338503580998</v>
      </c>
      <c r="F3266">
        <v>0.57760565884319104</v>
      </c>
      <c r="G3266">
        <v>0.21342257183112301</v>
      </c>
      <c r="H3266">
        <v>0.14504392002378499</v>
      </c>
      <c r="I3266">
        <v>0.12921790700201799</v>
      </c>
      <c r="J3266">
        <v>0.12928338717921001</v>
      </c>
      <c r="K3266">
        <v>0.12820608895220501</v>
      </c>
      <c r="L3266">
        <v>1593.2014008824001</v>
      </c>
      <c r="M3266">
        <v>30.032052691120299</v>
      </c>
      <c r="N3266">
        <v>53.565365663991102</v>
      </c>
      <c r="O3266">
        <v>52.816491293774597</v>
      </c>
      <c r="P3266">
        <v>-0.124318593499991</v>
      </c>
      <c r="Q3266">
        <v>0.125463937178799</v>
      </c>
      <c r="R3266">
        <v>0.998688140772379</v>
      </c>
      <c r="S3266" t="s">
        <v>8006</v>
      </c>
      <c r="T3266" t="s">
        <v>9478</v>
      </c>
      <c r="U3266" t="s">
        <v>9478</v>
      </c>
      <c r="V3266" t="s">
        <v>9478</v>
      </c>
      <c r="W3266">
        <v>10</v>
      </c>
      <c r="X3266" t="s">
        <v>12744</v>
      </c>
      <c r="Y3266">
        <v>0.51155157806831175</v>
      </c>
      <c r="Z3266" t="str">
        <f>HYPERLINK("Melting_Curves/meltCurve_sp_Q9H0E2_TOLIP_HUMAN_.pdf", "Melting_Curves/meltCurve_sp_Q9H0E2_TOLIP_HUMAN_.pdf")</f>
        <v>Melting_Curves/meltCurve_sp_Q9H0E2_TOLIP_HUMAN_.pdf</v>
      </c>
      <c r="AA3266" t="s">
        <v>17432</v>
      </c>
      <c r="AB3266" t="s">
        <v>22100</v>
      </c>
    </row>
    <row r="3267" spans="1:28" x14ac:dyDescent="0.25">
      <c r="A3267" t="s">
        <v>3271</v>
      </c>
      <c r="B3267">
        <v>0.99904790336628502</v>
      </c>
      <c r="C3267">
        <v>0.73340782615600097</v>
      </c>
      <c r="D3267">
        <v>0.69925964454557499</v>
      </c>
      <c r="E3267">
        <v>0.61966732646011102</v>
      </c>
      <c r="F3267">
        <v>0.69319679259131595</v>
      </c>
      <c r="G3267">
        <v>0.46337222819812002</v>
      </c>
      <c r="H3267">
        <v>0.46492919813750599</v>
      </c>
      <c r="I3267">
        <v>0.47673086258574499</v>
      </c>
      <c r="J3267">
        <v>0.56013004365837205</v>
      </c>
      <c r="K3267">
        <v>0.53796255275222304</v>
      </c>
      <c r="L3267">
        <v>558.132011382207</v>
      </c>
      <c r="M3267">
        <v>12.475966525044999</v>
      </c>
      <c r="O3267">
        <v>43.633830927144103</v>
      </c>
      <c r="P3267">
        <v>-3.5293120272945497E-2</v>
      </c>
      <c r="Q3267">
        <v>0.50636128357740895</v>
      </c>
      <c r="R3267">
        <v>0.81946022536831498</v>
      </c>
      <c r="S3267" t="s">
        <v>8007</v>
      </c>
      <c r="T3267" t="s">
        <v>9478</v>
      </c>
      <c r="U3267" t="s">
        <v>9478</v>
      </c>
      <c r="V3267" t="s">
        <v>9478</v>
      </c>
      <c r="W3267">
        <v>2</v>
      </c>
      <c r="X3267" t="s">
        <v>12745</v>
      </c>
      <c r="Y3267">
        <v>0.60785758034402604</v>
      </c>
      <c r="Z3267" t="str">
        <f>HYPERLINK("Melting_Curves/meltCurve_sp_Q9H0E3_SP130_HUMAN_.pdf", "Melting_Curves/meltCurve_sp_Q9H0E3_SP130_HUMAN_.pdf")</f>
        <v>Melting_Curves/meltCurve_sp_Q9H0E3_SP130_HUMAN_.pdf</v>
      </c>
      <c r="AA3267" t="s">
        <v>17433</v>
      </c>
      <c r="AB3267" t="s">
        <v>22101</v>
      </c>
    </row>
    <row r="3268" spans="1:28" x14ac:dyDescent="0.25">
      <c r="A3268" t="s">
        <v>3272</v>
      </c>
      <c r="B3268">
        <v>0.99904790336628502</v>
      </c>
      <c r="C3268">
        <v>0.93475633959649795</v>
      </c>
      <c r="D3268">
        <v>0.889497982879908</v>
      </c>
      <c r="E3268">
        <v>0.78399810031667205</v>
      </c>
      <c r="F3268">
        <v>0.68488740101287204</v>
      </c>
      <c r="G3268">
        <v>0.39332043267043598</v>
      </c>
      <c r="H3268">
        <v>0.24531100269129</v>
      </c>
      <c r="I3268">
        <v>0.17968298806322799</v>
      </c>
      <c r="J3268">
        <v>0.16540454357808199</v>
      </c>
      <c r="K3268">
        <v>0.117568692898522</v>
      </c>
      <c r="L3268">
        <v>690.69513633871395</v>
      </c>
      <c r="M3268">
        <v>12.583283010268699</v>
      </c>
      <c r="N3268">
        <v>55.4057225932862</v>
      </c>
      <c r="O3268">
        <v>53.558947577910402</v>
      </c>
      <c r="P3268">
        <v>-5.5500248900801102E-2</v>
      </c>
      <c r="Q3268">
        <v>5.52739080664943E-2</v>
      </c>
      <c r="R3268">
        <v>0.99366245212808402</v>
      </c>
      <c r="S3268" t="s">
        <v>8008</v>
      </c>
      <c r="T3268" t="s">
        <v>9478</v>
      </c>
      <c r="U3268" t="s">
        <v>9478</v>
      </c>
      <c r="V3268" t="s">
        <v>9478</v>
      </c>
      <c r="W3268">
        <v>4</v>
      </c>
      <c r="X3268" t="s">
        <v>12746</v>
      </c>
      <c r="Y3268">
        <v>0.54582674664668995</v>
      </c>
      <c r="Z3268" t="str">
        <f>HYPERLINK("Melting_Curves/meltCurve_sp_Q9H0F6_SHRPN_HUMAN_.pdf", "Melting_Curves/meltCurve_sp_Q9H0F6_SHRPN_HUMAN_.pdf")</f>
        <v>Melting_Curves/meltCurve_sp_Q9H0F6_SHRPN_HUMAN_.pdf</v>
      </c>
      <c r="AA3268" t="s">
        <v>17434</v>
      </c>
      <c r="AB3268" t="s">
        <v>22102</v>
      </c>
    </row>
    <row r="3269" spans="1:28" x14ac:dyDescent="0.25">
      <c r="A3269" t="s">
        <v>3273</v>
      </c>
      <c r="B3269">
        <v>0.99904790336628502</v>
      </c>
      <c r="C3269">
        <v>0.99006335440505899</v>
      </c>
      <c r="D3269">
        <v>0.96256486845018197</v>
      </c>
      <c r="E3269">
        <v>0.99441821975521405</v>
      </c>
      <c r="F3269">
        <v>1.3139782623445899</v>
      </c>
      <c r="G3269">
        <v>0.924225899506675</v>
      </c>
      <c r="H3269">
        <v>0.823617037597978</v>
      </c>
      <c r="I3269">
        <v>0.95382479910023099</v>
      </c>
      <c r="J3269">
        <v>1.0030944513978399</v>
      </c>
      <c r="K3269">
        <v>1.01653205408275</v>
      </c>
      <c r="L3269">
        <v>3271.8906400681899</v>
      </c>
      <c r="M3269">
        <v>58.2109840712357</v>
      </c>
      <c r="O3269">
        <v>56.141224289721499</v>
      </c>
      <c r="P3269">
        <v>-1.4214162389111201E-2</v>
      </c>
      <c r="Q3269">
        <v>0.94516498095377199</v>
      </c>
      <c r="R3269">
        <v>9.6015980695387096E-2</v>
      </c>
      <c r="S3269" t="s">
        <v>8009</v>
      </c>
      <c r="T3269" t="s">
        <v>9478</v>
      </c>
      <c r="U3269" t="s">
        <v>9478</v>
      </c>
      <c r="V3269" t="s">
        <v>9478</v>
      </c>
      <c r="W3269">
        <v>4</v>
      </c>
      <c r="X3269" t="s">
        <v>12747</v>
      </c>
      <c r="Y3269">
        <v>0.97488962554365843</v>
      </c>
      <c r="Z3269" t="str">
        <f>HYPERLINK("Melting_Curves/meltCurve_sp_Q9H0G5_NSRP1_HUMAN_.pdf", "Melting_Curves/meltCurve_sp_Q9H0G5_NSRP1_HUMAN_.pdf")</f>
        <v>Melting_Curves/meltCurve_sp_Q9H0G5_NSRP1_HUMAN_.pdf</v>
      </c>
      <c r="AA3269" t="s">
        <v>17435</v>
      </c>
      <c r="AB3269" t="s">
        <v>22103</v>
      </c>
    </row>
    <row r="3270" spans="1:28" x14ac:dyDescent="0.25">
      <c r="A3270" t="s">
        <v>3274</v>
      </c>
      <c r="B3270">
        <v>0.99904790336628502</v>
      </c>
      <c r="C3270">
        <v>1.2061121294286099</v>
      </c>
      <c r="D3270">
        <v>1.1617000178913299</v>
      </c>
      <c r="E3270">
        <v>0.92889813391810505</v>
      </c>
      <c r="F3270">
        <v>0.67944221672923999</v>
      </c>
      <c r="G3270">
        <v>0.69115868053376495</v>
      </c>
      <c r="H3270">
        <v>0.305942663015696</v>
      </c>
      <c r="I3270">
        <v>0.28427662166165102</v>
      </c>
      <c r="J3270">
        <v>0.34829861399901502</v>
      </c>
      <c r="K3270">
        <v>0.40452475043642</v>
      </c>
      <c r="L3270">
        <v>1134.91979081927</v>
      </c>
      <c r="M3270">
        <v>20.609513118026602</v>
      </c>
      <c r="N3270">
        <v>57.946469967345401</v>
      </c>
      <c r="O3270">
        <v>54.557158902241</v>
      </c>
      <c r="P3270">
        <v>-6.4183649248218594E-2</v>
      </c>
      <c r="Q3270">
        <v>0.320395957725781</v>
      </c>
      <c r="R3270">
        <v>0.88988436732653897</v>
      </c>
      <c r="S3270" t="s">
        <v>8010</v>
      </c>
      <c r="T3270" t="s">
        <v>9478</v>
      </c>
      <c r="U3270" t="s">
        <v>9478</v>
      </c>
      <c r="V3270" t="s">
        <v>9478</v>
      </c>
      <c r="W3270">
        <v>1</v>
      </c>
      <c r="X3270" t="s">
        <v>12748</v>
      </c>
      <c r="Y3270">
        <v>0.67036558473351959</v>
      </c>
      <c r="Z3270" t="str">
        <f>HYPERLINK("Melting_Curves/meltCurve_sp_Q9H0K1_SIK2_HUMAN_.pdf", "Melting_Curves/meltCurve_sp_Q9H0K1_SIK2_HUMAN_.pdf")</f>
        <v>Melting_Curves/meltCurve_sp_Q9H0K1_SIK2_HUMAN_.pdf</v>
      </c>
      <c r="AA3270" t="s">
        <v>17436</v>
      </c>
      <c r="AB3270" t="s">
        <v>22104</v>
      </c>
    </row>
    <row r="3271" spans="1:28" x14ac:dyDescent="0.25">
      <c r="A3271" t="s">
        <v>3275</v>
      </c>
      <c r="B3271">
        <v>0.99904790336628502</v>
      </c>
      <c r="C3271">
        <v>0.941026335000128</v>
      </c>
      <c r="D3271">
        <v>0.96009604601299403</v>
      </c>
      <c r="E3271">
        <v>0.88439266327607702</v>
      </c>
      <c r="F3271">
        <v>0.85555957382018</v>
      </c>
      <c r="G3271">
        <v>0.58036260860688504</v>
      </c>
      <c r="H3271">
        <v>0.51509921659124502</v>
      </c>
      <c r="I3271">
        <v>0.48927258856370198</v>
      </c>
      <c r="J3271">
        <v>0.472377348188324</v>
      </c>
      <c r="K3271">
        <v>0.47413557649522597</v>
      </c>
      <c r="L3271">
        <v>1108.31378451718</v>
      </c>
      <c r="M3271">
        <v>20.3638183869237</v>
      </c>
      <c r="N3271">
        <v>62.2069117839943</v>
      </c>
      <c r="O3271">
        <v>53.908941123653399</v>
      </c>
      <c r="P3271">
        <v>-5.0916661914739501E-2</v>
      </c>
      <c r="Q3271">
        <v>0.46085158418688299</v>
      </c>
      <c r="R3271">
        <v>0.97948718894284603</v>
      </c>
      <c r="S3271" t="s">
        <v>8011</v>
      </c>
      <c r="T3271" t="s">
        <v>9478</v>
      </c>
      <c r="U3271" t="s">
        <v>9478</v>
      </c>
      <c r="V3271" t="s">
        <v>9478</v>
      </c>
      <c r="W3271">
        <v>10</v>
      </c>
      <c r="X3271" t="s">
        <v>12749</v>
      </c>
      <c r="Y3271">
        <v>0.7271729399853667</v>
      </c>
      <c r="Z3271" t="str">
        <f>HYPERLINK("Melting_Curves/meltCurve_sp_Q9H0L4_CSTFT_HUMAN_.pdf", "Melting_Curves/meltCurve_sp_Q9H0L4_CSTFT_HUMAN_.pdf")</f>
        <v>Melting_Curves/meltCurve_sp_Q9H0L4_CSTFT_HUMAN_.pdf</v>
      </c>
      <c r="AA3271" t="s">
        <v>17437</v>
      </c>
      <c r="AB3271" t="s">
        <v>22105</v>
      </c>
    </row>
    <row r="3272" spans="1:28" x14ac:dyDescent="0.25">
      <c r="A3272" t="s">
        <v>3276</v>
      </c>
      <c r="B3272">
        <v>0.99904790336628502</v>
      </c>
      <c r="C3272">
        <v>0.93073418876375702</v>
      </c>
      <c r="D3272">
        <v>0.91878523771352805</v>
      </c>
      <c r="E3272">
        <v>0.55244694256509697</v>
      </c>
      <c r="F3272">
        <v>0.24040663486611299</v>
      </c>
      <c r="G3272">
        <v>0.156171104374523</v>
      </c>
      <c r="H3272">
        <v>0.102594548563487</v>
      </c>
      <c r="I3272">
        <v>7.6538217947450998E-2</v>
      </c>
      <c r="J3272">
        <v>5.9082046407130502E-2</v>
      </c>
      <c r="K3272">
        <v>4.4555567932906798E-2</v>
      </c>
      <c r="L3272">
        <v>1192.9679701385</v>
      </c>
      <c r="M3272">
        <v>23.813614342916399</v>
      </c>
      <c r="N3272">
        <v>50.413862376683497</v>
      </c>
      <c r="O3272">
        <v>49.746789875747098</v>
      </c>
      <c r="P3272">
        <v>-0.111334772576825</v>
      </c>
      <c r="Q3272">
        <v>6.9699005411035894E-2</v>
      </c>
      <c r="R3272">
        <v>0.99549146734747296</v>
      </c>
      <c r="S3272" t="s">
        <v>8012</v>
      </c>
      <c r="T3272" t="s">
        <v>9478</v>
      </c>
      <c r="U3272" t="s">
        <v>9478</v>
      </c>
      <c r="V3272" t="s">
        <v>9478</v>
      </c>
      <c r="W3272">
        <v>3</v>
      </c>
      <c r="X3272" t="s">
        <v>12750</v>
      </c>
      <c r="Y3272">
        <v>0.39195173206423928</v>
      </c>
      <c r="Z3272" t="str">
        <f>HYPERLINK("Melting_Curves/meltCurve_sp_Q9H0P0_1_5NT3A_HUMAN_.pdf", "Melting_Curves/meltCurve_sp_Q9H0P0_1_5NT3A_HUMAN_.pdf")</f>
        <v>Melting_Curves/meltCurve_sp_Q9H0P0_1_5NT3A_HUMAN_.pdf</v>
      </c>
      <c r="AA3272" t="s">
        <v>17438</v>
      </c>
      <c r="AB3272" t="s">
        <v>22106</v>
      </c>
    </row>
    <row r="3273" spans="1:28" x14ac:dyDescent="0.25">
      <c r="A3273" t="s">
        <v>3277</v>
      </c>
      <c r="B3273">
        <v>0.99904790336628502</v>
      </c>
      <c r="C3273">
        <v>1.0157627186811899</v>
      </c>
      <c r="D3273">
        <v>1.0216730946597901</v>
      </c>
      <c r="E3273">
        <v>1.01383994129954</v>
      </c>
      <c r="F3273">
        <v>0.94489527387664696</v>
      </c>
      <c r="G3273">
        <v>0.81300507822139301</v>
      </c>
      <c r="H3273">
        <v>0.58971284965311599</v>
      </c>
      <c r="I3273">
        <v>0.53118476244656498</v>
      </c>
      <c r="J3273">
        <v>0.39108293379057302</v>
      </c>
      <c r="K3273">
        <v>0.145080408976374</v>
      </c>
      <c r="L3273">
        <v>874.46303274865602</v>
      </c>
      <c r="M3273">
        <v>13.751001880733</v>
      </c>
      <c r="N3273">
        <v>63.592675032992602</v>
      </c>
      <c r="O3273">
        <v>62.293026853943701</v>
      </c>
      <c r="P3273">
        <v>-5.5194597761731801E-2</v>
      </c>
      <c r="Q3273">
        <v>0</v>
      </c>
      <c r="R3273">
        <v>0.98017030126570703</v>
      </c>
      <c r="S3273" t="s">
        <v>8013</v>
      </c>
      <c r="T3273" t="s">
        <v>9478</v>
      </c>
      <c r="U3273" t="s">
        <v>9478</v>
      </c>
      <c r="V3273" t="s">
        <v>9478</v>
      </c>
      <c r="W3273">
        <v>10</v>
      </c>
      <c r="X3273" t="s">
        <v>12751</v>
      </c>
      <c r="Y3273">
        <v>0.76884792942821778</v>
      </c>
      <c r="Z3273" t="str">
        <f>HYPERLINK("Melting_Curves/meltCurve_sp_Q9H0R4_HDHD2_HUMAN_.pdf", "Melting_Curves/meltCurve_sp_Q9H0R4_HDHD2_HUMAN_.pdf")</f>
        <v>Melting_Curves/meltCurve_sp_Q9H0R4_HDHD2_HUMAN_.pdf</v>
      </c>
      <c r="AA3273" t="s">
        <v>17439</v>
      </c>
      <c r="AB3273" t="s">
        <v>22107</v>
      </c>
    </row>
    <row r="3274" spans="1:28" x14ac:dyDescent="0.25">
      <c r="A3274" t="s">
        <v>3278</v>
      </c>
      <c r="B3274">
        <v>0.99904790336628502</v>
      </c>
      <c r="C3274">
        <v>0.53138707769327598</v>
      </c>
      <c r="D3274">
        <v>0.33985552795276602</v>
      </c>
      <c r="E3274">
        <v>0.234657811214253</v>
      </c>
      <c r="F3274">
        <v>0.16459086912014101</v>
      </c>
      <c r="G3274">
        <v>0.10106029088311599</v>
      </c>
      <c r="H3274">
        <v>7.2577329557652004E-2</v>
      </c>
      <c r="I3274">
        <v>5.7773748607942599E-2</v>
      </c>
      <c r="J3274">
        <v>4.4414954701128398E-2</v>
      </c>
      <c r="K3274">
        <v>4.5926911982586797E-2</v>
      </c>
      <c r="L3274">
        <v>840.91070364756604</v>
      </c>
      <c r="M3274">
        <v>19.217403928014999</v>
      </c>
      <c r="N3274">
        <v>44.163262333644703</v>
      </c>
      <c r="O3274">
        <v>43.292206994544202</v>
      </c>
      <c r="P3274">
        <v>-0.102003298572723</v>
      </c>
      <c r="Q3274">
        <v>8.0879054677440901E-2</v>
      </c>
      <c r="R3274">
        <v>0.95398668522805996</v>
      </c>
      <c r="S3274" t="s">
        <v>8014</v>
      </c>
      <c r="T3274" t="s">
        <v>9478</v>
      </c>
      <c r="U3274" t="s">
        <v>9478</v>
      </c>
      <c r="V3274" t="s">
        <v>9478</v>
      </c>
      <c r="W3274">
        <v>6</v>
      </c>
      <c r="X3274" t="s">
        <v>12752</v>
      </c>
      <c r="Y3274">
        <v>0.21638280213511449</v>
      </c>
      <c r="Z3274" t="str">
        <f>HYPERLINK("Melting_Curves/meltCurve_sp_Q9H0R6_GATA_HUMAN_.pdf", "Melting_Curves/meltCurve_sp_Q9H0R6_GATA_HUMAN_.pdf")</f>
        <v>Melting_Curves/meltCurve_sp_Q9H0R6_GATA_HUMAN_.pdf</v>
      </c>
      <c r="AA3274" t="s">
        <v>17440</v>
      </c>
      <c r="AB3274" t="s">
        <v>22108</v>
      </c>
    </row>
    <row r="3275" spans="1:28" x14ac:dyDescent="0.25">
      <c r="A3275" t="s">
        <v>3279</v>
      </c>
      <c r="B3275">
        <v>0.99904790336628502</v>
      </c>
      <c r="C3275">
        <v>1.0507749674251701</v>
      </c>
      <c r="D3275">
        <v>1.08354328764658</v>
      </c>
      <c r="E3275">
        <v>0.89592250295995102</v>
      </c>
      <c r="F3275">
        <v>0.67544687780164803</v>
      </c>
      <c r="G3275">
        <v>0.19123198822144699</v>
      </c>
      <c r="H3275">
        <v>7.74400452469272E-2</v>
      </c>
      <c r="I3275">
        <v>5.2785826171191499E-2</v>
      </c>
      <c r="J3275">
        <v>3.65074472846122E-2</v>
      </c>
      <c r="K3275">
        <v>4.5531985825944199E-2</v>
      </c>
      <c r="L3275">
        <v>1675.1471188794901</v>
      </c>
      <c r="M3275">
        <v>30.998802675324601</v>
      </c>
      <c r="N3275">
        <v>54.192622230248098</v>
      </c>
      <c r="O3275">
        <v>53.815696347014402</v>
      </c>
      <c r="P3275">
        <v>-0.13795161411482801</v>
      </c>
      <c r="Q3275">
        <v>4.2037929206177001E-2</v>
      </c>
      <c r="R3275">
        <v>0.99404979235928004</v>
      </c>
      <c r="S3275" t="s">
        <v>8015</v>
      </c>
      <c r="T3275" t="s">
        <v>9478</v>
      </c>
      <c r="U3275" t="s">
        <v>9478</v>
      </c>
      <c r="V3275" t="s">
        <v>9478</v>
      </c>
      <c r="W3275">
        <v>10</v>
      </c>
      <c r="X3275" t="s">
        <v>12753</v>
      </c>
      <c r="Y3275">
        <v>0.49624417188054282</v>
      </c>
      <c r="Z3275" t="str">
        <f>HYPERLINK("Melting_Curves/meltCurve_sp_Q9H0U4_RAB1B_HUMAN_.pdf", "Melting_Curves/meltCurve_sp_Q9H0U4_RAB1B_HUMAN_.pdf")</f>
        <v>Melting_Curves/meltCurve_sp_Q9H0U4_RAB1B_HUMAN_.pdf</v>
      </c>
      <c r="AA3275" t="s">
        <v>17441</v>
      </c>
      <c r="AB3275" t="s">
        <v>22109</v>
      </c>
    </row>
    <row r="3276" spans="1:28" x14ac:dyDescent="0.25">
      <c r="A3276" t="s">
        <v>3280</v>
      </c>
      <c r="B3276">
        <v>0.99904790336628502</v>
      </c>
      <c r="C3276">
        <v>1.00962915943475</v>
      </c>
      <c r="D3276">
        <v>0.95611038065749698</v>
      </c>
      <c r="E3276">
        <v>0.959795655439866</v>
      </c>
      <c r="F3276">
        <v>0.80682514537160099</v>
      </c>
      <c r="G3276">
        <v>0.54183190090411804</v>
      </c>
      <c r="H3276">
        <v>0.21635784610112499</v>
      </c>
      <c r="I3276">
        <v>0.14750506385077999</v>
      </c>
      <c r="J3276">
        <v>9.6313341597045701E-2</v>
      </c>
      <c r="K3276">
        <v>6.7333748242262501E-2</v>
      </c>
      <c r="L3276">
        <v>1150.0636129991401</v>
      </c>
      <c r="M3276">
        <v>20.1974645306789</v>
      </c>
      <c r="N3276">
        <v>57.2168620804634</v>
      </c>
      <c r="O3276">
        <v>56.391628959280403</v>
      </c>
      <c r="P3276">
        <v>-8.5389436296704493E-2</v>
      </c>
      <c r="Q3276">
        <v>4.6395661523824301E-2</v>
      </c>
      <c r="R3276">
        <v>0.99774371995218503</v>
      </c>
      <c r="S3276" t="s">
        <v>8016</v>
      </c>
      <c r="T3276" t="s">
        <v>9478</v>
      </c>
      <c r="U3276" t="s">
        <v>9478</v>
      </c>
      <c r="V3276" t="s">
        <v>9478</v>
      </c>
      <c r="W3276">
        <v>21</v>
      </c>
      <c r="X3276" t="s">
        <v>12754</v>
      </c>
      <c r="Y3276">
        <v>0.59647340788298131</v>
      </c>
      <c r="Z3276" t="str">
        <f>HYPERLINK("Melting_Curves/meltCurve_sp_Q9H0W9_CK054_HUMAN_.pdf", "Melting_Curves/meltCurve_sp_Q9H0W9_CK054_HUMAN_.pdf")</f>
        <v>Melting_Curves/meltCurve_sp_Q9H0W9_CK054_HUMAN_.pdf</v>
      </c>
      <c r="AA3276" t="s">
        <v>17442</v>
      </c>
      <c r="AB3276" t="s">
        <v>22110</v>
      </c>
    </row>
    <row r="3277" spans="1:28" x14ac:dyDescent="0.25">
      <c r="A3277" t="s">
        <v>3281</v>
      </c>
      <c r="B3277">
        <v>0.99904790336628502</v>
      </c>
      <c r="C3277">
        <v>0.92117645042352903</v>
      </c>
      <c r="D3277">
        <v>0.90594293752548605</v>
      </c>
      <c r="E3277">
        <v>0.79825288543002504</v>
      </c>
      <c r="F3277">
        <v>0.65177832784680401</v>
      </c>
      <c r="G3277">
        <v>0.29066837680925101</v>
      </c>
      <c r="H3277">
        <v>0.20816854001874099</v>
      </c>
      <c r="I3277">
        <v>0.194173625460378</v>
      </c>
      <c r="J3277">
        <v>0.191608352435547</v>
      </c>
      <c r="K3277">
        <v>0.212561892013655</v>
      </c>
      <c r="L3277">
        <v>1060.91576900219</v>
      </c>
      <c r="M3277">
        <v>19.983523633983399</v>
      </c>
      <c r="N3277">
        <v>54.232516075352599</v>
      </c>
      <c r="O3277">
        <v>52.566464597760699</v>
      </c>
      <c r="P3277">
        <v>-7.8708425638670101E-2</v>
      </c>
      <c r="Q3277">
        <v>0.171860065790753</v>
      </c>
      <c r="R3277">
        <v>0.98509955228178303</v>
      </c>
      <c r="S3277" t="s">
        <v>8017</v>
      </c>
      <c r="T3277" t="s">
        <v>9478</v>
      </c>
      <c r="U3277" t="s">
        <v>9478</v>
      </c>
      <c r="V3277" t="s">
        <v>9478</v>
      </c>
      <c r="W3277">
        <v>2</v>
      </c>
      <c r="X3277" t="s">
        <v>12755</v>
      </c>
      <c r="Y3277">
        <v>0.54458904184663937</v>
      </c>
      <c r="Z3277" t="str">
        <f>HYPERLINK("Melting_Curves/meltCurve_sp_Q9H173_SIL1_HUMAN_.pdf", "Melting_Curves/meltCurve_sp_Q9H173_SIL1_HUMAN_.pdf")</f>
        <v>Melting_Curves/meltCurve_sp_Q9H173_SIL1_HUMAN_.pdf</v>
      </c>
      <c r="AA3277" t="s">
        <v>17443</v>
      </c>
      <c r="AB3277" t="s">
        <v>22111</v>
      </c>
    </row>
    <row r="3278" spans="1:28" x14ac:dyDescent="0.25">
      <c r="A3278" t="s">
        <v>3282</v>
      </c>
      <c r="B3278">
        <v>0.99904790336628502</v>
      </c>
      <c r="C3278">
        <v>1.01359238605393</v>
      </c>
      <c r="D3278">
        <v>0.97995089850336103</v>
      </c>
      <c r="E3278">
        <v>0.88365631514972498</v>
      </c>
      <c r="F3278">
        <v>0.53307514397741196</v>
      </c>
      <c r="G3278">
        <v>0.428797115242944</v>
      </c>
      <c r="H3278">
        <v>0.34698558873343399</v>
      </c>
      <c r="I3278">
        <v>0.30007529825762902</v>
      </c>
      <c r="J3278">
        <v>0.33139059201717702</v>
      </c>
      <c r="K3278">
        <v>0.27728206666070798</v>
      </c>
      <c r="L3278">
        <v>1635.57592021047</v>
      </c>
      <c r="M3278">
        <v>31.411412953423</v>
      </c>
      <c r="N3278">
        <v>53.842762668353501</v>
      </c>
      <c r="O3278">
        <v>51.859804474339803</v>
      </c>
      <c r="P3278">
        <v>-0.102620848726887</v>
      </c>
      <c r="Q3278">
        <v>0.32230132102352699</v>
      </c>
      <c r="R3278">
        <v>0.98946467790385995</v>
      </c>
      <c r="S3278" t="s">
        <v>8018</v>
      </c>
      <c r="T3278" t="s">
        <v>9478</v>
      </c>
      <c r="U3278" t="s">
        <v>9478</v>
      </c>
      <c r="V3278" t="s">
        <v>9478</v>
      </c>
      <c r="W3278">
        <v>10</v>
      </c>
      <c r="X3278" t="s">
        <v>12756</v>
      </c>
      <c r="Y3278">
        <v>0.59890684078318068</v>
      </c>
      <c r="Z3278" t="str">
        <f>HYPERLINK("Melting_Curves/meltCurve_sp_Q9H1B7_I2BPL_HUMAN_.pdf", "Melting_Curves/meltCurve_sp_Q9H1B7_I2BPL_HUMAN_.pdf")</f>
        <v>Melting_Curves/meltCurve_sp_Q9H1B7_I2BPL_HUMAN_.pdf</v>
      </c>
      <c r="AA3278" t="s">
        <v>17444</v>
      </c>
      <c r="AB3278" t="s">
        <v>22112</v>
      </c>
    </row>
    <row r="3279" spans="1:28" x14ac:dyDescent="0.25">
      <c r="A3279" t="s">
        <v>3283</v>
      </c>
      <c r="B3279">
        <v>0.99904790336628502</v>
      </c>
      <c r="C3279">
        <v>1.0664904379918001</v>
      </c>
      <c r="D3279">
        <v>1.01893547963513</v>
      </c>
      <c r="E3279">
        <v>1.05083584415843</v>
      </c>
      <c r="F3279">
        <v>1.0506695661588801</v>
      </c>
      <c r="G3279">
        <v>1.05768219168955</v>
      </c>
      <c r="H3279">
        <v>0.87372879248367596</v>
      </c>
      <c r="I3279">
        <v>0.86871332756132902</v>
      </c>
      <c r="J3279">
        <v>0.88172157082793401</v>
      </c>
      <c r="K3279">
        <v>1.0786314857430099</v>
      </c>
      <c r="L3279">
        <v>2744.5414964152201</v>
      </c>
      <c r="M3279">
        <v>46.6124052414837</v>
      </c>
      <c r="O3279">
        <v>58.771993999979699</v>
      </c>
      <c r="P3279">
        <v>-1.3960534585796099E-2</v>
      </c>
      <c r="Q3279">
        <v>0.92959062381852997</v>
      </c>
      <c r="R3279">
        <v>0.27819125899777097</v>
      </c>
      <c r="S3279" t="s">
        <v>8019</v>
      </c>
      <c r="T3279" t="s">
        <v>9478</v>
      </c>
      <c r="U3279" t="s">
        <v>9478</v>
      </c>
      <c r="V3279" t="s">
        <v>9478</v>
      </c>
      <c r="W3279">
        <v>14</v>
      </c>
      <c r="X3279" t="s">
        <v>12757</v>
      </c>
      <c r="Y3279">
        <v>0.97410965071263256</v>
      </c>
      <c r="Z3279" t="str">
        <f>HYPERLINK("Melting_Curves/meltCurve_sp_Q9H1E3_NUCKS_HUMAN_.pdf", "Melting_Curves/meltCurve_sp_Q9H1E3_NUCKS_HUMAN_.pdf")</f>
        <v>Melting_Curves/meltCurve_sp_Q9H1E3_NUCKS_HUMAN_.pdf</v>
      </c>
      <c r="AA3279" t="s">
        <v>17445</v>
      </c>
      <c r="AB3279" t="s">
        <v>22113</v>
      </c>
    </row>
    <row r="3280" spans="1:28" x14ac:dyDescent="0.25">
      <c r="A3280" t="s">
        <v>3284</v>
      </c>
      <c r="B3280">
        <v>0.99904790336628502</v>
      </c>
      <c r="C3280">
        <v>0.96182128468208195</v>
      </c>
      <c r="D3280">
        <v>0.86191234063594002</v>
      </c>
      <c r="E3280">
        <v>0.48130386427486199</v>
      </c>
      <c r="F3280">
        <v>0.285869680665915</v>
      </c>
      <c r="G3280">
        <v>8.0709057664135594E-2</v>
      </c>
      <c r="H3280">
        <v>2.96734080562456E-2</v>
      </c>
      <c r="I3280">
        <v>2.1367378268132699E-2</v>
      </c>
      <c r="J3280">
        <v>0</v>
      </c>
      <c r="K3280">
        <v>0</v>
      </c>
      <c r="L3280">
        <v>959.46420630379703</v>
      </c>
      <c r="M3280">
        <v>19.156700268733498</v>
      </c>
      <c r="N3280">
        <v>50.085026612089699</v>
      </c>
      <c r="O3280">
        <v>49.548841877471602</v>
      </c>
      <c r="P3280">
        <v>-9.66593690263928E-2</v>
      </c>
      <c r="Q3280">
        <v>0</v>
      </c>
      <c r="R3280">
        <v>0.99876953154699999</v>
      </c>
      <c r="S3280" t="s">
        <v>8020</v>
      </c>
      <c r="T3280" t="s">
        <v>9478</v>
      </c>
      <c r="U3280" t="s">
        <v>9478</v>
      </c>
      <c r="V3280" t="s">
        <v>9478</v>
      </c>
      <c r="W3280">
        <v>6</v>
      </c>
      <c r="X3280" t="s">
        <v>12758</v>
      </c>
      <c r="Y3280">
        <v>0.35129444619955752</v>
      </c>
      <c r="Z3280" t="str">
        <f>HYPERLINK("Melting_Curves/meltCurve_sp_Q9H1H9_3_KI13A_HUMAN_.pdf", "Melting_Curves/meltCurve_sp_Q9H1H9_3_KI13A_HUMAN_.pdf")</f>
        <v>Melting_Curves/meltCurve_sp_Q9H1H9_3_KI13A_HUMAN_.pdf</v>
      </c>
      <c r="AA3280" t="s">
        <v>17446</v>
      </c>
      <c r="AB3280" t="s">
        <v>22114</v>
      </c>
    </row>
    <row r="3281" spans="1:28" x14ac:dyDescent="0.25">
      <c r="A3281" t="s">
        <v>3285</v>
      </c>
      <c r="B3281">
        <v>0.99904790336628502</v>
      </c>
      <c r="C3281">
        <v>1.2305493536671701</v>
      </c>
      <c r="D3281">
        <v>1.20270634535753</v>
      </c>
      <c r="E3281">
        <v>0.96615568069175195</v>
      </c>
      <c r="F3281">
        <v>0.746557833381989</v>
      </c>
      <c r="G3281">
        <v>0.47118179409600902</v>
      </c>
      <c r="H3281">
        <v>0.29680762152868601</v>
      </c>
      <c r="I3281">
        <v>0.30697350525008099</v>
      </c>
      <c r="J3281">
        <v>0.246719889863661</v>
      </c>
      <c r="K3281">
        <v>0.34207089935840801</v>
      </c>
      <c r="L3281">
        <v>1594.4787872874599</v>
      </c>
      <c r="M3281">
        <v>29.315375311401901</v>
      </c>
      <c r="N3281">
        <v>56.075199557920499</v>
      </c>
      <c r="O3281">
        <v>54.1393231188217</v>
      </c>
      <c r="P3281">
        <v>-9.5740296587807194E-2</v>
      </c>
      <c r="Q3281">
        <v>0.29275647957324602</v>
      </c>
      <c r="R3281">
        <v>0.92604779388166703</v>
      </c>
      <c r="S3281" t="s">
        <v>8021</v>
      </c>
      <c r="T3281" t="s">
        <v>9478</v>
      </c>
      <c r="U3281" t="s">
        <v>9478</v>
      </c>
      <c r="V3281" t="s">
        <v>9478</v>
      </c>
      <c r="W3281">
        <v>2</v>
      </c>
      <c r="X3281" t="s">
        <v>12759</v>
      </c>
      <c r="Y3281">
        <v>0.63688572936427901</v>
      </c>
      <c r="Z3281" t="str">
        <f>HYPERLINK("Melting_Curves/meltCurve_sp_Q9H1J1_REN3A_HUMAN_.pdf", "Melting_Curves/meltCurve_sp_Q9H1J1_REN3A_HUMAN_.pdf")</f>
        <v>Melting_Curves/meltCurve_sp_Q9H1J1_REN3A_HUMAN_.pdf</v>
      </c>
      <c r="AA3281" t="s">
        <v>17447</v>
      </c>
      <c r="AB3281" t="s">
        <v>22115</v>
      </c>
    </row>
    <row r="3282" spans="1:28" x14ac:dyDescent="0.25">
      <c r="A3282" t="s">
        <v>3286</v>
      </c>
      <c r="B3282">
        <v>0.99904790336628502</v>
      </c>
      <c r="C3282">
        <v>1.0363753386193899</v>
      </c>
      <c r="D3282">
        <v>1.0200732421693799</v>
      </c>
      <c r="E3282">
        <v>0.86528743568676902</v>
      </c>
      <c r="F3282">
        <v>0.66564009113130695</v>
      </c>
      <c r="G3282">
        <v>0.41297747802805101</v>
      </c>
      <c r="H3282">
        <v>0.37836643286731098</v>
      </c>
      <c r="I3282">
        <v>0.38581379631283902</v>
      </c>
      <c r="J3282">
        <v>0.442895020319929</v>
      </c>
      <c r="K3282">
        <v>0.46395889459699102</v>
      </c>
      <c r="L3282">
        <v>1714.5397343808299</v>
      </c>
      <c r="M3282">
        <v>32.798146915610197</v>
      </c>
      <c r="N3282">
        <v>55.173319536067297</v>
      </c>
      <c r="O3282">
        <v>52.082329888343502</v>
      </c>
      <c r="P3282">
        <v>-9.2776134468617599E-2</v>
      </c>
      <c r="Q3282">
        <v>0.41070156781821898</v>
      </c>
      <c r="R3282">
        <v>0.98555976622247199</v>
      </c>
      <c r="S3282" t="s">
        <v>8022</v>
      </c>
      <c r="T3282" t="s">
        <v>9478</v>
      </c>
      <c r="U3282" t="s">
        <v>9478</v>
      </c>
      <c r="V3282" t="s">
        <v>9478</v>
      </c>
      <c r="W3282">
        <v>7</v>
      </c>
      <c r="X3282" t="s">
        <v>12760</v>
      </c>
      <c r="Y3282">
        <v>0.65500037645492348</v>
      </c>
      <c r="Z3282" t="str">
        <f>HYPERLINK("Melting_Curves/meltCurve_sp_Q9H1K0_RBNS5_HUMAN_.pdf", "Melting_Curves/meltCurve_sp_Q9H1K0_RBNS5_HUMAN_.pdf")</f>
        <v>Melting_Curves/meltCurve_sp_Q9H1K0_RBNS5_HUMAN_.pdf</v>
      </c>
      <c r="AA3282" t="s">
        <v>17448</v>
      </c>
      <c r="AB3282" t="s">
        <v>22116</v>
      </c>
    </row>
    <row r="3283" spans="1:28" x14ac:dyDescent="0.25">
      <c r="A3283" t="s">
        <v>3287</v>
      </c>
      <c r="B3283">
        <v>0.99904790336628502</v>
      </c>
      <c r="C3283">
        <v>1.05836879542066</v>
      </c>
      <c r="D3283">
        <v>1.0135395512132099</v>
      </c>
      <c r="E3283">
        <v>0.889775177830467</v>
      </c>
      <c r="F3283">
        <v>0.972003723568995</v>
      </c>
      <c r="G3283">
        <v>0.68190072289239401</v>
      </c>
      <c r="H3283">
        <v>0.561679865406009</v>
      </c>
      <c r="I3283">
        <v>0.54014911893226203</v>
      </c>
      <c r="J3283">
        <v>0.62955820625362702</v>
      </c>
      <c r="K3283">
        <v>0.59255519493163</v>
      </c>
      <c r="L3283">
        <v>2705.8114273987599</v>
      </c>
      <c r="M3283">
        <v>48.632348924560702</v>
      </c>
      <c r="O3283">
        <v>55.544264751548603</v>
      </c>
      <c r="P3283">
        <v>-9.1974729875102995E-2</v>
      </c>
      <c r="Q3283">
        <v>0.57981351858867802</v>
      </c>
      <c r="R3283">
        <v>0.94936627217022995</v>
      </c>
      <c r="S3283" t="s">
        <v>8023</v>
      </c>
      <c r="T3283" t="s">
        <v>9478</v>
      </c>
      <c r="U3283" t="s">
        <v>9478</v>
      </c>
      <c r="V3283" t="s">
        <v>9478</v>
      </c>
      <c r="W3283">
        <v>10</v>
      </c>
      <c r="X3283" t="s">
        <v>12761</v>
      </c>
      <c r="Y3283">
        <v>0.79993326164672096</v>
      </c>
      <c r="Z3283" t="str">
        <f>HYPERLINK("Melting_Curves/meltCurve_sp_Q9H1K1_ISCU_HUMAN_.pdf", "Melting_Curves/meltCurve_sp_Q9H1K1_ISCU_HUMAN_.pdf")</f>
        <v>Melting_Curves/meltCurve_sp_Q9H1K1_ISCU_HUMAN_.pdf</v>
      </c>
      <c r="AA3283" t="s">
        <v>17449</v>
      </c>
      <c r="AB3283" t="s">
        <v>22117</v>
      </c>
    </row>
    <row r="3284" spans="1:28" x14ac:dyDescent="0.25">
      <c r="A3284" t="s">
        <v>3288</v>
      </c>
      <c r="B3284">
        <v>0.99904790336628502</v>
      </c>
      <c r="C3284">
        <v>0.87883990642807297</v>
      </c>
      <c r="D3284">
        <v>0.81188604347318905</v>
      </c>
      <c r="E3284">
        <v>0.77034956013025802</v>
      </c>
      <c r="F3284">
        <v>0.69115946731984401</v>
      </c>
      <c r="G3284">
        <v>0.23514143099197499</v>
      </c>
      <c r="H3284">
        <v>0.12717109033344901</v>
      </c>
      <c r="I3284">
        <v>9.2651719214855294E-2</v>
      </c>
      <c r="J3284">
        <v>8.2171933859912893E-2</v>
      </c>
      <c r="K3284">
        <v>7.7976205951970107E-2</v>
      </c>
      <c r="L3284">
        <v>771.723453586863</v>
      </c>
      <c r="M3284">
        <v>14.299040513035999</v>
      </c>
      <c r="N3284">
        <v>54.009431984068698</v>
      </c>
      <c r="O3284">
        <v>52.947632840255203</v>
      </c>
      <c r="P3284">
        <v>-6.7175240440233194E-2</v>
      </c>
      <c r="Q3284">
        <v>5.1537648168872296E-3</v>
      </c>
      <c r="R3284">
        <v>0.96363405690986004</v>
      </c>
      <c r="S3284" t="s">
        <v>8024</v>
      </c>
      <c r="T3284" t="s">
        <v>9478</v>
      </c>
      <c r="U3284" t="s">
        <v>9478</v>
      </c>
      <c r="V3284" t="s">
        <v>9478</v>
      </c>
      <c r="W3284">
        <v>4</v>
      </c>
      <c r="X3284" t="s">
        <v>12762</v>
      </c>
      <c r="Y3284">
        <v>0.49009446762653208</v>
      </c>
      <c r="Z3284" t="str">
        <f>HYPERLINK("Melting_Curves/meltCurve_sp_Q9H1Y0_ATG5_HUMAN_.pdf", "Melting_Curves/meltCurve_sp_Q9H1Y0_ATG5_HUMAN_.pdf")</f>
        <v>Melting_Curves/meltCurve_sp_Q9H1Y0_ATG5_HUMAN_.pdf</v>
      </c>
      <c r="AA3284" t="s">
        <v>17450</v>
      </c>
      <c r="AB3284" t="s">
        <v>22118</v>
      </c>
    </row>
    <row r="3285" spans="1:28" x14ac:dyDescent="0.25">
      <c r="A3285" t="s">
        <v>3289</v>
      </c>
      <c r="B3285">
        <v>0.99904790336628502</v>
      </c>
      <c r="C3285">
        <v>0.91252425172540197</v>
      </c>
      <c r="D3285">
        <v>0.90712414856882895</v>
      </c>
      <c r="E3285">
        <v>0.81869686056551705</v>
      </c>
      <c r="F3285">
        <v>0.81949506256148597</v>
      </c>
      <c r="G3285">
        <v>0.60158905395635698</v>
      </c>
      <c r="H3285">
        <v>0.37679390779690503</v>
      </c>
      <c r="I3285">
        <v>0.206149895453999</v>
      </c>
      <c r="J3285">
        <v>8.9429622232443107E-2</v>
      </c>
      <c r="K3285">
        <v>5.2419678092281097E-2</v>
      </c>
      <c r="L3285">
        <v>794.471029748913</v>
      </c>
      <c r="M3285">
        <v>13.6723480559936</v>
      </c>
      <c r="N3285">
        <v>58.107870531608299</v>
      </c>
      <c r="O3285">
        <v>56.9070748729211</v>
      </c>
      <c r="P3285">
        <v>-6.0073077965525003E-2</v>
      </c>
      <c r="Q3285">
        <v>0</v>
      </c>
      <c r="R3285">
        <v>0.97921232475082098</v>
      </c>
      <c r="S3285" t="s">
        <v>8025</v>
      </c>
      <c r="T3285" t="s">
        <v>9478</v>
      </c>
      <c r="U3285" t="s">
        <v>9478</v>
      </c>
      <c r="V3285" t="s">
        <v>9478</v>
      </c>
      <c r="W3285">
        <v>6</v>
      </c>
      <c r="X3285" t="s">
        <v>12763</v>
      </c>
      <c r="Y3285">
        <v>0.61668157475570884</v>
      </c>
      <c r="Z3285" t="str">
        <f>HYPERLINK("Melting_Curves/meltCurve_sp_Q9H1Z4_WDR13_HUMAN_.pdf", "Melting_Curves/meltCurve_sp_Q9H1Z4_WDR13_HUMAN_.pdf")</f>
        <v>Melting_Curves/meltCurve_sp_Q9H1Z4_WDR13_HUMAN_.pdf</v>
      </c>
      <c r="AA3285" t="s">
        <v>17451</v>
      </c>
      <c r="AB3285" t="s">
        <v>22119</v>
      </c>
    </row>
    <row r="3286" spans="1:28" x14ac:dyDescent="0.25">
      <c r="A3286" t="s">
        <v>3290</v>
      </c>
      <c r="B3286">
        <v>0.99904790336628502</v>
      </c>
      <c r="C3286">
        <v>0.77552263899867102</v>
      </c>
      <c r="D3286">
        <v>0.475144395960237</v>
      </c>
      <c r="E3286">
        <v>0.21285185476009399</v>
      </c>
      <c r="F3286">
        <v>0.124426693273159</v>
      </c>
      <c r="G3286">
        <v>8.6319426605051E-2</v>
      </c>
      <c r="H3286">
        <v>6.1534008694843899E-2</v>
      </c>
      <c r="I3286">
        <v>4.5792955888716701E-2</v>
      </c>
      <c r="J3286">
        <v>4.8103561968841399E-2</v>
      </c>
      <c r="K3286">
        <v>3.6164790476474397E-2</v>
      </c>
      <c r="L3286">
        <v>893.84742349634996</v>
      </c>
      <c r="M3286">
        <v>19.5851776271581</v>
      </c>
      <c r="N3286">
        <v>45.899687054275297</v>
      </c>
      <c r="O3286">
        <v>45.1711570532674</v>
      </c>
      <c r="P3286">
        <v>-0.10269238059205101</v>
      </c>
      <c r="Q3286">
        <v>5.2636711173216701E-2</v>
      </c>
      <c r="R3286">
        <v>0.99579589183990103</v>
      </c>
      <c r="S3286" t="s">
        <v>8026</v>
      </c>
      <c r="T3286" t="s">
        <v>9478</v>
      </c>
      <c r="U3286" t="s">
        <v>9478</v>
      </c>
      <c r="V3286" t="s">
        <v>9478</v>
      </c>
      <c r="W3286">
        <v>7</v>
      </c>
      <c r="X3286" t="s">
        <v>12764</v>
      </c>
      <c r="Y3286">
        <v>0.24651518176970669</v>
      </c>
      <c r="Z3286" t="str">
        <f>HYPERLINK("Melting_Curves/meltCurve_sp_Q9H223_EHD4_HUMAN_.pdf", "Melting_Curves/meltCurve_sp_Q9H223_EHD4_HUMAN_.pdf")</f>
        <v>Melting_Curves/meltCurve_sp_Q9H223_EHD4_HUMAN_.pdf</v>
      </c>
      <c r="AA3286" t="s">
        <v>17452</v>
      </c>
      <c r="AB3286" t="s">
        <v>22120</v>
      </c>
    </row>
    <row r="3287" spans="1:28" x14ac:dyDescent="0.25">
      <c r="A3287" t="s">
        <v>3291</v>
      </c>
      <c r="B3287">
        <v>0.99904790336628502</v>
      </c>
      <c r="C3287">
        <v>0.96153645813029498</v>
      </c>
      <c r="D3287">
        <v>0.90571820579028794</v>
      </c>
      <c r="E3287">
        <v>0.89408423266301995</v>
      </c>
      <c r="F3287">
        <v>0.52655709021760699</v>
      </c>
      <c r="G3287">
        <v>0.144024859688032</v>
      </c>
      <c r="H3287">
        <v>7.6651175990230594E-2</v>
      </c>
      <c r="I3287">
        <v>5.2491892641221297E-2</v>
      </c>
      <c r="J3287">
        <v>4.4837002499780898E-2</v>
      </c>
      <c r="K3287">
        <v>3.7914599161281197E-2</v>
      </c>
      <c r="L3287">
        <v>1640.3562982942201</v>
      </c>
      <c r="M3287">
        <v>30.912961635467401</v>
      </c>
      <c r="N3287">
        <v>53.230260557328897</v>
      </c>
      <c r="O3287">
        <v>52.843128741461797</v>
      </c>
      <c r="P3287">
        <v>-0.13950783462951899</v>
      </c>
      <c r="Q3287">
        <v>4.6097501992126803E-2</v>
      </c>
      <c r="R3287">
        <v>0.994396153468594</v>
      </c>
      <c r="S3287" t="s">
        <v>8027</v>
      </c>
      <c r="T3287" t="s">
        <v>9478</v>
      </c>
      <c r="U3287" t="s">
        <v>9478</v>
      </c>
      <c r="V3287" t="s">
        <v>9478</v>
      </c>
      <c r="W3287">
        <v>9</v>
      </c>
      <c r="X3287" t="s">
        <v>12765</v>
      </c>
      <c r="Y3287">
        <v>0.46731879285535399</v>
      </c>
      <c r="Z3287" t="str">
        <f>HYPERLINK("Melting_Curves/meltCurve_sp_Q9H227_GBA3_HUMAN_.pdf", "Melting_Curves/meltCurve_sp_Q9H227_GBA3_HUMAN_.pdf")</f>
        <v>Melting_Curves/meltCurve_sp_Q9H227_GBA3_HUMAN_.pdf</v>
      </c>
      <c r="AA3287" t="s">
        <v>17453</v>
      </c>
      <c r="AB3287" t="s">
        <v>22121</v>
      </c>
    </row>
    <row r="3288" spans="1:28" x14ac:dyDescent="0.25">
      <c r="A3288" t="s">
        <v>3292</v>
      </c>
      <c r="B3288">
        <v>0.99904790336628502</v>
      </c>
      <c r="C3288">
        <v>0.87962210258720197</v>
      </c>
      <c r="D3288">
        <v>0.83368439175470399</v>
      </c>
      <c r="E3288">
        <v>0.48783190351348499</v>
      </c>
      <c r="F3288">
        <v>0.222352242995183</v>
      </c>
      <c r="G3288">
        <v>0.119784964745886</v>
      </c>
      <c r="H3288">
        <v>7.8688011636542501E-2</v>
      </c>
      <c r="I3288">
        <v>6.59961679399719E-2</v>
      </c>
      <c r="J3288">
        <v>6.0828582240814298E-2</v>
      </c>
      <c r="K3288">
        <v>6.1791079949711801E-2</v>
      </c>
      <c r="L3288">
        <v>946.30819454075902</v>
      </c>
      <c r="M3288">
        <v>19.174170632296001</v>
      </c>
      <c r="N3288">
        <v>49.641227693459697</v>
      </c>
      <c r="O3288">
        <v>48.825850499382398</v>
      </c>
      <c r="P3288">
        <v>-9.30129001589102E-2</v>
      </c>
      <c r="Q3288">
        <v>5.26297228978359E-2</v>
      </c>
      <c r="R3288">
        <v>0.99488064091416595</v>
      </c>
      <c r="S3288" t="s">
        <v>8028</v>
      </c>
      <c r="T3288" t="s">
        <v>9478</v>
      </c>
      <c r="U3288" t="s">
        <v>9478</v>
      </c>
      <c r="V3288" t="s">
        <v>9478</v>
      </c>
      <c r="W3288">
        <v>5</v>
      </c>
      <c r="X3288" t="s">
        <v>12766</v>
      </c>
      <c r="Y3288">
        <v>0.36239188419706558</v>
      </c>
      <c r="Z3288" t="str">
        <f>HYPERLINK("Melting_Curves/meltCurve_sp_Q9H267_VP33B_HUMAN_.pdf", "Melting_Curves/meltCurve_sp_Q9H267_VP33B_HUMAN_.pdf")</f>
        <v>Melting_Curves/meltCurve_sp_Q9H267_VP33B_HUMAN_.pdf</v>
      </c>
      <c r="AA3288" t="s">
        <v>17454</v>
      </c>
      <c r="AB3288" t="s">
        <v>22122</v>
      </c>
    </row>
    <row r="3289" spans="1:28" x14ac:dyDescent="0.25">
      <c r="A3289" t="s">
        <v>3293</v>
      </c>
      <c r="B3289">
        <v>0.99904790336628502</v>
      </c>
      <c r="C3289">
        <v>1.0033860818006799</v>
      </c>
      <c r="D3289">
        <v>1.02345473614461</v>
      </c>
      <c r="E3289">
        <v>0.79089983417530696</v>
      </c>
      <c r="F3289">
        <v>0.46353556007083502</v>
      </c>
      <c r="G3289">
        <v>0.42243650829851298</v>
      </c>
      <c r="H3289">
        <v>0.28425316106458998</v>
      </c>
      <c r="I3289">
        <v>0.23042875109168701</v>
      </c>
      <c r="J3289">
        <v>0.27821199435453198</v>
      </c>
      <c r="K3289">
        <v>0.222687944832372</v>
      </c>
      <c r="L3289">
        <v>1315.9743444656999</v>
      </c>
      <c r="M3289">
        <v>25.472875425857598</v>
      </c>
      <c r="N3289">
        <v>53.2227830390813</v>
      </c>
      <c r="O3289">
        <v>51.346551514206503</v>
      </c>
      <c r="P3289">
        <v>-9.1390662761551694E-2</v>
      </c>
      <c r="Q3289">
        <v>0.26313200007598597</v>
      </c>
      <c r="R3289">
        <v>0.98228619412546403</v>
      </c>
      <c r="S3289" t="s">
        <v>8029</v>
      </c>
      <c r="T3289" t="s">
        <v>9478</v>
      </c>
      <c r="U3289" t="s">
        <v>9478</v>
      </c>
      <c r="V3289" t="s">
        <v>9478</v>
      </c>
      <c r="W3289">
        <v>3</v>
      </c>
      <c r="X3289" t="s">
        <v>12767</v>
      </c>
      <c r="Y3289">
        <v>0.55603634302586291</v>
      </c>
      <c r="Z3289" t="str">
        <f>HYPERLINK("Melting_Curves/meltCurve_sp_Q9H270_VPS11_HUMAN_.pdf", "Melting_Curves/meltCurve_sp_Q9H270_VPS11_HUMAN_.pdf")</f>
        <v>Melting_Curves/meltCurve_sp_Q9H270_VPS11_HUMAN_.pdf</v>
      </c>
      <c r="AA3289" t="s">
        <v>17455</v>
      </c>
      <c r="AB3289" t="s">
        <v>22123</v>
      </c>
    </row>
    <row r="3290" spans="1:28" x14ac:dyDescent="0.25">
      <c r="A3290" t="s">
        <v>3294</v>
      </c>
      <c r="B3290">
        <v>0.99904790336628502</v>
      </c>
      <c r="C3290">
        <v>0.619496877990657</v>
      </c>
      <c r="D3290">
        <v>0.47544080753769802</v>
      </c>
      <c r="E3290">
        <v>0.29295190692608197</v>
      </c>
      <c r="F3290">
        <v>0.18722444811394301</v>
      </c>
      <c r="G3290">
        <v>0.131648333625076</v>
      </c>
      <c r="H3290">
        <v>9.7519961025207796E-2</v>
      </c>
      <c r="I3290">
        <v>8.0117910426838204E-2</v>
      </c>
      <c r="J3290">
        <v>6.3416980243288804E-2</v>
      </c>
      <c r="K3290">
        <v>4.6476095996316899E-2</v>
      </c>
      <c r="L3290">
        <v>645.89847440194103</v>
      </c>
      <c r="M3290">
        <v>14.261976223074299</v>
      </c>
      <c r="N3290">
        <v>45.759278252788697</v>
      </c>
      <c r="O3290">
        <v>44.425679586952697</v>
      </c>
      <c r="P3290">
        <v>-7.4786437884533805E-2</v>
      </c>
      <c r="Q3290">
        <v>6.82837050823282E-2</v>
      </c>
      <c r="R3290">
        <v>0.970658426142608</v>
      </c>
      <c r="S3290" t="s">
        <v>8030</v>
      </c>
      <c r="T3290" t="s">
        <v>9478</v>
      </c>
      <c r="U3290" t="s">
        <v>9478</v>
      </c>
      <c r="V3290" t="s">
        <v>9478</v>
      </c>
      <c r="W3290">
        <v>20</v>
      </c>
      <c r="X3290" t="s">
        <v>12768</v>
      </c>
      <c r="Y3290">
        <v>0.26477777314354328</v>
      </c>
      <c r="Z3290" t="str">
        <f>HYPERLINK("Melting_Curves/meltCurve_sp_Q9H2A2_AL8A1_HUMAN_.pdf", "Melting_Curves/meltCurve_sp_Q9H2A2_AL8A1_HUMAN_.pdf")</f>
        <v>Melting_Curves/meltCurve_sp_Q9H2A2_AL8A1_HUMAN_.pdf</v>
      </c>
      <c r="AA3290" t="s">
        <v>17456</v>
      </c>
      <c r="AB3290" t="s">
        <v>22124</v>
      </c>
    </row>
    <row r="3291" spans="1:28" x14ac:dyDescent="0.25">
      <c r="A3291" t="s">
        <v>3295</v>
      </c>
      <c r="B3291">
        <v>0.99904790336628502</v>
      </c>
      <c r="C3291">
        <v>0.96710632932017904</v>
      </c>
      <c r="D3291">
        <v>0.96065869693863504</v>
      </c>
      <c r="E3291">
        <v>0.86839282930439399</v>
      </c>
      <c r="F3291">
        <v>0.78762447070408104</v>
      </c>
      <c r="G3291">
        <v>0.54004916936804803</v>
      </c>
      <c r="H3291">
        <v>0.37316283048655902</v>
      </c>
      <c r="I3291">
        <v>0.31316435859834801</v>
      </c>
      <c r="J3291">
        <v>0.31068395394563098</v>
      </c>
      <c r="K3291">
        <v>0.29970883677211602</v>
      </c>
      <c r="L3291">
        <v>940.17916956988404</v>
      </c>
      <c r="M3291">
        <v>17.021165628724699</v>
      </c>
      <c r="N3291">
        <v>57.812703900831501</v>
      </c>
      <c r="O3291">
        <v>54.490395909096698</v>
      </c>
      <c r="P3291">
        <v>-5.7334829186662599E-2</v>
      </c>
      <c r="Q3291">
        <v>0.26585426482808899</v>
      </c>
      <c r="R3291">
        <v>0.99597547569450395</v>
      </c>
      <c r="S3291" t="s">
        <v>8031</v>
      </c>
      <c r="T3291" t="s">
        <v>9478</v>
      </c>
      <c r="U3291" t="s">
        <v>9478</v>
      </c>
      <c r="V3291" t="s">
        <v>9478</v>
      </c>
      <c r="W3291">
        <v>18</v>
      </c>
      <c r="X3291" t="s">
        <v>12769</v>
      </c>
      <c r="Y3291">
        <v>0.65077163960159046</v>
      </c>
      <c r="Z3291" t="str">
        <f>HYPERLINK("Melting_Curves/meltCurve_sp_Q9H2D6_3_TARA_HUMAN_.pdf", "Melting_Curves/meltCurve_sp_Q9H2D6_3_TARA_HUMAN_.pdf")</f>
        <v>Melting_Curves/meltCurve_sp_Q9H2D6_3_TARA_HUMAN_.pdf</v>
      </c>
      <c r="AA3291" t="s">
        <v>17457</v>
      </c>
      <c r="AB3291" t="s">
        <v>22125</v>
      </c>
    </row>
    <row r="3292" spans="1:28" x14ac:dyDescent="0.25">
      <c r="A3292" t="s">
        <v>3296</v>
      </c>
      <c r="B3292">
        <v>0.99904790336628502</v>
      </c>
      <c r="C3292">
        <v>0.996745924645841</v>
      </c>
      <c r="D3292">
        <v>1.0339082224162901</v>
      </c>
      <c r="E3292">
        <v>0.951598978696514</v>
      </c>
      <c r="F3292">
        <v>0.40823537370919899</v>
      </c>
      <c r="G3292">
        <v>0.18094659557975201</v>
      </c>
      <c r="H3292">
        <v>0.12245341002587801</v>
      </c>
      <c r="I3292">
        <v>9.4626811849072803E-2</v>
      </c>
      <c r="J3292">
        <v>8.9678586563351995E-2</v>
      </c>
      <c r="K3292">
        <v>7.99529519543936E-2</v>
      </c>
      <c r="L3292">
        <v>2896.6571506076898</v>
      </c>
      <c r="M3292">
        <v>55.309609482248298</v>
      </c>
      <c r="N3292">
        <v>52.609662357588498</v>
      </c>
      <c r="O3292">
        <v>52.303333720830601</v>
      </c>
      <c r="P3292">
        <v>-0.23511050020017399</v>
      </c>
      <c r="Q3292">
        <v>0.110674627566146</v>
      </c>
      <c r="R3292">
        <v>0.99611111054998103</v>
      </c>
      <c r="S3292" t="s">
        <v>8032</v>
      </c>
      <c r="T3292" t="s">
        <v>9478</v>
      </c>
      <c r="U3292" t="s">
        <v>9478</v>
      </c>
      <c r="V3292" t="s">
        <v>9478</v>
      </c>
      <c r="W3292">
        <v>25</v>
      </c>
      <c r="X3292" t="s">
        <v>12770</v>
      </c>
      <c r="Y3292">
        <v>0.47910009148717758</v>
      </c>
      <c r="Z3292" t="str">
        <f>HYPERLINK("Melting_Curves/meltCurve_sp_Q9H2G2_SLK_HUMAN_.pdf", "Melting_Curves/meltCurve_sp_Q9H2G2_SLK_HUMAN_.pdf")</f>
        <v>Melting_Curves/meltCurve_sp_Q9H2G2_SLK_HUMAN_.pdf</v>
      </c>
      <c r="AA3292" t="s">
        <v>17458</v>
      </c>
      <c r="AB3292" t="s">
        <v>22126</v>
      </c>
    </row>
    <row r="3293" spans="1:28" x14ac:dyDescent="0.25">
      <c r="A3293" t="s">
        <v>3297</v>
      </c>
      <c r="B3293">
        <v>0.99904790336628502</v>
      </c>
      <c r="C3293">
        <v>0.82194868176510105</v>
      </c>
      <c r="D3293">
        <v>0.80268792718468596</v>
      </c>
      <c r="E3293">
        <v>0.71710399546971004</v>
      </c>
      <c r="F3293">
        <v>0.34130483923249999</v>
      </c>
      <c r="G3293">
        <v>0.141975262009537</v>
      </c>
      <c r="H3293">
        <v>9.76693698278749E-2</v>
      </c>
      <c r="I3293">
        <v>6.16619200477476E-2</v>
      </c>
      <c r="J3293">
        <v>5.4506503758663401E-2</v>
      </c>
      <c r="K3293">
        <v>5.6199650203578699E-2</v>
      </c>
      <c r="L3293">
        <v>739.17831566239602</v>
      </c>
      <c r="M3293">
        <v>14.425388945461201</v>
      </c>
      <c r="N3293">
        <v>51.311893331786102</v>
      </c>
      <c r="O3293">
        <v>50.286949899064403</v>
      </c>
      <c r="P3293">
        <v>-7.1020932254875796E-2</v>
      </c>
      <c r="Q3293">
        <v>9.80001998974055E-3</v>
      </c>
      <c r="R3293">
        <v>0.97106030149029499</v>
      </c>
      <c r="S3293" t="s">
        <v>8033</v>
      </c>
      <c r="T3293" t="s">
        <v>9478</v>
      </c>
      <c r="U3293" t="s">
        <v>9478</v>
      </c>
      <c r="V3293" t="s">
        <v>9478</v>
      </c>
      <c r="W3293">
        <v>6</v>
      </c>
      <c r="X3293" t="s">
        <v>12771</v>
      </c>
      <c r="Y3293">
        <v>0.40501658084924219</v>
      </c>
      <c r="Z3293" t="str">
        <f>HYPERLINK("Melting_Curves/meltCurve_sp_Q9H2H8_PPIL3_HUMAN_.pdf", "Melting_Curves/meltCurve_sp_Q9H2H8_PPIL3_HUMAN_.pdf")</f>
        <v>Melting_Curves/meltCurve_sp_Q9H2H8_PPIL3_HUMAN_.pdf</v>
      </c>
      <c r="AA3293" t="s">
        <v>17459</v>
      </c>
      <c r="AB3293" t="s">
        <v>22127</v>
      </c>
    </row>
    <row r="3294" spans="1:28" x14ac:dyDescent="0.25">
      <c r="A3294" t="s">
        <v>3298</v>
      </c>
      <c r="B3294">
        <v>0.99904790336628502</v>
      </c>
      <c r="C3294">
        <v>0.93768419410189396</v>
      </c>
      <c r="D3294">
        <v>0.79229345738135704</v>
      </c>
      <c r="E3294">
        <v>0.55588417047504601</v>
      </c>
      <c r="F3294">
        <v>0.254664277538246</v>
      </c>
      <c r="G3294">
        <v>0.11902478112826299</v>
      </c>
      <c r="H3294">
        <v>6.7499039091419494E-2</v>
      </c>
      <c r="I3294">
        <v>5.9146804208151597E-2</v>
      </c>
      <c r="J3294">
        <v>3.0308888331287899E-2</v>
      </c>
      <c r="K3294">
        <v>3.28573250138477E-2</v>
      </c>
      <c r="L3294">
        <v>862.09937497447299</v>
      </c>
      <c r="M3294">
        <v>17.251494224308701</v>
      </c>
      <c r="N3294">
        <v>50.110799092382301</v>
      </c>
      <c r="O3294">
        <v>49.315471944907102</v>
      </c>
      <c r="P3294">
        <v>-8.5425836358405893E-2</v>
      </c>
      <c r="Q3294">
        <v>2.32568262430238E-2</v>
      </c>
      <c r="R3294">
        <v>0.996733739845165</v>
      </c>
      <c r="S3294" t="s">
        <v>8034</v>
      </c>
      <c r="T3294" t="s">
        <v>9478</v>
      </c>
      <c r="U3294" t="s">
        <v>9478</v>
      </c>
      <c r="V3294" t="s">
        <v>9478</v>
      </c>
      <c r="W3294">
        <v>4</v>
      </c>
      <c r="X3294" t="s">
        <v>12772</v>
      </c>
      <c r="Y3294">
        <v>0.3659957302302364</v>
      </c>
      <c r="Z3294" t="str">
        <f>HYPERLINK("Melting_Curves/meltCurve_sp_Q9H2K8_TAOK3_HUMAN_.pdf", "Melting_Curves/meltCurve_sp_Q9H2K8_TAOK3_HUMAN_.pdf")</f>
        <v>Melting_Curves/meltCurve_sp_Q9H2K8_TAOK3_HUMAN_.pdf</v>
      </c>
      <c r="AA3294" t="s">
        <v>17460</v>
      </c>
      <c r="AB3294" t="s">
        <v>22128</v>
      </c>
    </row>
    <row r="3295" spans="1:28" x14ac:dyDescent="0.25">
      <c r="A3295" t="s">
        <v>3299</v>
      </c>
      <c r="B3295">
        <v>0.99904790336628502</v>
      </c>
      <c r="C3295">
        <v>1.0191317827395701</v>
      </c>
      <c r="D3295">
        <v>1.0950397385738</v>
      </c>
      <c r="E3295">
        <v>1.0551694555325699</v>
      </c>
      <c r="F3295">
        <v>0.88560640040940397</v>
      </c>
      <c r="G3295">
        <v>0.80743864033913304</v>
      </c>
      <c r="H3295">
        <v>0.66535566031660198</v>
      </c>
      <c r="I3295">
        <v>0.59425089852862301</v>
      </c>
      <c r="J3295">
        <v>0.54996941068238303</v>
      </c>
      <c r="K3295">
        <v>0.40076252095548998</v>
      </c>
      <c r="L3295">
        <v>830.76390366365899</v>
      </c>
      <c r="M3295">
        <v>13.543869326153001</v>
      </c>
      <c r="N3295">
        <v>66.944799618333306</v>
      </c>
      <c r="O3295">
        <v>60.047856957189097</v>
      </c>
      <c r="P3295">
        <v>-3.72690622872855E-2</v>
      </c>
      <c r="Q3295">
        <v>0.33915773033158197</v>
      </c>
      <c r="R3295">
        <v>0.95221793004955801</v>
      </c>
      <c r="S3295" t="s">
        <v>8035</v>
      </c>
      <c r="T3295" t="s">
        <v>9478</v>
      </c>
      <c r="U3295" t="s">
        <v>9478</v>
      </c>
      <c r="V3295" t="s">
        <v>9478</v>
      </c>
      <c r="W3295">
        <v>33</v>
      </c>
      <c r="X3295" t="s">
        <v>12773</v>
      </c>
      <c r="Y3295">
        <v>0.80786549361681703</v>
      </c>
      <c r="Z3295" t="str">
        <f>HYPERLINK("Melting_Curves/meltCurve_sp_Q9H2M3_BHMT2_HUMAN_.pdf", "Melting_Curves/meltCurve_sp_Q9H2M3_BHMT2_HUMAN_.pdf")</f>
        <v>Melting_Curves/meltCurve_sp_Q9H2M3_BHMT2_HUMAN_.pdf</v>
      </c>
      <c r="AA3295" t="s">
        <v>17461</v>
      </c>
      <c r="AB3295" t="s">
        <v>22129</v>
      </c>
    </row>
    <row r="3296" spans="1:28" x14ac:dyDescent="0.25">
      <c r="A3296" t="s">
        <v>3300</v>
      </c>
      <c r="B3296">
        <v>0.99904790336628502</v>
      </c>
      <c r="C3296">
        <v>1.0748007092462499</v>
      </c>
      <c r="D3296">
        <v>1.0278685582426399</v>
      </c>
      <c r="E3296">
        <v>0.49581674895817501</v>
      </c>
      <c r="F3296">
        <v>0.24395095455145399</v>
      </c>
      <c r="G3296">
        <v>0.13089244101443601</v>
      </c>
      <c r="H3296">
        <v>7.8494438371695799E-2</v>
      </c>
      <c r="I3296">
        <v>5.1501939880726801E-2</v>
      </c>
      <c r="J3296">
        <v>2.8969100322500298E-2</v>
      </c>
      <c r="K3296">
        <v>2.38034195194952E-2</v>
      </c>
      <c r="L3296">
        <v>1594.13187254787</v>
      </c>
      <c r="M3296">
        <v>31.840178311748101</v>
      </c>
      <c r="N3296">
        <v>50.275692221408796</v>
      </c>
      <c r="O3296">
        <v>49.870421951773103</v>
      </c>
      <c r="P3296">
        <v>-0.14972036476202899</v>
      </c>
      <c r="Q3296">
        <v>6.1992739784695002E-2</v>
      </c>
      <c r="R3296">
        <v>0.987759114002139</v>
      </c>
      <c r="S3296" t="s">
        <v>8036</v>
      </c>
      <c r="T3296" t="s">
        <v>9478</v>
      </c>
      <c r="U3296" t="s">
        <v>9478</v>
      </c>
      <c r="V3296" t="s">
        <v>9478</v>
      </c>
      <c r="W3296">
        <v>8</v>
      </c>
      <c r="X3296" t="s">
        <v>12774</v>
      </c>
      <c r="Y3296">
        <v>0.38189570979626458</v>
      </c>
      <c r="Z3296" t="str">
        <f>HYPERLINK("Melting_Curves/meltCurve_sp_Q9H2M9_RBGPR_HUMAN_.pdf", "Melting_Curves/meltCurve_sp_Q9H2M9_RBGPR_HUMAN_.pdf")</f>
        <v>Melting_Curves/meltCurve_sp_Q9H2M9_RBGPR_HUMAN_.pdf</v>
      </c>
      <c r="AA3296" t="s">
        <v>17462</v>
      </c>
      <c r="AB3296" t="s">
        <v>22130</v>
      </c>
    </row>
    <row r="3297" spans="1:28" x14ac:dyDescent="0.25">
      <c r="A3297" t="s">
        <v>3301</v>
      </c>
      <c r="B3297">
        <v>0.99904790336628502</v>
      </c>
      <c r="C3297">
        <v>0.94512169887007502</v>
      </c>
      <c r="D3297">
        <v>0.94601605831477797</v>
      </c>
      <c r="E3297">
        <v>0.75538077266417103</v>
      </c>
      <c r="F3297">
        <v>0.57422798720899804</v>
      </c>
      <c r="G3297">
        <v>0.35006244330825298</v>
      </c>
      <c r="H3297">
        <v>0.234528841203196</v>
      </c>
      <c r="I3297">
        <v>0.16383153511963999</v>
      </c>
      <c r="J3297">
        <v>0.14518364776207299</v>
      </c>
      <c r="K3297">
        <v>0.123238796389616</v>
      </c>
      <c r="L3297">
        <v>790.09474661116099</v>
      </c>
      <c r="M3297">
        <v>14.7939469642426</v>
      </c>
      <c r="N3297">
        <v>54.221700503689</v>
      </c>
      <c r="O3297">
        <v>52.459288499865302</v>
      </c>
      <c r="P3297">
        <v>-6.3479968147535301E-2</v>
      </c>
      <c r="Q3297">
        <v>9.9697353281805803E-2</v>
      </c>
      <c r="R3297">
        <v>0.99852657494303498</v>
      </c>
      <c r="S3297" t="s">
        <v>8037</v>
      </c>
      <c r="T3297" t="s">
        <v>9478</v>
      </c>
      <c r="U3297" t="s">
        <v>9478</v>
      </c>
      <c r="V3297" t="s">
        <v>9478</v>
      </c>
      <c r="W3297">
        <v>10</v>
      </c>
      <c r="X3297" t="s">
        <v>12775</v>
      </c>
      <c r="Y3297">
        <v>0.52141099772445165</v>
      </c>
      <c r="Z3297" t="str">
        <f>HYPERLINK("Melting_Curves/meltCurve_sp_Q9H2P0_ADNP_HUMAN_.pdf", "Melting_Curves/meltCurve_sp_Q9H2P0_ADNP_HUMAN_.pdf")</f>
        <v>Melting_Curves/meltCurve_sp_Q9H2P0_ADNP_HUMAN_.pdf</v>
      </c>
      <c r="AA3297" t="s">
        <v>17463</v>
      </c>
      <c r="AB3297" t="s">
        <v>22131</v>
      </c>
    </row>
    <row r="3298" spans="1:28" x14ac:dyDescent="0.25">
      <c r="A3298" t="s">
        <v>3302</v>
      </c>
      <c r="B3298">
        <v>0.99904790336628502</v>
      </c>
      <c r="C3298">
        <v>0.98756602567391205</v>
      </c>
      <c r="D3298">
        <v>0.99227505142500305</v>
      </c>
      <c r="E3298">
        <v>0.82571124670673002</v>
      </c>
      <c r="F3298">
        <v>0.46857501164346999</v>
      </c>
      <c r="G3298">
        <v>0.13394392504546701</v>
      </c>
      <c r="H3298">
        <v>7.7085976076381402E-2</v>
      </c>
      <c r="I3298">
        <v>4.4505061559167801E-2</v>
      </c>
      <c r="J3298">
        <v>3.9634140295663603E-2</v>
      </c>
      <c r="K3298">
        <v>2.4427163465440199E-2</v>
      </c>
      <c r="L3298">
        <v>1497.9492375156201</v>
      </c>
      <c r="M3298">
        <v>28.465221814204501</v>
      </c>
      <c r="N3298">
        <v>52.773191277197803</v>
      </c>
      <c r="O3298">
        <v>52.3661716660488</v>
      </c>
      <c r="P3298">
        <v>-0.13063702207133199</v>
      </c>
      <c r="Q3298">
        <v>3.8699812923715798E-2</v>
      </c>
      <c r="R3298">
        <v>0.99954714748668905</v>
      </c>
      <c r="S3298" t="s">
        <v>8038</v>
      </c>
      <c r="T3298" t="s">
        <v>9478</v>
      </c>
      <c r="U3298" t="s">
        <v>9478</v>
      </c>
      <c r="V3298" t="s">
        <v>9478</v>
      </c>
      <c r="W3298">
        <v>2</v>
      </c>
      <c r="X3298" t="s">
        <v>12776</v>
      </c>
      <c r="Y3298">
        <v>0.45008269474457308</v>
      </c>
      <c r="Z3298" t="str">
        <f>HYPERLINK("Melting_Curves/meltCurve_sp_Q9H2P9_3_DPH5_HUMAN_.pdf", "Melting_Curves/meltCurve_sp_Q9H2P9_3_DPH5_HUMAN_.pdf")</f>
        <v>Melting_Curves/meltCurve_sp_Q9H2P9_3_DPH5_HUMAN_.pdf</v>
      </c>
      <c r="AA3298" t="s">
        <v>17464</v>
      </c>
      <c r="AB3298" t="s">
        <v>22132</v>
      </c>
    </row>
    <row r="3299" spans="1:28" x14ac:dyDescent="0.25">
      <c r="A3299" t="s">
        <v>3303</v>
      </c>
      <c r="B3299">
        <v>0.99904790336628502</v>
      </c>
      <c r="C3299">
        <v>0.97934710636092603</v>
      </c>
      <c r="D3299">
        <v>1.0500413943639799</v>
      </c>
      <c r="E3299">
        <v>0.84612466511826201</v>
      </c>
      <c r="F3299">
        <v>0.54477032600963005</v>
      </c>
      <c r="G3299">
        <v>0.28589777742010702</v>
      </c>
      <c r="H3299">
        <v>5.75770451604148E-2</v>
      </c>
      <c r="I3299">
        <v>3.2207281285795003E-2</v>
      </c>
      <c r="J3299">
        <v>1.9680321249980499E-2</v>
      </c>
      <c r="K3299">
        <v>1.16072519617777E-2</v>
      </c>
      <c r="L3299">
        <v>1137.8456183934099</v>
      </c>
      <c r="M3299">
        <v>21.127947596443502</v>
      </c>
      <c r="N3299">
        <v>53.868314867969197</v>
      </c>
      <c r="O3299">
        <v>53.379503142494301</v>
      </c>
      <c r="P3299">
        <v>-9.8696476934673399E-2</v>
      </c>
      <c r="Q3299">
        <v>2.6043289730374899E-3</v>
      </c>
      <c r="R3299">
        <v>0.99425447615861495</v>
      </c>
      <c r="S3299" t="s">
        <v>8039</v>
      </c>
      <c r="T3299" t="s">
        <v>9478</v>
      </c>
      <c r="U3299" t="s">
        <v>9478</v>
      </c>
      <c r="V3299" t="s">
        <v>9478</v>
      </c>
      <c r="W3299">
        <v>11</v>
      </c>
      <c r="X3299" t="s">
        <v>12777</v>
      </c>
      <c r="Y3299">
        <v>0.47564163394968612</v>
      </c>
      <c r="Z3299" t="str">
        <f>HYPERLINK("Melting_Curves/meltCurve_sp_Q9H2U1_3_DHX36_HUMAN_.pdf", "Melting_Curves/meltCurve_sp_Q9H2U1_3_DHX36_HUMAN_.pdf")</f>
        <v>Melting_Curves/meltCurve_sp_Q9H2U1_3_DHX36_HUMAN_.pdf</v>
      </c>
      <c r="AA3299" t="s">
        <v>17465</v>
      </c>
      <c r="AB3299" t="s">
        <v>22133</v>
      </c>
    </row>
    <row r="3300" spans="1:28" x14ac:dyDescent="0.25">
      <c r="A3300" t="s">
        <v>3304</v>
      </c>
      <c r="B3300">
        <v>0.99904790336628502</v>
      </c>
      <c r="C3300">
        <v>1.0238949521431</v>
      </c>
      <c r="D3300">
        <v>0.99731057815705004</v>
      </c>
      <c r="E3300">
        <v>0.92264390102143001</v>
      </c>
      <c r="F3300">
        <v>0.57346245287116004</v>
      </c>
      <c r="G3300">
        <v>0.34752049448893602</v>
      </c>
      <c r="H3300">
        <v>8.6451618512060194E-2</v>
      </c>
      <c r="I3300">
        <v>4.1209707889910303E-2</v>
      </c>
      <c r="J3300">
        <v>2.7577429459532499E-2</v>
      </c>
      <c r="K3300">
        <v>2.27886643555557E-2</v>
      </c>
      <c r="L3300">
        <v>1122.1308531981299</v>
      </c>
      <c r="M3300">
        <v>20.589872246934501</v>
      </c>
      <c r="N3300">
        <v>54.534813482656403</v>
      </c>
      <c r="O3300">
        <v>53.992890761397099</v>
      </c>
      <c r="P3300">
        <v>-9.4701503548057994E-2</v>
      </c>
      <c r="Q3300">
        <v>6.6844593846026997E-3</v>
      </c>
      <c r="R3300">
        <v>0.99288851917515397</v>
      </c>
      <c r="S3300" t="s">
        <v>8040</v>
      </c>
      <c r="T3300" t="s">
        <v>9478</v>
      </c>
      <c r="U3300" t="s">
        <v>9478</v>
      </c>
      <c r="V3300" t="s">
        <v>9478</v>
      </c>
      <c r="W3300">
        <v>21</v>
      </c>
      <c r="X3300" t="s">
        <v>12778</v>
      </c>
      <c r="Y3300">
        <v>0.4995409738367077</v>
      </c>
      <c r="Z3300" t="str">
        <f>HYPERLINK("Melting_Curves/meltCurve_sp_Q9H2U2_IPYR2_HUMAN_.pdf", "Melting_Curves/meltCurve_sp_Q9H2U2_IPYR2_HUMAN_.pdf")</f>
        <v>Melting_Curves/meltCurve_sp_Q9H2U2_IPYR2_HUMAN_.pdf</v>
      </c>
      <c r="AA3300" t="s">
        <v>17466</v>
      </c>
      <c r="AB3300" t="s">
        <v>22134</v>
      </c>
    </row>
    <row r="3301" spans="1:28" x14ac:dyDescent="0.25">
      <c r="A3301" t="s">
        <v>3305</v>
      </c>
      <c r="B3301">
        <v>0.99904790336628502</v>
      </c>
      <c r="C3301">
        <v>0.89788386619806004</v>
      </c>
      <c r="D3301">
        <v>0.61503243964305598</v>
      </c>
      <c r="E3301">
        <v>0.31058567339523402</v>
      </c>
      <c r="F3301">
        <v>0.173900886130336</v>
      </c>
      <c r="G3301">
        <v>0.12666301622769099</v>
      </c>
      <c r="H3301">
        <v>5.7205520543805899E-2</v>
      </c>
      <c r="I3301">
        <v>4.4882519388177999E-2</v>
      </c>
      <c r="J3301">
        <v>0.14148589691158101</v>
      </c>
      <c r="K3301">
        <v>4.67867546385662E-2</v>
      </c>
      <c r="L3301">
        <v>917.11618745740498</v>
      </c>
      <c r="M3301">
        <v>19.484960030556699</v>
      </c>
      <c r="N3301">
        <v>47.462333653241899</v>
      </c>
      <c r="O3301">
        <v>46.580546515543297</v>
      </c>
      <c r="P3301">
        <v>-9.6763208552397298E-2</v>
      </c>
      <c r="Q3301">
        <v>7.4748834588829402E-2</v>
      </c>
      <c r="R3301">
        <v>0.99207565222227501</v>
      </c>
      <c r="S3301" t="s">
        <v>8041</v>
      </c>
      <c r="T3301" t="s">
        <v>9478</v>
      </c>
      <c r="U3301" t="s">
        <v>9478</v>
      </c>
      <c r="V3301" t="s">
        <v>9478</v>
      </c>
      <c r="W3301">
        <v>6</v>
      </c>
      <c r="X3301" t="s">
        <v>12779</v>
      </c>
      <c r="Y3301">
        <v>0.30704255764995059</v>
      </c>
      <c r="Z3301" t="str">
        <f>HYPERLINK("Melting_Curves/meltCurve_sp_Q9H2W6_RM46_HUMAN_.pdf", "Melting_Curves/meltCurve_sp_Q9H2W6_RM46_HUMAN_.pdf")</f>
        <v>Melting_Curves/meltCurve_sp_Q9H2W6_RM46_HUMAN_.pdf</v>
      </c>
      <c r="AA3301" t="s">
        <v>17467</v>
      </c>
      <c r="AB3301" t="s">
        <v>22135</v>
      </c>
    </row>
    <row r="3302" spans="1:28" x14ac:dyDescent="0.25">
      <c r="A3302" t="s">
        <v>3306</v>
      </c>
      <c r="B3302">
        <v>0.99904790336628502</v>
      </c>
      <c r="C3302">
        <v>0.93020782583990702</v>
      </c>
      <c r="D3302">
        <v>0.80729883803114999</v>
      </c>
      <c r="E3302">
        <v>0.77136629870443796</v>
      </c>
      <c r="F3302">
        <v>0.69422741056183901</v>
      </c>
      <c r="G3302">
        <v>0.38528534891413002</v>
      </c>
      <c r="H3302">
        <v>0.28684893548846602</v>
      </c>
      <c r="I3302">
        <v>0.258739254403</v>
      </c>
      <c r="J3302">
        <v>0.231365044681209</v>
      </c>
      <c r="K3302">
        <v>0.22632076406600099</v>
      </c>
      <c r="L3302">
        <v>595.98830822666105</v>
      </c>
      <c r="M3302">
        <v>11.0522709138757</v>
      </c>
      <c r="N3302">
        <v>55.495935118960297</v>
      </c>
      <c r="O3302">
        <v>52.249397805030597</v>
      </c>
      <c r="P3302">
        <v>-4.5792326197941401E-2</v>
      </c>
      <c r="Q3302">
        <v>0.13435740945001501</v>
      </c>
      <c r="R3302">
        <v>0.97622467560375004</v>
      </c>
      <c r="S3302" t="s">
        <v>8042</v>
      </c>
      <c r="T3302" t="s">
        <v>9478</v>
      </c>
      <c r="U3302" t="s">
        <v>9478</v>
      </c>
      <c r="V3302" t="s">
        <v>9478</v>
      </c>
      <c r="W3302">
        <v>2</v>
      </c>
      <c r="X3302" t="s">
        <v>12780</v>
      </c>
      <c r="Y3302">
        <v>0.56063156835362415</v>
      </c>
      <c r="Z3302" t="str">
        <f>HYPERLINK("Melting_Curves/meltCurve_sp_Q9H2X3_10_CLC4M_HUMAN_.pdf", "Melting_Curves/meltCurve_sp_Q9H2X3_10_CLC4M_HUMAN_.pdf")</f>
        <v>Melting_Curves/meltCurve_sp_Q9H2X3_10_CLC4M_HUMAN_.pdf</v>
      </c>
      <c r="AA3302" t="s">
        <v>17468</v>
      </c>
      <c r="AB3302" t="s">
        <v>22136</v>
      </c>
    </row>
    <row r="3303" spans="1:28" x14ac:dyDescent="0.25">
      <c r="A3303" t="s">
        <v>3307</v>
      </c>
      <c r="B3303">
        <v>0.99904790336628502</v>
      </c>
      <c r="C3303">
        <v>0.97042780607411805</v>
      </c>
      <c r="D3303">
        <v>0.89890252644880697</v>
      </c>
      <c r="E3303">
        <v>0.82650301078645505</v>
      </c>
      <c r="F3303">
        <v>0.874356985777201</v>
      </c>
      <c r="G3303">
        <v>0.629424932746937</v>
      </c>
      <c r="H3303">
        <v>0.51029931289791697</v>
      </c>
      <c r="I3303">
        <v>0.46163135103132902</v>
      </c>
      <c r="J3303">
        <v>0.44188595423778199</v>
      </c>
      <c r="K3303">
        <v>0.498369428385252</v>
      </c>
      <c r="L3303">
        <v>693.62585556633405</v>
      </c>
      <c r="M3303">
        <v>12.5676041589389</v>
      </c>
      <c r="N3303">
        <v>63.438979393056698</v>
      </c>
      <c r="O3303">
        <v>53.850106422209599</v>
      </c>
      <c r="P3303">
        <v>-3.4873476337007103E-2</v>
      </c>
      <c r="Q3303">
        <v>0.40241216398297702</v>
      </c>
      <c r="R3303">
        <v>0.95445395844387804</v>
      </c>
      <c r="S3303" t="s">
        <v>8043</v>
      </c>
      <c r="T3303" t="s">
        <v>9478</v>
      </c>
      <c r="U3303" t="s">
        <v>9478</v>
      </c>
      <c r="V3303" t="s">
        <v>9478</v>
      </c>
      <c r="W3303">
        <v>6</v>
      </c>
      <c r="X3303" t="s">
        <v>12781</v>
      </c>
      <c r="Y3303">
        <v>0.71828265183110918</v>
      </c>
      <c r="Z3303" t="str">
        <f>HYPERLINK("Melting_Curves/meltCurve_sp_Q9H307_PININ_HUMAN_.pdf", "Melting_Curves/meltCurve_sp_Q9H307_PININ_HUMAN_.pdf")</f>
        <v>Melting_Curves/meltCurve_sp_Q9H307_PININ_HUMAN_.pdf</v>
      </c>
      <c r="AA3303" t="s">
        <v>17469</v>
      </c>
      <c r="AB3303" t="s">
        <v>22137</v>
      </c>
    </row>
    <row r="3304" spans="1:28" x14ac:dyDescent="0.25">
      <c r="A3304" t="s">
        <v>3308</v>
      </c>
      <c r="B3304">
        <v>0.99904790336628502</v>
      </c>
      <c r="C3304">
        <v>0.82339951276140999</v>
      </c>
      <c r="D3304">
        <v>0.912139879058113</v>
      </c>
      <c r="E3304">
        <v>0.829110809743832</v>
      </c>
      <c r="F3304">
        <v>0.79910137750518295</v>
      </c>
      <c r="G3304">
        <v>0.71891043136566202</v>
      </c>
      <c r="H3304">
        <v>0.58988213799453504</v>
      </c>
      <c r="I3304">
        <v>0.46678104072857501</v>
      </c>
      <c r="J3304">
        <v>0.49118598784935702</v>
      </c>
      <c r="K3304">
        <v>0.60358725754139697</v>
      </c>
      <c r="L3304">
        <v>391.527543664951</v>
      </c>
      <c r="M3304">
        <v>6.9574223505327</v>
      </c>
      <c r="O3304">
        <v>52.1780480458862</v>
      </c>
      <c r="P3304">
        <v>-2.06958058914344E-2</v>
      </c>
      <c r="Q3304">
        <v>0.38033187793978601</v>
      </c>
      <c r="R3304">
        <v>0.86301569118256904</v>
      </c>
      <c r="S3304" t="s">
        <v>8044</v>
      </c>
      <c r="T3304" t="s">
        <v>9478</v>
      </c>
      <c r="U3304" t="s">
        <v>9478</v>
      </c>
      <c r="V3304" t="s">
        <v>9478</v>
      </c>
      <c r="W3304">
        <v>2</v>
      </c>
      <c r="X3304" t="s">
        <v>12782</v>
      </c>
      <c r="Y3304">
        <v>0.72595127595827802</v>
      </c>
      <c r="Z3304" t="str">
        <f>HYPERLINK("Melting_Curves/meltCurve_sp_Q9H329_2_E41LB_HUMAN_.pdf", "Melting_Curves/meltCurve_sp_Q9H329_2_E41LB_HUMAN_.pdf")</f>
        <v>Melting_Curves/meltCurve_sp_Q9H329_2_E41LB_HUMAN_.pdf</v>
      </c>
      <c r="AA3304" t="s">
        <v>17470</v>
      </c>
      <c r="AB3304" t="s">
        <v>22138</v>
      </c>
    </row>
    <row r="3305" spans="1:28" x14ac:dyDescent="0.25">
      <c r="A3305" t="s">
        <v>3309</v>
      </c>
      <c r="B3305">
        <v>0.99904790336628502</v>
      </c>
      <c r="C3305">
        <v>0.98181626148280299</v>
      </c>
      <c r="D3305">
        <v>1.0285011819132599</v>
      </c>
      <c r="E3305">
        <v>0.80409541114750305</v>
      </c>
      <c r="F3305">
        <v>0.63636564152394404</v>
      </c>
      <c r="G3305">
        <v>0.339049953848509</v>
      </c>
      <c r="H3305">
        <v>0.191427428059189</v>
      </c>
      <c r="I3305">
        <v>0.101888971941607</v>
      </c>
      <c r="J3305">
        <v>6.1913642615256698E-2</v>
      </c>
      <c r="K3305">
        <v>5.9418758495866697E-2</v>
      </c>
      <c r="L3305">
        <v>940.83711200401297</v>
      </c>
      <c r="M3305">
        <v>17.266039165479398</v>
      </c>
      <c r="N3305">
        <v>54.737819422763799</v>
      </c>
      <c r="O3305">
        <v>53.775429829704599</v>
      </c>
      <c r="P3305">
        <v>-7.7263068612747399E-2</v>
      </c>
      <c r="Q3305">
        <v>3.7506479891692097E-2</v>
      </c>
      <c r="R3305">
        <v>0.99609032388416296</v>
      </c>
      <c r="S3305" t="s">
        <v>8045</v>
      </c>
      <c r="T3305" t="s">
        <v>9478</v>
      </c>
      <c r="U3305" t="s">
        <v>9478</v>
      </c>
      <c r="V3305" t="s">
        <v>9478</v>
      </c>
      <c r="W3305">
        <v>8</v>
      </c>
      <c r="X3305" t="s">
        <v>12783</v>
      </c>
      <c r="Y3305">
        <v>0.51848706763459584</v>
      </c>
      <c r="Z3305" t="str">
        <f>HYPERLINK("Melting_Curves/meltCurve_sp_Q9H3G5_CPVL_HUMAN_.pdf", "Melting_Curves/meltCurve_sp_Q9H3G5_CPVL_HUMAN_.pdf")</f>
        <v>Melting_Curves/meltCurve_sp_Q9H3G5_CPVL_HUMAN_.pdf</v>
      </c>
      <c r="AA3305" t="s">
        <v>17471</v>
      </c>
      <c r="AB3305" t="s">
        <v>22139</v>
      </c>
    </row>
    <row r="3306" spans="1:28" x14ac:dyDescent="0.25">
      <c r="A3306" t="s">
        <v>3310</v>
      </c>
      <c r="B3306">
        <v>0.99904790336628502</v>
      </c>
      <c r="C3306">
        <v>0.959670259564669</v>
      </c>
      <c r="D3306">
        <v>0.93392673019392003</v>
      </c>
      <c r="E3306">
        <v>0.81099652810699296</v>
      </c>
      <c r="F3306">
        <v>0.63048688390229501</v>
      </c>
      <c r="G3306">
        <v>0.247144931585247</v>
      </c>
      <c r="H3306">
        <v>0.11775461239655401</v>
      </c>
      <c r="I3306">
        <v>7.7886828445149894E-2</v>
      </c>
      <c r="J3306">
        <v>5.6173492655413097E-2</v>
      </c>
      <c r="K3306">
        <v>6.6342281622390906E-2</v>
      </c>
      <c r="L3306">
        <v>1084.4028836605</v>
      </c>
      <c r="M3306">
        <v>20.158167007126799</v>
      </c>
      <c r="N3306">
        <v>54.024610239909201</v>
      </c>
      <c r="O3306">
        <v>53.273704990381503</v>
      </c>
      <c r="P3306">
        <v>-9.0711936649108094E-2</v>
      </c>
      <c r="Q3306">
        <v>4.1101609907167297E-2</v>
      </c>
      <c r="R3306">
        <v>0.99655119050769403</v>
      </c>
      <c r="S3306" t="s">
        <v>8046</v>
      </c>
      <c r="T3306" t="s">
        <v>9478</v>
      </c>
      <c r="U3306" t="s">
        <v>9478</v>
      </c>
      <c r="V3306" t="s">
        <v>9478</v>
      </c>
      <c r="W3306">
        <v>4</v>
      </c>
      <c r="X3306" t="s">
        <v>12784</v>
      </c>
      <c r="Y3306">
        <v>0.49493112624349961</v>
      </c>
      <c r="Z3306" t="str">
        <f>HYPERLINK("Melting_Curves/meltCurve_sp_Q9H3H3_CK068_HUMAN_.pdf", "Melting_Curves/meltCurve_sp_Q9H3H3_CK068_HUMAN_.pdf")</f>
        <v>Melting_Curves/meltCurve_sp_Q9H3H3_CK068_HUMAN_.pdf</v>
      </c>
      <c r="AA3306" t="s">
        <v>17472</v>
      </c>
      <c r="AB3306" t="s">
        <v>22140</v>
      </c>
    </row>
    <row r="3307" spans="1:28" x14ac:dyDescent="0.25">
      <c r="A3307" t="s">
        <v>3311</v>
      </c>
      <c r="B3307">
        <v>0.99904790336628502</v>
      </c>
      <c r="C3307">
        <v>0.97963748332795297</v>
      </c>
      <c r="D3307">
        <v>0.95207807017604895</v>
      </c>
      <c r="E3307">
        <v>0.90064992601774696</v>
      </c>
      <c r="F3307">
        <v>0.87936348592899805</v>
      </c>
      <c r="G3307">
        <v>0.59792799275684605</v>
      </c>
      <c r="H3307">
        <v>0.46976582472546102</v>
      </c>
      <c r="I3307">
        <v>0.38598009842110198</v>
      </c>
      <c r="J3307">
        <v>0.33948843381592703</v>
      </c>
      <c r="K3307">
        <v>0.32119465918085799</v>
      </c>
      <c r="L3307">
        <v>939.639940319434</v>
      </c>
      <c r="M3307">
        <v>16.5794572660275</v>
      </c>
      <c r="N3307">
        <v>59.832652974313902</v>
      </c>
      <c r="O3307">
        <v>55.869693064556401</v>
      </c>
      <c r="P3307">
        <v>-5.2560935129309802E-2</v>
      </c>
      <c r="Q3307">
        <v>0.29156605883679398</v>
      </c>
      <c r="R3307">
        <v>0.992064381414554</v>
      </c>
      <c r="S3307" t="s">
        <v>8047</v>
      </c>
      <c r="T3307" t="s">
        <v>9478</v>
      </c>
      <c r="U3307" t="s">
        <v>9478</v>
      </c>
      <c r="V3307" t="s">
        <v>9478</v>
      </c>
      <c r="W3307">
        <v>5</v>
      </c>
      <c r="X3307" t="s">
        <v>12785</v>
      </c>
      <c r="Y3307">
        <v>0.696142149853338</v>
      </c>
      <c r="Z3307" t="str">
        <f>HYPERLINK("Melting_Curves/meltCurve_sp_Q9H3K6_BOLA2_HUMAN_.pdf", "Melting_Curves/meltCurve_sp_Q9H3K6_BOLA2_HUMAN_.pdf")</f>
        <v>Melting_Curves/meltCurve_sp_Q9H3K6_BOLA2_HUMAN_.pdf</v>
      </c>
      <c r="AA3307" t="s">
        <v>17473</v>
      </c>
      <c r="AB3307" t="s">
        <v>22141</v>
      </c>
    </row>
    <row r="3308" spans="1:28" x14ac:dyDescent="0.25">
      <c r="A3308" t="s">
        <v>3312</v>
      </c>
      <c r="B3308">
        <v>0.99904790336628502</v>
      </c>
      <c r="C3308">
        <v>0.85570538424404496</v>
      </c>
      <c r="D3308">
        <v>1.06900281720769</v>
      </c>
      <c r="E3308">
        <v>0.86859860543676004</v>
      </c>
      <c r="F3308">
        <v>0.81672745079116404</v>
      </c>
      <c r="G3308">
        <v>0.43941075127627299</v>
      </c>
      <c r="H3308">
        <v>0.46370680567309802</v>
      </c>
      <c r="I3308">
        <v>0.37544519908947799</v>
      </c>
      <c r="J3308">
        <v>0.50083606506315803</v>
      </c>
      <c r="K3308">
        <v>0.47292530803141802</v>
      </c>
      <c r="L3308">
        <v>1985.4427539425101</v>
      </c>
      <c r="M3308">
        <v>37.081073540020199</v>
      </c>
      <c r="N3308">
        <v>56.834990283182002</v>
      </c>
      <c r="O3308">
        <v>53.388281912536101</v>
      </c>
      <c r="P3308">
        <v>-9.6956726753470293E-2</v>
      </c>
      <c r="Q3308">
        <v>0.44161934588486201</v>
      </c>
      <c r="R3308">
        <v>0.92008768802711305</v>
      </c>
      <c r="S3308" t="s">
        <v>8048</v>
      </c>
      <c r="T3308" t="s">
        <v>9478</v>
      </c>
      <c r="U3308" t="s">
        <v>9478</v>
      </c>
      <c r="V3308" t="s">
        <v>9478</v>
      </c>
      <c r="W3308">
        <v>3</v>
      </c>
      <c r="X3308" t="s">
        <v>12786</v>
      </c>
      <c r="Y3308">
        <v>0.6960973391779931</v>
      </c>
      <c r="Z3308" t="str">
        <f>HYPERLINK("Melting_Curves/meltCurve_sp_Q9H3N1_TMX1_HUMAN_.pdf", "Melting_Curves/meltCurve_sp_Q9H3N1_TMX1_HUMAN_.pdf")</f>
        <v>Melting_Curves/meltCurve_sp_Q9H3N1_TMX1_HUMAN_.pdf</v>
      </c>
      <c r="AA3308" t="s">
        <v>17474</v>
      </c>
      <c r="AB3308" t="s">
        <v>22142</v>
      </c>
    </row>
    <row r="3309" spans="1:28" x14ac:dyDescent="0.25">
      <c r="A3309" t="s">
        <v>3313</v>
      </c>
      <c r="B3309">
        <v>0.99904790336628502</v>
      </c>
      <c r="C3309">
        <v>1.0185593574177501</v>
      </c>
      <c r="D3309">
        <v>0.95785746288351103</v>
      </c>
      <c r="E3309">
        <v>0.86445054667544696</v>
      </c>
      <c r="F3309">
        <v>0.80069588778426903</v>
      </c>
      <c r="G3309">
        <v>0.56406291708392198</v>
      </c>
      <c r="H3309">
        <v>0.48941920206547102</v>
      </c>
      <c r="I3309">
        <v>0.45080982954103099</v>
      </c>
      <c r="J3309">
        <v>0.477726930992803</v>
      </c>
      <c r="K3309">
        <v>0.431127512743258</v>
      </c>
      <c r="L3309">
        <v>991.51044066419399</v>
      </c>
      <c r="M3309">
        <v>18.382842459157501</v>
      </c>
      <c r="N3309">
        <v>60.527000330992301</v>
      </c>
      <c r="O3309">
        <v>53.310609183911801</v>
      </c>
      <c r="P3309">
        <v>-4.8929712292307498E-2</v>
      </c>
      <c r="Q3309">
        <v>0.432437221128878</v>
      </c>
      <c r="R3309">
        <v>0.99109343682023898</v>
      </c>
      <c r="S3309" t="s">
        <v>8049</v>
      </c>
      <c r="T3309" t="s">
        <v>9478</v>
      </c>
      <c r="U3309" t="s">
        <v>9478</v>
      </c>
      <c r="V3309" t="s">
        <v>9478</v>
      </c>
      <c r="W3309">
        <v>5</v>
      </c>
      <c r="X3309" t="s">
        <v>12787</v>
      </c>
      <c r="Y3309">
        <v>0.70491594452813977</v>
      </c>
      <c r="Z3309" t="str">
        <f>HYPERLINK("Melting_Curves/meltCurve_sp_Q9H3P2_NELFA_HUMAN_.pdf", "Melting_Curves/meltCurve_sp_Q9H3P2_NELFA_HUMAN_.pdf")</f>
        <v>Melting_Curves/meltCurve_sp_Q9H3P2_NELFA_HUMAN_.pdf</v>
      </c>
      <c r="AA3309" t="s">
        <v>17475</v>
      </c>
      <c r="AB3309" t="s">
        <v>22143</v>
      </c>
    </row>
    <row r="3310" spans="1:28" x14ac:dyDescent="0.25">
      <c r="A3310" t="s">
        <v>3314</v>
      </c>
      <c r="B3310">
        <v>0.99904790336628502</v>
      </c>
      <c r="C3310">
        <v>0.99808591255594703</v>
      </c>
      <c r="D3310">
        <v>0.92615720876186902</v>
      </c>
      <c r="E3310">
        <v>0.851000183632316</v>
      </c>
      <c r="F3310">
        <v>0.58442667324470698</v>
      </c>
      <c r="G3310">
        <v>0.42232685455465502</v>
      </c>
      <c r="H3310">
        <v>0.29796763332163301</v>
      </c>
      <c r="I3310">
        <v>0.24626293463976101</v>
      </c>
      <c r="J3310">
        <v>0.23989280647549799</v>
      </c>
      <c r="K3310">
        <v>0.217637514064355</v>
      </c>
      <c r="L3310">
        <v>930.34804705232</v>
      </c>
      <c r="M3310">
        <v>17.465621586954398</v>
      </c>
      <c r="N3310">
        <v>55.023308425261298</v>
      </c>
      <c r="O3310">
        <v>52.583799518440699</v>
      </c>
      <c r="P3310">
        <v>-6.53004371109875E-2</v>
      </c>
      <c r="Q3310">
        <v>0.21364279347633799</v>
      </c>
      <c r="R3310">
        <v>0.99538593039708501</v>
      </c>
      <c r="S3310" t="s">
        <v>8050</v>
      </c>
      <c r="T3310" t="s">
        <v>9478</v>
      </c>
      <c r="U3310" t="s">
        <v>9478</v>
      </c>
      <c r="V3310" t="s">
        <v>9478</v>
      </c>
      <c r="W3310">
        <v>12</v>
      </c>
      <c r="X3310" t="s">
        <v>12788</v>
      </c>
      <c r="Y3310">
        <v>0.57482741117512293</v>
      </c>
      <c r="Z3310" t="str">
        <f>HYPERLINK("Melting_Curves/meltCurve_sp_Q9H3P7_GCP60_HUMAN_.pdf", "Melting_Curves/meltCurve_sp_Q9H3P7_GCP60_HUMAN_.pdf")</f>
        <v>Melting_Curves/meltCurve_sp_Q9H3P7_GCP60_HUMAN_.pdf</v>
      </c>
      <c r="AA3310" t="s">
        <v>17476</v>
      </c>
      <c r="AB3310" t="s">
        <v>22144</v>
      </c>
    </row>
    <row r="3311" spans="1:28" x14ac:dyDescent="0.25">
      <c r="A3311" t="s">
        <v>3315</v>
      </c>
      <c r="B3311">
        <v>0.99904790336628502</v>
      </c>
      <c r="C3311">
        <v>0.841945276131155</v>
      </c>
      <c r="D3311">
        <v>0.95341090199041001</v>
      </c>
      <c r="E3311">
        <v>0.87726520080517301</v>
      </c>
      <c r="F3311">
        <v>0.86638474696163503</v>
      </c>
      <c r="G3311">
        <v>0.66036578308827998</v>
      </c>
      <c r="H3311">
        <v>0.63969628422259095</v>
      </c>
      <c r="I3311">
        <v>0.55270443018266002</v>
      </c>
      <c r="J3311">
        <v>0.47892540784050802</v>
      </c>
      <c r="K3311">
        <v>0.546733268972727</v>
      </c>
      <c r="L3311">
        <v>464.90059069760099</v>
      </c>
      <c r="M3311">
        <v>7.9983683977962796</v>
      </c>
      <c r="N3311">
        <v>69.503016692034194</v>
      </c>
      <c r="O3311">
        <v>54.828579014786001</v>
      </c>
      <c r="P3311">
        <v>-2.31840682650159E-2</v>
      </c>
      <c r="Q3311">
        <v>0.36501430666333601</v>
      </c>
      <c r="R3311">
        <v>0.90963377156554903</v>
      </c>
      <c r="S3311" t="s">
        <v>8051</v>
      </c>
      <c r="T3311" t="s">
        <v>9478</v>
      </c>
      <c r="U3311" t="s">
        <v>9478</v>
      </c>
      <c r="V3311" t="s">
        <v>9478</v>
      </c>
      <c r="W3311">
        <v>7</v>
      </c>
      <c r="X3311" t="s">
        <v>12789</v>
      </c>
      <c r="Y3311">
        <v>0.75022483530824835</v>
      </c>
      <c r="Z3311" t="str">
        <f>HYPERLINK("Melting_Curves/meltCurve_sp_Q9H3Q1_BORG4_HUMAN_.pdf", "Melting_Curves/meltCurve_sp_Q9H3Q1_BORG4_HUMAN_.pdf")</f>
        <v>Melting_Curves/meltCurve_sp_Q9H3Q1_BORG4_HUMAN_.pdf</v>
      </c>
      <c r="AA3311" t="s">
        <v>17477</v>
      </c>
      <c r="AB3311" t="s">
        <v>22145</v>
      </c>
    </row>
    <row r="3312" spans="1:28" x14ac:dyDescent="0.25">
      <c r="A3312" t="s">
        <v>3316</v>
      </c>
      <c r="B3312">
        <v>0.99904790336628502</v>
      </c>
      <c r="C3312">
        <v>0.97493226698652602</v>
      </c>
      <c r="D3312">
        <v>0.95416387643592704</v>
      </c>
      <c r="E3312">
        <v>0.85151509006884896</v>
      </c>
      <c r="F3312">
        <v>0.55676418431075103</v>
      </c>
      <c r="G3312">
        <v>0.175375531720012</v>
      </c>
      <c r="H3312">
        <v>9.53282779534977E-2</v>
      </c>
      <c r="I3312">
        <v>6.3291281473799907E-2</v>
      </c>
      <c r="J3312">
        <v>5.5689202988501302E-2</v>
      </c>
      <c r="K3312">
        <v>5.1714572599106202E-2</v>
      </c>
      <c r="L3312">
        <v>1404.1718387128999</v>
      </c>
      <c r="M3312">
        <v>26.398933143463498</v>
      </c>
      <c r="N3312">
        <v>53.412810394986899</v>
      </c>
      <c r="O3312">
        <v>52.8880689206282</v>
      </c>
      <c r="P3312">
        <v>-0.118295139188185</v>
      </c>
      <c r="Q3312">
        <v>5.2032333451711703E-2</v>
      </c>
      <c r="R3312">
        <v>0.99882745116080096</v>
      </c>
      <c r="S3312" t="s">
        <v>8052</v>
      </c>
      <c r="T3312" t="s">
        <v>9478</v>
      </c>
      <c r="U3312" t="s">
        <v>9478</v>
      </c>
      <c r="V3312" t="s">
        <v>9478</v>
      </c>
      <c r="W3312">
        <v>36</v>
      </c>
      <c r="X3312" t="s">
        <v>12790</v>
      </c>
      <c r="Y3312">
        <v>0.47672462099245061</v>
      </c>
      <c r="Z3312" t="str">
        <f>HYPERLINK("Melting_Curves/meltCurve_sp_Q9H3S7_PTN23_HUMAN_.pdf", "Melting_Curves/meltCurve_sp_Q9H3S7_PTN23_HUMAN_.pdf")</f>
        <v>Melting_Curves/meltCurve_sp_Q9H3S7_PTN23_HUMAN_.pdf</v>
      </c>
      <c r="AA3312" t="s">
        <v>17478</v>
      </c>
      <c r="AB3312" t="s">
        <v>22146</v>
      </c>
    </row>
    <row r="3313" spans="1:28" x14ac:dyDescent="0.25">
      <c r="A3313" t="s">
        <v>3317</v>
      </c>
      <c r="B3313">
        <v>0.99904790336628502</v>
      </c>
      <c r="C3313">
        <v>0.93910429523582695</v>
      </c>
      <c r="D3313">
        <v>0.88147625071464897</v>
      </c>
      <c r="E3313">
        <v>0.40944460877031302</v>
      </c>
      <c r="F3313">
        <v>0.20964873721661001</v>
      </c>
      <c r="G3313">
        <v>0.11245629031814799</v>
      </c>
      <c r="H3313">
        <v>6.4688365204205206E-2</v>
      </c>
      <c r="I3313">
        <v>5.2625021103975898E-2</v>
      </c>
      <c r="J3313">
        <v>4.05603037621559E-2</v>
      </c>
      <c r="K3313">
        <v>4.1357853164592E-2</v>
      </c>
      <c r="L3313">
        <v>1187.2133490556901</v>
      </c>
      <c r="M3313">
        <v>24.137677286557398</v>
      </c>
      <c r="N3313">
        <v>49.414137353106902</v>
      </c>
      <c r="O3313">
        <v>48.851219384945502</v>
      </c>
      <c r="P3313">
        <v>-0.11699002014036899</v>
      </c>
      <c r="Q3313">
        <v>5.29303748279423E-2</v>
      </c>
      <c r="R3313">
        <v>0.99726764583634997</v>
      </c>
      <c r="S3313" t="s">
        <v>8053</v>
      </c>
      <c r="T3313" t="s">
        <v>9478</v>
      </c>
      <c r="U3313" t="s">
        <v>9478</v>
      </c>
      <c r="V3313" t="s">
        <v>9478</v>
      </c>
      <c r="W3313">
        <v>23</v>
      </c>
      <c r="X3313" t="s">
        <v>12791</v>
      </c>
      <c r="Y3313">
        <v>0.35192382039776171</v>
      </c>
      <c r="Z3313" t="str">
        <f>HYPERLINK("Melting_Curves/meltCurve_sp_Q9H3U1_2_UN45A_HUMAN_.pdf", "Melting_Curves/meltCurve_sp_Q9H3U1_2_UN45A_HUMAN_.pdf")</f>
        <v>Melting_Curves/meltCurve_sp_Q9H3U1_2_UN45A_HUMAN_.pdf</v>
      </c>
      <c r="AA3313" t="s">
        <v>17479</v>
      </c>
      <c r="AB3313" t="s">
        <v>22147</v>
      </c>
    </row>
    <row r="3314" spans="1:28" x14ac:dyDescent="0.25">
      <c r="A3314" t="s">
        <v>3318</v>
      </c>
      <c r="B3314">
        <v>0.99904790336628502</v>
      </c>
      <c r="C3314">
        <v>0.88645613770303999</v>
      </c>
      <c r="D3314">
        <v>0.77764024221206696</v>
      </c>
      <c r="E3314">
        <v>0.51077410639404197</v>
      </c>
      <c r="F3314">
        <v>0.42688470789036698</v>
      </c>
      <c r="G3314">
        <v>0.25227247843111</v>
      </c>
      <c r="H3314">
        <v>0.17615075212765699</v>
      </c>
      <c r="I3314">
        <v>0.109275693036315</v>
      </c>
      <c r="J3314">
        <v>0.12983671572389999</v>
      </c>
      <c r="K3314">
        <v>0.13610729969789101</v>
      </c>
      <c r="L3314">
        <v>631.08040896301497</v>
      </c>
      <c r="M3314">
        <v>12.627233910252601</v>
      </c>
      <c r="N3314">
        <v>50.7944367283053</v>
      </c>
      <c r="O3314">
        <v>48.773968789028203</v>
      </c>
      <c r="P3314">
        <v>-5.8788513764067199E-2</v>
      </c>
      <c r="Q3314">
        <v>9.1873335356785796E-2</v>
      </c>
      <c r="R3314">
        <v>0.99435049509088203</v>
      </c>
      <c r="S3314" t="s">
        <v>8054</v>
      </c>
      <c r="T3314" t="s">
        <v>9478</v>
      </c>
      <c r="U3314" t="s">
        <v>9478</v>
      </c>
      <c r="V3314" t="s">
        <v>9478</v>
      </c>
      <c r="W3314">
        <v>1</v>
      </c>
      <c r="X3314" t="s">
        <v>12792</v>
      </c>
      <c r="Y3314">
        <v>0.42293570601540142</v>
      </c>
      <c r="Z3314" t="str">
        <f>HYPERLINK("Melting_Curves/meltCurve_sp_Q9H400_2_LIME1_HUMAN_.pdf", "Melting_Curves/meltCurve_sp_Q9H400_2_LIME1_HUMAN_.pdf")</f>
        <v>Melting_Curves/meltCurve_sp_Q9H400_2_LIME1_HUMAN_.pdf</v>
      </c>
      <c r="AA3314" t="s">
        <v>17480</v>
      </c>
      <c r="AB3314" t="s">
        <v>22148</v>
      </c>
    </row>
    <row r="3315" spans="1:28" x14ac:dyDescent="0.25">
      <c r="A3315" t="s">
        <v>3319</v>
      </c>
      <c r="B3315">
        <v>0.99904790336628502</v>
      </c>
      <c r="C3315">
        <v>1.08857689916949</v>
      </c>
      <c r="D3315">
        <v>1.06446424461404</v>
      </c>
      <c r="E3315">
        <v>1.0497807205569301</v>
      </c>
      <c r="F3315">
        <v>1.18098276600756</v>
      </c>
      <c r="G3315">
        <v>0.85947877843036302</v>
      </c>
      <c r="H3315">
        <v>0.89336805750937198</v>
      </c>
      <c r="I3315">
        <v>1.1391900446332801</v>
      </c>
      <c r="J3315">
        <v>1.30436775521411</v>
      </c>
      <c r="K3315">
        <v>1.35998496540248</v>
      </c>
      <c r="L3315">
        <v>11412.5767087187</v>
      </c>
      <c r="M3315">
        <v>177.99292588066899</v>
      </c>
      <c r="O3315">
        <v>64.110054239440899</v>
      </c>
      <c r="P3315">
        <v>0.230630656973562</v>
      </c>
      <c r="Q3315">
        <v>1.33227711114167</v>
      </c>
      <c r="R3315">
        <v>0.655222494915361</v>
      </c>
      <c r="S3315" t="s">
        <v>8055</v>
      </c>
      <c r="T3315" t="s">
        <v>9478</v>
      </c>
      <c r="U3315" t="s">
        <v>9478</v>
      </c>
      <c r="V3315" t="s">
        <v>9478</v>
      </c>
      <c r="W3315">
        <v>9</v>
      </c>
      <c r="X3315" t="s">
        <v>12793</v>
      </c>
      <c r="Y3315">
        <v>1.065073054081165</v>
      </c>
      <c r="Z3315" t="str">
        <f>HYPERLINK("Melting_Curves/meltCurve_sp_Q9H444_CHM4B_HUMAN_.pdf", "Melting_Curves/meltCurve_sp_Q9H444_CHM4B_HUMAN_.pdf")</f>
        <v>Melting_Curves/meltCurve_sp_Q9H444_CHM4B_HUMAN_.pdf</v>
      </c>
      <c r="AA3315" t="s">
        <v>17481</v>
      </c>
      <c r="AB3315" t="s">
        <v>22149</v>
      </c>
    </row>
    <row r="3316" spans="1:28" x14ac:dyDescent="0.25">
      <c r="A3316" t="s">
        <v>3320</v>
      </c>
      <c r="B3316">
        <v>0.99904790336628502</v>
      </c>
      <c r="C3316">
        <v>0.89164077981616496</v>
      </c>
      <c r="D3316">
        <v>0.73959144690795597</v>
      </c>
      <c r="E3316">
        <v>0.943840786385304</v>
      </c>
      <c r="F3316">
        <v>0.90012721145801899</v>
      </c>
      <c r="G3316">
        <v>0.87107480295193995</v>
      </c>
      <c r="H3316">
        <v>0.71415433913226201</v>
      </c>
      <c r="I3316">
        <v>0.70159011413799799</v>
      </c>
      <c r="J3316">
        <v>0.62184561954699302</v>
      </c>
      <c r="K3316">
        <v>0.48005478012355401</v>
      </c>
      <c r="L3316">
        <v>338.16196545394303</v>
      </c>
      <c r="M3316">
        <v>4.5984643371829499</v>
      </c>
      <c r="O3316">
        <v>62.861807777988602</v>
      </c>
      <c r="P3316">
        <v>-1.8436791563585599E-2</v>
      </c>
      <c r="Q3316">
        <v>0</v>
      </c>
      <c r="R3316">
        <v>0.73032144546712396</v>
      </c>
      <c r="S3316" t="s">
        <v>8056</v>
      </c>
      <c r="T3316" t="s">
        <v>9478</v>
      </c>
      <c r="U3316" t="s">
        <v>9478</v>
      </c>
      <c r="V3316" t="s">
        <v>9478</v>
      </c>
      <c r="W3316">
        <v>6</v>
      </c>
      <c r="X3316" t="s">
        <v>12794</v>
      </c>
      <c r="Y3316">
        <v>0.80490475588936861</v>
      </c>
      <c r="Z3316" t="str">
        <f>HYPERLINK("Melting_Curves/meltCurve_sp_Q9H477_RBSK_HUMAN_.pdf", "Melting_Curves/meltCurve_sp_Q9H477_RBSK_HUMAN_.pdf")</f>
        <v>Melting_Curves/meltCurve_sp_Q9H477_RBSK_HUMAN_.pdf</v>
      </c>
      <c r="AA3316" t="s">
        <v>17482</v>
      </c>
      <c r="AB3316" t="s">
        <v>22150</v>
      </c>
    </row>
    <row r="3317" spans="1:28" x14ac:dyDescent="0.25">
      <c r="A3317" t="s">
        <v>3321</v>
      </c>
      <c r="B3317">
        <v>0.99904790336628502</v>
      </c>
      <c r="C3317">
        <v>1.1902647069046199</v>
      </c>
      <c r="D3317">
        <v>1.1625570347797001</v>
      </c>
      <c r="E3317">
        <v>1.0378656090210601</v>
      </c>
      <c r="F3317">
        <v>0.96278538889548504</v>
      </c>
      <c r="G3317">
        <v>0.40198199275188501</v>
      </c>
      <c r="H3317">
        <v>0.13067139845578399</v>
      </c>
      <c r="I3317">
        <v>8.3890036299092793E-2</v>
      </c>
      <c r="J3317">
        <v>5.9447953819154797E-2</v>
      </c>
      <c r="K3317">
        <v>4.2363842960633197E-2</v>
      </c>
      <c r="L3317">
        <v>2595.6359319073399</v>
      </c>
      <c r="M3317">
        <v>46.092495074294298</v>
      </c>
      <c r="N3317">
        <v>56.499177925336198</v>
      </c>
      <c r="O3317">
        <v>56.207940172920601</v>
      </c>
      <c r="P3317">
        <v>-0.19061035864540901</v>
      </c>
      <c r="Q3317">
        <v>7.02344930241217E-2</v>
      </c>
      <c r="R3317">
        <v>0.97070578988022604</v>
      </c>
      <c r="S3317" t="s">
        <v>8057</v>
      </c>
      <c r="T3317" t="s">
        <v>9478</v>
      </c>
      <c r="U3317" t="s">
        <v>9478</v>
      </c>
      <c r="V3317" t="s">
        <v>9478</v>
      </c>
      <c r="W3317">
        <v>13</v>
      </c>
      <c r="X3317" t="s">
        <v>12795</v>
      </c>
      <c r="Y3317">
        <v>0.57854255730191473</v>
      </c>
      <c r="Z3317" t="str">
        <f>HYPERLINK("Melting_Curves/meltCurve_sp_Q9H479_FN3K_HUMAN_.pdf", "Melting_Curves/meltCurve_sp_Q9H479_FN3K_HUMAN_.pdf")</f>
        <v>Melting_Curves/meltCurve_sp_Q9H479_FN3K_HUMAN_.pdf</v>
      </c>
      <c r="AA3317" t="s">
        <v>17483</v>
      </c>
      <c r="AB3317" t="s">
        <v>22151</v>
      </c>
    </row>
    <row r="3318" spans="1:28" x14ac:dyDescent="0.25">
      <c r="A3318" t="s">
        <v>3322</v>
      </c>
      <c r="B3318">
        <v>0.99904790336628502</v>
      </c>
      <c r="C3318">
        <v>1.00704802132796</v>
      </c>
      <c r="D3318">
        <v>0.91142287173871395</v>
      </c>
      <c r="E3318">
        <v>0.83097459678651997</v>
      </c>
      <c r="F3318">
        <v>0.49002156646734901</v>
      </c>
      <c r="G3318">
        <v>0.13193774754172499</v>
      </c>
      <c r="H3318">
        <v>6.6313020975678497E-2</v>
      </c>
      <c r="I3318">
        <v>3.9159287024898903E-2</v>
      </c>
      <c r="J3318">
        <v>2.6580580856621301E-2</v>
      </c>
      <c r="K3318">
        <v>2.31613145795624E-2</v>
      </c>
      <c r="L3318">
        <v>1382.4448420306801</v>
      </c>
      <c r="M3318">
        <v>26.185724849713999</v>
      </c>
      <c r="N3318">
        <v>52.897340508951103</v>
      </c>
      <c r="O3318">
        <v>52.488822250065198</v>
      </c>
      <c r="P3318">
        <v>-0.12160709420290899</v>
      </c>
      <c r="Q3318">
        <v>2.4973828268296999E-2</v>
      </c>
      <c r="R3318">
        <v>0.99686524605668902</v>
      </c>
      <c r="S3318" t="s">
        <v>8058</v>
      </c>
      <c r="T3318" t="s">
        <v>9478</v>
      </c>
      <c r="U3318" t="s">
        <v>9478</v>
      </c>
      <c r="V3318" t="s">
        <v>9478</v>
      </c>
      <c r="W3318">
        <v>8</v>
      </c>
      <c r="X3318" t="s">
        <v>12796</v>
      </c>
      <c r="Y3318">
        <v>0.44899272277453173</v>
      </c>
      <c r="Z3318" t="str">
        <f>HYPERLINK("Melting_Curves/meltCurve_sp_Q9H488_OFUT1_HUMAN_.pdf", "Melting_Curves/meltCurve_sp_Q9H488_OFUT1_HUMAN_.pdf")</f>
        <v>Melting_Curves/meltCurve_sp_Q9H488_OFUT1_HUMAN_.pdf</v>
      </c>
      <c r="AA3318" t="s">
        <v>17484</v>
      </c>
      <c r="AB3318" t="s">
        <v>22152</v>
      </c>
    </row>
    <row r="3319" spans="1:28" x14ac:dyDescent="0.25">
      <c r="A3319" t="s">
        <v>3323</v>
      </c>
      <c r="B3319">
        <v>0.99904790336628502</v>
      </c>
      <c r="C3319">
        <v>0.95416317834526798</v>
      </c>
      <c r="D3319">
        <v>0.98311147972587298</v>
      </c>
      <c r="E3319">
        <v>0.88775500101688498</v>
      </c>
      <c r="F3319">
        <v>0.48063933638914302</v>
      </c>
      <c r="G3319">
        <v>0.12546964343548</v>
      </c>
      <c r="H3319">
        <v>6.8111142093574495E-2</v>
      </c>
      <c r="I3319">
        <v>4.6573519419057102E-2</v>
      </c>
      <c r="J3319">
        <v>3.6321283151639801E-2</v>
      </c>
      <c r="K3319">
        <v>2.8148314208301599E-2</v>
      </c>
      <c r="L3319">
        <v>1795.304439921</v>
      </c>
      <c r="M3319">
        <v>34.007893671549098</v>
      </c>
      <c r="N3319">
        <v>52.931129597870203</v>
      </c>
      <c r="O3319">
        <v>52.6092871279563</v>
      </c>
      <c r="P3319">
        <v>-0.15464074388952201</v>
      </c>
      <c r="Q3319">
        <v>4.3103828953084997E-2</v>
      </c>
      <c r="R3319">
        <v>0.99830294317760604</v>
      </c>
      <c r="S3319" t="s">
        <v>8059</v>
      </c>
      <c r="T3319" t="s">
        <v>9478</v>
      </c>
      <c r="U3319" t="s">
        <v>9478</v>
      </c>
      <c r="V3319" t="s">
        <v>9478</v>
      </c>
      <c r="W3319">
        <v>28</v>
      </c>
      <c r="X3319" t="s">
        <v>12797</v>
      </c>
      <c r="Y3319">
        <v>0.45591361344488979</v>
      </c>
      <c r="Z3319" t="str">
        <f>HYPERLINK("Melting_Curves/meltCurve_sp_Q9H4A4_AMPB_HUMAN_.pdf", "Melting_Curves/meltCurve_sp_Q9H4A4_AMPB_HUMAN_.pdf")</f>
        <v>Melting_Curves/meltCurve_sp_Q9H4A4_AMPB_HUMAN_.pdf</v>
      </c>
      <c r="AA3319" t="s">
        <v>17485</v>
      </c>
      <c r="AB3319" t="s">
        <v>22153</v>
      </c>
    </row>
    <row r="3320" spans="1:28" x14ac:dyDescent="0.25">
      <c r="A3320" t="s">
        <v>3324</v>
      </c>
      <c r="B3320">
        <v>0.99904790336628502</v>
      </c>
      <c r="C3320">
        <v>1.01669319660658</v>
      </c>
      <c r="D3320">
        <v>0.97412381477589405</v>
      </c>
      <c r="E3320">
        <v>0.85719708083472901</v>
      </c>
      <c r="F3320">
        <v>0.624987832048988</v>
      </c>
      <c r="G3320">
        <v>0.18487008103925501</v>
      </c>
      <c r="H3320">
        <v>8.8332415155617905E-2</v>
      </c>
      <c r="I3320">
        <v>6.6084338800527498E-2</v>
      </c>
      <c r="J3320">
        <v>3.9722931146573603E-2</v>
      </c>
      <c r="K3320">
        <v>3.6017239568360698E-2</v>
      </c>
      <c r="L3320">
        <v>1420.6784386218001</v>
      </c>
      <c r="M3320">
        <v>26.461120365325801</v>
      </c>
      <c r="N3320">
        <v>53.855830100172597</v>
      </c>
      <c r="O3320">
        <v>53.385454051487301</v>
      </c>
      <c r="P3320">
        <v>-0.119048422042299</v>
      </c>
      <c r="Q3320">
        <v>3.9286957509185497E-2</v>
      </c>
      <c r="R3320">
        <v>0.99854754001269197</v>
      </c>
      <c r="S3320" t="s">
        <v>8060</v>
      </c>
      <c r="T3320" t="s">
        <v>9478</v>
      </c>
      <c r="U3320" t="s">
        <v>9478</v>
      </c>
      <c r="V3320" t="s">
        <v>9478</v>
      </c>
      <c r="W3320">
        <v>6</v>
      </c>
      <c r="X3320" t="s">
        <v>12798</v>
      </c>
      <c r="Y3320">
        <v>0.48565986837793912</v>
      </c>
      <c r="Z3320" t="str">
        <f>HYPERLINK("Melting_Curves/meltCurve_sp_Q9H4A6_GOLP3_HUMAN_.pdf", "Melting_Curves/meltCurve_sp_Q9H4A6_GOLP3_HUMAN_.pdf")</f>
        <v>Melting_Curves/meltCurve_sp_Q9H4A6_GOLP3_HUMAN_.pdf</v>
      </c>
      <c r="AA3320" t="s">
        <v>17486</v>
      </c>
      <c r="AB3320" t="s">
        <v>22154</v>
      </c>
    </row>
    <row r="3321" spans="1:28" x14ac:dyDescent="0.25">
      <c r="A3321" t="s">
        <v>3325</v>
      </c>
      <c r="B3321">
        <v>0.99904790336628502</v>
      </c>
      <c r="C3321">
        <v>0.98057544475742198</v>
      </c>
      <c r="D3321">
        <v>0.83959372855984804</v>
      </c>
      <c r="E3321">
        <v>0.52220802689565204</v>
      </c>
      <c r="F3321">
        <v>0.29698178140308501</v>
      </c>
      <c r="G3321">
        <v>0.15155728284664199</v>
      </c>
      <c r="H3321">
        <v>8.7140771703736297E-2</v>
      </c>
      <c r="I3321">
        <v>4.9624597980569098E-2</v>
      </c>
      <c r="J3321">
        <v>3.7550025576612203E-2</v>
      </c>
      <c r="K3321">
        <v>2.3039798761415101E-2</v>
      </c>
      <c r="L3321">
        <v>896.71199527921999</v>
      </c>
      <c r="M3321">
        <v>17.873268014737</v>
      </c>
      <c r="N3321">
        <v>50.360446929343802</v>
      </c>
      <c r="O3321">
        <v>49.555170160616001</v>
      </c>
      <c r="P3321">
        <v>-8.7234867325831897E-2</v>
      </c>
      <c r="Q3321">
        <v>3.2584535271309299E-2</v>
      </c>
      <c r="R3321">
        <v>0.998878577620536</v>
      </c>
      <c r="S3321" t="s">
        <v>8061</v>
      </c>
      <c r="T3321" t="s">
        <v>9478</v>
      </c>
      <c r="U3321" t="s">
        <v>9478</v>
      </c>
      <c r="V3321" t="s">
        <v>9478</v>
      </c>
      <c r="W3321">
        <v>6</v>
      </c>
      <c r="X3321" t="s">
        <v>12799</v>
      </c>
      <c r="Y3321">
        <v>0.37723874441943878</v>
      </c>
      <c r="Z3321" t="str">
        <f>HYPERLINK("Melting_Curves/meltCurve_sp_Q9H4B0_OSGP2_HUMAN_.pdf", "Melting_Curves/meltCurve_sp_Q9H4B0_OSGP2_HUMAN_.pdf")</f>
        <v>Melting_Curves/meltCurve_sp_Q9H4B0_OSGP2_HUMAN_.pdf</v>
      </c>
      <c r="AA3321" t="s">
        <v>17487</v>
      </c>
      <c r="AB3321" t="s">
        <v>22155</v>
      </c>
    </row>
    <row r="3322" spans="1:28" x14ac:dyDescent="0.25">
      <c r="A3322" t="s">
        <v>3326</v>
      </c>
      <c r="B3322">
        <v>0.99904790336628502</v>
      </c>
      <c r="C3322">
        <v>0.91207468063428698</v>
      </c>
      <c r="D3322">
        <v>0.88664903788938498</v>
      </c>
      <c r="E3322">
        <v>0.83080140597888097</v>
      </c>
      <c r="F3322">
        <v>0.80121534916648696</v>
      </c>
      <c r="G3322">
        <v>0.601224022856096</v>
      </c>
      <c r="H3322">
        <v>0.56677737667494099</v>
      </c>
      <c r="I3322">
        <v>0.52089121791092097</v>
      </c>
      <c r="J3322">
        <v>0.44140589187511903</v>
      </c>
      <c r="K3322">
        <v>0.46415374606798299</v>
      </c>
      <c r="L3322">
        <v>451.91647309848003</v>
      </c>
      <c r="M3322">
        <v>8.0049950151060099</v>
      </c>
      <c r="N3322">
        <v>64.779452971061801</v>
      </c>
      <c r="O3322">
        <v>53.257972378377197</v>
      </c>
      <c r="P3322">
        <v>-2.5532873929270301E-2</v>
      </c>
      <c r="Q3322">
        <v>0.32127553851671098</v>
      </c>
      <c r="R3322">
        <v>0.97610154378062297</v>
      </c>
      <c r="S3322" t="s">
        <v>8062</v>
      </c>
      <c r="T3322" t="s">
        <v>9478</v>
      </c>
      <c r="U3322" t="s">
        <v>9478</v>
      </c>
      <c r="V3322" t="s">
        <v>9478</v>
      </c>
      <c r="W3322">
        <v>4</v>
      </c>
      <c r="X3322" t="s">
        <v>12800</v>
      </c>
      <c r="Y3322">
        <v>0.70462445830557918</v>
      </c>
      <c r="Z3322" t="str">
        <f>HYPERLINK("Melting_Curves/meltCurve_sp_Q9H4I2_ZHX3_HUMAN_.pdf", "Melting_Curves/meltCurve_sp_Q9H4I2_ZHX3_HUMAN_.pdf")</f>
        <v>Melting_Curves/meltCurve_sp_Q9H4I2_ZHX3_HUMAN_.pdf</v>
      </c>
      <c r="AA3322" t="s">
        <v>17488</v>
      </c>
      <c r="AB3322" t="s">
        <v>22156</v>
      </c>
    </row>
    <row r="3323" spans="1:28" x14ac:dyDescent="0.25">
      <c r="A3323" t="s">
        <v>3327</v>
      </c>
      <c r="B3323">
        <v>0.99904790336628502</v>
      </c>
      <c r="C3323">
        <v>0.93788363783566497</v>
      </c>
      <c r="D3323">
        <v>0.88547103456847098</v>
      </c>
      <c r="E3323">
        <v>0.84279301003760698</v>
      </c>
      <c r="F3323">
        <v>0.80707687011668305</v>
      </c>
      <c r="G3323">
        <v>0.60829339329522603</v>
      </c>
      <c r="H3323">
        <v>0.54715270393398296</v>
      </c>
      <c r="I3323">
        <v>0.48549495067389298</v>
      </c>
      <c r="J3323">
        <v>0.52262712118454702</v>
      </c>
      <c r="K3323">
        <v>0.54365984883095597</v>
      </c>
      <c r="L3323">
        <v>625.57283278918703</v>
      </c>
      <c r="M3323">
        <v>11.729345609616701</v>
      </c>
      <c r="N3323">
        <v>69.576283746508096</v>
      </c>
      <c r="O3323">
        <v>51.854515206798297</v>
      </c>
      <c r="P3323">
        <v>-3.0111631026173001E-2</v>
      </c>
      <c r="Q3323">
        <v>0.46765556351738302</v>
      </c>
      <c r="R3323">
        <v>0.96225212137452898</v>
      </c>
      <c r="S3323" t="s">
        <v>8063</v>
      </c>
      <c r="T3323" t="s">
        <v>9478</v>
      </c>
      <c r="U3323" t="s">
        <v>9478</v>
      </c>
      <c r="V3323" t="s">
        <v>9478</v>
      </c>
      <c r="W3323">
        <v>2</v>
      </c>
      <c r="X3323" t="s">
        <v>12801</v>
      </c>
      <c r="Y3323">
        <v>0.71937285700662157</v>
      </c>
      <c r="Z3323" t="str">
        <f>HYPERLINK("Melting_Curves/meltCurve_sp_Q9H4L7_SMRCD_HUMAN_.pdf", "Melting_Curves/meltCurve_sp_Q9H4L7_SMRCD_HUMAN_.pdf")</f>
        <v>Melting_Curves/meltCurve_sp_Q9H4L7_SMRCD_HUMAN_.pdf</v>
      </c>
      <c r="AA3323" t="s">
        <v>17489</v>
      </c>
      <c r="AB3323" t="s">
        <v>22157</v>
      </c>
    </row>
    <row r="3324" spans="1:28" x14ac:dyDescent="0.25">
      <c r="A3324" t="s">
        <v>3328</v>
      </c>
      <c r="B3324">
        <v>0.99904790336628502</v>
      </c>
      <c r="C3324">
        <v>0.97331199960635995</v>
      </c>
      <c r="D3324">
        <v>0.896632593149289</v>
      </c>
      <c r="E3324">
        <v>0.61617613083947398</v>
      </c>
      <c r="F3324">
        <v>0.236351327275859</v>
      </c>
      <c r="G3324">
        <v>0.15597640679466701</v>
      </c>
      <c r="H3324">
        <v>9.4300246662368595E-2</v>
      </c>
      <c r="I3324">
        <v>5.8509816064218803E-2</v>
      </c>
      <c r="J3324">
        <v>5.0050787205791702E-2</v>
      </c>
      <c r="K3324">
        <v>3.3673085162558701E-2</v>
      </c>
      <c r="L3324">
        <v>1211.7856050646601</v>
      </c>
      <c r="M3324">
        <v>24.002977641853199</v>
      </c>
      <c r="N3324">
        <v>50.739434584123799</v>
      </c>
      <c r="O3324">
        <v>50.138304306470097</v>
      </c>
      <c r="P3324">
        <v>-0.112894484541021</v>
      </c>
      <c r="Q3324">
        <v>5.6742276620711601E-2</v>
      </c>
      <c r="R3324">
        <v>0.99536724993506198</v>
      </c>
      <c r="S3324" t="s">
        <v>8064</v>
      </c>
      <c r="T3324" t="s">
        <v>9478</v>
      </c>
      <c r="U3324" t="s">
        <v>9478</v>
      </c>
      <c r="V3324" t="s">
        <v>9478</v>
      </c>
      <c r="W3324">
        <v>20</v>
      </c>
      <c r="X3324" t="s">
        <v>12802</v>
      </c>
      <c r="Y3324">
        <v>0.39559120888821397</v>
      </c>
      <c r="Z3324" t="str">
        <f>HYPERLINK("Melting_Curves/meltCurve_sp_Q9H4M9_EHD1_HUMAN_.pdf", "Melting_Curves/meltCurve_sp_Q9H4M9_EHD1_HUMAN_.pdf")</f>
        <v>Melting_Curves/meltCurve_sp_Q9H4M9_EHD1_HUMAN_.pdf</v>
      </c>
      <c r="AA3324" t="s">
        <v>17490</v>
      </c>
      <c r="AB3324" t="s">
        <v>22158</v>
      </c>
    </row>
    <row r="3325" spans="1:28" x14ac:dyDescent="0.25">
      <c r="A3325" t="s">
        <v>3329</v>
      </c>
      <c r="B3325">
        <v>0.99904790336628502</v>
      </c>
      <c r="C3325">
        <v>0.85334538466974796</v>
      </c>
      <c r="D3325">
        <v>0.87056576133494701</v>
      </c>
      <c r="E3325">
        <v>0.47825167831381798</v>
      </c>
      <c r="F3325">
        <v>0.35109756449230201</v>
      </c>
      <c r="G3325">
        <v>0.193133872862083</v>
      </c>
      <c r="H3325">
        <v>0.543639190965718</v>
      </c>
      <c r="I3325">
        <v>6.8411119982685994E-2</v>
      </c>
      <c r="J3325">
        <v>1.7773426219676199E-2</v>
      </c>
      <c r="K3325">
        <v>2.86114720423629E-2</v>
      </c>
      <c r="L3325">
        <v>545.52814038509496</v>
      </c>
      <c r="M3325">
        <v>10.7493230012029</v>
      </c>
      <c r="N3325">
        <v>51.181692953172004</v>
      </c>
      <c r="O3325">
        <v>49.0882252749239</v>
      </c>
      <c r="P3325">
        <v>-5.2391669088903602E-2</v>
      </c>
      <c r="Q3325">
        <v>4.3338369981194003E-2</v>
      </c>
      <c r="R3325">
        <v>0.85302689409239396</v>
      </c>
      <c r="S3325" t="s">
        <v>8065</v>
      </c>
      <c r="T3325" t="s">
        <v>9478</v>
      </c>
      <c r="U3325" t="s">
        <v>9478</v>
      </c>
      <c r="V3325" t="s">
        <v>9478</v>
      </c>
      <c r="W3325">
        <v>3</v>
      </c>
      <c r="X3325" t="s">
        <v>12803</v>
      </c>
      <c r="Y3325">
        <v>0.42312281586133738</v>
      </c>
      <c r="Z3325" t="str">
        <f>HYPERLINK("Melting_Curves/meltCurve_sp_Q9H4Z3_PCIF1_HUMAN_.pdf", "Melting_Curves/meltCurve_sp_Q9H4Z3_PCIF1_HUMAN_.pdf")</f>
        <v>Melting_Curves/meltCurve_sp_Q9H4Z3_PCIF1_HUMAN_.pdf</v>
      </c>
      <c r="AA3325" t="s">
        <v>17491</v>
      </c>
      <c r="AB3325" t="s">
        <v>22159</v>
      </c>
    </row>
    <row r="3326" spans="1:28" x14ac:dyDescent="0.25">
      <c r="A3326" t="s">
        <v>3330</v>
      </c>
      <c r="B3326">
        <v>0.99904790336628502</v>
      </c>
      <c r="C3326">
        <v>1.00719750178296</v>
      </c>
      <c r="D3326">
        <v>0.99619164456527098</v>
      </c>
      <c r="E3326">
        <v>0.85324471531962398</v>
      </c>
      <c r="F3326">
        <v>0.75227796423465698</v>
      </c>
      <c r="G3326">
        <v>0.589702721963417</v>
      </c>
      <c r="H3326">
        <v>0.48483686363816803</v>
      </c>
      <c r="I3326">
        <v>0.51559484361290597</v>
      </c>
      <c r="J3326">
        <v>0.50529435852975402</v>
      </c>
      <c r="K3326">
        <v>0.45001619446754199</v>
      </c>
      <c r="L3326">
        <v>1004.54325279605</v>
      </c>
      <c r="M3326">
        <v>18.915148428576401</v>
      </c>
      <c r="N3326">
        <v>62.524580831317103</v>
      </c>
      <c r="O3326">
        <v>52.5249561426564</v>
      </c>
      <c r="P3326">
        <v>-4.7623635251137601E-2</v>
      </c>
      <c r="Q3326">
        <v>0.47104238897135597</v>
      </c>
      <c r="R3326">
        <v>0.99177844190455899</v>
      </c>
      <c r="S3326" t="s">
        <v>8066</v>
      </c>
      <c r="T3326" t="s">
        <v>9478</v>
      </c>
      <c r="U3326" t="s">
        <v>9478</v>
      </c>
      <c r="V3326" t="s">
        <v>9478</v>
      </c>
      <c r="W3326">
        <v>21</v>
      </c>
      <c r="X3326" t="s">
        <v>12804</v>
      </c>
      <c r="Y3326">
        <v>0.71013680713917393</v>
      </c>
      <c r="Z3326" t="str">
        <f>HYPERLINK("Melting_Curves/meltCurve_sp_Q9H5N1_RABE2_HUMAN_.pdf", "Melting_Curves/meltCurve_sp_Q9H5N1_RABE2_HUMAN_.pdf")</f>
        <v>Melting_Curves/meltCurve_sp_Q9H5N1_RABE2_HUMAN_.pdf</v>
      </c>
      <c r="AA3326" t="s">
        <v>17492</v>
      </c>
      <c r="AB3326" t="s">
        <v>22160</v>
      </c>
    </row>
    <row r="3327" spans="1:28" x14ac:dyDescent="0.25">
      <c r="A3327" t="s">
        <v>3331</v>
      </c>
      <c r="B3327">
        <v>0.99904790336628502</v>
      </c>
      <c r="C3327">
        <v>0.97506774060761603</v>
      </c>
      <c r="D3327">
        <v>0.88847869011233005</v>
      </c>
      <c r="E3327">
        <v>0.60496627361250399</v>
      </c>
      <c r="F3327">
        <v>0.36340365785635997</v>
      </c>
      <c r="G3327">
        <v>8.9016547877135893E-2</v>
      </c>
      <c r="H3327">
        <v>4.3380806063206802E-2</v>
      </c>
      <c r="I3327">
        <v>2.3547449305680101E-2</v>
      </c>
      <c r="J3327">
        <v>2.0473864429020199E-2</v>
      </c>
      <c r="K3327">
        <v>1.5785964753260402E-2</v>
      </c>
      <c r="L3327">
        <v>993.80231613679803</v>
      </c>
      <c r="M3327">
        <v>19.430716239741098</v>
      </c>
      <c r="N3327">
        <v>51.1605938308753</v>
      </c>
      <c r="O3327">
        <v>50.6134529560413</v>
      </c>
      <c r="P3327">
        <v>-9.5713269460238101E-2</v>
      </c>
      <c r="Q3327">
        <v>2.7743150759613399E-3</v>
      </c>
      <c r="R3327">
        <v>0.99877585043336703</v>
      </c>
      <c r="S3327" t="s">
        <v>8067</v>
      </c>
      <c r="T3327" t="s">
        <v>9478</v>
      </c>
      <c r="U3327" t="s">
        <v>9478</v>
      </c>
      <c r="V3327" t="s">
        <v>9478</v>
      </c>
      <c r="W3327">
        <v>4</v>
      </c>
      <c r="X3327" t="s">
        <v>12805</v>
      </c>
      <c r="Y3327">
        <v>0.3878730160337393</v>
      </c>
      <c r="Z3327" t="str">
        <f>HYPERLINK("Melting_Curves/meltCurve_sp_Q9H5Q4_TFB2M_HUMAN_.pdf", "Melting_Curves/meltCurve_sp_Q9H5Q4_TFB2M_HUMAN_.pdf")</f>
        <v>Melting_Curves/meltCurve_sp_Q9H5Q4_TFB2M_HUMAN_.pdf</v>
      </c>
      <c r="AA3327" t="s">
        <v>17493</v>
      </c>
      <c r="AB3327" t="s">
        <v>22161</v>
      </c>
    </row>
    <row r="3328" spans="1:28" x14ac:dyDescent="0.25">
      <c r="A3328" t="s">
        <v>3332</v>
      </c>
      <c r="B3328">
        <v>0.99904790336628502</v>
      </c>
      <c r="C3328">
        <v>1.1058302611565101</v>
      </c>
      <c r="D3328">
        <v>1.0725724328613899</v>
      </c>
      <c r="E3328">
        <v>0.98109094696913302</v>
      </c>
      <c r="F3328">
        <v>0.90844446857494399</v>
      </c>
      <c r="G3328">
        <v>0.55784098538300597</v>
      </c>
      <c r="H3328">
        <v>0.503121395752544</v>
      </c>
      <c r="I3328">
        <v>0.47142232937190798</v>
      </c>
      <c r="J3328">
        <v>0.65599069413935496</v>
      </c>
      <c r="K3328">
        <v>0.67353175501712004</v>
      </c>
      <c r="L3328">
        <v>12996.0784374307</v>
      </c>
      <c r="M3328">
        <v>243.90867434703</v>
      </c>
      <c r="O3328">
        <v>53.278977299595198</v>
      </c>
      <c r="P3328">
        <v>-0.48940447947030602</v>
      </c>
      <c r="Q3328">
        <v>0.57238142214461496</v>
      </c>
      <c r="R3328">
        <v>0.90929844028446105</v>
      </c>
      <c r="S3328" t="s">
        <v>8068</v>
      </c>
      <c r="T3328" t="s">
        <v>9478</v>
      </c>
      <c r="U3328" t="s">
        <v>9478</v>
      </c>
      <c r="V3328" t="s">
        <v>9478</v>
      </c>
      <c r="W3328">
        <v>2</v>
      </c>
      <c r="X3328" t="s">
        <v>12806</v>
      </c>
      <c r="Y3328">
        <v>0.76175240394914945</v>
      </c>
      <c r="Z3328" t="str">
        <f>HYPERLINK("Melting_Curves/meltCurve_sp_Q9H5V9_2_CX056_HUMAN_.pdf", "Melting_Curves/meltCurve_sp_Q9H5V9_2_CX056_HUMAN_.pdf")</f>
        <v>Melting_Curves/meltCurve_sp_Q9H5V9_2_CX056_HUMAN_.pdf</v>
      </c>
      <c r="AA3328" t="s">
        <v>17494</v>
      </c>
      <c r="AB3328" t="s">
        <v>22162</v>
      </c>
    </row>
    <row r="3329" spans="1:28" x14ac:dyDescent="0.25">
      <c r="A3329" t="s">
        <v>3333</v>
      </c>
      <c r="B3329">
        <v>0.99904790336628502</v>
      </c>
      <c r="C3329">
        <v>0.87004859674930202</v>
      </c>
      <c r="D3329">
        <v>1.0239637836739099</v>
      </c>
      <c r="E3329">
        <v>0.56583358990267896</v>
      </c>
      <c r="F3329">
        <v>0.39927497691515201</v>
      </c>
      <c r="G3329">
        <v>0.17342128733532999</v>
      </c>
      <c r="H3329">
        <v>6.2020644928100097E-2</v>
      </c>
      <c r="I3329">
        <v>0.118382444404124</v>
      </c>
      <c r="J3329">
        <v>0.16010623894652601</v>
      </c>
      <c r="K3329">
        <v>9.0791255578213104E-2</v>
      </c>
      <c r="L3329">
        <v>1165.9512374333001</v>
      </c>
      <c r="M3329">
        <v>22.977495260186299</v>
      </c>
      <c r="N3329">
        <v>51.269414983740802</v>
      </c>
      <c r="O3329">
        <v>50.363530260520797</v>
      </c>
      <c r="P3329">
        <v>-0.10207867729702701</v>
      </c>
      <c r="Q3329">
        <v>0.105046870436815</v>
      </c>
      <c r="R3329">
        <v>0.97318148611867505</v>
      </c>
      <c r="S3329" t="s">
        <v>8069</v>
      </c>
      <c r="T3329" t="s">
        <v>9478</v>
      </c>
      <c r="U3329" t="s">
        <v>9478</v>
      </c>
      <c r="V3329" t="s">
        <v>9478</v>
      </c>
      <c r="W3329">
        <v>1</v>
      </c>
      <c r="X3329" t="s">
        <v>12807</v>
      </c>
      <c r="Y3329">
        <v>0.43505216583267348</v>
      </c>
      <c r="Z3329" t="str">
        <f>HYPERLINK("Melting_Curves/meltCurve_sp_Q9H668_STN1_HUMAN_.pdf", "Melting_Curves/meltCurve_sp_Q9H668_STN1_HUMAN_.pdf")</f>
        <v>Melting_Curves/meltCurve_sp_Q9H668_STN1_HUMAN_.pdf</v>
      </c>
      <c r="AA3329" t="s">
        <v>17495</v>
      </c>
      <c r="AB3329" t="s">
        <v>22163</v>
      </c>
    </row>
    <row r="3330" spans="1:28" x14ac:dyDescent="0.25">
      <c r="A3330" t="s">
        <v>3334</v>
      </c>
      <c r="B3330">
        <v>0.99904790336628502</v>
      </c>
      <c r="C3330">
        <v>0.79184445772416001</v>
      </c>
      <c r="D3330">
        <v>0.66659785275950001</v>
      </c>
      <c r="E3330">
        <v>0.47451755848181398</v>
      </c>
      <c r="F3330">
        <v>0.43959089427030801</v>
      </c>
      <c r="G3330">
        <v>0.10304978252953199</v>
      </c>
      <c r="H3330">
        <v>0.10473289951645499</v>
      </c>
      <c r="I3330">
        <v>5.9669721218248102E-2</v>
      </c>
      <c r="J3330">
        <v>0</v>
      </c>
      <c r="K3330">
        <v>0</v>
      </c>
      <c r="L3330">
        <v>563.58297814983405</v>
      </c>
      <c r="M3330">
        <v>11.3906161352306</v>
      </c>
      <c r="N3330">
        <v>49.477830825689303</v>
      </c>
      <c r="O3330">
        <v>48.026472316596298</v>
      </c>
      <c r="P3330">
        <v>-5.9310912828697902E-2</v>
      </c>
      <c r="Q3330">
        <v>0</v>
      </c>
      <c r="R3330">
        <v>0.972181954538758</v>
      </c>
      <c r="S3330" t="s">
        <v>8070</v>
      </c>
      <c r="T3330" t="s">
        <v>9478</v>
      </c>
      <c r="U3330" t="s">
        <v>9478</v>
      </c>
      <c r="V3330" t="s">
        <v>9478</v>
      </c>
      <c r="W3330">
        <v>1</v>
      </c>
      <c r="X3330" t="s">
        <v>12808</v>
      </c>
      <c r="Y3330">
        <v>0.35472215117284672</v>
      </c>
      <c r="Z3330" t="str">
        <f>HYPERLINK("Melting_Curves/meltCurve_sp_Q9H6E5_STPAP_HUMAN_.pdf", "Melting_Curves/meltCurve_sp_Q9H6E5_STPAP_HUMAN_.pdf")</f>
        <v>Melting_Curves/meltCurve_sp_Q9H6E5_STPAP_HUMAN_.pdf</v>
      </c>
      <c r="AA3330" t="s">
        <v>17496</v>
      </c>
      <c r="AB3330" t="s">
        <v>22164</v>
      </c>
    </row>
    <row r="3331" spans="1:28" x14ac:dyDescent="0.25">
      <c r="A3331" t="s">
        <v>3335</v>
      </c>
      <c r="B3331">
        <v>0.99904790336628502</v>
      </c>
      <c r="C3331">
        <v>0.92340845573194497</v>
      </c>
      <c r="D3331">
        <v>0.96176950533498295</v>
      </c>
      <c r="E3331">
        <v>0.91831421017943904</v>
      </c>
      <c r="F3331">
        <v>1.00444902482329</v>
      </c>
      <c r="G3331">
        <v>0.779749815315816</v>
      </c>
      <c r="H3331">
        <v>0.691423625388631</v>
      </c>
      <c r="I3331">
        <v>0.738006153926555</v>
      </c>
      <c r="J3331">
        <v>0.92524534530366997</v>
      </c>
      <c r="K3331">
        <v>1.0123973357792799</v>
      </c>
      <c r="L3331">
        <v>13667.527841011801</v>
      </c>
      <c r="M3331">
        <v>250</v>
      </c>
      <c r="O3331">
        <v>54.666612860658603</v>
      </c>
      <c r="P3331">
        <v>-0.195087180512756</v>
      </c>
      <c r="Q3331">
        <v>0.82936391432723999</v>
      </c>
      <c r="R3331">
        <v>0.294502039994055</v>
      </c>
      <c r="S3331" t="s">
        <v>8071</v>
      </c>
      <c r="T3331" t="s">
        <v>9478</v>
      </c>
      <c r="U3331" t="s">
        <v>9478</v>
      </c>
      <c r="V3331" t="s">
        <v>9478</v>
      </c>
      <c r="W3331">
        <v>1</v>
      </c>
      <c r="X3331" t="s">
        <v>12809</v>
      </c>
      <c r="Y3331">
        <v>0.91282196535783455</v>
      </c>
      <c r="Z3331" t="str">
        <f>HYPERLINK("Melting_Curves/meltCurve_sp_Q9H6F5_CCD86_HUMAN_.pdf", "Melting_Curves/meltCurve_sp_Q9H6F5_CCD86_HUMAN_.pdf")</f>
        <v>Melting_Curves/meltCurve_sp_Q9H6F5_CCD86_HUMAN_.pdf</v>
      </c>
      <c r="AA3331" t="s">
        <v>17497</v>
      </c>
      <c r="AB3331" t="s">
        <v>22165</v>
      </c>
    </row>
    <row r="3332" spans="1:28" x14ac:dyDescent="0.25">
      <c r="A3332" t="s">
        <v>3336</v>
      </c>
      <c r="B3332">
        <v>0.99904790336628502</v>
      </c>
      <c r="C3332">
        <v>1.0399428707348</v>
      </c>
      <c r="D3332">
        <v>0.99855982874714899</v>
      </c>
      <c r="E3332">
        <v>0.71465813569114001</v>
      </c>
      <c r="F3332">
        <v>0.47913513039738498</v>
      </c>
      <c r="G3332">
        <v>0.26000862770349698</v>
      </c>
      <c r="H3332">
        <v>0.12999143774140301</v>
      </c>
      <c r="I3332">
        <v>6.98698460462885E-2</v>
      </c>
      <c r="J3332">
        <v>5.4567602213654497E-2</v>
      </c>
      <c r="K3332">
        <v>4.3990639839609498E-2</v>
      </c>
      <c r="L3332">
        <v>986.89532603073701</v>
      </c>
      <c r="M3332">
        <v>18.741483020101501</v>
      </c>
      <c r="N3332">
        <v>52.929334932539902</v>
      </c>
      <c r="O3332">
        <v>52.0697746886636</v>
      </c>
      <c r="P3332">
        <v>-8.5869700041477398E-2</v>
      </c>
      <c r="Q3332">
        <v>4.5746882990899101E-2</v>
      </c>
      <c r="R3332">
        <v>0.99468317720158295</v>
      </c>
      <c r="S3332" t="s">
        <v>8072</v>
      </c>
      <c r="T3332" t="s">
        <v>9478</v>
      </c>
      <c r="U3332" t="s">
        <v>9478</v>
      </c>
      <c r="V3332" t="s">
        <v>9478</v>
      </c>
      <c r="W3332">
        <v>7</v>
      </c>
      <c r="X3332" t="s">
        <v>12810</v>
      </c>
      <c r="Y3332">
        <v>0.46309224983481051</v>
      </c>
      <c r="Z3332" t="str">
        <f>HYPERLINK("Melting_Curves/meltCurve_sp_Q9H6Q4_NARFL_HUMAN_.pdf", "Melting_Curves/meltCurve_sp_Q9H6Q4_NARFL_HUMAN_.pdf")</f>
        <v>Melting_Curves/meltCurve_sp_Q9H6Q4_NARFL_HUMAN_.pdf</v>
      </c>
      <c r="AA3332" t="s">
        <v>17498</v>
      </c>
      <c r="AB3332" t="s">
        <v>22166</v>
      </c>
    </row>
    <row r="3333" spans="1:28" x14ac:dyDescent="0.25">
      <c r="A3333" t="s">
        <v>3337</v>
      </c>
      <c r="B3333">
        <v>0.99904790336628502</v>
      </c>
      <c r="C3333">
        <v>0.93284883395973495</v>
      </c>
      <c r="D3333">
        <v>0.96154355687865001</v>
      </c>
      <c r="E3333">
        <v>0.88678910535078903</v>
      </c>
      <c r="F3333">
        <v>0.68106763541960802</v>
      </c>
      <c r="G3333">
        <v>0.19585222245599401</v>
      </c>
      <c r="H3333">
        <v>7.0985303258822602E-2</v>
      </c>
      <c r="I3333">
        <v>4.2392968230801902E-2</v>
      </c>
      <c r="J3333">
        <v>3.0782258611441599E-2</v>
      </c>
      <c r="K3333">
        <v>2.5521468205400698E-2</v>
      </c>
      <c r="L3333">
        <v>1532.6960975913701</v>
      </c>
      <c r="M3333">
        <v>28.305029513122999</v>
      </c>
      <c r="N3333">
        <v>54.249232989553903</v>
      </c>
      <c r="O3333">
        <v>53.881128283907699</v>
      </c>
      <c r="P3333">
        <v>-0.127994745973593</v>
      </c>
      <c r="Q3333">
        <v>2.54107040707191E-2</v>
      </c>
      <c r="R3333">
        <v>0.99587019555380396</v>
      </c>
      <c r="S3333" t="s">
        <v>8073</v>
      </c>
      <c r="T3333" t="s">
        <v>9478</v>
      </c>
      <c r="U3333" t="s">
        <v>9478</v>
      </c>
      <c r="V3333" t="s">
        <v>9478</v>
      </c>
      <c r="W3333">
        <v>29</v>
      </c>
      <c r="X3333" t="s">
        <v>12811</v>
      </c>
      <c r="Y3333">
        <v>0.4922332279983388</v>
      </c>
      <c r="Z3333" t="str">
        <f>HYPERLINK("Melting_Curves/meltCurve_sp_Q9H6R3_ACSS3_HUMAN_.pdf", "Melting_Curves/meltCurve_sp_Q9H6R3_ACSS3_HUMAN_.pdf")</f>
        <v>Melting_Curves/meltCurve_sp_Q9H6R3_ACSS3_HUMAN_.pdf</v>
      </c>
      <c r="AA3333" t="s">
        <v>17499</v>
      </c>
      <c r="AB3333" t="s">
        <v>22167</v>
      </c>
    </row>
    <row r="3334" spans="1:28" x14ac:dyDescent="0.25">
      <c r="A3334" t="s">
        <v>3338</v>
      </c>
      <c r="B3334">
        <v>0.99904790336628502</v>
      </c>
      <c r="C3334">
        <v>1.0849713176139799</v>
      </c>
      <c r="D3334">
        <v>0.85516941223542298</v>
      </c>
      <c r="E3334">
        <v>0.75335150987215105</v>
      </c>
      <c r="F3334">
        <v>0.57537504048368804</v>
      </c>
      <c r="G3334">
        <v>0.59513067952705301</v>
      </c>
      <c r="H3334">
        <v>0.51379867349264396</v>
      </c>
      <c r="I3334">
        <v>0.51912426681274404</v>
      </c>
      <c r="J3334">
        <v>0.40324750597813602</v>
      </c>
      <c r="K3334">
        <v>0.582678099772171</v>
      </c>
      <c r="L3334">
        <v>1002.88711475907</v>
      </c>
      <c r="M3334">
        <v>20.280648800971999</v>
      </c>
      <c r="O3334">
        <v>48.977184225809197</v>
      </c>
      <c r="P3334">
        <v>-5.0873931409140601E-2</v>
      </c>
      <c r="Q3334">
        <v>0.50857880420808699</v>
      </c>
      <c r="R3334">
        <v>0.92076950531284796</v>
      </c>
      <c r="S3334" t="s">
        <v>8074</v>
      </c>
      <c r="T3334" t="s">
        <v>9478</v>
      </c>
      <c r="U3334" t="s">
        <v>9478</v>
      </c>
      <c r="V3334" t="s">
        <v>9478</v>
      </c>
      <c r="W3334">
        <v>1</v>
      </c>
      <c r="X3334" t="s">
        <v>12812</v>
      </c>
      <c r="Y3334">
        <v>0.67005528422715888</v>
      </c>
      <c r="Z3334" t="str">
        <f>HYPERLINK("Melting_Curves/meltCurve_sp_Q9H6S0_YTDC2_HUMAN_.pdf", "Melting_Curves/meltCurve_sp_Q9H6S0_YTDC2_HUMAN_.pdf")</f>
        <v>Melting_Curves/meltCurve_sp_Q9H6S0_YTDC2_HUMAN_.pdf</v>
      </c>
      <c r="AA3334" t="s">
        <v>17500</v>
      </c>
      <c r="AB3334" t="s">
        <v>22168</v>
      </c>
    </row>
    <row r="3335" spans="1:28" x14ac:dyDescent="0.25">
      <c r="A3335" t="s">
        <v>3339</v>
      </c>
      <c r="B3335">
        <v>0.99904790336628502</v>
      </c>
      <c r="C3335">
        <v>0.966860714086753</v>
      </c>
      <c r="D3335">
        <v>0.92324395083529098</v>
      </c>
      <c r="E3335">
        <v>0.90977527920826495</v>
      </c>
      <c r="F3335">
        <v>0.78100942826909403</v>
      </c>
      <c r="G3335">
        <v>0.30992859206839402</v>
      </c>
      <c r="H3335">
        <v>0.168751883499521</v>
      </c>
      <c r="I3335">
        <v>0.136200231261459</v>
      </c>
      <c r="J3335">
        <v>0.118998831029829</v>
      </c>
      <c r="K3335">
        <v>0.119651398645992</v>
      </c>
      <c r="L3335">
        <v>1599.51756196406</v>
      </c>
      <c r="M3335">
        <v>29.22640462999</v>
      </c>
      <c r="N3335">
        <v>55.239953210930203</v>
      </c>
      <c r="O3335">
        <v>54.474207472576602</v>
      </c>
      <c r="P3335">
        <v>-0.118231016573858</v>
      </c>
      <c r="Q3335">
        <v>0.11853758163445</v>
      </c>
      <c r="R3335">
        <v>0.99373610345391095</v>
      </c>
      <c r="S3335" t="s">
        <v>8075</v>
      </c>
      <c r="T3335" t="s">
        <v>9478</v>
      </c>
      <c r="U3335" t="s">
        <v>9478</v>
      </c>
      <c r="V3335" t="s">
        <v>9478</v>
      </c>
      <c r="W3335">
        <v>28</v>
      </c>
      <c r="X3335" t="s">
        <v>12813</v>
      </c>
      <c r="Y3335">
        <v>0.55742127501094429</v>
      </c>
      <c r="Z3335" t="str">
        <f>HYPERLINK("Melting_Curves/meltCurve_sp_Q9H6S3_ES8L2_HUMAN_.pdf", "Melting_Curves/meltCurve_sp_Q9H6S3_ES8L2_HUMAN_.pdf")</f>
        <v>Melting_Curves/meltCurve_sp_Q9H6S3_ES8L2_HUMAN_.pdf</v>
      </c>
      <c r="AA3335" t="s">
        <v>17501</v>
      </c>
      <c r="AB3335" t="s">
        <v>22169</v>
      </c>
    </row>
    <row r="3336" spans="1:28" x14ac:dyDescent="0.25">
      <c r="A3336" t="s">
        <v>3340</v>
      </c>
      <c r="B3336">
        <v>0.99904790336628502</v>
      </c>
      <c r="C3336">
        <v>0.929848589794531</v>
      </c>
      <c r="D3336">
        <v>0.70779618198951899</v>
      </c>
      <c r="E3336">
        <v>0.34653449829236999</v>
      </c>
      <c r="F3336">
        <v>0.25378869720138802</v>
      </c>
      <c r="G3336">
        <v>0.151840034065021</v>
      </c>
      <c r="H3336">
        <v>0.120951432099438</v>
      </c>
      <c r="I3336">
        <v>7.0743870474110099E-2</v>
      </c>
      <c r="J3336">
        <v>7.0516886963873898E-2</v>
      </c>
      <c r="K3336">
        <v>5.8046962226715702E-2</v>
      </c>
      <c r="L3336">
        <v>872.61960192091601</v>
      </c>
      <c r="M3336">
        <v>18.173097201971199</v>
      </c>
      <c r="N3336">
        <v>48.471530305218103</v>
      </c>
      <c r="O3336">
        <v>47.447034717060497</v>
      </c>
      <c r="P3336">
        <v>-8.8258713916204198E-2</v>
      </c>
      <c r="Q3336">
        <v>7.8326873403079394E-2</v>
      </c>
      <c r="R3336">
        <v>0.995447096045735</v>
      </c>
      <c r="S3336" t="s">
        <v>8076</v>
      </c>
      <c r="T3336" t="s">
        <v>9478</v>
      </c>
      <c r="U3336" t="s">
        <v>9478</v>
      </c>
      <c r="V3336" t="s">
        <v>9478</v>
      </c>
      <c r="W3336">
        <v>7</v>
      </c>
      <c r="X3336" t="s">
        <v>12814</v>
      </c>
      <c r="Y3336">
        <v>0.34065290939806042</v>
      </c>
      <c r="Z3336" t="str">
        <f>HYPERLINK("Melting_Curves/meltCurve_sp_Q9H6T0_2_ESRP2_HUMAN_.pdf", "Melting_Curves/meltCurve_sp_Q9H6T0_2_ESRP2_HUMAN_.pdf")</f>
        <v>Melting_Curves/meltCurve_sp_Q9H6T0_2_ESRP2_HUMAN_.pdf</v>
      </c>
      <c r="AA3336" t="s">
        <v>17502</v>
      </c>
      <c r="AB3336" t="s">
        <v>22170</v>
      </c>
    </row>
    <row r="3337" spans="1:28" x14ac:dyDescent="0.25">
      <c r="A3337" t="s">
        <v>3341</v>
      </c>
      <c r="B3337">
        <v>0.99904790336628502</v>
      </c>
      <c r="C3337">
        <v>0.80018534667633201</v>
      </c>
      <c r="D3337">
        <v>0.84065368051090095</v>
      </c>
      <c r="E3337">
        <v>0.79456861352721397</v>
      </c>
      <c r="F3337">
        <v>0.55718475227741504</v>
      </c>
      <c r="G3337">
        <v>0.33736698289357198</v>
      </c>
      <c r="H3337">
        <v>0.24117744177358699</v>
      </c>
      <c r="I3337">
        <v>0.22127817299743299</v>
      </c>
      <c r="J3337">
        <v>0.18083501203927499</v>
      </c>
      <c r="K3337">
        <v>0.154969288640016</v>
      </c>
      <c r="L3337">
        <v>547.98262406312097</v>
      </c>
      <c r="M3337">
        <v>10.238475253171201</v>
      </c>
      <c r="N3337">
        <v>54.233014115381302</v>
      </c>
      <c r="O3337">
        <v>51.600648721347902</v>
      </c>
      <c r="P3337">
        <v>-4.6509183279561703E-2</v>
      </c>
      <c r="Q3337">
        <v>6.2814383829787296E-2</v>
      </c>
      <c r="R3337">
        <v>0.96540468057097395</v>
      </c>
      <c r="S3337" t="s">
        <v>8077</v>
      </c>
      <c r="T3337" t="s">
        <v>9478</v>
      </c>
      <c r="U3337" t="s">
        <v>9478</v>
      </c>
      <c r="V3337" t="s">
        <v>9478</v>
      </c>
      <c r="W3337">
        <v>6</v>
      </c>
      <c r="X3337" t="s">
        <v>12815</v>
      </c>
      <c r="Y3337">
        <v>0.51480522790556593</v>
      </c>
      <c r="Z3337" t="str">
        <f>HYPERLINK("Melting_Curves/meltCurve_sp_Q9H6T3_2_RPAP3_HUMAN_.pdf", "Melting_Curves/meltCurve_sp_Q9H6T3_2_RPAP3_HUMAN_.pdf")</f>
        <v>Melting_Curves/meltCurve_sp_Q9H6T3_2_RPAP3_HUMAN_.pdf</v>
      </c>
      <c r="AA3337" t="s">
        <v>17503</v>
      </c>
      <c r="AB3337" t="s">
        <v>22171</v>
      </c>
    </row>
    <row r="3338" spans="1:28" x14ac:dyDescent="0.25">
      <c r="A3338" t="s">
        <v>3342</v>
      </c>
      <c r="B3338">
        <v>0.99904790336628502</v>
      </c>
      <c r="C3338">
        <v>0.99099598865961203</v>
      </c>
      <c r="D3338">
        <v>1.01717889726882</v>
      </c>
      <c r="E3338">
        <v>0.90506329238207295</v>
      </c>
      <c r="F3338">
        <v>0.74765811869563503</v>
      </c>
      <c r="G3338">
        <v>0.358810957482737</v>
      </c>
      <c r="H3338">
        <v>0.13803849174230901</v>
      </c>
      <c r="I3338">
        <v>9.5883300972358296E-2</v>
      </c>
      <c r="J3338">
        <v>9.1375892251252103E-2</v>
      </c>
      <c r="K3338">
        <v>9.6809044027164406E-2</v>
      </c>
      <c r="L3338">
        <v>1356.1793311895599</v>
      </c>
      <c r="M3338">
        <v>24.648764627736501</v>
      </c>
      <c r="N3338">
        <v>55.397084570882797</v>
      </c>
      <c r="O3338">
        <v>54.661851029194203</v>
      </c>
      <c r="P3338">
        <v>-0.104031619870248</v>
      </c>
      <c r="Q3338">
        <v>7.7198159582938297E-2</v>
      </c>
      <c r="R3338">
        <v>0.99885649061818804</v>
      </c>
      <c r="S3338" t="s">
        <v>8078</v>
      </c>
      <c r="T3338" t="s">
        <v>9478</v>
      </c>
      <c r="U3338" t="s">
        <v>9478</v>
      </c>
      <c r="V3338" t="s">
        <v>9478</v>
      </c>
      <c r="W3338">
        <v>6</v>
      </c>
      <c r="X3338" t="s">
        <v>12816</v>
      </c>
      <c r="Y3338">
        <v>0.54796967072758251</v>
      </c>
      <c r="Z3338" t="str">
        <f>HYPERLINK("Melting_Curves/meltCurve_sp_Q9H6U6_2_BCAS3_HUMAN_.pdf", "Melting_Curves/meltCurve_sp_Q9H6U6_2_BCAS3_HUMAN_.pdf")</f>
        <v>Melting_Curves/meltCurve_sp_Q9H6U6_2_BCAS3_HUMAN_.pdf</v>
      </c>
      <c r="AA3338" t="s">
        <v>17504</v>
      </c>
      <c r="AB3338" t="s">
        <v>22172</v>
      </c>
    </row>
    <row r="3339" spans="1:28" x14ac:dyDescent="0.25">
      <c r="A3339" t="s">
        <v>3343</v>
      </c>
      <c r="B3339">
        <v>0.99904790336628502</v>
      </c>
      <c r="C3339">
        <v>0.95337975727563695</v>
      </c>
      <c r="D3339">
        <v>0.95132089839359302</v>
      </c>
      <c r="E3339">
        <v>0.90228087351508901</v>
      </c>
      <c r="F3339">
        <v>0.80192021670677505</v>
      </c>
      <c r="G3339">
        <v>0.609282072280112</v>
      </c>
      <c r="H3339">
        <v>0.35677941308403399</v>
      </c>
      <c r="I3339">
        <v>0.22589445267604499</v>
      </c>
      <c r="J3339">
        <v>0.17535261791815299</v>
      </c>
      <c r="K3339">
        <v>0.154439759913336</v>
      </c>
      <c r="L3339">
        <v>832.98482796562701</v>
      </c>
      <c r="M3339">
        <v>14.395966330087299</v>
      </c>
      <c r="N3339">
        <v>58.408275228692801</v>
      </c>
      <c r="O3339">
        <v>56.780223558804003</v>
      </c>
      <c r="P3339">
        <v>-5.9401921991225702E-2</v>
      </c>
      <c r="Q3339">
        <v>6.2944676338610395E-2</v>
      </c>
      <c r="R3339">
        <v>0.99616163566777305</v>
      </c>
      <c r="S3339" t="s">
        <v>8079</v>
      </c>
      <c r="T3339" t="s">
        <v>9478</v>
      </c>
      <c r="U3339" t="s">
        <v>9478</v>
      </c>
      <c r="V3339" t="s">
        <v>9478</v>
      </c>
      <c r="W3339">
        <v>5</v>
      </c>
      <c r="X3339" t="s">
        <v>12817</v>
      </c>
      <c r="Y3339">
        <v>0.63389531670669419</v>
      </c>
      <c r="Z3339" t="str">
        <f>HYPERLINK("Melting_Curves/meltCurve_sp_Q9H773_DCTP1_HUMAN_.pdf", "Melting_Curves/meltCurve_sp_Q9H773_DCTP1_HUMAN_.pdf")</f>
        <v>Melting_Curves/meltCurve_sp_Q9H773_DCTP1_HUMAN_.pdf</v>
      </c>
      <c r="AA3339" t="s">
        <v>17505</v>
      </c>
      <c r="AB3339" t="s">
        <v>22173</v>
      </c>
    </row>
    <row r="3340" spans="1:28" x14ac:dyDescent="0.25">
      <c r="A3340" t="s">
        <v>3344</v>
      </c>
      <c r="B3340">
        <v>0.99904790336628502</v>
      </c>
      <c r="C3340">
        <v>1.05359000306206</v>
      </c>
      <c r="D3340">
        <v>1.0476781337304499</v>
      </c>
      <c r="E3340">
        <v>0.99335420660733298</v>
      </c>
      <c r="F3340">
        <v>0.75277735084694197</v>
      </c>
      <c r="G3340">
        <v>0.70081543129189505</v>
      </c>
      <c r="H3340">
        <v>0.49962434679770701</v>
      </c>
      <c r="I3340">
        <v>0.41207592825411998</v>
      </c>
      <c r="J3340">
        <v>0.33415963286970501</v>
      </c>
      <c r="K3340">
        <v>0.205174743851575</v>
      </c>
      <c r="L3340">
        <v>715.81147696486005</v>
      </c>
      <c r="M3340">
        <v>11.9185839216481</v>
      </c>
      <c r="N3340">
        <v>61.202368279050603</v>
      </c>
      <c r="O3340">
        <v>58.442584213334499</v>
      </c>
      <c r="P3340">
        <v>-4.5904710163114697E-2</v>
      </c>
      <c r="Q3340">
        <v>9.9850770886025106E-2</v>
      </c>
      <c r="R3340">
        <v>0.97284707815606797</v>
      </c>
      <c r="S3340" t="s">
        <v>8080</v>
      </c>
      <c r="T3340" t="s">
        <v>9478</v>
      </c>
      <c r="U3340" t="s">
        <v>9478</v>
      </c>
      <c r="V3340" t="s">
        <v>9478</v>
      </c>
      <c r="W3340">
        <v>4</v>
      </c>
      <c r="X3340" t="s">
        <v>12818</v>
      </c>
      <c r="Y3340">
        <v>0.70334637422231694</v>
      </c>
      <c r="Z3340" t="str">
        <f>HYPERLINK("Melting_Curves/meltCurve_sp_Q9H777_RNZ1_HUMAN_.pdf", "Melting_Curves/meltCurve_sp_Q9H777_RNZ1_HUMAN_.pdf")</f>
        <v>Melting_Curves/meltCurve_sp_Q9H777_RNZ1_HUMAN_.pdf</v>
      </c>
      <c r="AA3340" t="s">
        <v>17506</v>
      </c>
      <c r="AB3340" t="s">
        <v>22174</v>
      </c>
    </row>
    <row r="3341" spans="1:28" x14ac:dyDescent="0.25">
      <c r="A3341" t="s">
        <v>3345</v>
      </c>
      <c r="B3341">
        <v>0.99904790336628502</v>
      </c>
      <c r="C3341">
        <v>0.90765034662333499</v>
      </c>
      <c r="D3341">
        <v>0.90903324214987802</v>
      </c>
      <c r="E3341">
        <v>0.62866120106969503</v>
      </c>
      <c r="F3341">
        <v>0.37291670081062001</v>
      </c>
      <c r="G3341">
        <v>0.18991799034925799</v>
      </c>
      <c r="H3341">
        <v>0.13321991487621901</v>
      </c>
      <c r="I3341">
        <v>0.12558196250491999</v>
      </c>
      <c r="J3341">
        <v>0.135583659793762</v>
      </c>
      <c r="K3341">
        <v>0.14199498590947099</v>
      </c>
      <c r="L3341">
        <v>1031.51531446748</v>
      </c>
      <c r="M3341">
        <v>20.363209817148299</v>
      </c>
      <c r="N3341">
        <v>51.346962339339598</v>
      </c>
      <c r="O3341">
        <v>50.174895533494798</v>
      </c>
      <c r="P3341">
        <v>-8.9302020165957299E-2</v>
      </c>
      <c r="Q3341">
        <v>0.119866908008899</v>
      </c>
      <c r="R3341">
        <v>0.99508000596795299</v>
      </c>
      <c r="S3341" t="s">
        <v>8081</v>
      </c>
      <c r="T3341" t="s">
        <v>9478</v>
      </c>
      <c r="U3341" t="s">
        <v>9478</v>
      </c>
      <c r="V3341" t="s">
        <v>9478</v>
      </c>
      <c r="W3341">
        <v>12</v>
      </c>
      <c r="X3341" t="s">
        <v>12819</v>
      </c>
      <c r="Y3341">
        <v>0.4443014387418881</v>
      </c>
      <c r="Z3341" t="str">
        <f>HYPERLINK("Melting_Curves/meltCurve_sp_Q9H788_SH24A_HUMAN_.pdf", "Melting_Curves/meltCurve_sp_Q9H788_SH24A_HUMAN_.pdf")</f>
        <v>Melting_Curves/meltCurve_sp_Q9H788_SH24A_HUMAN_.pdf</v>
      </c>
      <c r="AA3341" t="s">
        <v>17507</v>
      </c>
      <c r="AB3341" t="s">
        <v>22175</v>
      </c>
    </row>
    <row r="3342" spans="1:28" x14ac:dyDescent="0.25">
      <c r="A3342" t="s">
        <v>3346</v>
      </c>
      <c r="B3342">
        <v>0.99904790336628502</v>
      </c>
      <c r="C3342">
        <v>0.970947568105203</v>
      </c>
      <c r="D3342">
        <v>0.92599390976175</v>
      </c>
      <c r="E3342">
        <v>0.99318329971882802</v>
      </c>
      <c r="F3342">
        <v>1.0204420053486101</v>
      </c>
      <c r="G3342">
        <v>0.85090675566498797</v>
      </c>
      <c r="H3342">
        <v>0.73445834123943099</v>
      </c>
      <c r="I3342">
        <v>0.81710909623350902</v>
      </c>
      <c r="J3342">
        <v>0.82477080652819701</v>
      </c>
      <c r="K3342">
        <v>0.83414736224257202</v>
      </c>
      <c r="L3342">
        <v>14185.735702539499</v>
      </c>
      <c r="M3342">
        <v>250</v>
      </c>
      <c r="O3342">
        <v>56.739311665904602</v>
      </c>
      <c r="P3342">
        <v>-0.21741825951884</v>
      </c>
      <c r="Q3342">
        <v>0.80262140210861299</v>
      </c>
      <c r="R3342">
        <v>0.84612162330207696</v>
      </c>
      <c r="S3342" t="s">
        <v>8082</v>
      </c>
      <c r="T3342" t="s">
        <v>9478</v>
      </c>
      <c r="U3342" t="s">
        <v>9478</v>
      </c>
      <c r="V3342" t="s">
        <v>9478</v>
      </c>
      <c r="W3342">
        <v>5</v>
      </c>
      <c r="X3342" t="s">
        <v>12820</v>
      </c>
      <c r="Y3342">
        <v>0.91279767687270075</v>
      </c>
      <c r="Z3342" t="str">
        <f>HYPERLINK("Melting_Curves/meltCurve_sp_Q9H7C9_AAMDC_HUMAN_.pdf", "Melting_Curves/meltCurve_sp_Q9H7C9_AAMDC_HUMAN_.pdf")</f>
        <v>Melting_Curves/meltCurve_sp_Q9H7C9_AAMDC_HUMAN_.pdf</v>
      </c>
      <c r="AA3342" t="s">
        <v>17508</v>
      </c>
      <c r="AB3342" t="s">
        <v>22176</v>
      </c>
    </row>
    <row r="3343" spans="1:28" x14ac:dyDescent="0.25">
      <c r="A3343" t="s">
        <v>3347</v>
      </c>
      <c r="B3343">
        <v>0.99904790336628502</v>
      </c>
      <c r="C3343">
        <v>1.00137716496121</v>
      </c>
      <c r="D3343">
        <v>0.97468847355467703</v>
      </c>
      <c r="E3343">
        <v>0.73061133236418296</v>
      </c>
      <c r="F3343">
        <v>0.50943671224315601</v>
      </c>
      <c r="G3343">
        <v>0.31098345593610099</v>
      </c>
      <c r="H3343">
        <v>0.26607430305527202</v>
      </c>
      <c r="I3343">
        <v>0.23685825554760301</v>
      </c>
      <c r="J3343">
        <v>0.141958038261075</v>
      </c>
      <c r="K3343">
        <v>0.213835857924733</v>
      </c>
      <c r="L3343">
        <v>1054.8532104983101</v>
      </c>
      <c r="M3343">
        <v>20.338158524585499</v>
      </c>
      <c r="N3343">
        <v>53.180574016946998</v>
      </c>
      <c r="O3343">
        <v>51.372083144829503</v>
      </c>
      <c r="P3343">
        <v>-7.94200197755556E-2</v>
      </c>
      <c r="Q3343">
        <v>0.19759715660719601</v>
      </c>
      <c r="R3343">
        <v>0.99379790719601002</v>
      </c>
      <c r="S3343" t="s">
        <v>8083</v>
      </c>
      <c r="T3343" t="s">
        <v>9478</v>
      </c>
      <c r="U3343" t="s">
        <v>9478</v>
      </c>
      <c r="V3343" t="s">
        <v>9478</v>
      </c>
      <c r="W3343">
        <v>3</v>
      </c>
      <c r="X3343" t="s">
        <v>12821</v>
      </c>
      <c r="Y3343">
        <v>0.52574496303034823</v>
      </c>
      <c r="Z3343" t="str">
        <f>HYPERLINK("Melting_Curves/meltCurve_sp_Q9H7D0_DOCK5_HUMAN_.pdf", "Melting_Curves/meltCurve_sp_Q9H7D0_DOCK5_HUMAN_.pdf")</f>
        <v>Melting_Curves/meltCurve_sp_Q9H7D0_DOCK5_HUMAN_.pdf</v>
      </c>
      <c r="AA3343" t="s">
        <v>17509</v>
      </c>
      <c r="AB3343" t="s">
        <v>22177</v>
      </c>
    </row>
    <row r="3344" spans="1:28" x14ac:dyDescent="0.25">
      <c r="A3344" t="s">
        <v>3348</v>
      </c>
      <c r="B3344">
        <v>0.99904790336628502</v>
      </c>
      <c r="C3344">
        <v>0.97522324976542296</v>
      </c>
      <c r="D3344">
        <v>1.0070408662021699</v>
      </c>
      <c r="E3344">
        <v>0.92189915803451306</v>
      </c>
      <c r="F3344">
        <v>0.84648332262015502</v>
      </c>
      <c r="G3344">
        <v>0.48510838885371199</v>
      </c>
      <c r="H3344">
        <v>0.18839932710940599</v>
      </c>
      <c r="I3344">
        <v>8.8661688350259296E-2</v>
      </c>
      <c r="J3344">
        <v>6.8893734162874004E-2</v>
      </c>
      <c r="K3344">
        <v>6.3976129103455598E-2</v>
      </c>
      <c r="L3344">
        <v>1316.5226277228301</v>
      </c>
      <c r="M3344">
        <v>23.264036100513898</v>
      </c>
      <c r="N3344">
        <v>56.802801864003698</v>
      </c>
      <c r="O3344">
        <v>56.177297616477702</v>
      </c>
      <c r="P3344">
        <v>-9.9219804901401795E-2</v>
      </c>
      <c r="Q3344">
        <v>4.1645086460589301E-2</v>
      </c>
      <c r="R3344">
        <v>0.99850242085848395</v>
      </c>
      <c r="S3344" t="s">
        <v>8084</v>
      </c>
      <c r="T3344" t="s">
        <v>9478</v>
      </c>
      <c r="U3344" t="s">
        <v>9478</v>
      </c>
      <c r="V3344" t="s">
        <v>9478</v>
      </c>
      <c r="W3344">
        <v>6</v>
      </c>
      <c r="X3344" t="s">
        <v>12822</v>
      </c>
      <c r="Y3344">
        <v>0.58137219578567501</v>
      </c>
      <c r="Z3344" t="str">
        <f>HYPERLINK("Melting_Curves/meltCurve_sp_Q9H7E2_3_TDRD3_HUMAN_.pdf", "Melting_Curves/meltCurve_sp_Q9H7E2_3_TDRD3_HUMAN_.pdf")</f>
        <v>Melting_Curves/meltCurve_sp_Q9H7E2_3_TDRD3_HUMAN_.pdf</v>
      </c>
      <c r="AA3344" t="s">
        <v>17510</v>
      </c>
      <c r="AB3344" t="s">
        <v>22178</v>
      </c>
    </row>
    <row r="3345" spans="1:28" x14ac:dyDescent="0.25">
      <c r="A3345" t="s">
        <v>3349</v>
      </c>
      <c r="B3345">
        <v>0.99904790336628502</v>
      </c>
      <c r="C3345">
        <v>1.0653740743543001</v>
      </c>
      <c r="D3345">
        <v>0.90457579708764402</v>
      </c>
      <c r="E3345">
        <v>0.859077084505244</v>
      </c>
      <c r="F3345">
        <v>1.12768740564151</v>
      </c>
      <c r="G3345">
        <v>0.675436651837235</v>
      </c>
      <c r="H3345">
        <v>0.72644403988752804</v>
      </c>
      <c r="I3345">
        <v>0.66463826832232997</v>
      </c>
      <c r="J3345">
        <v>0.71290790174056096</v>
      </c>
      <c r="K3345">
        <v>0.69729681486925199</v>
      </c>
      <c r="L3345">
        <v>13784.7493554906</v>
      </c>
      <c r="M3345">
        <v>250</v>
      </c>
      <c r="O3345">
        <v>55.135468906688601</v>
      </c>
      <c r="P3345">
        <v>-0.34536574822576899</v>
      </c>
      <c r="Q3345">
        <v>0.69532956087528297</v>
      </c>
      <c r="R3345">
        <v>0.80715701761578795</v>
      </c>
      <c r="S3345" t="s">
        <v>8085</v>
      </c>
      <c r="T3345" t="s">
        <v>9478</v>
      </c>
      <c r="U3345" t="s">
        <v>9478</v>
      </c>
      <c r="V3345" t="s">
        <v>9478</v>
      </c>
      <c r="W3345">
        <v>5</v>
      </c>
      <c r="X3345" t="s">
        <v>12823</v>
      </c>
      <c r="Y3345">
        <v>0.84910587633136436</v>
      </c>
      <c r="Z3345" t="str">
        <f>HYPERLINK("Melting_Curves/meltCurve_sp_Q9H7N4_SFR19_HUMAN_.pdf", "Melting_Curves/meltCurve_sp_Q9H7N4_SFR19_HUMAN_.pdf")</f>
        <v>Melting_Curves/meltCurve_sp_Q9H7N4_SFR19_HUMAN_.pdf</v>
      </c>
      <c r="AA3345" t="s">
        <v>17511</v>
      </c>
      <c r="AB3345" t="s">
        <v>22179</v>
      </c>
    </row>
    <row r="3346" spans="1:28" x14ac:dyDescent="0.25">
      <c r="A3346" t="s">
        <v>3350</v>
      </c>
      <c r="B3346">
        <v>0.99904790336628502</v>
      </c>
      <c r="C3346">
        <v>0.90053624475181304</v>
      </c>
      <c r="D3346">
        <v>0.78500233806221698</v>
      </c>
      <c r="E3346">
        <v>0.62368620355571702</v>
      </c>
      <c r="F3346">
        <v>0.51017787899031197</v>
      </c>
      <c r="G3346">
        <v>0.367807000766735</v>
      </c>
      <c r="H3346">
        <v>0.29096140079565802</v>
      </c>
      <c r="I3346">
        <v>0.24996448338796001</v>
      </c>
      <c r="J3346">
        <v>0.24545475081190199</v>
      </c>
      <c r="K3346">
        <v>0.23296547281140101</v>
      </c>
      <c r="L3346">
        <v>575.00017970487704</v>
      </c>
      <c r="M3346">
        <v>11.3677260472226</v>
      </c>
      <c r="N3346">
        <v>52.866343431038601</v>
      </c>
      <c r="O3346">
        <v>49.092375985749698</v>
      </c>
      <c r="P3346">
        <v>-4.6669012568269101E-2</v>
      </c>
      <c r="Q3346">
        <v>0.19406502949783899</v>
      </c>
      <c r="R3346">
        <v>0.997092744292297</v>
      </c>
      <c r="S3346" t="s">
        <v>8086</v>
      </c>
      <c r="T3346" t="s">
        <v>9478</v>
      </c>
      <c r="U3346" t="s">
        <v>9478</v>
      </c>
      <c r="V3346" t="s">
        <v>9478</v>
      </c>
      <c r="W3346">
        <v>5</v>
      </c>
      <c r="X3346" t="s">
        <v>12824</v>
      </c>
      <c r="Y3346">
        <v>0.50751029388169322</v>
      </c>
      <c r="Z3346" t="str">
        <f>HYPERLINK("Melting_Curves/meltCurve_sp_Q9H7Z6_KAT8_HUMAN_.pdf", "Melting_Curves/meltCurve_sp_Q9H7Z6_KAT8_HUMAN_.pdf")</f>
        <v>Melting_Curves/meltCurve_sp_Q9H7Z6_KAT8_HUMAN_.pdf</v>
      </c>
      <c r="AA3346" t="s">
        <v>17512</v>
      </c>
      <c r="AB3346" t="s">
        <v>22180</v>
      </c>
    </row>
    <row r="3347" spans="1:28" x14ac:dyDescent="0.25">
      <c r="A3347" t="s">
        <v>3351</v>
      </c>
      <c r="B3347">
        <v>0.99904790336628502</v>
      </c>
      <c r="C3347">
        <v>0.91240919761436301</v>
      </c>
      <c r="D3347">
        <v>0.81790132304458696</v>
      </c>
      <c r="E3347">
        <v>0.49875173506085502</v>
      </c>
      <c r="F3347">
        <v>0.28252971351066403</v>
      </c>
      <c r="G3347">
        <v>0.168487584715625</v>
      </c>
      <c r="H3347">
        <v>0.10312225230003599</v>
      </c>
      <c r="I3347">
        <v>7.8702166769153897E-2</v>
      </c>
      <c r="J3347">
        <v>4.5857131103524601E-2</v>
      </c>
      <c r="K3347">
        <v>4.6947788630411401E-2</v>
      </c>
      <c r="L3347">
        <v>818.870504553655</v>
      </c>
      <c r="M3347">
        <v>16.4734235638571</v>
      </c>
      <c r="N3347">
        <v>50.0127921589728</v>
      </c>
      <c r="O3347">
        <v>48.993388087536999</v>
      </c>
      <c r="P3347">
        <v>-8.0057664663425204E-2</v>
      </c>
      <c r="Q3347">
        <v>4.76728581804872E-2</v>
      </c>
      <c r="R3347">
        <v>0.99832944819904501</v>
      </c>
      <c r="S3347" t="s">
        <v>8087</v>
      </c>
      <c r="T3347" t="s">
        <v>9478</v>
      </c>
      <c r="U3347" t="s">
        <v>9478</v>
      </c>
      <c r="V3347" t="s">
        <v>9478</v>
      </c>
      <c r="W3347">
        <v>6</v>
      </c>
      <c r="X3347" t="s">
        <v>12825</v>
      </c>
      <c r="Y3347">
        <v>0.3751612400095915</v>
      </c>
      <c r="Z3347" t="str">
        <f>HYPERLINK("Melting_Curves/meltCurve_sp_Q9H7Z7_PGES2_HUMAN_.pdf", "Melting_Curves/meltCurve_sp_Q9H7Z7_PGES2_HUMAN_.pdf")</f>
        <v>Melting_Curves/meltCurve_sp_Q9H7Z7_PGES2_HUMAN_.pdf</v>
      </c>
      <c r="AA3347" t="s">
        <v>17513</v>
      </c>
      <c r="AB3347" t="s">
        <v>22181</v>
      </c>
    </row>
    <row r="3348" spans="1:28" x14ac:dyDescent="0.25">
      <c r="A3348" t="s">
        <v>3352</v>
      </c>
      <c r="B3348">
        <v>0.99904790336628502</v>
      </c>
      <c r="C3348">
        <v>0.87791292144219801</v>
      </c>
      <c r="D3348">
        <v>0.95326717979703801</v>
      </c>
      <c r="E3348">
        <v>0.978733379441031</v>
      </c>
      <c r="F3348">
        <v>0.94901312686502803</v>
      </c>
      <c r="G3348">
        <v>0.73309507310914102</v>
      </c>
      <c r="H3348">
        <v>0.85065187211992899</v>
      </c>
      <c r="I3348">
        <v>0.69588718003928995</v>
      </c>
      <c r="J3348">
        <v>0.54914934770637003</v>
      </c>
      <c r="K3348">
        <v>0.56463968730965497</v>
      </c>
      <c r="L3348">
        <v>445.06915355572602</v>
      </c>
      <c r="M3348">
        <v>6.1770325339114702</v>
      </c>
      <c r="O3348">
        <v>65.599643388547904</v>
      </c>
      <c r="P3348">
        <v>-2.3609349349592398E-2</v>
      </c>
      <c r="Q3348">
        <v>0</v>
      </c>
      <c r="R3348">
        <v>0.84272611366168604</v>
      </c>
      <c r="S3348" t="s">
        <v>8088</v>
      </c>
      <c r="T3348" t="s">
        <v>9478</v>
      </c>
      <c r="U3348" t="s">
        <v>9478</v>
      </c>
      <c r="V3348" t="s">
        <v>9478</v>
      </c>
      <c r="W3348">
        <v>5</v>
      </c>
      <c r="X3348" t="s">
        <v>12826</v>
      </c>
      <c r="Y3348">
        <v>0.833522258157669</v>
      </c>
      <c r="Z3348" t="str">
        <f>HYPERLINK("Melting_Curves/meltCurve_sp_Q9H814_PHAX_HUMAN_.pdf", "Melting_Curves/meltCurve_sp_Q9H814_PHAX_HUMAN_.pdf")</f>
        <v>Melting_Curves/meltCurve_sp_Q9H814_PHAX_HUMAN_.pdf</v>
      </c>
      <c r="AA3348" t="s">
        <v>17514</v>
      </c>
      <c r="AB3348" t="s">
        <v>22182</v>
      </c>
    </row>
    <row r="3349" spans="1:28" x14ac:dyDescent="0.25">
      <c r="A3349" t="s">
        <v>3353</v>
      </c>
      <c r="B3349">
        <v>0.99904790336628502</v>
      </c>
      <c r="C3349">
        <v>1.00128515878385</v>
      </c>
      <c r="D3349">
        <v>0.89878033547917402</v>
      </c>
      <c r="E3349">
        <v>0.83830521304636396</v>
      </c>
      <c r="F3349">
        <v>0.57515820865842304</v>
      </c>
      <c r="G3349">
        <v>0.208022172461859</v>
      </c>
      <c r="H3349">
        <v>7.8470253113153698E-2</v>
      </c>
      <c r="I3349">
        <v>4.6168195463454097E-2</v>
      </c>
      <c r="J3349">
        <v>3.0497076337763301E-2</v>
      </c>
      <c r="K3349">
        <v>1.1074097997574601E-2</v>
      </c>
      <c r="L3349">
        <v>1140.4918840109101</v>
      </c>
      <c r="M3349">
        <v>21.278414674039599</v>
      </c>
      <c r="N3349">
        <v>53.645078079439898</v>
      </c>
      <c r="O3349">
        <v>53.1318802726814</v>
      </c>
      <c r="P3349">
        <v>-9.9207615199211494E-2</v>
      </c>
      <c r="Q3349">
        <v>9.1456382406793907E-3</v>
      </c>
      <c r="R3349">
        <v>0.99640166775599104</v>
      </c>
      <c r="S3349" t="s">
        <v>8089</v>
      </c>
      <c r="T3349" t="s">
        <v>9478</v>
      </c>
      <c r="U3349" t="s">
        <v>9478</v>
      </c>
      <c r="V3349" t="s">
        <v>9478</v>
      </c>
      <c r="W3349">
        <v>5</v>
      </c>
      <c r="X3349" t="s">
        <v>12827</v>
      </c>
      <c r="Y3349">
        <v>0.4704872833150946</v>
      </c>
      <c r="Z3349" t="str">
        <f>HYPERLINK("Melting_Curves/meltCurve_sp_Q9H832_UBE2Z_HUMAN_.pdf", "Melting_Curves/meltCurve_sp_Q9H832_UBE2Z_HUMAN_.pdf")</f>
        <v>Melting_Curves/meltCurve_sp_Q9H832_UBE2Z_HUMAN_.pdf</v>
      </c>
      <c r="AA3349" t="s">
        <v>17515</v>
      </c>
      <c r="AB3349" t="s">
        <v>22183</v>
      </c>
    </row>
    <row r="3350" spans="1:28" x14ac:dyDescent="0.25">
      <c r="A3350" t="s">
        <v>3354</v>
      </c>
      <c r="B3350">
        <v>0.99904790336628502</v>
      </c>
      <c r="C3350">
        <v>1.09129615468937</v>
      </c>
      <c r="D3350">
        <v>1.1168939164865801</v>
      </c>
      <c r="E3350">
        <v>0.88378583288409496</v>
      </c>
      <c r="F3350">
        <v>0.46787125873062702</v>
      </c>
      <c r="G3350">
        <v>0.25628889846103498</v>
      </c>
      <c r="H3350">
        <v>0.1436280713019</v>
      </c>
      <c r="I3350">
        <v>9.4570426244762598E-2</v>
      </c>
      <c r="J3350">
        <v>6.8797477798343998E-2</v>
      </c>
      <c r="K3350">
        <v>5.3804344505745498E-2</v>
      </c>
      <c r="L3350">
        <v>1574.7710018973601</v>
      </c>
      <c r="M3350">
        <v>29.845144262728699</v>
      </c>
      <c r="N3350">
        <v>53.142387567045503</v>
      </c>
      <c r="O3350">
        <v>52.529540808927003</v>
      </c>
      <c r="P3350">
        <v>-0.12846794209602999</v>
      </c>
      <c r="Q3350">
        <v>9.5555796923125394E-2</v>
      </c>
      <c r="R3350">
        <v>0.98005610007500499</v>
      </c>
      <c r="S3350" t="s">
        <v>8090</v>
      </c>
      <c r="T3350" t="s">
        <v>9478</v>
      </c>
      <c r="U3350" t="s">
        <v>9478</v>
      </c>
      <c r="V3350" t="s">
        <v>9478</v>
      </c>
      <c r="W3350">
        <v>23</v>
      </c>
      <c r="X3350" t="s">
        <v>12828</v>
      </c>
      <c r="Y3350">
        <v>0.4862941507638619</v>
      </c>
      <c r="Z3350" t="str">
        <f>HYPERLINK("Melting_Curves/meltCurve_sp_Q9H845_ACAD9_HUMAN_.pdf", "Melting_Curves/meltCurve_sp_Q9H845_ACAD9_HUMAN_.pdf")</f>
        <v>Melting_Curves/meltCurve_sp_Q9H845_ACAD9_HUMAN_.pdf</v>
      </c>
      <c r="AA3350" t="s">
        <v>17516</v>
      </c>
      <c r="AB3350" t="s">
        <v>22184</v>
      </c>
    </row>
    <row r="3351" spans="1:28" x14ac:dyDescent="0.25">
      <c r="A3351" t="s">
        <v>3355</v>
      </c>
      <c r="B3351">
        <v>0.99904790336628502</v>
      </c>
      <c r="C3351">
        <v>1.11087395767057</v>
      </c>
      <c r="D3351">
        <v>1.1364214799737899</v>
      </c>
      <c r="E3351">
        <v>0.946776777338873</v>
      </c>
      <c r="F3351">
        <v>0.84481604450792502</v>
      </c>
      <c r="G3351">
        <v>0.571635894109642</v>
      </c>
      <c r="H3351">
        <v>0.245283212376741</v>
      </c>
      <c r="I3351">
        <v>9.01328250120388E-2</v>
      </c>
      <c r="J3351">
        <v>4.1228648863182601E-2</v>
      </c>
      <c r="K3351">
        <v>4.2023933697112603E-2</v>
      </c>
      <c r="L3351">
        <v>1229.0871533734601</v>
      </c>
      <c r="M3351">
        <v>21.3237227230134</v>
      </c>
      <c r="N3351">
        <v>57.649732742045501</v>
      </c>
      <c r="O3351">
        <v>57.1396892838182</v>
      </c>
      <c r="P3351">
        <v>-9.3121422065255199E-2</v>
      </c>
      <c r="Q3351">
        <v>1.9014372741464199E-3</v>
      </c>
      <c r="R3351">
        <v>0.98211129855071999</v>
      </c>
      <c r="S3351" t="s">
        <v>8091</v>
      </c>
      <c r="T3351" t="s">
        <v>9478</v>
      </c>
      <c r="U3351" t="s">
        <v>9478</v>
      </c>
      <c r="V3351" t="s">
        <v>9478</v>
      </c>
      <c r="W3351">
        <v>2</v>
      </c>
      <c r="X3351" t="s">
        <v>12829</v>
      </c>
      <c r="Y3351">
        <v>0.59963342870322811</v>
      </c>
      <c r="Z3351" t="str">
        <f>HYPERLINK("Melting_Curves/meltCurve_sp_Q9H8G2_2_CAAP1_HUMAN_.pdf", "Melting_Curves/meltCurve_sp_Q9H8G2_2_CAAP1_HUMAN_.pdf")</f>
        <v>Melting_Curves/meltCurve_sp_Q9H8G2_2_CAAP1_HUMAN_.pdf</v>
      </c>
      <c r="AA3351" t="s">
        <v>17517</v>
      </c>
      <c r="AB3351" t="s">
        <v>22185</v>
      </c>
    </row>
    <row r="3352" spans="1:28" x14ac:dyDescent="0.25">
      <c r="A3352" t="s">
        <v>3356</v>
      </c>
      <c r="B3352">
        <v>0.99904790336628502</v>
      </c>
      <c r="C3352">
        <v>1.0233173069819601</v>
      </c>
      <c r="D3352">
        <v>1.0354488793020999</v>
      </c>
      <c r="E3352">
        <v>0.86597971771261795</v>
      </c>
      <c r="F3352">
        <v>0.69038068585110401</v>
      </c>
      <c r="G3352">
        <v>0.22445880574275201</v>
      </c>
      <c r="H3352">
        <v>0.12570385295329001</v>
      </c>
      <c r="I3352">
        <v>8.3414917642347403E-2</v>
      </c>
      <c r="J3352">
        <v>5.4324805488789603E-2</v>
      </c>
      <c r="K3352">
        <v>3.4443028533301202E-2</v>
      </c>
      <c r="L3352">
        <v>1434.12401661581</v>
      </c>
      <c r="M3352">
        <v>26.471089548317799</v>
      </c>
      <c r="N3352">
        <v>54.404082294999</v>
      </c>
      <c r="O3352">
        <v>53.8706433956769</v>
      </c>
      <c r="P3352">
        <v>-0.116421299601915</v>
      </c>
      <c r="Q3352">
        <v>5.2306114060204197E-2</v>
      </c>
      <c r="R3352">
        <v>0.99596250349950599</v>
      </c>
      <c r="S3352" t="s">
        <v>8092</v>
      </c>
      <c r="T3352" t="s">
        <v>9478</v>
      </c>
      <c r="U3352" t="s">
        <v>9478</v>
      </c>
      <c r="V3352" t="s">
        <v>9478</v>
      </c>
      <c r="W3352">
        <v>2</v>
      </c>
      <c r="X3352" t="s">
        <v>12830</v>
      </c>
      <c r="Y3352">
        <v>0.50805552445933144</v>
      </c>
      <c r="Z3352" t="str">
        <f>HYPERLINK("Melting_Curves/meltCurve_sp_Q9H8M7_F188A_HUMAN_.pdf", "Melting_Curves/meltCurve_sp_Q9H8M7_F188A_HUMAN_.pdf")</f>
        <v>Melting_Curves/meltCurve_sp_Q9H8M7_F188A_HUMAN_.pdf</v>
      </c>
      <c r="AA3352" t="s">
        <v>17518</v>
      </c>
      <c r="AB3352" t="s">
        <v>22186</v>
      </c>
    </row>
    <row r="3353" spans="1:28" x14ac:dyDescent="0.25">
      <c r="A3353" t="s">
        <v>3357</v>
      </c>
      <c r="B3353">
        <v>0.99904790336628502</v>
      </c>
      <c r="C3353">
        <v>0.98981068909082504</v>
      </c>
      <c r="D3353">
        <v>0.93987674614878303</v>
      </c>
      <c r="E3353">
        <v>0.93544265090731704</v>
      </c>
      <c r="F3353">
        <v>0.86892823969301403</v>
      </c>
      <c r="G3353">
        <v>0.65909904500705696</v>
      </c>
      <c r="H3353">
        <v>0.37495067944704302</v>
      </c>
      <c r="I3353">
        <v>0.124911819503362</v>
      </c>
      <c r="J3353">
        <v>6.1985149387091799E-2</v>
      </c>
      <c r="K3353">
        <v>5.2329568341286298E-2</v>
      </c>
      <c r="L3353">
        <v>1131.7526054124901</v>
      </c>
      <c r="M3353">
        <v>19.247463830160001</v>
      </c>
      <c r="N3353">
        <v>58.800090813093199</v>
      </c>
      <c r="O3353">
        <v>58.176405357468603</v>
      </c>
      <c r="P3353">
        <v>-8.2714775588284897E-2</v>
      </c>
      <c r="Q3353">
        <v>0</v>
      </c>
      <c r="R3353">
        <v>0.99353592103782196</v>
      </c>
      <c r="S3353" t="s">
        <v>8093</v>
      </c>
      <c r="T3353" t="s">
        <v>9478</v>
      </c>
      <c r="U3353" t="s">
        <v>9478</v>
      </c>
      <c r="V3353" t="s">
        <v>9478</v>
      </c>
      <c r="W3353">
        <v>4</v>
      </c>
      <c r="X3353" t="s">
        <v>12831</v>
      </c>
      <c r="Y3353">
        <v>0.63728764043985175</v>
      </c>
      <c r="Z3353" t="str">
        <f>HYPERLINK("Melting_Curves/meltCurve_sp_Q9H8S9_MOB1A_HUMAN_.pdf", "Melting_Curves/meltCurve_sp_Q9H8S9_MOB1A_HUMAN_.pdf")</f>
        <v>Melting_Curves/meltCurve_sp_Q9H8S9_MOB1A_HUMAN_.pdf</v>
      </c>
      <c r="AA3353" t="s">
        <v>17519</v>
      </c>
      <c r="AB3353" t="s">
        <v>22187</v>
      </c>
    </row>
    <row r="3354" spans="1:28" x14ac:dyDescent="0.25">
      <c r="A3354" t="s">
        <v>3358</v>
      </c>
      <c r="B3354">
        <v>0.99904790336628502</v>
      </c>
      <c r="C3354">
        <v>1.0735253840679999</v>
      </c>
      <c r="D3354">
        <v>1.02016998689706</v>
      </c>
      <c r="E3354">
        <v>0.79962285208411799</v>
      </c>
      <c r="F3354">
        <v>0.36571550649650097</v>
      </c>
      <c r="G3354">
        <v>0.18193956978688799</v>
      </c>
      <c r="H3354">
        <v>0.10576269463759</v>
      </c>
      <c r="I3354">
        <v>0.100626827092875</v>
      </c>
      <c r="J3354">
        <v>6.6907785295789501E-2</v>
      </c>
      <c r="K3354">
        <v>5.4524414872502099E-2</v>
      </c>
      <c r="L3354">
        <v>1727.11020311125</v>
      </c>
      <c r="M3354">
        <v>33.321844938381801</v>
      </c>
      <c r="N3354">
        <v>52.138839362628801</v>
      </c>
      <c r="O3354">
        <v>51.645567481153201</v>
      </c>
      <c r="P3354">
        <v>-0.146904654788485</v>
      </c>
      <c r="Q3354">
        <v>8.9253193919379595E-2</v>
      </c>
      <c r="R3354">
        <v>0.99342281905235397</v>
      </c>
      <c r="S3354" t="s">
        <v>8094</v>
      </c>
      <c r="T3354" t="s">
        <v>9478</v>
      </c>
      <c r="U3354" t="s">
        <v>9478</v>
      </c>
      <c r="V3354" t="s">
        <v>9478</v>
      </c>
      <c r="W3354">
        <v>3</v>
      </c>
      <c r="X3354" t="s">
        <v>12832</v>
      </c>
      <c r="Y3354">
        <v>0.45313334475371919</v>
      </c>
      <c r="Z3354" t="str">
        <f>HYPERLINK("Melting_Curves/meltCurve_sp_Q9H8T0_AKTIP_HUMAN_.pdf", "Melting_Curves/meltCurve_sp_Q9H8T0_AKTIP_HUMAN_.pdf")</f>
        <v>Melting_Curves/meltCurve_sp_Q9H8T0_AKTIP_HUMAN_.pdf</v>
      </c>
      <c r="AA3354" t="s">
        <v>17520</v>
      </c>
      <c r="AB3354" t="s">
        <v>22188</v>
      </c>
    </row>
    <row r="3355" spans="1:28" x14ac:dyDescent="0.25">
      <c r="A3355" t="s">
        <v>3359</v>
      </c>
      <c r="B3355">
        <v>0.99904790336628502</v>
      </c>
      <c r="C3355">
        <v>0.85733315294793599</v>
      </c>
      <c r="D3355">
        <v>0.79123245170022305</v>
      </c>
      <c r="E3355">
        <v>0.86278489449163398</v>
      </c>
      <c r="F3355">
        <v>0.94075698177098599</v>
      </c>
      <c r="G3355">
        <v>0.68933972649865305</v>
      </c>
      <c r="H3355">
        <v>0.80749527858683601</v>
      </c>
      <c r="I3355">
        <v>0.667287243303198</v>
      </c>
      <c r="J3355">
        <v>0.67047864919265299</v>
      </c>
      <c r="K3355">
        <v>0.73041514532601703</v>
      </c>
      <c r="L3355">
        <v>209.996257035898</v>
      </c>
      <c r="M3355">
        <v>3.34184391215737</v>
      </c>
      <c r="O3355">
        <v>48.398778301026397</v>
      </c>
      <c r="P3355">
        <v>-9.4315222468349703E-3</v>
      </c>
      <c r="Q3355">
        <v>0.46563979953704399</v>
      </c>
      <c r="R3355">
        <v>0.58203571439651702</v>
      </c>
      <c r="S3355" t="s">
        <v>8095</v>
      </c>
      <c r="T3355" t="s">
        <v>9478</v>
      </c>
      <c r="U3355" t="s">
        <v>9478</v>
      </c>
      <c r="V3355" t="s">
        <v>9478</v>
      </c>
      <c r="W3355">
        <v>2</v>
      </c>
      <c r="X3355" t="s">
        <v>12833</v>
      </c>
      <c r="Y3355">
        <v>0.80068590602126066</v>
      </c>
      <c r="Z3355" t="str">
        <f>HYPERLINK("Melting_Curves/meltCurve_sp_Q9H8U3_ZFAN3_HUMAN_.pdf", "Melting_Curves/meltCurve_sp_Q9H8U3_ZFAN3_HUMAN_.pdf")</f>
        <v>Melting_Curves/meltCurve_sp_Q9H8U3_ZFAN3_HUMAN_.pdf</v>
      </c>
      <c r="AA3355" t="s">
        <v>17521</v>
      </c>
      <c r="AB3355" t="s">
        <v>22189</v>
      </c>
    </row>
    <row r="3356" spans="1:28" x14ac:dyDescent="0.25">
      <c r="A3356" t="s">
        <v>3360</v>
      </c>
      <c r="B3356">
        <v>0.99904790336628502</v>
      </c>
      <c r="C3356">
        <v>0.89970469799998798</v>
      </c>
      <c r="D3356">
        <v>0.84551629766502301</v>
      </c>
      <c r="E3356">
        <v>0.74534471079769404</v>
      </c>
      <c r="F3356">
        <v>0.43609895697955198</v>
      </c>
      <c r="G3356">
        <v>0.25371490016752801</v>
      </c>
      <c r="H3356">
        <v>9.1079322528706E-2</v>
      </c>
      <c r="I3356">
        <v>6.5353105230014905E-2</v>
      </c>
      <c r="J3356">
        <v>3.9101012588758699E-2</v>
      </c>
      <c r="K3356">
        <v>7.6082848089077906E-2</v>
      </c>
      <c r="L3356">
        <v>772.11074349268097</v>
      </c>
      <c r="M3356">
        <v>14.724994038885701</v>
      </c>
      <c r="N3356">
        <v>52.514386462389702</v>
      </c>
      <c r="O3356">
        <v>51.496783814699398</v>
      </c>
      <c r="P3356">
        <v>-7.0709434877204005E-2</v>
      </c>
      <c r="Q3356">
        <v>1.09570174017007E-2</v>
      </c>
      <c r="R3356">
        <v>0.989207132576846</v>
      </c>
      <c r="S3356" t="s">
        <v>8096</v>
      </c>
      <c r="T3356" t="s">
        <v>9478</v>
      </c>
      <c r="U3356" t="s">
        <v>9478</v>
      </c>
      <c r="V3356" t="s">
        <v>9478</v>
      </c>
      <c r="W3356">
        <v>3</v>
      </c>
      <c r="X3356" t="s">
        <v>12834</v>
      </c>
      <c r="Y3356">
        <v>0.44329023591097311</v>
      </c>
      <c r="Z3356" t="str">
        <f>HYPERLINK("Melting_Curves/meltCurve_sp_Q9H8W4_PKHF2_HUMAN_.pdf", "Melting_Curves/meltCurve_sp_Q9H8W4_PKHF2_HUMAN_.pdf")</f>
        <v>Melting_Curves/meltCurve_sp_Q9H8W4_PKHF2_HUMAN_.pdf</v>
      </c>
      <c r="AA3356" t="s">
        <v>17522</v>
      </c>
      <c r="AB3356" t="s">
        <v>22190</v>
      </c>
    </row>
    <row r="3357" spans="1:28" x14ac:dyDescent="0.25">
      <c r="A3357" t="s">
        <v>3361</v>
      </c>
      <c r="B3357">
        <v>0.99904790336628502</v>
      </c>
      <c r="C3357">
        <v>0.64894783668879097</v>
      </c>
      <c r="D3357">
        <v>0.61088080012274604</v>
      </c>
      <c r="E3357">
        <v>0.49693310499407101</v>
      </c>
      <c r="F3357">
        <v>0.30811235273795701</v>
      </c>
      <c r="G3357">
        <v>0.14839500518638099</v>
      </c>
      <c r="H3357">
        <v>8.7188209490178498E-2</v>
      </c>
      <c r="I3357">
        <v>6.8774067154497895E-2</v>
      </c>
      <c r="J3357">
        <v>7.5080922023692001E-2</v>
      </c>
      <c r="K3357">
        <v>7.8763729434751295E-2</v>
      </c>
      <c r="L3357">
        <v>469.78021780530702</v>
      </c>
      <c r="M3357">
        <v>9.7181902923385906</v>
      </c>
      <c r="N3357">
        <v>48.345103313591203</v>
      </c>
      <c r="O3357">
        <v>46.426638800888398</v>
      </c>
      <c r="P3357">
        <v>-5.2334025624929899E-2</v>
      </c>
      <c r="Q3357">
        <v>4.8267813346285102E-4</v>
      </c>
      <c r="R3357">
        <v>0.95862080800921501</v>
      </c>
      <c r="S3357" t="s">
        <v>8097</v>
      </c>
      <c r="T3357" t="s">
        <v>9478</v>
      </c>
      <c r="U3357" t="s">
        <v>9478</v>
      </c>
      <c r="V3357" t="s">
        <v>9478</v>
      </c>
      <c r="W3357">
        <v>7</v>
      </c>
      <c r="X3357" t="s">
        <v>12835</v>
      </c>
      <c r="Y3357">
        <v>0.33216429186021318</v>
      </c>
      <c r="Z3357" t="str">
        <f>HYPERLINK("Melting_Curves/meltCurve_sp_Q9H8Y8_GORS2_HUMAN_.pdf", "Melting_Curves/meltCurve_sp_Q9H8Y8_GORS2_HUMAN_.pdf")</f>
        <v>Melting_Curves/meltCurve_sp_Q9H8Y8_GORS2_HUMAN_.pdf</v>
      </c>
      <c r="AA3357" t="s">
        <v>17523</v>
      </c>
      <c r="AB3357" t="s">
        <v>22191</v>
      </c>
    </row>
    <row r="3358" spans="1:28" x14ac:dyDescent="0.25">
      <c r="A3358" t="s">
        <v>3362</v>
      </c>
      <c r="B3358">
        <v>0.99904790336628502</v>
      </c>
      <c r="C3358">
        <v>1.03431948245766</v>
      </c>
      <c r="D3358">
        <v>0.85960714332619703</v>
      </c>
      <c r="E3358">
        <v>0.72082523081755101</v>
      </c>
      <c r="F3358">
        <v>0.43779926366260302</v>
      </c>
      <c r="G3358">
        <v>0.33066507666824702</v>
      </c>
      <c r="H3358">
        <v>0.21494406057606</v>
      </c>
      <c r="I3358">
        <v>0.17015290290638699</v>
      </c>
      <c r="J3358">
        <v>0.10088611383057</v>
      </c>
      <c r="K3358">
        <v>6.3924735092969004E-2</v>
      </c>
      <c r="L3358">
        <v>735.31964183930802</v>
      </c>
      <c r="M3358">
        <v>14.022020192429601</v>
      </c>
      <c r="N3358">
        <v>53.041101390667301</v>
      </c>
      <c r="O3358">
        <v>51.408311248558597</v>
      </c>
      <c r="P3358">
        <v>-6.3191083864520103E-2</v>
      </c>
      <c r="Q3358">
        <v>7.3423127206086805E-2</v>
      </c>
      <c r="R3358">
        <v>0.98802133397247205</v>
      </c>
      <c r="S3358" t="s">
        <v>8098</v>
      </c>
      <c r="T3358" t="s">
        <v>9478</v>
      </c>
      <c r="U3358" t="s">
        <v>9478</v>
      </c>
      <c r="V3358" t="s">
        <v>9478</v>
      </c>
      <c r="W3358">
        <v>4</v>
      </c>
      <c r="X3358" t="s">
        <v>12836</v>
      </c>
      <c r="Y3358">
        <v>0.48010811673063852</v>
      </c>
      <c r="Z3358" t="str">
        <f>HYPERLINK("Melting_Curves/meltCurve_sp_Q9H939_PPIP2_HUMAN_.pdf", "Melting_Curves/meltCurve_sp_Q9H939_PPIP2_HUMAN_.pdf")</f>
        <v>Melting_Curves/meltCurve_sp_Q9H939_PPIP2_HUMAN_.pdf</v>
      </c>
      <c r="AA3358" t="s">
        <v>17524</v>
      </c>
      <c r="AB3358" t="s">
        <v>22192</v>
      </c>
    </row>
    <row r="3359" spans="1:28" x14ac:dyDescent="0.25">
      <c r="A3359" t="s">
        <v>3363</v>
      </c>
      <c r="B3359">
        <v>0.99904790336628502</v>
      </c>
      <c r="C3359">
        <v>0.96025378175422904</v>
      </c>
      <c r="D3359">
        <v>0.93629556752842802</v>
      </c>
      <c r="E3359">
        <v>0.76815890534299702</v>
      </c>
      <c r="F3359">
        <v>0.63514746145204803</v>
      </c>
      <c r="G3359">
        <v>0.424898826684736</v>
      </c>
      <c r="H3359">
        <v>0.337820386006493</v>
      </c>
      <c r="I3359">
        <v>0.29759254775209298</v>
      </c>
      <c r="J3359">
        <v>0.21744931493293901</v>
      </c>
      <c r="K3359">
        <v>8.1278392153232501E-2</v>
      </c>
      <c r="L3359">
        <v>562.74717755245001</v>
      </c>
      <c r="M3359">
        <v>10.069497376529201</v>
      </c>
      <c r="N3359">
        <v>56.253526255707101</v>
      </c>
      <c r="O3359">
        <v>53.816419178653703</v>
      </c>
      <c r="P3359">
        <v>-4.53106227526456E-2</v>
      </c>
      <c r="Q3359">
        <v>3.1808283408251502E-2</v>
      </c>
      <c r="R3359">
        <v>0.98848504509864399</v>
      </c>
      <c r="S3359" t="s">
        <v>8099</v>
      </c>
      <c r="T3359" t="s">
        <v>9478</v>
      </c>
      <c r="U3359" t="s">
        <v>9478</v>
      </c>
      <c r="V3359" t="s">
        <v>9478</v>
      </c>
      <c r="W3359">
        <v>10</v>
      </c>
      <c r="X3359" t="s">
        <v>12837</v>
      </c>
      <c r="Y3359">
        <v>0.56547851508672209</v>
      </c>
      <c r="Z3359" t="str">
        <f>HYPERLINK("Melting_Curves/meltCurve_sp_Q9H974_QTRD1_HUMAN_.pdf", "Melting_Curves/meltCurve_sp_Q9H974_QTRD1_HUMAN_.pdf")</f>
        <v>Melting_Curves/meltCurve_sp_Q9H974_QTRD1_HUMAN_.pdf</v>
      </c>
      <c r="AA3359" t="s">
        <v>17525</v>
      </c>
      <c r="AB3359" t="s">
        <v>22193</v>
      </c>
    </row>
    <row r="3360" spans="1:28" x14ac:dyDescent="0.25">
      <c r="A3360" t="s">
        <v>3364</v>
      </c>
      <c r="B3360">
        <v>0.99904790336628502</v>
      </c>
      <c r="C3360">
        <v>0.88556633956491304</v>
      </c>
      <c r="D3360">
        <v>0.30922472824185798</v>
      </c>
      <c r="E3360">
        <v>0.18697749398570099</v>
      </c>
      <c r="F3360">
        <v>8.8190839485602704E-2</v>
      </c>
      <c r="G3360">
        <v>3.7941552523319703E-2</v>
      </c>
      <c r="H3360">
        <v>1.7707759684984399E-2</v>
      </c>
      <c r="I3360">
        <v>1.41685848133189E-2</v>
      </c>
      <c r="J3360">
        <v>1.43173433763207E-2</v>
      </c>
      <c r="K3360">
        <v>1.30482816004943E-2</v>
      </c>
      <c r="L3360">
        <v>1640.5053464544701</v>
      </c>
      <c r="M3360">
        <v>36.4796104724782</v>
      </c>
      <c r="N3360">
        <v>45.090812456105702</v>
      </c>
      <c r="O3360">
        <v>44.835980585412003</v>
      </c>
      <c r="P3360">
        <v>-0.19397133618891199</v>
      </c>
      <c r="Q3360">
        <v>4.6385885065503001E-2</v>
      </c>
      <c r="R3360">
        <v>0.98355468117766598</v>
      </c>
      <c r="S3360" t="s">
        <v>8100</v>
      </c>
      <c r="T3360" t="s">
        <v>9478</v>
      </c>
      <c r="U3360" t="s">
        <v>9478</v>
      </c>
      <c r="V3360" t="s">
        <v>9478</v>
      </c>
      <c r="W3360">
        <v>8</v>
      </c>
      <c r="X3360" t="s">
        <v>12838</v>
      </c>
      <c r="Y3360">
        <v>0.20827060568707639</v>
      </c>
      <c r="Z3360" t="str">
        <f>HYPERLINK("Melting_Curves/meltCurve_sp_Q9H993_CF211_HUMAN_.pdf", "Melting_Curves/meltCurve_sp_Q9H993_CF211_HUMAN_.pdf")</f>
        <v>Melting_Curves/meltCurve_sp_Q9H993_CF211_HUMAN_.pdf</v>
      </c>
      <c r="AA3360" t="s">
        <v>17526</v>
      </c>
      <c r="AB3360" t="s">
        <v>22194</v>
      </c>
    </row>
    <row r="3361" spans="1:28" x14ac:dyDescent="0.25">
      <c r="A3361" t="s">
        <v>3365</v>
      </c>
      <c r="B3361">
        <v>0.99904790336628502</v>
      </c>
      <c r="C3361">
        <v>0.98950485460915005</v>
      </c>
      <c r="D3361">
        <v>0.83105322653707103</v>
      </c>
      <c r="E3361">
        <v>0.49649841125403599</v>
      </c>
      <c r="F3361">
        <v>0.35026848776240099</v>
      </c>
      <c r="G3361">
        <v>0.16957342690305299</v>
      </c>
      <c r="H3361">
        <v>0.10619611248166901</v>
      </c>
      <c r="I3361">
        <v>7.0911937395674196E-2</v>
      </c>
      <c r="J3361">
        <v>7.1438493162103697E-2</v>
      </c>
      <c r="K3361">
        <v>6.6308182343425004E-2</v>
      </c>
      <c r="L3361">
        <v>864.39987456711106</v>
      </c>
      <c r="M3361">
        <v>17.282674155376299</v>
      </c>
      <c r="N3361">
        <v>50.402738139127003</v>
      </c>
      <c r="O3361">
        <v>49.360177807425998</v>
      </c>
      <c r="P3361">
        <v>-8.2094852323289599E-2</v>
      </c>
      <c r="Q3361">
        <v>6.2186305662510703E-2</v>
      </c>
      <c r="R3361">
        <v>0.99693831465341398</v>
      </c>
      <c r="S3361" t="s">
        <v>8101</v>
      </c>
      <c r="T3361" t="s">
        <v>9478</v>
      </c>
      <c r="U3361" t="s">
        <v>9478</v>
      </c>
      <c r="V3361" t="s">
        <v>9478</v>
      </c>
      <c r="W3361">
        <v>3</v>
      </c>
      <c r="X3361" t="s">
        <v>12839</v>
      </c>
      <c r="Y3361">
        <v>0.39253633286182588</v>
      </c>
      <c r="Z3361" t="str">
        <f>HYPERLINK("Melting_Curves/meltCurve_sp_Q9H999_PANK3_HUMAN_.pdf", "Melting_Curves/meltCurve_sp_Q9H999_PANK3_HUMAN_.pdf")</f>
        <v>Melting_Curves/meltCurve_sp_Q9H999_PANK3_HUMAN_.pdf</v>
      </c>
      <c r="AA3361" t="s">
        <v>17527</v>
      </c>
      <c r="AB3361" t="s">
        <v>22195</v>
      </c>
    </row>
    <row r="3362" spans="1:28" x14ac:dyDescent="0.25">
      <c r="A3362" t="s">
        <v>3366</v>
      </c>
      <c r="B3362">
        <v>0.99904790336628502</v>
      </c>
      <c r="C3362">
        <v>1.1627284037797301</v>
      </c>
      <c r="D3362">
        <v>1.1547704789703901</v>
      </c>
      <c r="E3362">
        <v>0.85841976087359395</v>
      </c>
      <c r="F3362">
        <v>0.39616434669718797</v>
      </c>
      <c r="G3362">
        <v>0.15621852707960901</v>
      </c>
      <c r="H3362">
        <v>9.3002294590769294E-2</v>
      </c>
      <c r="I3362">
        <v>6.6071280715838093E-2</v>
      </c>
      <c r="J3362">
        <v>5.6211114755143503E-2</v>
      </c>
      <c r="K3362">
        <v>3.7035081597018897E-2</v>
      </c>
      <c r="L3362">
        <v>2022.1070976291901</v>
      </c>
      <c r="M3362">
        <v>38.722146857501599</v>
      </c>
      <c r="N3362">
        <v>52.432073183433097</v>
      </c>
      <c r="O3362">
        <v>52.082260095979201</v>
      </c>
      <c r="P3362">
        <v>-0.17245335552987301</v>
      </c>
      <c r="Q3362">
        <v>7.2185988064698406E-2</v>
      </c>
      <c r="R3362">
        <v>0.97361620385165604</v>
      </c>
      <c r="S3362" t="s">
        <v>8102</v>
      </c>
      <c r="T3362" t="s">
        <v>9478</v>
      </c>
      <c r="U3362" t="s">
        <v>9478</v>
      </c>
      <c r="V3362" t="s">
        <v>9478</v>
      </c>
      <c r="W3362">
        <v>3</v>
      </c>
      <c r="X3362" t="s">
        <v>12840</v>
      </c>
      <c r="Y3362">
        <v>0.45371758943763818</v>
      </c>
      <c r="Z3362" t="str">
        <f>HYPERLINK("Melting_Curves/meltCurve_sp_Q9H9A5_2_CNO10_HUMAN_.pdf", "Melting_Curves/meltCurve_sp_Q9H9A5_2_CNO10_HUMAN_.pdf")</f>
        <v>Melting_Curves/meltCurve_sp_Q9H9A5_2_CNO10_HUMAN_.pdf</v>
      </c>
      <c r="AA3362" t="s">
        <v>17528</v>
      </c>
      <c r="AB3362" t="s">
        <v>22196</v>
      </c>
    </row>
    <row r="3363" spans="1:28" x14ac:dyDescent="0.25">
      <c r="A3363" t="s">
        <v>3367</v>
      </c>
      <c r="B3363">
        <v>0.99904790336628502</v>
      </c>
      <c r="C3363">
        <v>1.0082218487299901</v>
      </c>
      <c r="D3363">
        <v>0.94126998302351905</v>
      </c>
      <c r="E3363">
        <v>0.69796881337955097</v>
      </c>
      <c r="F3363">
        <v>0.314589132069371</v>
      </c>
      <c r="G3363">
        <v>0.19406363646187699</v>
      </c>
      <c r="H3363">
        <v>9.0677364728596596E-2</v>
      </c>
      <c r="I3363">
        <v>6.8249110131525598E-2</v>
      </c>
      <c r="J3363">
        <v>4.55448611679551E-2</v>
      </c>
      <c r="K3363">
        <v>3.26601558871943E-2</v>
      </c>
      <c r="L3363">
        <v>1231.0486390984599</v>
      </c>
      <c r="M3363">
        <v>23.9817406919802</v>
      </c>
      <c r="N3363">
        <v>51.598616046342798</v>
      </c>
      <c r="O3363">
        <v>50.979811036168201</v>
      </c>
      <c r="P3363">
        <v>-0.110771073500537</v>
      </c>
      <c r="Q3363">
        <v>5.8116938318765098E-2</v>
      </c>
      <c r="R3363">
        <v>0.99555363758308202</v>
      </c>
      <c r="S3363" t="s">
        <v>8103</v>
      </c>
      <c r="T3363" t="s">
        <v>9478</v>
      </c>
      <c r="U3363" t="s">
        <v>9478</v>
      </c>
      <c r="V3363" t="s">
        <v>9478</v>
      </c>
      <c r="W3363">
        <v>18</v>
      </c>
      <c r="X3363" t="s">
        <v>12841</v>
      </c>
      <c r="Y3363">
        <v>0.42318047819796922</v>
      </c>
      <c r="Z3363" t="str">
        <f>HYPERLINK("Melting_Curves/meltCurve_sp_Q9H9A6_LRC40_HUMAN_.pdf", "Melting_Curves/meltCurve_sp_Q9H9A6_LRC40_HUMAN_.pdf")</f>
        <v>Melting_Curves/meltCurve_sp_Q9H9A6_LRC40_HUMAN_.pdf</v>
      </c>
      <c r="AA3363" t="s">
        <v>17529</v>
      </c>
      <c r="AB3363" t="s">
        <v>22197</v>
      </c>
    </row>
    <row r="3364" spans="1:28" x14ac:dyDescent="0.25">
      <c r="A3364" t="s">
        <v>3368</v>
      </c>
      <c r="B3364">
        <v>0.99904790336628502</v>
      </c>
      <c r="C3364">
        <v>0.96953084463694805</v>
      </c>
      <c r="D3364">
        <v>0.89537750758929302</v>
      </c>
      <c r="E3364">
        <v>0.69415163076505604</v>
      </c>
      <c r="F3364">
        <v>0.389119889502686</v>
      </c>
      <c r="G3364">
        <v>0.27784485061743303</v>
      </c>
      <c r="H3364">
        <v>0.21231959855358101</v>
      </c>
      <c r="I3364">
        <v>0.26658635299351302</v>
      </c>
      <c r="J3364">
        <v>0.22123907602122</v>
      </c>
      <c r="K3364">
        <v>0.33030054492441102</v>
      </c>
      <c r="L3364">
        <v>1316.28966046047</v>
      </c>
      <c r="M3364">
        <v>26.134274793320301</v>
      </c>
      <c r="N3364">
        <v>51.748283286139298</v>
      </c>
      <c r="O3364">
        <v>50.0742921191584</v>
      </c>
      <c r="P3364">
        <v>-9.7705359884064397E-2</v>
      </c>
      <c r="Q3364">
        <v>0.25117934837829597</v>
      </c>
      <c r="R3364">
        <v>0.98563173702263496</v>
      </c>
      <c r="S3364" t="s">
        <v>8104</v>
      </c>
      <c r="T3364" t="s">
        <v>9478</v>
      </c>
      <c r="U3364" t="s">
        <v>9478</v>
      </c>
      <c r="V3364" t="s">
        <v>9478</v>
      </c>
      <c r="W3364">
        <v>2</v>
      </c>
      <c r="X3364" t="s">
        <v>12842</v>
      </c>
      <c r="Y3364">
        <v>0.51608041228558554</v>
      </c>
      <c r="Z3364" t="str">
        <f>HYPERLINK("Melting_Curves/meltCurve_sp_Q9H9B1_3_EHMT1_HUMAN_.pdf", "Melting_Curves/meltCurve_sp_Q9H9B1_3_EHMT1_HUMAN_.pdf")</f>
        <v>Melting_Curves/meltCurve_sp_Q9H9B1_3_EHMT1_HUMAN_.pdf</v>
      </c>
      <c r="AA3364" t="s">
        <v>17530</v>
      </c>
      <c r="AB3364" t="s">
        <v>22198</v>
      </c>
    </row>
    <row r="3365" spans="1:28" x14ac:dyDescent="0.25">
      <c r="A3365" t="s">
        <v>3369</v>
      </c>
      <c r="B3365">
        <v>0.99904790336628502</v>
      </c>
      <c r="C3365">
        <v>1.0369450800417499</v>
      </c>
      <c r="D3365">
        <v>0.79839601028928597</v>
      </c>
      <c r="E3365">
        <v>0.45054676052825199</v>
      </c>
      <c r="F3365">
        <v>0.34915680268057703</v>
      </c>
      <c r="G3365">
        <v>0.18545927291630199</v>
      </c>
      <c r="H3365">
        <v>0.16080673944376001</v>
      </c>
      <c r="I3365">
        <v>8.8055173789514093E-2</v>
      </c>
      <c r="J3365">
        <v>0.114433510809786</v>
      </c>
      <c r="K3365">
        <v>6.3620329191588901E-2</v>
      </c>
      <c r="L3365">
        <v>900.28946282485902</v>
      </c>
      <c r="M3365">
        <v>18.2241502973663</v>
      </c>
      <c r="N3365">
        <v>50.008062788596398</v>
      </c>
      <c r="O3365">
        <v>48.817607612198003</v>
      </c>
      <c r="P3365">
        <v>-8.4069187603374104E-2</v>
      </c>
      <c r="Q3365">
        <v>9.9247334363509895E-2</v>
      </c>
      <c r="R3365">
        <v>0.98714172629271901</v>
      </c>
      <c r="S3365" t="s">
        <v>8105</v>
      </c>
      <c r="T3365" t="s">
        <v>9478</v>
      </c>
      <c r="U3365" t="s">
        <v>9478</v>
      </c>
      <c r="V3365" t="s">
        <v>9478</v>
      </c>
      <c r="W3365">
        <v>2</v>
      </c>
      <c r="X3365" t="s">
        <v>12843</v>
      </c>
      <c r="Y3365">
        <v>0.3966329494050872</v>
      </c>
      <c r="Z3365" t="str">
        <f>HYPERLINK("Melting_Curves/meltCurve_sp_Q9H9B4_SFXN1_HUMAN_.pdf", "Melting_Curves/meltCurve_sp_Q9H9B4_SFXN1_HUMAN_.pdf")</f>
        <v>Melting_Curves/meltCurve_sp_Q9H9B4_SFXN1_HUMAN_.pdf</v>
      </c>
      <c r="AA3365" t="s">
        <v>17531</v>
      </c>
      <c r="AB3365" t="s">
        <v>22199</v>
      </c>
    </row>
    <row r="3366" spans="1:28" x14ac:dyDescent="0.25">
      <c r="A3366" t="s">
        <v>3370</v>
      </c>
      <c r="B3366">
        <v>0.99904790336628502</v>
      </c>
      <c r="C3366">
        <v>1.0941142014399501</v>
      </c>
      <c r="D3366">
        <v>1.0446460510964899</v>
      </c>
      <c r="E3366">
        <v>0.58637866536071204</v>
      </c>
      <c r="F3366">
        <v>0.298328852299442</v>
      </c>
      <c r="G3366">
        <v>0.22522697909768799</v>
      </c>
      <c r="H3366">
        <v>0.169412937964045</v>
      </c>
      <c r="I3366">
        <v>0.161718630801064</v>
      </c>
      <c r="J3366">
        <v>0.170333858312297</v>
      </c>
      <c r="K3366">
        <v>0.25082316798549997</v>
      </c>
      <c r="L3366">
        <v>2106.4273036759701</v>
      </c>
      <c r="M3366">
        <v>42.110602978564401</v>
      </c>
      <c r="N3366">
        <v>50.630644548217902</v>
      </c>
      <c r="O3366">
        <v>49.908897911618197</v>
      </c>
      <c r="P3366">
        <v>-0.16900603105940401</v>
      </c>
      <c r="Q3366">
        <v>0.19878705543703501</v>
      </c>
      <c r="R3366">
        <v>0.98544196901349801</v>
      </c>
      <c r="S3366" t="s">
        <v>8106</v>
      </c>
      <c r="T3366" t="s">
        <v>9478</v>
      </c>
      <c r="U3366" t="s">
        <v>9478</v>
      </c>
      <c r="V3366" t="s">
        <v>9478</v>
      </c>
      <c r="W3366">
        <v>3</v>
      </c>
      <c r="X3366" t="s">
        <v>12844</v>
      </c>
      <c r="Y3366">
        <v>0.46892523093326022</v>
      </c>
      <c r="Z3366" t="str">
        <f>HYPERLINK("Melting_Curves/meltCurve_sp_Q9H9C1_2_SPE39_HUMAN_.pdf", "Melting_Curves/meltCurve_sp_Q9H9C1_2_SPE39_HUMAN_.pdf")</f>
        <v>Melting_Curves/meltCurve_sp_Q9H9C1_2_SPE39_HUMAN_.pdf</v>
      </c>
      <c r="AA3366" t="s">
        <v>17532</v>
      </c>
      <c r="AB3366" t="s">
        <v>22200</v>
      </c>
    </row>
    <row r="3367" spans="1:28" x14ac:dyDescent="0.25">
      <c r="A3367" t="s">
        <v>3371</v>
      </c>
      <c r="B3367">
        <v>0.99904790336628502</v>
      </c>
      <c r="C3367">
        <v>1.12164487429917</v>
      </c>
      <c r="D3367">
        <v>0.93960737797655602</v>
      </c>
      <c r="E3367">
        <v>0.37974794434970999</v>
      </c>
      <c r="F3367">
        <v>0.15267553557321201</v>
      </c>
      <c r="G3367">
        <v>9.7036868820302102E-2</v>
      </c>
      <c r="H3367">
        <v>7.0751342221808497E-2</v>
      </c>
      <c r="I3367">
        <v>5.7062799672172898E-2</v>
      </c>
      <c r="J3367">
        <v>5.0406064823686397E-2</v>
      </c>
      <c r="K3367">
        <v>4.6536987867887999E-2</v>
      </c>
      <c r="L3367">
        <v>1854.1037474576999</v>
      </c>
      <c r="M3367">
        <v>37.713285093778602</v>
      </c>
      <c r="N3367">
        <v>49.351869598463097</v>
      </c>
      <c r="O3367">
        <v>49.025528908408397</v>
      </c>
      <c r="P3367">
        <v>-0.179400937016965</v>
      </c>
      <c r="Q3367">
        <v>6.7150763224008994E-2</v>
      </c>
      <c r="R3367">
        <v>0.98991573919071796</v>
      </c>
      <c r="S3367" t="s">
        <v>8107</v>
      </c>
      <c r="T3367" t="s">
        <v>9478</v>
      </c>
      <c r="U3367" t="s">
        <v>9478</v>
      </c>
      <c r="V3367" t="s">
        <v>9478</v>
      </c>
      <c r="W3367">
        <v>7</v>
      </c>
      <c r="X3367" t="s">
        <v>12845</v>
      </c>
      <c r="Y3367">
        <v>0.35565312700515528</v>
      </c>
      <c r="Z3367" t="str">
        <f>HYPERLINK("Melting_Curves/meltCurve_sp_Q9H9E3_COG4_HUMAN_.pdf", "Melting_Curves/meltCurve_sp_Q9H9E3_COG4_HUMAN_.pdf")</f>
        <v>Melting_Curves/meltCurve_sp_Q9H9E3_COG4_HUMAN_.pdf</v>
      </c>
      <c r="AA3367" t="s">
        <v>17533</v>
      </c>
      <c r="AB3367" t="s">
        <v>22201</v>
      </c>
    </row>
    <row r="3368" spans="1:28" x14ac:dyDescent="0.25">
      <c r="A3368" t="s">
        <v>3372</v>
      </c>
      <c r="B3368">
        <v>0.99904790336628502</v>
      </c>
      <c r="C3368">
        <v>1.0917591208573001</v>
      </c>
      <c r="D3368">
        <v>1.1753408975208199</v>
      </c>
      <c r="E3368">
        <v>0.83752866950086902</v>
      </c>
      <c r="F3368">
        <v>0.51478795148563306</v>
      </c>
      <c r="G3368">
        <v>0.39260620958992498</v>
      </c>
      <c r="H3368">
        <v>0.23605737994110099</v>
      </c>
      <c r="I3368">
        <v>0.23720874355417701</v>
      </c>
      <c r="J3368">
        <v>0.15921258321671999</v>
      </c>
      <c r="K3368">
        <v>0.12443473753871501</v>
      </c>
      <c r="L3368">
        <v>1274.6810344753001</v>
      </c>
      <c r="M3368">
        <v>24.104245610675601</v>
      </c>
      <c r="N3368">
        <v>53.9292347266246</v>
      </c>
      <c r="O3368">
        <v>52.522057903412602</v>
      </c>
      <c r="P3368">
        <v>-9.32922432851096E-2</v>
      </c>
      <c r="Q3368">
        <v>0.186894191082354</v>
      </c>
      <c r="R3368">
        <v>0.95621618625922</v>
      </c>
      <c r="S3368" t="s">
        <v>8108</v>
      </c>
      <c r="T3368" t="s">
        <v>9478</v>
      </c>
      <c r="U3368" t="s">
        <v>9478</v>
      </c>
      <c r="V3368" t="s">
        <v>9478</v>
      </c>
      <c r="W3368">
        <v>11</v>
      </c>
      <c r="X3368" t="s">
        <v>12846</v>
      </c>
      <c r="Y3368">
        <v>0.54405118023624799</v>
      </c>
      <c r="Z3368" t="str">
        <f>HYPERLINK("Melting_Curves/meltCurve_sp_Q9H9G7_AGO3_HUMAN_.pdf", "Melting_Curves/meltCurve_sp_Q9H9G7_AGO3_HUMAN_.pdf")</f>
        <v>Melting_Curves/meltCurve_sp_Q9H9G7_AGO3_HUMAN_.pdf</v>
      </c>
      <c r="AA3368" t="s">
        <v>17534</v>
      </c>
      <c r="AB3368" t="s">
        <v>22202</v>
      </c>
    </row>
    <row r="3369" spans="1:28" x14ac:dyDescent="0.25">
      <c r="A3369" t="s">
        <v>3373</v>
      </c>
      <c r="B3369">
        <v>0.99904790336628502</v>
      </c>
      <c r="C3369">
        <v>1.0420573248201199</v>
      </c>
      <c r="D3369">
        <v>1.1493758218302701</v>
      </c>
      <c r="E3369">
        <v>1.0767781917520101</v>
      </c>
      <c r="F3369">
        <v>1.0195800330578599</v>
      </c>
      <c r="G3369">
        <v>0.92066197748652701</v>
      </c>
      <c r="H3369">
        <v>0.37651637703688301</v>
      </c>
      <c r="I3369">
        <v>0.16078257418797501</v>
      </c>
      <c r="J3369">
        <v>3.3188378823874702E-2</v>
      </c>
      <c r="K3369">
        <v>1.11714167300781E-2</v>
      </c>
      <c r="L3369">
        <v>2311.39908085559</v>
      </c>
      <c r="M3369">
        <v>38.3620969910382</v>
      </c>
      <c r="N3369">
        <v>60.3287455149284</v>
      </c>
      <c r="O3369">
        <v>60.089127199439098</v>
      </c>
      <c r="P3369">
        <v>-0.15581194878472299</v>
      </c>
      <c r="Q3369">
        <v>2.376753753149E-2</v>
      </c>
      <c r="R3369">
        <v>0.98317604863136998</v>
      </c>
      <c r="S3369" t="s">
        <v>8109</v>
      </c>
      <c r="T3369" t="s">
        <v>9478</v>
      </c>
      <c r="U3369" t="s">
        <v>9478</v>
      </c>
      <c r="V3369" t="s">
        <v>9478</v>
      </c>
      <c r="W3369">
        <v>2</v>
      </c>
      <c r="X3369" t="s">
        <v>12847</v>
      </c>
      <c r="Y3369">
        <v>0.68686835763372334</v>
      </c>
      <c r="Z3369" t="str">
        <f>HYPERLINK("Melting_Curves/meltCurve_sp_Q9H9J2_RM44_HUMAN_.pdf", "Melting_Curves/meltCurve_sp_Q9H9J2_RM44_HUMAN_.pdf")</f>
        <v>Melting_Curves/meltCurve_sp_Q9H9J2_RM44_HUMAN_.pdf</v>
      </c>
      <c r="AA3369" t="s">
        <v>17535</v>
      </c>
      <c r="AB3369" t="s">
        <v>22203</v>
      </c>
    </row>
    <row r="3370" spans="1:28" x14ac:dyDescent="0.25">
      <c r="A3370" t="s">
        <v>3374</v>
      </c>
      <c r="B3370">
        <v>0.99904790336628502</v>
      </c>
      <c r="C3370">
        <v>0.91965743105232101</v>
      </c>
      <c r="D3370">
        <v>0.91927239430229402</v>
      </c>
      <c r="E3370">
        <v>0.82320891145605302</v>
      </c>
      <c r="F3370">
        <v>0.56447231398440201</v>
      </c>
      <c r="G3370">
        <v>0.260852157511132</v>
      </c>
      <c r="H3370">
        <v>9.9342951154274398E-2</v>
      </c>
      <c r="I3370">
        <v>7.0638120989814701E-2</v>
      </c>
      <c r="J3370">
        <v>5.42087811750597E-2</v>
      </c>
      <c r="K3370">
        <v>4.2546799099451103E-2</v>
      </c>
      <c r="L3370">
        <v>1006.32254040679</v>
      </c>
      <c r="M3370">
        <v>18.774732108955298</v>
      </c>
      <c r="N3370">
        <v>53.745037578733204</v>
      </c>
      <c r="O3370">
        <v>53.002833419576497</v>
      </c>
      <c r="P3370">
        <v>-8.6369025253761E-2</v>
      </c>
      <c r="Q3370">
        <v>2.4728899670367101E-2</v>
      </c>
      <c r="R3370">
        <v>0.99502682339339199</v>
      </c>
      <c r="S3370" t="s">
        <v>8110</v>
      </c>
      <c r="T3370" t="s">
        <v>9478</v>
      </c>
      <c r="U3370" t="s">
        <v>9478</v>
      </c>
      <c r="V3370" t="s">
        <v>9478</v>
      </c>
      <c r="W3370">
        <v>7</v>
      </c>
      <c r="X3370" t="s">
        <v>12848</v>
      </c>
      <c r="Y3370">
        <v>0.48161070520650329</v>
      </c>
      <c r="Z3370" t="str">
        <f>HYPERLINK("Melting_Curves/meltCurve_sp_Q9H9T3_2_ELP3_HUMAN_.pdf", "Melting_Curves/meltCurve_sp_Q9H9T3_2_ELP3_HUMAN_.pdf")</f>
        <v>Melting_Curves/meltCurve_sp_Q9H9T3_2_ELP3_HUMAN_.pdf</v>
      </c>
      <c r="AA3370" t="s">
        <v>17536</v>
      </c>
      <c r="AB3370" t="s">
        <v>22204</v>
      </c>
    </row>
    <row r="3371" spans="1:28" x14ac:dyDescent="0.25">
      <c r="A3371" t="s">
        <v>3375</v>
      </c>
      <c r="B3371">
        <v>0.99904790336628502</v>
      </c>
      <c r="C3371">
        <v>1.0271078628021</v>
      </c>
      <c r="D3371">
        <v>0.99466296967400003</v>
      </c>
      <c r="E3371">
        <v>0.94966218311184702</v>
      </c>
      <c r="F3371">
        <v>0.93748687682118503</v>
      </c>
      <c r="G3371">
        <v>0.73398357394539604</v>
      </c>
      <c r="H3371">
        <v>0.40859715697378002</v>
      </c>
      <c r="I3371">
        <v>0.15171088383055001</v>
      </c>
      <c r="J3371">
        <v>5.6923942908146501E-2</v>
      </c>
      <c r="K3371">
        <v>3.5708283748669099E-2</v>
      </c>
      <c r="L3371">
        <v>1356.4237484873599</v>
      </c>
      <c r="M3371">
        <v>22.737512359867001</v>
      </c>
      <c r="N3371">
        <v>59.655774747561303</v>
      </c>
      <c r="O3371">
        <v>59.200081238256601</v>
      </c>
      <c r="P3371">
        <v>-9.6021661286709303E-2</v>
      </c>
      <c r="Q3371">
        <v>0</v>
      </c>
      <c r="R3371">
        <v>0.99729727152623504</v>
      </c>
      <c r="S3371" t="s">
        <v>8111</v>
      </c>
      <c r="T3371" t="s">
        <v>9478</v>
      </c>
      <c r="U3371" t="s">
        <v>9478</v>
      </c>
      <c r="V3371" t="s">
        <v>9478</v>
      </c>
      <c r="W3371">
        <v>7</v>
      </c>
      <c r="X3371" t="s">
        <v>12849</v>
      </c>
      <c r="Y3371">
        <v>0.66358284149924152</v>
      </c>
      <c r="Z3371" t="str">
        <f>HYPERLINK("Melting_Curves/meltCurve_sp_Q9HA64_KT3K_HUMAN_.pdf", "Melting_Curves/meltCurve_sp_Q9HA64_KT3K_HUMAN_.pdf")</f>
        <v>Melting_Curves/meltCurve_sp_Q9HA64_KT3K_HUMAN_.pdf</v>
      </c>
      <c r="AA3371" t="s">
        <v>17537</v>
      </c>
      <c r="AB3371" t="s">
        <v>22205</v>
      </c>
    </row>
    <row r="3372" spans="1:28" x14ac:dyDescent="0.25">
      <c r="A3372" t="s">
        <v>3376</v>
      </c>
      <c r="B3372">
        <v>0.99904790336628502</v>
      </c>
      <c r="C3372">
        <v>1.0211114291143599</v>
      </c>
      <c r="D3372">
        <v>0.94800745634170902</v>
      </c>
      <c r="E3372">
        <v>0.83114033004869103</v>
      </c>
      <c r="F3372">
        <v>0.55857694109412404</v>
      </c>
      <c r="G3372">
        <v>0.198983992401981</v>
      </c>
      <c r="H3372">
        <v>0.104863393339829</v>
      </c>
      <c r="I3372">
        <v>7.2019553504145004E-2</v>
      </c>
      <c r="J3372">
        <v>6.1572904632018401E-2</v>
      </c>
      <c r="K3372">
        <v>6.3802700523777303E-2</v>
      </c>
      <c r="L3372">
        <v>1283.8034619258499</v>
      </c>
      <c r="M3372">
        <v>24.139239329056799</v>
      </c>
      <c r="N3372">
        <v>53.4514705224396</v>
      </c>
      <c r="O3372">
        <v>52.822313105122198</v>
      </c>
      <c r="P3372">
        <v>-0.107732493211407</v>
      </c>
      <c r="Q3372">
        <v>5.7038963812231697E-2</v>
      </c>
      <c r="R3372">
        <v>0.99884194412473704</v>
      </c>
      <c r="S3372" t="s">
        <v>8112</v>
      </c>
      <c r="T3372" t="s">
        <v>9478</v>
      </c>
      <c r="U3372" t="s">
        <v>9478</v>
      </c>
      <c r="V3372" t="s">
        <v>9478</v>
      </c>
      <c r="W3372">
        <v>3</v>
      </c>
      <c r="X3372" t="s">
        <v>12850</v>
      </c>
      <c r="Y3372">
        <v>0.48069272411215291</v>
      </c>
      <c r="Z3372" t="str">
        <f>HYPERLINK("Melting_Curves/meltCurve_sp_Q9HA65_TBC17_HUMAN_.pdf", "Melting_Curves/meltCurve_sp_Q9HA65_TBC17_HUMAN_.pdf")</f>
        <v>Melting_Curves/meltCurve_sp_Q9HA65_TBC17_HUMAN_.pdf</v>
      </c>
      <c r="AA3372" t="s">
        <v>17538</v>
      </c>
      <c r="AB3372" t="s">
        <v>22206</v>
      </c>
    </row>
    <row r="3373" spans="1:28" x14ac:dyDescent="0.25">
      <c r="A3373" t="s">
        <v>3377</v>
      </c>
      <c r="B3373">
        <v>0.99904790336628502</v>
      </c>
      <c r="C3373">
        <v>0.89209776342493197</v>
      </c>
      <c r="D3373">
        <v>0.93256315064891504</v>
      </c>
      <c r="E3373">
        <v>0.92936557574704604</v>
      </c>
      <c r="F3373">
        <v>0.87781601718281699</v>
      </c>
      <c r="G3373">
        <v>0.64763215032960697</v>
      </c>
      <c r="H3373">
        <v>0.30698629254160098</v>
      </c>
      <c r="I3373">
        <v>0.115453963110731</v>
      </c>
      <c r="J3373">
        <v>5.68379950512342E-2</v>
      </c>
      <c r="K3373">
        <v>5.4264895318922701E-2</v>
      </c>
      <c r="L3373">
        <v>1183.4614669780899</v>
      </c>
      <c r="M3373">
        <v>20.250130582611298</v>
      </c>
      <c r="N3373">
        <v>58.442166618445</v>
      </c>
      <c r="O3373">
        <v>57.881189278805998</v>
      </c>
      <c r="P3373">
        <v>-8.7466923136794605E-2</v>
      </c>
      <c r="Q3373">
        <v>0</v>
      </c>
      <c r="R3373">
        <v>0.98673907508111403</v>
      </c>
      <c r="S3373" t="s">
        <v>8113</v>
      </c>
      <c r="T3373" t="s">
        <v>9478</v>
      </c>
      <c r="U3373" t="s">
        <v>9478</v>
      </c>
      <c r="V3373" t="s">
        <v>9478</v>
      </c>
      <c r="W3373">
        <v>23</v>
      </c>
      <c r="X3373" t="s">
        <v>12851</v>
      </c>
      <c r="Y3373">
        <v>0.62544672657658729</v>
      </c>
      <c r="Z3373" t="str">
        <f>HYPERLINK("Melting_Curves/meltCurve_sp_Q9HA77_SYCM_HUMAN_.pdf", "Melting_Curves/meltCurve_sp_Q9HA77_SYCM_HUMAN_.pdf")</f>
        <v>Melting_Curves/meltCurve_sp_Q9HA77_SYCM_HUMAN_.pdf</v>
      </c>
      <c r="AA3373" t="s">
        <v>17539</v>
      </c>
      <c r="AB3373" t="s">
        <v>22207</v>
      </c>
    </row>
    <row r="3374" spans="1:28" x14ac:dyDescent="0.25">
      <c r="A3374" t="s">
        <v>3378</v>
      </c>
      <c r="B3374">
        <v>0.99904790336628502</v>
      </c>
      <c r="C3374">
        <v>1.0271412095577801</v>
      </c>
      <c r="D3374">
        <v>1.01879564703466</v>
      </c>
      <c r="E3374">
        <v>0.90743200054152495</v>
      </c>
      <c r="F3374">
        <v>0.56764025682497399</v>
      </c>
      <c r="G3374">
        <v>0.138966791180206</v>
      </c>
      <c r="H3374">
        <v>5.7338415794093503E-2</v>
      </c>
      <c r="I3374">
        <v>3.06097784059342E-2</v>
      </c>
      <c r="J3374">
        <v>1.8374236550123799E-2</v>
      </c>
      <c r="K3374">
        <v>1.7368358407929399E-2</v>
      </c>
      <c r="L3374">
        <v>1729.1053180011399</v>
      </c>
      <c r="M3374">
        <v>32.380700858915297</v>
      </c>
      <c r="N3374">
        <v>53.484691276985998</v>
      </c>
      <c r="O3374">
        <v>53.196820831202899</v>
      </c>
      <c r="P3374">
        <v>-0.14833919388726199</v>
      </c>
      <c r="Q3374">
        <v>2.5204987668172099E-2</v>
      </c>
      <c r="R3374">
        <v>0.999114813138409</v>
      </c>
      <c r="S3374" t="s">
        <v>8114</v>
      </c>
      <c r="T3374" t="s">
        <v>9478</v>
      </c>
      <c r="U3374" t="s">
        <v>9478</v>
      </c>
      <c r="V3374" t="s">
        <v>9478</v>
      </c>
      <c r="W3374">
        <v>12</v>
      </c>
      <c r="X3374" t="s">
        <v>12852</v>
      </c>
      <c r="Y3374">
        <v>0.46606147734040709</v>
      </c>
      <c r="Z3374" t="str">
        <f>HYPERLINK("Melting_Curves/meltCurve_sp_Q9HAB8_PPCS_HUMAN_.pdf", "Melting_Curves/meltCurve_sp_Q9HAB8_PPCS_HUMAN_.pdf")</f>
        <v>Melting_Curves/meltCurve_sp_Q9HAB8_PPCS_HUMAN_.pdf</v>
      </c>
      <c r="AA3374" t="s">
        <v>17540</v>
      </c>
      <c r="AB3374" t="s">
        <v>22208</v>
      </c>
    </row>
    <row r="3375" spans="1:28" x14ac:dyDescent="0.25">
      <c r="A3375" t="s">
        <v>3379</v>
      </c>
      <c r="B3375">
        <v>0.99904790336628502</v>
      </c>
      <c r="C3375">
        <v>0.97687374169417995</v>
      </c>
      <c r="D3375">
        <v>1.0316235269644201</v>
      </c>
      <c r="E3375">
        <v>0.77886284941260797</v>
      </c>
      <c r="F3375">
        <v>0.29695532459583401</v>
      </c>
      <c r="G3375">
        <v>9.3548068885400307E-2</v>
      </c>
      <c r="H3375">
        <v>4.60402154058017E-2</v>
      </c>
      <c r="I3375">
        <v>2.5659051277124301E-2</v>
      </c>
      <c r="J3375">
        <v>2.62665222192443E-2</v>
      </c>
      <c r="K3375">
        <v>1.79953182154667E-2</v>
      </c>
      <c r="L3375">
        <v>1911.54445533286</v>
      </c>
      <c r="M3375">
        <v>37.016840348741603</v>
      </c>
      <c r="N3375">
        <v>51.738955322299702</v>
      </c>
      <c r="O3375">
        <v>51.489836392071197</v>
      </c>
      <c r="P3375">
        <v>-0.17357881288122201</v>
      </c>
      <c r="Q3375">
        <v>3.4221120593195598E-2</v>
      </c>
      <c r="R3375">
        <v>0.99801847373159602</v>
      </c>
      <c r="S3375" t="s">
        <v>8115</v>
      </c>
      <c r="T3375" t="s">
        <v>9478</v>
      </c>
      <c r="U3375" t="s">
        <v>9478</v>
      </c>
      <c r="V3375" t="s">
        <v>9478</v>
      </c>
      <c r="W3375">
        <v>6</v>
      </c>
      <c r="X3375" t="s">
        <v>12853</v>
      </c>
      <c r="Y3375">
        <v>0.41296650762279852</v>
      </c>
      <c r="Z3375" t="str">
        <f>HYPERLINK("Melting_Curves/meltCurve_sp_Q9HAC7_4_CG010_HUMAN_.pdf", "Melting_Curves/meltCurve_sp_Q9HAC7_4_CG010_HUMAN_.pdf")</f>
        <v>Melting_Curves/meltCurve_sp_Q9HAC7_4_CG010_HUMAN_.pdf</v>
      </c>
      <c r="AA3375" t="s">
        <v>17541</v>
      </c>
      <c r="AB3375" t="s">
        <v>22209</v>
      </c>
    </row>
    <row r="3376" spans="1:28" x14ac:dyDescent="0.25">
      <c r="A3376" t="s">
        <v>3380</v>
      </c>
      <c r="B3376">
        <v>0.99904790336628502</v>
      </c>
      <c r="C3376">
        <v>0.97669890228659995</v>
      </c>
      <c r="D3376">
        <v>1.0173279714707399</v>
      </c>
      <c r="E3376">
        <v>0.98981722634798197</v>
      </c>
      <c r="F3376">
        <v>0.79751780676294903</v>
      </c>
      <c r="G3376">
        <v>0.84032505259190304</v>
      </c>
      <c r="H3376">
        <v>0.57309289414574205</v>
      </c>
      <c r="I3376">
        <v>0.385300759465317</v>
      </c>
      <c r="J3376">
        <v>9.4105662889423403E-2</v>
      </c>
      <c r="K3376">
        <v>7.8015820511445802E-2</v>
      </c>
      <c r="L3376">
        <v>1155.1352741828</v>
      </c>
      <c r="M3376">
        <v>18.747890883452101</v>
      </c>
      <c r="N3376">
        <v>61.614148158286099</v>
      </c>
      <c r="O3376">
        <v>60.925971274082499</v>
      </c>
      <c r="P3376">
        <v>-7.6932210986267804E-2</v>
      </c>
      <c r="Q3376">
        <v>0</v>
      </c>
      <c r="R3376">
        <v>0.96987470572061396</v>
      </c>
      <c r="S3376" t="s">
        <v>8116</v>
      </c>
      <c r="T3376" t="s">
        <v>9478</v>
      </c>
      <c r="U3376" t="s">
        <v>9478</v>
      </c>
      <c r="V3376" t="s">
        <v>9478</v>
      </c>
      <c r="W3376">
        <v>6</v>
      </c>
      <c r="X3376" t="s">
        <v>12854</v>
      </c>
      <c r="Y3376">
        <v>0.72409778339679853</v>
      </c>
      <c r="Z3376" t="str">
        <f>HYPERLINK("Melting_Curves/meltCurve_sp_Q9HAN9_NMNA1_HUMAN_.pdf", "Melting_Curves/meltCurve_sp_Q9HAN9_NMNA1_HUMAN_.pdf")</f>
        <v>Melting_Curves/meltCurve_sp_Q9HAN9_NMNA1_HUMAN_.pdf</v>
      </c>
      <c r="AA3376" t="s">
        <v>17542</v>
      </c>
      <c r="AB3376" t="s">
        <v>22210</v>
      </c>
    </row>
    <row r="3377" spans="1:28" x14ac:dyDescent="0.25">
      <c r="A3377" t="s">
        <v>3381</v>
      </c>
      <c r="B3377">
        <v>0.99904790336628502</v>
      </c>
      <c r="C3377">
        <v>1.02310712274297</v>
      </c>
      <c r="D3377">
        <v>0.992969416509215</v>
      </c>
      <c r="E3377">
        <v>0.927899429257522</v>
      </c>
      <c r="F3377">
        <v>0.88389385417116795</v>
      </c>
      <c r="G3377">
        <v>0.73835204968609103</v>
      </c>
      <c r="H3377">
        <v>0.468368610514456</v>
      </c>
      <c r="I3377">
        <v>0.28199203002731399</v>
      </c>
      <c r="J3377">
        <v>0.106310380903004</v>
      </c>
      <c r="K3377">
        <v>7.33349336891541E-2</v>
      </c>
      <c r="L3377">
        <v>1037.7332699101</v>
      </c>
      <c r="M3377">
        <v>17.221219794582201</v>
      </c>
      <c r="N3377">
        <v>60.258987614053403</v>
      </c>
      <c r="O3377">
        <v>59.464056160302903</v>
      </c>
      <c r="P3377">
        <v>-7.2406060844020195E-2</v>
      </c>
      <c r="Q3377">
        <v>0</v>
      </c>
      <c r="R3377">
        <v>0.99532756125841404</v>
      </c>
      <c r="S3377" t="s">
        <v>8117</v>
      </c>
      <c r="T3377" t="s">
        <v>9478</v>
      </c>
      <c r="U3377" t="s">
        <v>9478</v>
      </c>
      <c r="V3377" t="s">
        <v>9478</v>
      </c>
      <c r="W3377">
        <v>7</v>
      </c>
      <c r="X3377" t="s">
        <v>12855</v>
      </c>
      <c r="Y3377">
        <v>0.68260552069894287</v>
      </c>
      <c r="Z3377" t="str">
        <f>HYPERLINK("Melting_Curves/meltCurve_sp_Q9HAT2_2_SIAE_HUMAN_.pdf", "Melting_Curves/meltCurve_sp_Q9HAT2_2_SIAE_HUMAN_.pdf")</f>
        <v>Melting_Curves/meltCurve_sp_Q9HAT2_2_SIAE_HUMAN_.pdf</v>
      </c>
      <c r="AA3377" t="s">
        <v>17543</v>
      </c>
      <c r="AB3377" t="s">
        <v>22211</v>
      </c>
    </row>
    <row r="3378" spans="1:28" x14ac:dyDescent="0.25">
      <c r="A3378" t="s">
        <v>3382</v>
      </c>
      <c r="B3378">
        <v>0.99904790336628502</v>
      </c>
      <c r="C3378">
        <v>0.98286336827402798</v>
      </c>
      <c r="D3378">
        <v>0.95325338541291305</v>
      </c>
      <c r="E3378">
        <v>0.85193387315981695</v>
      </c>
      <c r="F3378">
        <v>0.73371573014992097</v>
      </c>
      <c r="G3378">
        <v>0.53993010989517898</v>
      </c>
      <c r="H3378">
        <v>0.42460501390206901</v>
      </c>
      <c r="I3378">
        <v>0.40239807847255199</v>
      </c>
      <c r="J3378">
        <v>0.417938935496177</v>
      </c>
      <c r="K3378">
        <v>0.39715875324064198</v>
      </c>
      <c r="L3378">
        <v>937.294719020652</v>
      </c>
      <c r="M3378">
        <v>17.511940119963899</v>
      </c>
      <c r="N3378">
        <v>58.301241091782401</v>
      </c>
      <c r="O3378">
        <v>52.839860840149399</v>
      </c>
      <c r="P3378">
        <v>-5.1292301952431799E-2</v>
      </c>
      <c r="Q3378">
        <v>0.38096428804421101</v>
      </c>
      <c r="R3378">
        <v>0.99736807825458895</v>
      </c>
      <c r="S3378" t="s">
        <v>8118</v>
      </c>
      <c r="T3378" t="s">
        <v>9478</v>
      </c>
      <c r="U3378" t="s">
        <v>9478</v>
      </c>
      <c r="V3378" t="s">
        <v>9478</v>
      </c>
      <c r="W3378">
        <v>13</v>
      </c>
      <c r="X3378" t="s">
        <v>12856</v>
      </c>
      <c r="Y3378">
        <v>0.67046309189241071</v>
      </c>
      <c r="Z3378" t="str">
        <f>HYPERLINK("Melting_Curves/meltCurve_sp_Q9HAU0_PKHA5_HUMAN_.pdf", "Melting_Curves/meltCurve_sp_Q9HAU0_PKHA5_HUMAN_.pdf")</f>
        <v>Melting_Curves/meltCurve_sp_Q9HAU0_PKHA5_HUMAN_.pdf</v>
      </c>
      <c r="AA3378" t="s">
        <v>17544</v>
      </c>
      <c r="AB3378" t="s">
        <v>22212</v>
      </c>
    </row>
    <row r="3379" spans="1:28" x14ac:dyDescent="0.25">
      <c r="A3379" t="s">
        <v>3383</v>
      </c>
      <c r="B3379">
        <v>0.99904790336628502</v>
      </c>
      <c r="C3379">
        <v>1.07080106601756</v>
      </c>
      <c r="D3379">
        <v>1.1043955684937501</v>
      </c>
      <c r="E3379">
        <v>0.87707345496738798</v>
      </c>
      <c r="F3379">
        <v>0.65646800290242002</v>
      </c>
      <c r="G3379">
        <v>0.288695978758994</v>
      </c>
      <c r="H3379">
        <v>0.192577202289792</v>
      </c>
      <c r="I3379">
        <v>0.107485538386192</v>
      </c>
      <c r="J3379">
        <v>7.3459219356979494E-2</v>
      </c>
      <c r="K3379">
        <v>7.6738706319483194E-2</v>
      </c>
      <c r="L3379">
        <v>1299.9781016627101</v>
      </c>
      <c r="M3379">
        <v>23.999884717072</v>
      </c>
      <c r="N3379">
        <v>54.596187547308098</v>
      </c>
      <c r="O3379">
        <v>53.794145833302203</v>
      </c>
      <c r="P3379">
        <v>-0.101928788770925</v>
      </c>
      <c r="Q3379">
        <v>8.6147892967309694E-2</v>
      </c>
      <c r="R3379">
        <v>0.98720863447485896</v>
      </c>
      <c r="S3379" t="s">
        <v>8119</v>
      </c>
      <c r="T3379" t="s">
        <v>9478</v>
      </c>
      <c r="U3379" t="s">
        <v>9478</v>
      </c>
      <c r="V3379" t="s">
        <v>9478</v>
      </c>
      <c r="W3379">
        <v>10</v>
      </c>
      <c r="X3379" t="s">
        <v>12857</v>
      </c>
      <c r="Y3379">
        <v>0.52677199721017098</v>
      </c>
      <c r="Z3379" t="str">
        <f>HYPERLINK("Melting_Curves/meltCurve_sp_Q9HAU5_RENT2_HUMAN_.pdf", "Melting_Curves/meltCurve_sp_Q9HAU5_RENT2_HUMAN_.pdf")</f>
        <v>Melting_Curves/meltCurve_sp_Q9HAU5_RENT2_HUMAN_.pdf</v>
      </c>
      <c r="AA3379" t="s">
        <v>17545</v>
      </c>
      <c r="AB3379" t="s">
        <v>22213</v>
      </c>
    </row>
    <row r="3380" spans="1:28" x14ac:dyDescent="0.25">
      <c r="A3380" t="s">
        <v>3384</v>
      </c>
      <c r="B3380">
        <v>0.99904790336628502</v>
      </c>
      <c r="C3380">
        <v>0.99837985532099605</v>
      </c>
      <c r="D3380">
        <v>0.96563512844375199</v>
      </c>
      <c r="E3380">
        <v>0.60747888919826698</v>
      </c>
      <c r="F3380">
        <v>0.24441149223230901</v>
      </c>
      <c r="G3380">
        <v>0.15445379788986399</v>
      </c>
      <c r="H3380">
        <v>9.2468098801804899E-2</v>
      </c>
      <c r="I3380">
        <v>6.8262376784905501E-2</v>
      </c>
      <c r="J3380">
        <v>5.1310147085707601E-2</v>
      </c>
      <c r="K3380">
        <v>4.8698888355278497E-2</v>
      </c>
      <c r="L3380">
        <v>1480.9244915039501</v>
      </c>
      <c r="M3380">
        <v>29.309914142738901</v>
      </c>
      <c r="N3380">
        <v>50.796348664206199</v>
      </c>
      <c r="O3380">
        <v>50.292953431212901</v>
      </c>
      <c r="P3380">
        <v>-0.13518955456465501</v>
      </c>
      <c r="Q3380">
        <v>7.2118335863657596E-2</v>
      </c>
      <c r="R3380">
        <v>0.99734425150945405</v>
      </c>
      <c r="S3380" t="s">
        <v>8120</v>
      </c>
      <c r="T3380" t="s">
        <v>9478</v>
      </c>
      <c r="U3380" t="s">
        <v>9478</v>
      </c>
      <c r="V3380" t="s">
        <v>9478</v>
      </c>
      <c r="W3380">
        <v>12</v>
      </c>
      <c r="X3380" t="s">
        <v>12858</v>
      </c>
      <c r="Y3380">
        <v>0.40375964790312202</v>
      </c>
      <c r="Z3380" t="str">
        <f>HYPERLINK("Melting_Curves/meltCurve_sp_Q9HAV4_XPO5_HUMAN_.pdf", "Melting_Curves/meltCurve_sp_Q9HAV4_XPO5_HUMAN_.pdf")</f>
        <v>Melting_Curves/meltCurve_sp_Q9HAV4_XPO5_HUMAN_.pdf</v>
      </c>
      <c r="AA3380" t="s">
        <v>17546</v>
      </c>
      <c r="AB3380" t="s">
        <v>22214</v>
      </c>
    </row>
    <row r="3381" spans="1:28" x14ac:dyDescent="0.25">
      <c r="A3381" t="s">
        <v>3385</v>
      </c>
      <c r="B3381">
        <v>0.99904790336628502</v>
      </c>
      <c r="C3381">
        <v>1.06136602092327</v>
      </c>
      <c r="D3381">
        <v>1.0981861213951201</v>
      </c>
      <c r="E3381">
        <v>1.0482698216345201</v>
      </c>
      <c r="F3381">
        <v>0.80825634629387899</v>
      </c>
      <c r="G3381">
        <v>0.40502435335148901</v>
      </c>
      <c r="H3381">
        <v>0.30984272120116002</v>
      </c>
      <c r="I3381">
        <v>0.28274235371756601</v>
      </c>
      <c r="J3381">
        <v>0.34838634312332101</v>
      </c>
      <c r="K3381">
        <v>0.33205298592522298</v>
      </c>
      <c r="L3381">
        <v>2438.24840884492</v>
      </c>
      <c r="M3381">
        <v>44.964500082773803</v>
      </c>
      <c r="N3381">
        <v>55.487154321139101</v>
      </c>
      <c r="O3381">
        <v>54.119146228880702</v>
      </c>
      <c r="P3381">
        <v>-0.14123356356975</v>
      </c>
      <c r="Q3381">
        <v>0.320047598840625</v>
      </c>
      <c r="R3381">
        <v>0.98253580446187305</v>
      </c>
      <c r="S3381" t="s">
        <v>8121</v>
      </c>
      <c r="T3381" t="s">
        <v>9478</v>
      </c>
      <c r="U3381" t="s">
        <v>9478</v>
      </c>
      <c r="V3381" t="s">
        <v>9478</v>
      </c>
      <c r="W3381">
        <v>17</v>
      </c>
      <c r="X3381" t="s">
        <v>12859</v>
      </c>
      <c r="Y3381">
        <v>0.64449459801207576</v>
      </c>
      <c r="Z3381" t="str">
        <f>HYPERLINK("Melting_Curves/meltCurve_sp_Q9HAV7_GRPE1_HUMAN_.pdf", "Melting_Curves/meltCurve_sp_Q9HAV7_GRPE1_HUMAN_.pdf")</f>
        <v>Melting_Curves/meltCurve_sp_Q9HAV7_GRPE1_HUMAN_.pdf</v>
      </c>
      <c r="AA3381" t="s">
        <v>17547</v>
      </c>
      <c r="AB3381" t="s">
        <v>22215</v>
      </c>
    </row>
    <row r="3382" spans="1:28" x14ac:dyDescent="0.25">
      <c r="A3382" t="s">
        <v>3386</v>
      </c>
      <c r="B3382">
        <v>0.99904790336628502</v>
      </c>
      <c r="C3382">
        <v>0.91238345142558397</v>
      </c>
      <c r="D3382">
        <v>0.90677711499379898</v>
      </c>
      <c r="E3382">
        <v>0.68698333544179302</v>
      </c>
      <c r="F3382">
        <v>0.465047861401991</v>
      </c>
      <c r="G3382">
        <v>0.23481512858499701</v>
      </c>
      <c r="H3382">
        <v>0.120979608332938</v>
      </c>
      <c r="I3382">
        <v>6.8908576951199896E-2</v>
      </c>
      <c r="J3382">
        <v>4.4286121952995403E-2</v>
      </c>
      <c r="K3382">
        <v>2.4980894608628401E-2</v>
      </c>
      <c r="L3382">
        <v>770.31347169343496</v>
      </c>
      <c r="M3382">
        <v>14.6609473214725</v>
      </c>
      <c r="N3382">
        <v>52.550975889734502</v>
      </c>
      <c r="O3382">
        <v>51.5933645032706</v>
      </c>
      <c r="P3382">
        <v>-7.0958661319145494E-2</v>
      </c>
      <c r="Q3382">
        <v>1.26737074621107E-3</v>
      </c>
      <c r="R3382">
        <v>0.99772864603495404</v>
      </c>
      <c r="S3382" t="s">
        <v>8122</v>
      </c>
      <c r="T3382" t="s">
        <v>9478</v>
      </c>
      <c r="U3382" t="s">
        <v>9478</v>
      </c>
      <c r="V3382" t="s">
        <v>9478</v>
      </c>
      <c r="W3382">
        <v>12</v>
      </c>
      <c r="X3382" t="s">
        <v>12860</v>
      </c>
      <c r="Y3382">
        <v>0.44142454681178289</v>
      </c>
      <c r="Z3382" t="str">
        <f>HYPERLINK("Melting_Curves/meltCurve_sp_Q9HB07_MYG1_HUMAN_.pdf", "Melting_Curves/meltCurve_sp_Q9HB07_MYG1_HUMAN_.pdf")</f>
        <v>Melting_Curves/meltCurve_sp_Q9HB07_MYG1_HUMAN_.pdf</v>
      </c>
      <c r="AA3382" t="s">
        <v>17548</v>
      </c>
      <c r="AB3382" t="s">
        <v>22216</v>
      </c>
    </row>
    <row r="3383" spans="1:28" x14ac:dyDescent="0.25">
      <c r="A3383" t="s">
        <v>3387</v>
      </c>
      <c r="B3383">
        <v>0.99904790336628502</v>
      </c>
      <c r="C3383">
        <v>0.84998296064435797</v>
      </c>
      <c r="D3383">
        <v>0.67922666902072604</v>
      </c>
      <c r="E3383">
        <v>0.43737085171407603</v>
      </c>
      <c r="F3383">
        <v>0.29564307485521002</v>
      </c>
      <c r="G3383">
        <v>0.14798941956585099</v>
      </c>
      <c r="H3383">
        <v>0.106306148777255</v>
      </c>
      <c r="I3383">
        <v>6.8019026340112407E-2</v>
      </c>
      <c r="J3383">
        <v>6.2722133675135294E-2</v>
      </c>
      <c r="K3383">
        <v>6.2839699881897401E-2</v>
      </c>
      <c r="L3383">
        <v>652.79477448573698</v>
      </c>
      <c r="M3383">
        <v>13.423649372259099</v>
      </c>
      <c r="N3383">
        <v>48.9447116714</v>
      </c>
      <c r="O3383">
        <v>47.589006368180897</v>
      </c>
      <c r="P3383">
        <v>-6.7615307255721194E-2</v>
      </c>
      <c r="Q3383">
        <v>4.1320712223247097E-2</v>
      </c>
      <c r="R3383">
        <v>0.99695607894523497</v>
      </c>
      <c r="S3383" t="s">
        <v>8123</v>
      </c>
      <c r="T3383" t="s">
        <v>9478</v>
      </c>
      <c r="U3383" t="s">
        <v>9478</v>
      </c>
      <c r="V3383" t="s">
        <v>9478</v>
      </c>
      <c r="W3383">
        <v>2</v>
      </c>
      <c r="X3383" t="s">
        <v>12861</v>
      </c>
      <c r="Y3383">
        <v>0.3466574142647279</v>
      </c>
      <c r="Z3383" t="str">
        <f>HYPERLINK("Melting_Curves/meltCurve_sp_Q9HB40_RISC_HUMAN_.pdf", "Melting_Curves/meltCurve_sp_Q9HB40_RISC_HUMAN_.pdf")</f>
        <v>Melting_Curves/meltCurve_sp_Q9HB40_RISC_HUMAN_.pdf</v>
      </c>
      <c r="AA3383" t="s">
        <v>17549</v>
      </c>
      <c r="AB3383" t="s">
        <v>22217</v>
      </c>
    </row>
    <row r="3384" spans="1:28" x14ac:dyDescent="0.25">
      <c r="A3384" t="s">
        <v>3388</v>
      </c>
      <c r="B3384">
        <v>0.99904790336628502</v>
      </c>
      <c r="C3384">
        <v>1.03484314791805</v>
      </c>
      <c r="D3384">
        <v>1.0408741067496099</v>
      </c>
      <c r="E3384">
        <v>1.0191490945929</v>
      </c>
      <c r="F3384">
        <v>0.94625286806488396</v>
      </c>
      <c r="G3384">
        <v>0.53729820956237195</v>
      </c>
      <c r="H3384">
        <v>0.21130713427978401</v>
      </c>
      <c r="I3384">
        <v>0.135181182219969</v>
      </c>
      <c r="J3384">
        <v>0.10670388819327301</v>
      </c>
      <c r="K3384">
        <v>7.2534136790547099E-2</v>
      </c>
      <c r="L3384">
        <v>1846.76766619002</v>
      </c>
      <c r="M3384">
        <v>32.384360795142896</v>
      </c>
      <c r="N3384">
        <v>57.405701686329202</v>
      </c>
      <c r="O3384">
        <v>56.810397504223197</v>
      </c>
      <c r="P3384">
        <v>-0.128789257068323</v>
      </c>
      <c r="Q3384">
        <v>9.6288019216804299E-2</v>
      </c>
      <c r="R3384">
        <v>0.99688055645611195</v>
      </c>
      <c r="S3384" t="s">
        <v>8124</v>
      </c>
      <c r="T3384" t="s">
        <v>9478</v>
      </c>
      <c r="U3384" t="s">
        <v>9478</v>
      </c>
      <c r="V3384" t="s">
        <v>9478</v>
      </c>
      <c r="W3384">
        <v>10</v>
      </c>
      <c r="X3384" t="s">
        <v>12862</v>
      </c>
      <c r="Y3384">
        <v>0.61443819459164983</v>
      </c>
      <c r="Z3384" t="str">
        <f>HYPERLINK("Melting_Curves/meltCurve_sp_Q9HB71_CYBP_HUMAN_.pdf", "Melting_Curves/meltCurve_sp_Q9HB71_CYBP_HUMAN_.pdf")</f>
        <v>Melting_Curves/meltCurve_sp_Q9HB71_CYBP_HUMAN_.pdf</v>
      </c>
      <c r="AA3384" t="s">
        <v>17550</v>
      </c>
      <c r="AB3384" t="s">
        <v>22218</v>
      </c>
    </row>
    <row r="3385" spans="1:28" x14ac:dyDescent="0.25">
      <c r="A3385" t="s">
        <v>3389</v>
      </c>
      <c r="B3385">
        <v>0.99904790336628502</v>
      </c>
      <c r="C3385">
        <v>1.05176848100458</v>
      </c>
      <c r="D3385">
        <v>0.96013611469145599</v>
      </c>
      <c r="E3385">
        <v>0.90635808766953496</v>
      </c>
      <c r="F3385">
        <v>0.82689965302856805</v>
      </c>
      <c r="G3385">
        <v>0.63899793833858098</v>
      </c>
      <c r="H3385">
        <v>0.34460482508742302</v>
      </c>
      <c r="I3385">
        <v>0.179888806767486</v>
      </c>
      <c r="J3385">
        <v>8.4676590975028193E-2</v>
      </c>
      <c r="K3385">
        <v>9.4737405271273001E-2</v>
      </c>
      <c r="L3385">
        <v>943.03987178847797</v>
      </c>
      <c r="M3385">
        <v>16.116914781513199</v>
      </c>
      <c r="N3385">
        <v>58.512432015283601</v>
      </c>
      <c r="O3385">
        <v>57.633843365383399</v>
      </c>
      <c r="P3385">
        <v>-6.9916126724200695E-2</v>
      </c>
      <c r="Q3385">
        <v>0</v>
      </c>
      <c r="R3385">
        <v>0.99401935423988097</v>
      </c>
      <c r="S3385" t="s">
        <v>8125</v>
      </c>
      <c r="T3385" t="s">
        <v>9478</v>
      </c>
      <c r="U3385" t="s">
        <v>9478</v>
      </c>
      <c r="V3385" t="s">
        <v>9478</v>
      </c>
      <c r="W3385">
        <v>4</v>
      </c>
      <c r="X3385" t="s">
        <v>12863</v>
      </c>
      <c r="Y3385">
        <v>0.62904990142234452</v>
      </c>
      <c r="Z3385" t="str">
        <f>HYPERLINK("Melting_Curves/meltCurve_sp_Q9HB90_RRAGC_HUMAN_.pdf", "Melting_Curves/meltCurve_sp_Q9HB90_RRAGC_HUMAN_.pdf")</f>
        <v>Melting_Curves/meltCurve_sp_Q9HB90_RRAGC_HUMAN_.pdf</v>
      </c>
      <c r="AA3385" t="s">
        <v>17551</v>
      </c>
      <c r="AB3385" t="s">
        <v>22219</v>
      </c>
    </row>
    <row r="3386" spans="1:28" x14ac:dyDescent="0.25">
      <c r="A3386" t="s">
        <v>3390</v>
      </c>
      <c r="B3386">
        <v>0.99904790336628502</v>
      </c>
      <c r="C3386">
        <v>1.0055645895782199</v>
      </c>
      <c r="D3386">
        <v>0.89241183398445401</v>
      </c>
      <c r="E3386">
        <v>0.85316258382708499</v>
      </c>
      <c r="F3386">
        <v>0.81304308358670796</v>
      </c>
      <c r="G3386">
        <v>0.607453661414736</v>
      </c>
      <c r="H3386">
        <v>0.38961485010927799</v>
      </c>
      <c r="I3386">
        <v>0.39571498088693902</v>
      </c>
      <c r="J3386">
        <v>0.31403421211710503</v>
      </c>
      <c r="K3386">
        <v>0.34868737721391002</v>
      </c>
      <c r="L3386">
        <v>758.37082220299999</v>
      </c>
      <c r="M3386">
        <v>13.558621058757099</v>
      </c>
      <c r="N3386">
        <v>59.290667243401302</v>
      </c>
      <c r="O3386">
        <v>54.758102184007299</v>
      </c>
      <c r="P3386">
        <v>-4.53190320895515E-2</v>
      </c>
      <c r="Q3386">
        <v>0.26800466541994999</v>
      </c>
      <c r="R3386">
        <v>0.98035425743649796</v>
      </c>
      <c r="S3386" t="s">
        <v>8126</v>
      </c>
      <c r="T3386" t="s">
        <v>9478</v>
      </c>
      <c r="U3386" t="s">
        <v>9478</v>
      </c>
      <c r="V3386" t="s">
        <v>9478</v>
      </c>
      <c r="W3386">
        <v>2</v>
      </c>
      <c r="X3386" t="s">
        <v>12864</v>
      </c>
      <c r="Y3386">
        <v>0.67088253398454578</v>
      </c>
      <c r="Z3386" t="str">
        <f>HYPERLINK("Melting_Curves/meltCurve_sp_Q9HBB8_2_CDHR5_HUMAN_.pdf", "Melting_Curves/meltCurve_sp_Q9HBB8_2_CDHR5_HUMAN_.pdf")</f>
        <v>Melting_Curves/meltCurve_sp_Q9HBB8_2_CDHR5_HUMAN_.pdf</v>
      </c>
      <c r="AA3386" t="s">
        <v>17552</v>
      </c>
      <c r="AB3386" t="s">
        <v>22220</v>
      </c>
    </row>
    <row r="3387" spans="1:28" x14ac:dyDescent="0.25">
      <c r="A3387" t="s">
        <v>3391</v>
      </c>
      <c r="B3387">
        <v>0.99904790336628502</v>
      </c>
      <c r="C3387">
        <v>1.0784188176443401</v>
      </c>
      <c r="D3387">
        <v>1.09033644516577</v>
      </c>
      <c r="E3387">
        <v>1.0561183494450701</v>
      </c>
      <c r="F3387">
        <v>1.09376595425053</v>
      </c>
      <c r="G3387">
        <v>0.65819469430931998</v>
      </c>
      <c r="H3387">
        <v>0.60564425758569196</v>
      </c>
      <c r="I3387">
        <v>0.59963038405256597</v>
      </c>
      <c r="J3387">
        <v>0.69925747360721602</v>
      </c>
      <c r="K3387">
        <v>0.68949843925736298</v>
      </c>
      <c r="L3387">
        <v>14046.891545824399</v>
      </c>
      <c r="M3387">
        <v>250</v>
      </c>
      <c r="O3387">
        <v>56.183970568227103</v>
      </c>
      <c r="P3387">
        <v>-0.39100634569550002</v>
      </c>
      <c r="Q3387">
        <v>0.64850737621836996</v>
      </c>
      <c r="R3387">
        <v>0.92127946911655201</v>
      </c>
      <c r="S3387" t="s">
        <v>8127</v>
      </c>
      <c r="T3387" t="s">
        <v>9478</v>
      </c>
      <c r="U3387" t="s">
        <v>9478</v>
      </c>
      <c r="V3387" t="s">
        <v>9478</v>
      </c>
      <c r="W3387">
        <v>3</v>
      </c>
      <c r="X3387" t="s">
        <v>12865</v>
      </c>
      <c r="Y3387">
        <v>0.83820237332346881</v>
      </c>
      <c r="Z3387" t="str">
        <f>HYPERLINK("Melting_Curves/meltCurve_sp_Q9HBF4_2_ZFYV1_HUMAN_.pdf", "Melting_Curves/meltCurve_sp_Q9HBF4_2_ZFYV1_HUMAN_.pdf")</f>
        <v>Melting_Curves/meltCurve_sp_Q9HBF4_2_ZFYV1_HUMAN_.pdf</v>
      </c>
      <c r="AA3387" t="s">
        <v>17553</v>
      </c>
      <c r="AB3387" t="s">
        <v>22221</v>
      </c>
    </row>
    <row r="3388" spans="1:28" x14ac:dyDescent="0.25">
      <c r="A3388" t="s">
        <v>3392</v>
      </c>
      <c r="B3388">
        <v>0.99904790336628502</v>
      </c>
      <c r="C3388">
        <v>1.06801064604371</v>
      </c>
      <c r="D3388">
        <v>1.0349123407507701</v>
      </c>
      <c r="E3388">
        <v>0.93264596465192195</v>
      </c>
      <c r="F3388">
        <v>0.82122722230484702</v>
      </c>
      <c r="G3388">
        <v>0.62191301864889004</v>
      </c>
      <c r="H3388">
        <v>0.31486131676786799</v>
      </c>
      <c r="I3388">
        <v>0.15466598488661101</v>
      </c>
      <c r="J3388">
        <v>5.0952149060591798E-2</v>
      </c>
      <c r="K3388">
        <v>2.5900415528007401E-2</v>
      </c>
      <c r="L3388">
        <v>1071.0593131427499</v>
      </c>
      <c r="M3388">
        <v>18.3982272786415</v>
      </c>
      <c r="N3388">
        <v>58.2153553612171</v>
      </c>
      <c r="O3388">
        <v>57.540670722621201</v>
      </c>
      <c r="P3388">
        <v>-7.9939370838077603E-2</v>
      </c>
      <c r="Q3388">
        <v>0</v>
      </c>
      <c r="R3388">
        <v>0.99351595146737104</v>
      </c>
      <c r="S3388" t="s">
        <v>8128</v>
      </c>
      <c r="T3388" t="s">
        <v>9478</v>
      </c>
      <c r="U3388" t="s">
        <v>9478</v>
      </c>
      <c r="V3388" t="s">
        <v>9478</v>
      </c>
      <c r="W3388">
        <v>9</v>
      </c>
      <c r="X3388" t="s">
        <v>12866</v>
      </c>
      <c r="Y3388">
        <v>0.61903115619566484</v>
      </c>
      <c r="Z3388" t="str">
        <f>HYPERLINK("Melting_Curves/meltCurve_sp_Q9HBH1_DEFM_HUMAN_.pdf", "Melting_Curves/meltCurve_sp_Q9HBH1_DEFM_HUMAN_.pdf")</f>
        <v>Melting_Curves/meltCurve_sp_Q9HBH1_DEFM_HUMAN_.pdf</v>
      </c>
      <c r="AA3388" t="s">
        <v>17554</v>
      </c>
      <c r="AB3388" t="s">
        <v>22222</v>
      </c>
    </row>
    <row r="3389" spans="1:28" x14ac:dyDescent="0.25">
      <c r="A3389" t="s">
        <v>3393</v>
      </c>
      <c r="B3389">
        <v>0.99904790336628502</v>
      </c>
      <c r="C3389">
        <v>0.95801415747456797</v>
      </c>
      <c r="D3389">
        <v>0.95834995916103305</v>
      </c>
      <c r="E3389">
        <v>0.64475217793004802</v>
      </c>
      <c r="F3389">
        <v>0.33957718847537799</v>
      </c>
      <c r="G3389">
        <v>0.14503693742735099</v>
      </c>
      <c r="H3389">
        <v>0.10009707024782</v>
      </c>
      <c r="I3389">
        <v>8.7497421197017006E-2</v>
      </c>
      <c r="J3389">
        <v>4.3966504859927501E-2</v>
      </c>
      <c r="K3389">
        <v>5.9545083881947201E-2</v>
      </c>
      <c r="L3389">
        <v>1209.12173063916</v>
      </c>
      <c r="M3389">
        <v>23.672647537008601</v>
      </c>
      <c r="N3389">
        <v>51.380401468223297</v>
      </c>
      <c r="O3389">
        <v>50.716428071197797</v>
      </c>
      <c r="P3389">
        <v>-0.109075442032866</v>
      </c>
      <c r="Q3389">
        <v>6.5279673828818899E-2</v>
      </c>
      <c r="R3389">
        <v>0.99824354393421999</v>
      </c>
      <c r="S3389" t="s">
        <v>8129</v>
      </c>
      <c r="T3389" t="s">
        <v>9478</v>
      </c>
      <c r="U3389" t="s">
        <v>9478</v>
      </c>
      <c r="V3389" t="s">
        <v>9478</v>
      </c>
      <c r="W3389">
        <v>2</v>
      </c>
      <c r="X3389" t="s">
        <v>12867</v>
      </c>
      <c r="Y3389">
        <v>0.41980432967734238</v>
      </c>
      <c r="Z3389" t="str">
        <f>HYPERLINK("Melting_Curves/meltCurve_sp_Q9HBI1_PARVB_HUMAN_.pdf", "Melting_Curves/meltCurve_sp_Q9HBI1_PARVB_HUMAN_.pdf")</f>
        <v>Melting_Curves/meltCurve_sp_Q9HBI1_PARVB_HUMAN_.pdf</v>
      </c>
      <c r="AA3389" t="s">
        <v>17555</v>
      </c>
      <c r="AB3389" t="s">
        <v>22223</v>
      </c>
    </row>
    <row r="3390" spans="1:28" x14ac:dyDescent="0.25">
      <c r="A3390" t="s">
        <v>3394</v>
      </c>
      <c r="B3390">
        <v>0.99904790336628502</v>
      </c>
      <c r="C3390">
        <v>0.95189379423125497</v>
      </c>
      <c r="D3390">
        <v>0.89131398647132398</v>
      </c>
      <c r="E3390">
        <v>0.65040505671678495</v>
      </c>
      <c r="F3390">
        <v>0.33301924175932501</v>
      </c>
      <c r="G3390">
        <v>0.18314267557490499</v>
      </c>
      <c r="H3390">
        <v>0.11457344464281401</v>
      </c>
      <c r="I3390">
        <v>8.1523097864118793E-2</v>
      </c>
      <c r="J3390">
        <v>5.8630421802218398E-2</v>
      </c>
      <c r="K3390">
        <v>5.1525777847324102E-2</v>
      </c>
      <c r="L3390">
        <v>982.95068055689603</v>
      </c>
      <c r="M3390">
        <v>19.259382039306399</v>
      </c>
      <c r="N3390">
        <v>51.367312192605702</v>
      </c>
      <c r="O3390">
        <v>50.496782597917203</v>
      </c>
      <c r="P3390">
        <v>-8.98074405507822E-2</v>
      </c>
      <c r="Q3390">
        <v>5.8159251750520502E-2</v>
      </c>
      <c r="R3390">
        <v>0.99760259716400801</v>
      </c>
      <c r="S3390" t="s">
        <v>8130</v>
      </c>
      <c r="T3390" t="s">
        <v>9478</v>
      </c>
      <c r="U3390" t="s">
        <v>9478</v>
      </c>
      <c r="V3390" t="s">
        <v>9478</v>
      </c>
      <c r="W3390">
        <v>15</v>
      </c>
      <c r="X3390" t="s">
        <v>12868</v>
      </c>
      <c r="Y3390">
        <v>0.41870031347928061</v>
      </c>
      <c r="Z3390" t="str">
        <f>HYPERLINK("Melting_Curves/meltCurve_sp_Q9HBK9_AS3MT_HUMAN_.pdf", "Melting_Curves/meltCurve_sp_Q9HBK9_AS3MT_HUMAN_.pdf")</f>
        <v>Melting_Curves/meltCurve_sp_Q9HBK9_AS3MT_HUMAN_.pdf</v>
      </c>
      <c r="AA3390" t="s">
        <v>17556</v>
      </c>
      <c r="AB3390" t="s">
        <v>22224</v>
      </c>
    </row>
    <row r="3391" spans="1:28" x14ac:dyDescent="0.25">
      <c r="A3391" t="s">
        <v>3395</v>
      </c>
      <c r="B3391">
        <v>0.99904790336628502</v>
      </c>
      <c r="C3391">
        <v>0.85475399867257196</v>
      </c>
      <c r="D3391">
        <v>0.67022938167554602</v>
      </c>
      <c r="E3391">
        <v>0.53185940103683005</v>
      </c>
      <c r="F3391">
        <v>0.46934932470786001</v>
      </c>
      <c r="G3391">
        <v>0.40214398859434303</v>
      </c>
      <c r="H3391">
        <v>0.235208869813649</v>
      </c>
      <c r="I3391">
        <v>5.8908475056771901E-2</v>
      </c>
      <c r="J3391">
        <v>2.9256516007018299E-2</v>
      </c>
      <c r="K3391">
        <v>2.3578328197857001E-2</v>
      </c>
      <c r="L3391">
        <v>474.74633643293402</v>
      </c>
      <c r="M3391">
        <v>9.2363271404482408</v>
      </c>
      <c r="N3391">
        <v>51.399894474964903</v>
      </c>
      <c r="O3391">
        <v>49.162736113376397</v>
      </c>
      <c r="P3391">
        <v>-4.6999050855280701E-2</v>
      </c>
      <c r="Q3391">
        <v>0</v>
      </c>
      <c r="R3391">
        <v>0.95969676650174496</v>
      </c>
      <c r="S3391" t="s">
        <v>8131</v>
      </c>
      <c r="T3391" t="s">
        <v>9478</v>
      </c>
      <c r="U3391" t="s">
        <v>9478</v>
      </c>
      <c r="V3391" t="s">
        <v>9478</v>
      </c>
      <c r="W3391">
        <v>14</v>
      </c>
      <c r="X3391" t="s">
        <v>12869</v>
      </c>
      <c r="Y3391">
        <v>0.42393752497231441</v>
      </c>
      <c r="Z3391" t="str">
        <f>HYPERLINK("Melting_Curves/meltCurve_sp_Q9HBL8_NMRL1_HUMAN_.pdf", "Melting_Curves/meltCurve_sp_Q9HBL8_NMRL1_HUMAN_.pdf")</f>
        <v>Melting_Curves/meltCurve_sp_Q9HBL8_NMRL1_HUMAN_.pdf</v>
      </c>
      <c r="AA3391" t="s">
        <v>17557</v>
      </c>
      <c r="AB3391" t="s">
        <v>22225</v>
      </c>
    </row>
    <row r="3392" spans="1:28" x14ac:dyDescent="0.25">
      <c r="A3392" t="s">
        <v>3396</v>
      </c>
      <c r="B3392">
        <v>0.99904790336628502</v>
      </c>
      <c r="C3392">
        <v>1.0230700684298999</v>
      </c>
      <c r="D3392">
        <v>1.0160989558729201</v>
      </c>
      <c r="E3392">
        <v>0.67920584356939895</v>
      </c>
      <c r="F3392">
        <v>0.34475984509274998</v>
      </c>
      <c r="G3392">
        <v>0.19239966042508799</v>
      </c>
      <c r="H3392">
        <v>0.13197978656290901</v>
      </c>
      <c r="I3392">
        <v>0.122928058224732</v>
      </c>
      <c r="J3392">
        <v>0.118022794147461</v>
      </c>
      <c r="K3392">
        <v>0.110863394800731</v>
      </c>
      <c r="L3392">
        <v>1522.26229457097</v>
      </c>
      <c r="M3392">
        <v>29.826281840409202</v>
      </c>
      <c r="N3392">
        <v>51.535878043747303</v>
      </c>
      <c r="O3392">
        <v>50.809836441515898</v>
      </c>
      <c r="P3392">
        <v>-0.128373097901817</v>
      </c>
      <c r="Q3392">
        <v>0.125258368553299</v>
      </c>
      <c r="R3392">
        <v>0.99706038925875695</v>
      </c>
      <c r="S3392" t="s">
        <v>8132</v>
      </c>
      <c r="T3392" t="s">
        <v>9478</v>
      </c>
      <c r="U3392" t="s">
        <v>9478</v>
      </c>
      <c r="V3392" t="s">
        <v>9478</v>
      </c>
      <c r="W3392">
        <v>40</v>
      </c>
      <c r="X3392" t="s">
        <v>12870</v>
      </c>
      <c r="Y3392">
        <v>0.45266138501546371</v>
      </c>
      <c r="Z3392" t="str">
        <f>HYPERLINK("Melting_Curves/meltCurve_sp_Q9HC35_EMAL4_HUMAN_.pdf", "Melting_Curves/meltCurve_sp_Q9HC35_EMAL4_HUMAN_.pdf")</f>
        <v>Melting_Curves/meltCurve_sp_Q9HC35_EMAL4_HUMAN_.pdf</v>
      </c>
      <c r="AA3392" t="s">
        <v>17558</v>
      </c>
      <c r="AB3392" t="s">
        <v>22226</v>
      </c>
    </row>
    <row r="3393" spans="1:28" x14ac:dyDescent="0.25">
      <c r="A3393" t="s">
        <v>3397</v>
      </c>
      <c r="B3393">
        <v>0.99904790336628502</v>
      </c>
      <c r="C3393">
        <v>1.02096927143594</v>
      </c>
      <c r="D3393">
        <v>0.99993495085429995</v>
      </c>
      <c r="E3393">
        <v>0.99355063945909206</v>
      </c>
      <c r="F3393">
        <v>0.71219005437320304</v>
      </c>
      <c r="G3393">
        <v>0.186469478541339</v>
      </c>
      <c r="H3393">
        <v>8.17074874283851E-2</v>
      </c>
      <c r="I3393">
        <v>5.26262346150125E-2</v>
      </c>
      <c r="J3393">
        <v>4.4422284631859599E-2</v>
      </c>
      <c r="K3393">
        <v>3.6695415484018799E-2</v>
      </c>
      <c r="L3393">
        <v>2042.7226883631199</v>
      </c>
      <c r="M3393">
        <v>37.660437185544097</v>
      </c>
      <c r="N3393">
        <v>54.392048018662798</v>
      </c>
      <c r="O3393">
        <v>54.088289356316203</v>
      </c>
      <c r="P3393">
        <v>-0.16540246021386701</v>
      </c>
      <c r="Q3393">
        <v>4.9791964071721498E-2</v>
      </c>
      <c r="R3393">
        <v>0.99895795081094796</v>
      </c>
      <c r="S3393" t="s">
        <v>8133</v>
      </c>
      <c r="T3393" t="s">
        <v>9478</v>
      </c>
      <c r="U3393" t="s">
        <v>9478</v>
      </c>
      <c r="V3393" t="s">
        <v>9478</v>
      </c>
      <c r="W3393">
        <v>23</v>
      </c>
      <c r="X3393" t="s">
        <v>12871</v>
      </c>
      <c r="Y3393">
        <v>0.50484910566295316</v>
      </c>
      <c r="Z3393" t="str">
        <f>HYPERLINK("Melting_Curves/meltCurve_sp_Q9HC38_2_GLOD4_HUMAN_.pdf", "Melting_Curves/meltCurve_sp_Q9HC38_2_GLOD4_HUMAN_.pdf")</f>
        <v>Melting_Curves/meltCurve_sp_Q9HC38_2_GLOD4_HUMAN_.pdf</v>
      </c>
      <c r="AA3393" t="s">
        <v>17559</v>
      </c>
      <c r="AB3393" t="s">
        <v>22227</v>
      </c>
    </row>
    <row r="3394" spans="1:28" x14ac:dyDescent="0.25">
      <c r="A3394" t="s">
        <v>3398</v>
      </c>
      <c r="B3394">
        <v>0.99904790336628502</v>
      </c>
      <c r="C3394">
        <v>0.96094297967227504</v>
      </c>
      <c r="D3394">
        <v>1.0136219846157799</v>
      </c>
      <c r="E3394">
        <v>0.99541894124663999</v>
      </c>
      <c r="F3394">
        <v>0.86810800639107499</v>
      </c>
      <c r="G3394">
        <v>0.47539352449188099</v>
      </c>
      <c r="H3394">
        <v>0.36416730969038102</v>
      </c>
      <c r="I3394">
        <v>0.29829801511385101</v>
      </c>
      <c r="J3394">
        <v>0.322060811440258</v>
      </c>
      <c r="K3394">
        <v>0.27985006796961798</v>
      </c>
      <c r="L3394">
        <v>1893.9508699047601</v>
      </c>
      <c r="M3394">
        <v>34.292898526864697</v>
      </c>
      <c r="N3394">
        <v>56.794921955212203</v>
      </c>
      <c r="O3394">
        <v>55.041886102629697</v>
      </c>
      <c r="P3394">
        <v>-0.108128023077802</v>
      </c>
      <c r="Q3394">
        <v>0.30579848880288402</v>
      </c>
      <c r="R3394">
        <v>0.99584537078868696</v>
      </c>
      <c r="S3394" t="s">
        <v>8134</v>
      </c>
      <c r="T3394" t="s">
        <v>9478</v>
      </c>
      <c r="U3394" t="s">
        <v>9478</v>
      </c>
      <c r="V3394" t="s">
        <v>9478</v>
      </c>
      <c r="W3394">
        <v>2</v>
      </c>
      <c r="X3394" t="s">
        <v>12872</v>
      </c>
      <c r="Y3394">
        <v>0.66176219803239456</v>
      </c>
      <c r="Z3394" t="str">
        <f>HYPERLINK("Melting_Curves/meltCurve_sp_Q9HC52_CBX8_HUMAN_.pdf", "Melting_Curves/meltCurve_sp_Q9HC52_CBX8_HUMAN_.pdf")</f>
        <v>Melting_Curves/meltCurve_sp_Q9HC52_CBX8_HUMAN_.pdf</v>
      </c>
      <c r="AA3394" t="s">
        <v>17560</v>
      </c>
      <c r="AB3394" t="s">
        <v>22228</v>
      </c>
    </row>
    <row r="3395" spans="1:28" x14ac:dyDescent="0.25">
      <c r="A3395" t="s">
        <v>3399</v>
      </c>
      <c r="B3395">
        <v>0.99904790336628502</v>
      </c>
      <c r="C3395">
        <v>1.0288625478505</v>
      </c>
      <c r="D3395">
        <v>0.95691613948071197</v>
      </c>
      <c r="E3395">
        <v>0.84938205446123305</v>
      </c>
      <c r="F3395">
        <v>0.85328358993376696</v>
      </c>
      <c r="G3395">
        <v>0.57691348142024002</v>
      </c>
      <c r="H3395">
        <v>0.53476599345294695</v>
      </c>
      <c r="I3395">
        <v>0.43443993047809498</v>
      </c>
      <c r="J3395">
        <v>0.50445335270839997</v>
      </c>
      <c r="K3395">
        <v>0.60566405331202999</v>
      </c>
      <c r="L3395">
        <v>1188.0910846690599</v>
      </c>
      <c r="M3395">
        <v>22.168138054996099</v>
      </c>
      <c r="O3395">
        <v>53.164144694415597</v>
      </c>
      <c r="P3395">
        <v>-5.1566897591389597E-2</v>
      </c>
      <c r="Q3395">
        <v>0.50533514333453999</v>
      </c>
      <c r="R3395">
        <v>0.93670185281969798</v>
      </c>
      <c r="S3395" t="s">
        <v>8135</v>
      </c>
      <c r="T3395" t="s">
        <v>9478</v>
      </c>
      <c r="U3395" t="s">
        <v>9478</v>
      </c>
      <c r="V3395" t="s">
        <v>9478</v>
      </c>
      <c r="W3395">
        <v>1</v>
      </c>
      <c r="X3395" t="s">
        <v>12873</v>
      </c>
      <c r="Y3395">
        <v>0.73516796064628587</v>
      </c>
      <c r="Z3395" t="str">
        <f>HYPERLINK("Melting_Curves/meltCurve_sp_Q9HC78_2_ZBT20_HUMAN_.pdf", "Melting_Curves/meltCurve_sp_Q9HC78_2_ZBT20_HUMAN_.pdf")</f>
        <v>Melting_Curves/meltCurve_sp_Q9HC78_2_ZBT20_HUMAN_.pdf</v>
      </c>
      <c r="AA3395" t="s">
        <v>17561</v>
      </c>
      <c r="AB3395" t="s">
        <v>22229</v>
      </c>
    </row>
    <row r="3396" spans="1:28" x14ac:dyDescent="0.25">
      <c r="A3396" t="s">
        <v>3400</v>
      </c>
      <c r="B3396">
        <v>0.99904790336628502</v>
      </c>
      <c r="C3396">
        <v>0.94329613043462002</v>
      </c>
      <c r="D3396">
        <v>0.81237827303610799</v>
      </c>
      <c r="E3396">
        <v>0.73186443258966905</v>
      </c>
      <c r="F3396">
        <v>0.63834835996045602</v>
      </c>
      <c r="G3396">
        <v>0.52078366704721202</v>
      </c>
      <c r="H3396">
        <v>0.42525946115796498</v>
      </c>
      <c r="I3396">
        <v>0.41797712103715801</v>
      </c>
      <c r="J3396">
        <v>0.18400846999071599</v>
      </c>
      <c r="K3396">
        <v>4.5848278898982603E-2</v>
      </c>
      <c r="L3396">
        <v>455.26322758133398</v>
      </c>
      <c r="M3396">
        <v>7.9781825917294098</v>
      </c>
      <c r="N3396">
        <v>57.063506700329697</v>
      </c>
      <c r="O3396">
        <v>53.812972028866803</v>
      </c>
      <c r="P3396">
        <v>-3.7106766358585203E-2</v>
      </c>
      <c r="Q3396">
        <v>0</v>
      </c>
      <c r="R3396">
        <v>0.94870072561705698</v>
      </c>
      <c r="S3396" t="s">
        <v>8136</v>
      </c>
      <c r="T3396" t="s">
        <v>9478</v>
      </c>
      <c r="U3396" t="s">
        <v>9478</v>
      </c>
      <c r="V3396" t="s">
        <v>9478</v>
      </c>
      <c r="W3396">
        <v>26</v>
      </c>
      <c r="X3396" t="s">
        <v>12874</v>
      </c>
      <c r="Y3396">
        <v>0.58018384283029956</v>
      </c>
      <c r="Z3396" t="str">
        <f>HYPERLINK("Melting_Curves/meltCurve_sp_Q9HCC0_MCCB_HUMAN_.pdf", "Melting_Curves/meltCurve_sp_Q9HCC0_MCCB_HUMAN_.pdf")</f>
        <v>Melting_Curves/meltCurve_sp_Q9HCC0_MCCB_HUMAN_.pdf</v>
      </c>
      <c r="AA3396" t="s">
        <v>17562</v>
      </c>
      <c r="AB3396" t="s">
        <v>22230</v>
      </c>
    </row>
    <row r="3397" spans="1:28" x14ac:dyDescent="0.25">
      <c r="A3397" t="s">
        <v>3401</v>
      </c>
      <c r="B3397">
        <v>0.99904790336628502</v>
      </c>
      <c r="C3397">
        <v>0.92593916346995098</v>
      </c>
      <c r="D3397">
        <v>1.0380526065222699</v>
      </c>
      <c r="E3397">
        <v>1.0402673541374701</v>
      </c>
      <c r="F3397">
        <v>1.0214106952630599</v>
      </c>
      <c r="G3397">
        <v>0.47145410781897801</v>
      </c>
      <c r="H3397">
        <v>2.72107359260121E-2</v>
      </c>
      <c r="I3397">
        <v>7.2841201318250498E-3</v>
      </c>
      <c r="J3397">
        <v>0</v>
      </c>
      <c r="K3397">
        <v>0</v>
      </c>
      <c r="L3397">
        <v>4717.0713916926397</v>
      </c>
      <c r="M3397">
        <v>82.884318745386295</v>
      </c>
      <c r="N3397">
        <v>56.922015849918502</v>
      </c>
      <c r="O3397">
        <v>56.878378343410297</v>
      </c>
      <c r="P3397">
        <v>-0.36154385571095599</v>
      </c>
      <c r="Q3397">
        <v>7.5790290160985202E-3</v>
      </c>
      <c r="R3397">
        <v>0.99573572827385903</v>
      </c>
      <c r="S3397" t="s">
        <v>8137</v>
      </c>
      <c r="T3397" t="s">
        <v>9478</v>
      </c>
      <c r="U3397" t="s">
        <v>9478</v>
      </c>
      <c r="V3397" t="s">
        <v>9478</v>
      </c>
      <c r="W3397">
        <v>1</v>
      </c>
      <c r="X3397" t="s">
        <v>12875</v>
      </c>
      <c r="Y3397">
        <v>0.56792686834489459</v>
      </c>
      <c r="Z3397" t="str">
        <f>HYPERLINK("Melting_Curves/meltCurve_sp_Q9HCC9_5_LST2_HUMAN_.pdf", "Melting_Curves/meltCurve_sp_Q9HCC9_5_LST2_HUMAN_.pdf")</f>
        <v>Melting_Curves/meltCurve_sp_Q9HCC9_5_LST2_HUMAN_.pdf</v>
      </c>
      <c r="AA3397" t="s">
        <v>17563</v>
      </c>
      <c r="AB3397" t="s">
        <v>22231</v>
      </c>
    </row>
    <row r="3398" spans="1:28" x14ac:dyDescent="0.25">
      <c r="A3398" t="s">
        <v>3402</v>
      </c>
      <c r="B3398">
        <v>0.99904790336628502</v>
      </c>
      <c r="C3398">
        <v>1.0725567874911699</v>
      </c>
      <c r="D3398">
        <v>1.04011443656688</v>
      </c>
      <c r="E3398">
        <v>0.92304244022912496</v>
      </c>
      <c r="F3398">
        <v>0.82613567325895298</v>
      </c>
      <c r="G3398">
        <v>0.501573554218254</v>
      </c>
      <c r="H3398">
        <v>0.13152234612403299</v>
      </c>
      <c r="I3398">
        <v>7.1194937811598094E-2</v>
      </c>
      <c r="J3398">
        <v>6.0756555642212398E-2</v>
      </c>
      <c r="K3398">
        <v>5.4346200699632002E-2</v>
      </c>
      <c r="L3398">
        <v>1373.51143123627</v>
      </c>
      <c r="M3398">
        <v>24.283837657242501</v>
      </c>
      <c r="N3398">
        <v>56.693779998106599</v>
      </c>
      <c r="O3398">
        <v>56.181349408817397</v>
      </c>
      <c r="P3398">
        <v>-0.105068420400484</v>
      </c>
      <c r="Q3398">
        <v>2.7699529335635902E-2</v>
      </c>
      <c r="R3398">
        <v>0.99338235512536499</v>
      </c>
      <c r="S3398" t="s">
        <v>8138</v>
      </c>
      <c r="T3398" t="s">
        <v>9478</v>
      </c>
      <c r="U3398" t="s">
        <v>9478</v>
      </c>
      <c r="V3398" t="s">
        <v>9478</v>
      </c>
      <c r="W3398">
        <v>12</v>
      </c>
      <c r="X3398" t="s">
        <v>12876</v>
      </c>
      <c r="Y3398">
        <v>0.57369511120581296</v>
      </c>
      <c r="Z3398" t="str">
        <f>HYPERLINK("Melting_Curves/meltCurve_sp_Q9HCE1_MOV10_HUMAN_.pdf", "Melting_Curves/meltCurve_sp_Q9HCE1_MOV10_HUMAN_.pdf")</f>
        <v>Melting_Curves/meltCurve_sp_Q9HCE1_MOV10_HUMAN_.pdf</v>
      </c>
      <c r="AA3398" t="s">
        <v>17564</v>
      </c>
      <c r="AB3398" t="s">
        <v>22232</v>
      </c>
    </row>
    <row r="3399" spans="1:28" x14ac:dyDescent="0.25">
      <c r="A3399" t="s">
        <v>3403</v>
      </c>
      <c r="B3399">
        <v>0.99904790336628502</v>
      </c>
      <c r="C3399">
        <v>1.0132104591751601</v>
      </c>
      <c r="D3399">
        <v>1.0706360344519401</v>
      </c>
      <c r="E3399">
        <v>0.94871075649674097</v>
      </c>
      <c r="F3399">
        <v>0.53107470315810201</v>
      </c>
      <c r="G3399">
        <v>0.14236324472418699</v>
      </c>
      <c r="H3399">
        <v>8.5813450197408506E-2</v>
      </c>
      <c r="I3399">
        <v>5.99084198754865E-2</v>
      </c>
      <c r="J3399">
        <v>5.6815453127652703E-2</v>
      </c>
      <c r="K3399">
        <v>3.5811536626943197E-2</v>
      </c>
      <c r="L3399">
        <v>2156.32430013151</v>
      </c>
      <c r="M3399">
        <v>40.635285942175003</v>
      </c>
      <c r="N3399">
        <v>53.2421065093205</v>
      </c>
      <c r="O3399">
        <v>52.9372853278566</v>
      </c>
      <c r="P3399">
        <v>-0.17979126161808101</v>
      </c>
      <c r="Q3399">
        <v>6.3115460685469402E-2</v>
      </c>
      <c r="R3399">
        <v>0.99599665593831099</v>
      </c>
      <c r="S3399" t="s">
        <v>8139</v>
      </c>
      <c r="T3399" t="s">
        <v>9478</v>
      </c>
      <c r="U3399" t="s">
        <v>9478</v>
      </c>
      <c r="V3399" t="s">
        <v>9478</v>
      </c>
      <c r="W3399">
        <v>7</v>
      </c>
      <c r="X3399" t="s">
        <v>12877</v>
      </c>
      <c r="Y3399">
        <v>0.47446444616672467</v>
      </c>
      <c r="Z3399" t="str">
        <f>HYPERLINK("Melting_Curves/meltCurve_sp_Q9HCE5_MET14_HUMAN_.pdf", "Melting_Curves/meltCurve_sp_Q9HCE5_MET14_HUMAN_.pdf")</f>
        <v>Melting_Curves/meltCurve_sp_Q9HCE5_MET14_HUMAN_.pdf</v>
      </c>
      <c r="AA3399" t="s">
        <v>17565</v>
      </c>
      <c r="AB3399" t="s">
        <v>22233</v>
      </c>
    </row>
    <row r="3400" spans="1:28" x14ac:dyDescent="0.25">
      <c r="A3400" t="s">
        <v>3404</v>
      </c>
      <c r="B3400">
        <v>0.99904790336628502</v>
      </c>
      <c r="C3400">
        <v>1.00411948687951</v>
      </c>
      <c r="D3400">
        <v>0.91606859698540499</v>
      </c>
      <c r="E3400">
        <v>0.65581725775208999</v>
      </c>
      <c r="F3400">
        <v>0.41798200052101397</v>
      </c>
      <c r="G3400">
        <v>0.220883745029687</v>
      </c>
      <c r="H3400">
        <v>0.15378022835104399</v>
      </c>
      <c r="I3400">
        <v>0.12186636355521401</v>
      </c>
      <c r="J3400">
        <v>0.12985054824745401</v>
      </c>
      <c r="K3400">
        <v>9.9907622415329203E-2</v>
      </c>
      <c r="L3400">
        <v>1005.56105977604</v>
      </c>
      <c r="M3400">
        <v>19.617892380813601</v>
      </c>
      <c r="N3400">
        <v>51.9129519634687</v>
      </c>
      <c r="O3400">
        <v>50.733655524075601</v>
      </c>
      <c r="P3400">
        <v>-8.6066884780789499E-2</v>
      </c>
      <c r="Q3400">
        <v>0.109724058859955</v>
      </c>
      <c r="R3400">
        <v>0.99923921428308904</v>
      </c>
      <c r="S3400" t="s">
        <v>8140</v>
      </c>
      <c r="T3400" t="s">
        <v>9478</v>
      </c>
      <c r="U3400" t="s">
        <v>9478</v>
      </c>
      <c r="V3400" t="s">
        <v>9478</v>
      </c>
      <c r="W3400">
        <v>12</v>
      </c>
      <c r="X3400" t="s">
        <v>12878</v>
      </c>
      <c r="Y3400">
        <v>0.45659343889128551</v>
      </c>
      <c r="Z3400" t="str">
        <f>HYPERLINK("Melting_Curves/meltCurve_sp_Q9HCE6_3_ARGAL_HUMAN_.pdf", "Melting_Curves/meltCurve_sp_Q9HCE6_3_ARGAL_HUMAN_.pdf")</f>
        <v>Melting_Curves/meltCurve_sp_Q9HCE6_3_ARGAL_HUMAN_.pdf</v>
      </c>
      <c r="AA3400" t="s">
        <v>17566</v>
      </c>
      <c r="AB3400" t="s">
        <v>22234</v>
      </c>
    </row>
    <row r="3401" spans="1:28" x14ac:dyDescent="0.25">
      <c r="A3401" t="s">
        <v>3405</v>
      </c>
      <c r="B3401">
        <v>0.99904790336628502</v>
      </c>
      <c r="C3401">
        <v>0.90519377408165302</v>
      </c>
      <c r="D3401">
        <v>0.98837007610309602</v>
      </c>
      <c r="E3401">
        <v>0.77371589321362599</v>
      </c>
      <c r="F3401">
        <v>0.75932365251658995</v>
      </c>
      <c r="G3401">
        <v>0.54242059902687401</v>
      </c>
      <c r="H3401">
        <v>0.49816513510743299</v>
      </c>
      <c r="I3401">
        <v>0.43115560174010198</v>
      </c>
      <c r="J3401">
        <v>0.43864042333926301</v>
      </c>
      <c r="K3401">
        <v>0.40383204577260401</v>
      </c>
      <c r="L3401">
        <v>679.33859195754599</v>
      </c>
      <c r="M3401">
        <v>12.6818923070601</v>
      </c>
      <c r="N3401">
        <v>60.210527024192103</v>
      </c>
      <c r="O3401">
        <v>52.288052150855897</v>
      </c>
      <c r="P3401">
        <v>-3.7807108883201102E-2</v>
      </c>
      <c r="Q3401">
        <v>0.37659924927412702</v>
      </c>
      <c r="R3401">
        <v>0.97159140604921801</v>
      </c>
      <c r="S3401" t="s">
        <v>8141</v>
      </c>
      <c r="T3401" t="s">
        <v>9478</v>
      </c>
      <c r="U3401" t="s">
        <v>9478</v>
      </c>
      <c r="V3401" t="s">
        <v>9478</v>
      </c>
      <c r="W3401">
        <v>3</v>
      </c>
      <c r="X3401" t="s">
        <v>12879</v>
      </c>
      <c r="Y3401">
        <v>0.67451845198485871</v>
      </c>
      <c r="Z3401" t="str">
        <f>HYPERLINK("Melting_Curves/meltCurve_sp_Q9HCM4_2_E41L5_HUMAN_.pdf", "Melting_Curves/meltCurve_sp_Q9HCM4_2_E41L5_HUMAN_.pdf")</f>
        <v>Melting_Curves/meltCurve_sp_Q9HCM4_2_E41L5_HUMAN_.pdf</v>
      </c>
      <c r="AA3401" t="s">
        <v>17567</v>
      </c>
      <c r="AB3401" t="s">
        <v>22235</v>
      </c>
    </row>
    <row r="3402" spans="1:28" x14ac:dyDescent="0.25">
      <c r="A3402" t="s">
        <v>3406</v>
      </c>
      <c r="B3402">
        <v>0.99904790336628502</v>
      </c>
      <c r="C3402">
        <v>1.20032883933222</v>
      </c>
      <c r="D3402">
        <v>1.06658668634919</v>
      </c>
      <c r="E3402">
        <v>1.00376442986656</v>
      </c>
      <c r="F3402">
        <v>0.94541577035261903</v>
      </c>
      <c r="G3402">
        <v>0.29063594477306398</v>
      </c>
      <c r="H3402">
        <v>6.2890942271506697E-2</v>
      </c>
      <c r="I3402">
        <v>0.164820479251029</v>
      </c>
      <c r="J3402">
        <v>7.42739445923081E-2</v>
      </c>
      <c r="K3402">
        <v>8.4558972851649303E-2</v>
      </c>
      <c r="L3402">
        <v>3119.6483450416899</v>
      </c>
      <c r="M3402">
        <v>56.0375210921868</v>
      </c>
      <c r="N3402">
        <v>55.881598030922497</v>
      </c>
      <c r="O3402">
        <v>55.5999424773184</v>
      </c>
      <c r="P3402">
        <v>-0.227953170454891</v>
      </c>
      <c r="Q3402">
        <v>9.5307853449860702E-2</v>
      </c>
      <c r="R3402">
        <v>0.975888891266257</v>
      </c>
      <c r="S3402" t="s">
        <v>8142</v>
      </c>
      <c r="T3402" t="s">
        <v>9478</v>
      </c>
      <c r="U3402" t="s">
        <v>9478</v>
      </c>
      <c r="V3402" t="s">
        <v>9478</v>
      </c>
      <c r="W3402">
        <v>3</v>
      </c>
      <c r="X3402" t="s">
        <v>12880</v>
      </c>
      <c r="Y3402">
        <v>0.5696461418636436</v>
      </c>
      <c r="Z3402" t="str">
        <f>HYPERLINK("Melting_Curves/meltCurve_sp_Q9HCN4_3_GPN1_HUMAN_.pdf", "Melting_Curves/meltCurve_sp_Q9HCN4_3_GPN1_HUMAN_.pdf")</f>
        <v>Melting_Curves/meltCurve_sp_Q9HCN4_3_GPN1_HUMAN_.pdf</v>
      </c>
      <c r="AA3402" t="s">
        <v>17568</v>
      </c>
      <c r="AB3402" t="s">
        <v>22236</v>
      </c>
    </row>
    <row r="3403" spans="1:28" x14ac:dyDescent="0.25">
      <c r="A3403" t="s">
        <v>3407</v>
      </c>
      <c r="B3403">
        <v>0.99904790336628502</v>
      </c>
      <c r="C3403">
        <v>1.0452718211977201</v>
      </c>
      <c r="D3403">
        <v>1.06280796016581</v>
      </c>
      <c r="E3403">
        <v>0.88042838693604997</v>
      </c>
      <c r="F3403">
        <v>0.84590597159318304</v>
      </c>
      <c r="G3403">
        <v>0.57029270282818301</v>
      </c>
      <c r="H3403">
        <v>0.48349704696611201</v>
      </c>
      <c r="I3403">
        <v>0.42696756580656697</v>
      </c>
      <c r="J3403">
        <v>0.47551021872142601</v>
      </c>
      <c r="K3403">
        <v>0.43471686273297999</v>
      </c>
      <c r="L3403">
        <v>1305.0794960825499</v>
      </c>
      <c r="M3403">
        <v>23.936765478802201</v>
      </c>
      <c r="N3403">
        <v>59.711356223651997</v>
      </c>
      <c r="O3403">
        <v>54.145711561747198</v>
      </c>
      <c r="P3403">
        <v>-6.2162717072347301E-2</v>
      </c>
      <c r="Q3403">
        <v>0.43755299292848499</v>
      </c>
      <c r="R3403">
        <v>0.97862366838124204</v>
      </c>
      <c r="S3403" t="s">
        <v>8143</v>
      </c>
      <c r="T3403" t="s">
        <v>9478</v>
      </c>
      <c r="U3403" t="s">
        <v>9478</v>
      </c>
      <c r="V3403" t="s">
        <v>9478</v>
      </c>
      <c r="W3403">
        <v>4</v>
      </c>
      <c r="X3403" t="s">
        <v>12881</v>
      </c>
      <c r="Y3403">
        <v>0.71543831500723742</v>
      </c>
      <c r="Z3403" t="str">
        <f>HYPERLINK("Melting_Curves/meltCurve_sp_Q9HCN8_SDF2L_HUMAN_.pdf", "Melting_Curves/meltCurve_sp_Q9HCN8_SDF2L_HUMAN_.pdf")</f>
        <v>Melting_Curves/meltCurve_sp_Q9HCN8_SDF2L_HUMAN_.pdf</v>
      </c>
      <c r="AA3403" t="s">
        <v>17569</v>
      </c>
      <c r="AB3403" t="s">
        <v>22237</v>
      </c>
    </row>
    <row r="3404" spans="1:28" x14ac:dyDescent="0.25">
      <c r="A3404" t="s">
        <v>3408</v>
      </c>
      <c r="B3404">
        <v>0.99904790336628502</v>
      </c>
      <c r="C3404">
        <v>1.1842855632611899</v>
      </c>
      <c r="D3404">
        <v>1.33312402015513</v>
      </c>
      <c r="E3404">
        <v>0.94665452951266305</v>
      </c>
      <c r="F3404">
        <v>0.44474323919122599</v>
      </c>
      <c r="G3404">
        <v>0.13258606400084899</v>
      </c>
      <c r="H3404">
        <v>7.0488381894858801E-2</v>
      </c>
      <c r="I3404">
        <v>3.3196881279114202E-2</v>
      </c>
      <c r="J3404">
        <v>2.9701451475182501E-2</v>
      </c>
      <c r="K3404">
        <v>1.16745483586149E-2</v>
      </c>
      <c r="L3404">
        <v>2520.86500613105</v>
      </c>
      <c r="M3404">
        <v>47.852559612734403</v>
      </c>
      <c r="N3404">
        <v>52.793468009556896</v>
      </c>
      <c r="O3404">
        <v>52.5880816093836</v>
      </c>
      <c r="P3404">
        <v>-0.21635776911665799</v>
      </c>
      <c r="Q3404">
        <v>4.8926250960497401E-2</v>
      </c>
      <c r="R3404">
        <v>0.94178543343978605</v>
      </c>
      <c r="S3404" t="s">
        <v>8144</v>
      </c>
      <c r="T3404" t="s">
        <v>9478</v>
      </c>
      <c r="U3404" t="s">
        <v>9478</v>
      </c>
      <c r="V3404" t="s">
        <v>9478</v>
      </c>
      <c r="W3404">
        <v>1</v>
      </c>
      <c r="X3404" t="s">
        <v>12882</v>
      </c>
      <c r="Y3404">
        <v>0.4533218625104421</v>
      </c>
      <c r="Z3404" t="str">
        <f>HYPERLINK("Melting_Curves/meltCurve_sp_Q9HCX3_ZN304_HUMAN_.pdf", "Melting_Curves/meltCurve_sp_Q9HCX3_ZN304_HUMAN_.pdf")</f>
        <v>Melting_Curves/meltCurve_sp_Q9HCX3_ZN304_HUMAN_.pdf</v>
      </c>
      <c r="AA3404" t="s">
        <v>17570</v>
      </c>
      <c r="AB3404" t="s">
        <v>22238</v>
      </c>
    </row>
    <row r="3405" spans="1:28" x14ac:dyDescent="0.25">
      <c r="A3405" t="s">
        <v>3409</v>
      </c>
      <c r="B3405">
        <v>0.99904790336628502</v>
      </c>
      <c r="C3405">
        <v>0.91309003833741698</v>
      </c>
      <c r="D3405">
        <v>0.94253452062857601</v>
      </c>
      <c r="E3405">
        <v>0.93020393549984304</v>
      </c>
      <c r="F3405">
        <v>0.97900155516044896</v>
      </c>
      <c r="G3405">
        <v>0.69615604257487296</v>
      </c>
      <c r="H3405">
        <v>0.65396862631616104</v>
      </c>
      <c r="I3405">
        <v>0.65009390638876496</v>
      </c>
      <c r="J3405">
        <v>0.661749405316297</v>
      </c>
      <c r="K3405">
        <v>0.62020817164714404</v>
      </c>
      <c r="L3405">
        <v>3282.8962020040899</v>
      </c>
      <c r="M3405">
        <v>59.363776308984903</v>
      </c>
      <c r="O3405">
        <v>55.238698973205601</v>
      </c>
      <c r="P3405">
        <v>-9.5140490535420896E-2</v>
      </c>
      <c r="Q3405">
        <v>0.64588281216542298</v>
      </c>
      <c r="R3405">
        <v>0.92692195737198602</v>
      </c>
      <c r="S3405" t="s">
        <v>8145</v>
      </c>
      <c r="T3405" t="s">
        <v>9478</v>
      </c>
      <c r="U3405" t="s">
        <v>9478</v>
      </c>
      <c r="V3405" t="s">
        <v>9478</v>
      </c>
      <c r="W3405">
        <v>7</v>
      </c>
      <c r="X3405" t="s">
        <v>12883</v>
      </c>
      <c r="Y3405">
        <v>0.8271100922475173</v>
      </c>
      <c r="Z3405" t="str">
        <f>HYPERLINK("Melting_Curves/meltCurve_sp_Q9HD15_SRA1_HUMAN_.pdf", "Melting_Curves/meltCurve_sp_Q9HD15_SRA1_HUMAN_.pdf")</f>
        <v>Melting_Curves/meltCurve_sp_Q9HD15_SRA1_HUMAN_.pdf</v>
      </c>
      <c r="AA3405" t="s">
        <v>17571</v>
      </c>
      <c r="AB3405" t="s">
        <v>22239</v>
      </c>
    </row>
    <row r="3406" spans="1:28" x14ac:dyDescent="0.25">
      <c r="A3406" t="s">
        <v>3410</v>
      </c>
      <c r="B3406">
        <v>0.99904790336628502</v>
      </c>
      <c r="C3406">
        <v>1.0350259876688499</v>
      </c>
      <c r="D3406">
        <v>0.941847144305069</v>
      </c>
      <c r="E3406">
        <v>0.45273963035139397</v>
      </c>
      <c r="F3406">
        <v>0.30396390607545498</v>
      </c>
      <c r="G3406">
        <v>0.168813953731798</v>
      </c>
      <c r="H3406">
        <v>0.128353087019214</v>
      </c>
      <c r="I3406">
        <v>0.14639288181117599</v>
      </c>
      <c r="J3406">
        <v>0.14798511162543501</v>
      </c>
      <c r="K3406">
        <v>0.145519396464932</v>
      </c>
      <c r="L3406">
        <v>1474.05173612009</v>
      </c>
      <c r="M3406">
        <v>29.884819491138099</v>
      </c>
      <c r="N3406">
        <v>49.921369421442598</v>
      </c>
      <c r="O3406">
        <v>49.105155959439699</v>
      </c>
      <c r="P3406">
        <v>-0.12929067074477099</v>
      </c>
      <c r="Q3406">
        <v>0.150231269515605</v>
      </c>
      <c r="R3406">
        <v>0.99383370125850701</v>
      </c>
      <c r="S3406" t="s">
        <v>8146</v>
      </c>
      <c r="T3406" t="s">
        <v>9478</v>
      </c>
      <c r="U3406" t="s">
        <v>9478</v>
      </c>
      <c r="V3406" t="s">
        <v>9478</v>
      </c>
      <c r="W3406">
        <v>4</v>
      </c>
      <c r="X3406" t="s">
        <v>12884</v>
      </c>
      <c r="Y3406">
        <v>0.41959296370288002</v>
      </c>
      <c r="Z3406" t="str">
        <f>HYPERLINK("Melting_Curves/meltCurve_sp_Q9HD26_2_GOPC_HUMAN_.pdf", "Melting_Curves/meltCurve_sp_Q9HD26_2_GOPC_HUMAN_.pdf")</f>
        <v>Melting_Curves/meltCurve_sp_Q9HD26_2_GOPC_HUMAN_.pdf</v>
      </c>
      <c r="AA3406" t="s">
        <v>17572</v>
      </c>
      <c r="AB3406" t="s">
        <v>22240</v>
      </c>
    </row>
    <row r="3407" spans="1:28" x14ac:dyDescent="0.25">
      <c r="A3407" t="s">
        <v>3411</v>
      </c>
      <c r="B3407">
        <v>0.99904790336628502</v>
      </c>
      <c r="C3407">
        <v>0.94907525640436596</v>
      </c>
      <c r="D3407">
        <v>0.88635134704867702</v>
      </c>
      <c r="E3407">
        <v>0.78069970160072999</v>
      </c>
      <c r="F3407">
        <v>0.57513030962114797</v>
      </c>
      <c r="G3407">
        <v>0.34550541309546501</v>
      </c>
      <c r="H3407">
        <v>0.17918025215533201</v>
      </c>
      <c r="I3407">
        <v>0.13518942620889901</v>
      </c>
      <c r="J3407">
        <v>0.11856928139025701</v>
      </c>
      <c r="K3407">
        <v>0.115918101310274</v>
      </c>
      <c r="L3407">
        <v>779.238829754535</v>
      </c>
      <c r="M3407">
        <v>14.540098401184601</v>
      </c>
      <c r="N3407">
        <v>54.120314906225303</v>
      </c>
      <c r="O3407">
        <v>52.609266287290197</v>
      </c>
      <c r="P3407">
        <v>-6.4533726242784195E-2</v>
      </c>
      <c r="Q3407">
        <v>6.61175729798055E-2</v>
      </c>
      <c r="R3407">
        <v>0.99699728137371302</v>
      </c>
      <c r="S3407" t="s">
        <v>8147</v>
      </c>
      <c r="T3407" t="s">
        <v>9478</v>
      </c>
      <c r="U3407" t="s">
        <v>9478</v>
      </c>
      <c r="V3407" t="s">
        <v>9478</v>
      </c>
      <c r="W3407">
        <v>2</v>
      </c>
      <c r="X3407" t="s">
        <v>12885</v>
      </c>
      <c r="Y3407">
        <v>0.50960362311872043</v>
      </c>
      <c r="Z3407" t="str">
        <f>HYPERLINK("Melting_Curves/meltCurve_sp_Q9HD34_LYRM4_HUMAN_.pdf", "Melting_Curves/meltCurve_sp_Q9HD34_LYRM4_HUMAN_.pdf")</f>
        <v>Melting_Curves/meltCurve_sp_Q9HD34_LYRM4_HUMAN_.pdf</v>
      </c>
      <c r="AA3407" t="s">
        <v>17573</v>
      </c>
      <c r="AB3407" t="s">
        <v>22241</v>
      </c>
    </row>
    <row r="3408" spans="1:28" x14ac:dyDescent="0.25">
      <c r="A3408" t="s">
        <v>3412</v>
      </c>
      <c r="B3408">
        <v>0.99904790336628502</v>
      </c>
      <c r="C3408">
        <v>1.0789815120727699</v>
      </c>
      <c r="D3408">
        <v>1.10030603895241</v>
      </c>
      <c r="E3408">
        <v>1.06174323581842</v>
      </c>
      <c r="F3408">
        <v>1.0300689577643201</v>
      </c>
      <c r="G3408">
        <v>0.78052321527285495</v>
      </c>
      <c r="H3408">
        <v>0.58197316879573502</v>
      </c>
      <c r="I3408">
        <v>0.38372131415518801</v>
      </c>
      <c r="J3408">
        <v>6.4612860676484196E-2</v>
      </c>
      <c r="K3408">
        <v>4.4190751893626201E-2</v>
      </c>
      <c r="L3408">
        <v>1373.6235332221499</v>
      </c>
      <c r="M3408">
        <v>22.257866186367401</v>
      </c>
      <c r="N3408">
        <v>61.714085769066997</v>
      </c>
      <c r="O3408">
        <v>61.222397928596202</v>
      </c>
      <c r="P3408">
        <v>-9.0891341897147204E-2</v>
      </c>
      <c r="Q3408">
        <v>0</v>
      </c>
      <c r="R3408">
        <v>0.97244602951359604</v>
      </c>
      <c r="S3408" t="s">
        <v>8148</v>
      </c>
      <c r="T3408" t="s">
        <v>9478</v>
      </c>
      <c r="U3408" t="s">
        <v>9478</v>
      </c>
      <c r="V3408" t="s">
        <v>9478</v>
      </c>
      <c r="W3408">
        <v>18</v>
      </c>
      <c r="X3408" t="s">
        <v>12886</v>
      </c>
      <c r="Y3408">
        <v>0.72860980565368472</v>
      </c>
      <c r="Z3408" t="str">
        <f>HYPERLINK("Melting_Curves/meltCurve_sp_Q9HD40_SPCS_HUMAN_.pdf", "Melting_Curves/meltCurve_sp_Q9HD40_SPCS_HUMAN_.pdf")</f>
        <v>Melting_Curves/meltCurve_sp_Q9HD40_SPCS_HUMAN_.pdf</v>
      </c>
      <c r="AA3408" t="s">
        <v>17574</v>
      </c>
      <c r="AB3408" t="s">
        <v>22242</v>
      </c>
    </row>
    <row r="3409" spans="1:28" x14ac:dyDescent="0.25">
      <c r="A3409" t="s">
        <v>3413</v>
      </c>
      <c r="B3409">
        <v>0.99904790336628502</v>
      </c>
      <c r="C3409">
        <v>0.93082479715154098</v>
      </c>
      <c r="D3409">
        <v>0.87694305076712897</v>
      </c>
      <c r="E3409">
        <v>0.92130420900635701</v>
      </c>
      <c r="F3409">
        <v>0.86946122794222103</v>
      </c>
      <c r="G3409">
        <v>0.69980017315297405</v>
      </c>
      <c r="H3409">
        <v>0.59002174331664303</v>
      </c>
      <c r="I3409">
        <v>0.59063911259574298</v>
      </c>
      <c r="J3409">
        <v>0.58431933053261098</v>
      </c>
      <c r="K3409">
        <v>0.48358681805568299</v>
      </c>
      <c r="L3409">
        <v>455.56083703094703</v>
      </c>
      <c r="M3409">
        <v>7.6576025539085899</v>
      </c>
      <c r="O3409">
        <v>55.841503439895398</v>
      </c>
      <c r="P3409">
        <v>-2.2543775269921101E-2</v>
      </c>
      <c r="Q3409">
        <v>0.34329065834128702</v>
      </c>
      <c r="R3409">
        <v>0.94810639559381904</v>
      </c>
      <c r="S3409" t="s">
        <v>8149</v>
      </c>
      <c r="T3409" t="s">
        <v>9478</v>
      </c>
      <c r="U3409" t="s">
        <v>9478</v>
      </c>
      <c r="V3409" t="s">
        <v>9478</v>
      </c>
      <c r="W3409">
        <v>3</v>
      </c>
      <c r="X3409" t="s">
        <v>12887</v>
      </c>
      <c r="Y3409">
        <v>0.76179762824284947</v>
      </c>
      <c r="Z3409" t="str">
        <f>HYPERLINK("Melting_Curves/meltCurve_sp_Q9HD42_CHM1A_HUMAN_.pdf", "Melting_Curves/meltCurve_sp_Q9HD42_CHM1A_HUMAN_.pdf")</f>
        <v>Melting_Curves/meltCurve_sp_Q9HD42_CHM1A_HUMAN_.pdf</v>
      </c>
      <c r="AA3409" t="s">
        <v>17575</v>
      </c>
      <c r="AB3409" t="s">
        <v>22243</v>
      </c>
    </row>
    <row r="3410" spans="1:28" x14ac:dyDescent="0.25">
      <c r="A3410" t="s">
        <v>3414</v>
      </c>
      <c r="B3410">
        <v>0.99904790336628502</v>
      </c>
      <c r="C3410">
        <v>1.0060376981856001</v>
      </c>
      <c r="D3410">
        <v>0.96594858342765499</v>
      </c>
      <c r="E3410">
        <v>0.90111691110180703</v>
      </c>
      <c r="F3410">
        <v>0.85547382935555305</v>
      </c>
      <c r="G3410">
        <v>0.50881825506039102</v>
      </c>
      <c r="H3410">
        <v>0.40338261532015901</v>
      </c>
      <c r="I3410">
        <v>0.19946334263801399</v>
      </c>
      <c r="J3410">
        <v>0.157273916718564</v>
      </c>
      <c r="K3410">
        <v>0.106124568168289</v>
      </c>
      <c r="L3410">
        <v>865.41521299300598</v>
      </c>
      <c r="M3410">
        <v>14.970495417609399</v>
      </c>
      <c r="N3410">
        <v>58.1680539589278</v>
      </c>
      <c r="O3410">
        <v>56.805978542935001</v>
      </c>
      <c r="P3410">
        <v>-6.2975720369329302E-2</v>
      </c>
      <c r="Q3410">
        <v>4.4244547082105498E-2</v>
      </c>
      <c r="R3410">
        <v>0.99088730334846598</v>
      </c>
      <c r="S3410" t="s">
        <v>8150</v>
      </c>
      <c r="T3410" t="s">
        <v>9478</v>
      </c>
      <c r="U3410" t="s">
        <v>9478</v>
      </c>
      <c r="V3410" t="s">
        <v>9478</v>
      </c>
      <c r="W3410">
        <v>1</v>
      </c>
      <c r="X3410" t="s">
        <v>12888</v>
      </c>
      <c r="Y3410">
        <v>0.62490344499377815</v>
      </c>
      <c r="Z3410" t="str">
        <f>HYPERLINK("Melting_Curves/meltCurve_sp_Q9HD47_4_MOG1_HUMAN_.pdf", "Melting_Curves/meltCurve_sp_Q9HD47_4_MOG1_HUMAN_.pdf")</f>
        <v>Melting_Curves/meltCurve_sp_Q9HD47_4_MOG1_HUMAN_.pdf</v>
      </c>
      <c r="AA3410" t="s">
        <v>17576</v>
      </c>
      <c r="AB3410" t="s">
        <v>22244</v>
      </c>
    </row>
    <row r="3411" spans="1:28" x14ac:dyDescent="0.25">
      <c r="A3411" t="s">
        <v>3415</v>
      </c>
      <c r="B3411">
        <v>0.99904790336628502</v>
      </c>
      <c r="C3411">
        <v>1.0747374631153499</v>
      </c>
      <c r="D3411">
        <v>1.1230835052261701</v>
      </c>
      <c r="E3411">
        <v>1.10442075288041</v>
      </c>
      <c r="F3411">
        <v>0.90758366899806098</v>
      </c>
      <c r="G3411">
        <v>0.44085116567383198</v>
      </c>
      <c r="H3411">
        <v>0.44158688243341199</v>
      </c>
      <c r="I3411">
        <v>0.35825382102987102</v>
      </c>
      <c r="J3411">
        <v>0.60669757071046204</v>
      </c>
      <c r="K3411">
        <v>0.52275709744504195</v>
      </c>
      <c r="L3411">
        <v>13331.922832374599</v>
      </c>
      <c r="M3411">
        <v>250</v>
      </c>
      <c r="N3411">
        <v>53.966140763756201</v>
      </c>
      <c r="O3411">
        <v>53.324259342444897</v>
      </c>
      <c r="P3411">
        <v>-0.61647657730504901</v>
      </c>
      <c r="Q3411">
        <v>0.47402929829901003</v>
      </c>
      <c r="R3411">
        <v>0.92304022495588101</v>
      </c>
      <c r="S3411" t="s">
        <v>8151</v>
      </c>
      <c r="T3411" t="s">
        <v>9478</v>
      </c>
      <c r="U3411" t="s">
        <v>9478</v>
      </c>
      <c r="V3411" t="s">
        <v>9478</v>
      </c>
      <c r="W3411">
        <v>4</v>
      </c>
      <c r="X3411" t="s">
        <v>12889</v>
      </c>
      <c r="Y3411">
        <v>0.70774436219982206</v>
      </c>
      <c r="Z3411" t="str">
        <f>HYPERLINK("Melting_Curves/meltCurve_sp_Q9HD89_RETN_HUMAN_.pdf", "Melting_Curves/meltCurve_sp_Q9HD89_RETN_HUMAN_.pdf")</f>
        <v>Melting_Curves/meltCurve_sp_Q9HD89_RETN_HUMAN_.pdf</v>
      </c>
      <c r="AA3411" t="s">
        <v>17577</v>
      </c>
      <c r="AB3411" t="s">
        <v>22245</v>
      </c>
    </row>
    <row r="3412" spans="1:28" x14ac:dyDescent="0.25">
      <c r="A3412" t="s">
        <v>3416</v>
      </c>
      <c r="B3412">
        <v>0.99904790336628502</v>
      </c>
      <c r="C3412">
        <v>0.91076797282638799</v>
      </c>
      <c r="D3412">
        <v>1.09647197762483</v>
      </c>
      <c r="E3412">
        <v>0.92996134345952097</v>
      </c>
      <c r="F3412">
        <v>1.3431982419297299</v>
      </c>
      <c r="G3412">
        <v>0.93409332068725803</v>
      </c>
      <c r="H3412">
        <v>1.8064148415813299</v>
      </c>
      <c r="I3412">
        <v>0.73787455088062304</v>
      </c>
      <c r="J3412">
        <v>0.26652536432471602</v>
      </c>
      <c r="K3412">
        <v>2.9367262778877599E-2</v>
      </c>
      <c r="L3412">
        <v>4402.7688244498904</v>
      </c>
      <c r="M3412">
        <v>67.301841143985897</v>
      </c>
      <c r="N3412">
        <v>65.526450816910199</v>
      </c>
      <c r="O3412">
        <v>65.360564663867393</v>
      </c>
      <c r="P3412">
        <v>-0.243884715266309</v>
      </c>
      <c r="Q3412">
        <v>5.2600117586314901E-2</v>
      </c>
      <c r="R3412">
        <v>0.63705513956201398</v>
      </c>
      <c r="S3412" t="s">
        <v>8152</v>
      </c>
      <c r="T3412" t="s">
        <v>9478</v>
      </c>
      <c r="U3412" t="s">
        <v>9478</v>
      </c>
      <c r="V3412" t="s">
        <v>9478</v>
      </c>
      <c r="W3412">
        <v>23</v>
      </c>
      <c r="X3412" t="s">
        <v>12890</v>
      </c>
      <c r="Y3412">
        <v>0.85637253795028667</v>
      </c>
      <c r="Z3412" t="str">
        <f>HYPERLINK("Melting_Curves/meltCurve_sp_Q9NNW7_2_TRXR2_HUMAN_.pdf", "Melting_Curves/meltCurve_sp_Q9NNW7_2_TRXR2_HUMAN_.pdf")</f>
        <v>Melting_Curves/meltCurve_sp_Q9NNW7_2_TRXR2_HUMAN_.pdf</v>
      </c>
      <c r="AA3412" t="s">
        <v>17578</v>
      </c>
      <c r="AB3412" t="s">
        <v>22246</v>
      </c>
    </row>
    <row r="3413" spans="1:28" x14ac:dyDescent="0.25">
      <c r="A3413" t="s">
        <v>3417</v>
      </c>
      <c r="B3413">
        <v>0.99904790336628502</v>
      </c>
      <c r="C3413">
        <v>1.0311394774768601</v>
      </c>
      <c r="D3413">
        <v>0.97080355847881195</v>
      </c>
      <c r="E3413">
        <v>0.96450028725584402</v>
      </c>
      <c r="F3413">
        <v>1.00031434610606</v>
      </c>
      <c r="G3413">
        <v>0.68682302315867805</v>
      </c>
      <c r="H3413">
        <v>0.47444655159730298</v>
      </c>
      <c r="I3413">
        <v>0.43943810385994903</v>
      </c>
      <c r="J3413">
        <v>0.473757730033594</v>
      </c>
      <c r="K3413">
        <v>0.48091029322766099</v>
      </c>
      <c r="L3413">
        <v>4147.9351779750496</v>
      </c>
      <c r="M3413">
        <v>73.120196508538498</v>
      </c>
      <c r="N3413">
        <v>58.899868240723201</v>
      </c>
      <c r="O3413">
        <v>56.685239129433697</v>
      </c>
      <c r="P3413">
        <v>-0.17211400819998501</v>
      </c>
      <c r="Q3413">
        <v>0.46628579917686303</v>
      </c>
      <c r="R3413">
        <v>0.99340000322395705</v>
      </c>
      <c r="S3413" t="s">
        <v>8153</v>
      </c>
      <c r="T3413" t="s">
        <v>9478</v>
      </c>
      <c r="U3413" t="s">
        <v>9478</v>
      </c>
      <c r="V3413" t="s">
        <v>9478</v>
      </c>
      <c r="W3413">
        <v>18</v>
      </c>
      <c r="X3413" t="s">
        <v>12891</v>
      </c>
      <c r="Y3413">
        <v>0.76450077361250313</v>
      </c>
      <c r="Z3413" t="str">
        <f>HYPERLINK("Melting_Curves/meltCurve_sp_Q9NP61_ARFG3_HUMAN_.pdf", "Melting_Curves/meltCurve_sp_Q9NP61_ARFG3_HUMAN_.pdf")</f>
        <v>Melting_Curves/meltCurve_sp_Q9NP61_ARFG3_HUMAN_.pdf</v>
      </c>
      <c r="AA3413" t="s">
        <v>17579</v>
      </c>
      <c r="AB3413" t="s">
        <v>22247</v>
      </c>
    </row>
    <row r="3414" spans="1:28" x14ac:dyDescent="0.25">
      <c r="A3414" t="s">
        <v>3418</v>
      </c>
      <c r="B3414">
        <v>0.99904790336628502</v>
      </c>
      <c r="C3414">
        <v>0.93190881270833004</v>
      </c>
      <c r="D3414">
        <v>0.963603324386194</v>
      </c>
      <c r="E3414">
        <v>0.79838407252514199</v>
      </c>
      <c r="F3414">
        <v>0.66819470960862903</v>
      </c>
      <c r="G3414">
        <v>0.26156742463131299</v>
      </c>
      <c r="H3414">
        <v>0.112559727439904</v>
      </c>
      <c r="I3414">
        <v>7.3012250960522607E-2</v>
      </c>
      <c r="J3414">
        <v>6.8581650260841204E-2</v>
      </c>
      <c r="K3414">
        <v>6.2987123870401604E-2</v>
      </c>
      <c r="L3414">
        <v>1091.29989104063</v>
      </c>
      <c r="M3414">
        <v>20.191405932671199</v>
      </c>
      <c r="N3414">
        <v>54.265980074947898</v>
      </c>
      <c r="O3414">
        <v>53.525973858262802</v>
      </c>
      <c r="P3414">
        <v>-9.0631816557726799E-2</v>
      </c>
      <c r="Q3414">
        <v>3.8996258345843797E-2</v>
      </c>
      <c r="R3414">
        <v>0.99329753120979003</v>
      </c>
      <c r="S3414" t="s">
        <v>8154</v>
      </c>
      <c r="T3414" t="s">
        <v>9478</v>
      </c>
      <c r="U3414" t="s">
        <v>9478</v>
      </c>
      <c r="V3414" t="s">
        <v>9478</v>
      </c>
      <c r="W3414">
        <v>9</v>
      </c>
      <c r="X3414" t="s">
        <v>12892</v>
      </c>
      <c r="Y3414">
        <v>0.50184676141951379</v>
      </c>
      <c r="Z3414" t="str">
        <f>HYPERLINK("Melting_Curves/meltCurve_sp_Q9NP71_4_MLXPL_HUMAN_.pdf", "Melting_Curves/meltCurve_sp_Q9NP71_4_MLXPL_HUMAN_.pdf")</f>
        <v>Melting_Curves/meltCurve_sp_Q9NP71_4_MLXPL_HUMAN_.pdf</v>
      </c>
      <c r="AA3414" t="s">
        <v>17580</v>
      </c>
      <c r="AB3414" t="s">
        <v>22248</v>
      </c>
    </row>
    <row r="3415" spans="1:28" x14ac:dyDescent="0.25">
      <c r="A3415" t="s">
        <v>3419</v>
      </c>
      <c r="B3415">
        <v>0.99904790336628502</v>
      </c>
      <c r="C3415">
        <v>0.81185541451370102</v>
      </c>
      <c r="D3415">
        <v>0.98093158212096199</v>
      </c>
      <c r="E3415">
        <v>0.82412979940739495</v>
      </c>
      <c r="F3415">
        <v>0.67126541717161803</v>
      </c>
      <c r="G3415">
        <v>0.41464666406662498</v>
      </c>
      <c r="H3415">
        <v>0.25565544308091098</v>
      </c>
      <c r="I3415">
        <v>0.16210410424615301</v>
      </c>
      <c r="J3415">
        <v>9.0337982728603494E-2</v>
      </c>
      <c r="K3415">
        <v>3.9958709638555197E-2</v>
      </c>
      <c r="L3415">
        <v>727.07184410615503</v>
      </c>
      <c r="M3415">
        <v>13.049758701942</v>
      </c>
      <c r="N3415">
        <v>55.715351203018798</v>
      </c>
      <c r="O3415">
        <v>54.455705483413503</v>
      </c>
      <c r="P3415">
        <v>-5.9920397919494099E-2</v>
      </c>
      <c r="Q3415">
        <v>0</v>
      </c>
      <c r="R3415">
        <v>0.97535394655673602</v>
      </c>
      <c r="S3415" t="s">
        <v>8155</v>
      </c>
      <c r="T3415" t="s">
        <v>9478</v>
      </c>
      <c r="U3415" t="s">
        <v>9478</v>
      </c>
      <c r="V3415" t="s">
        <v>9478</v>
      </c>
      <c r="W3415">
        <v>8</v>
      </c>
      <c r="X3415" t="s">
        <v>12893</v>
      </c>
      <c r="Y3415">
        <v>0.54415925370045837</v>
      </c>
      <c r="Z3415" t="str">
        <f>HYPERLINK("Melting_Curves/meltCurve_sp_Q9NP72_RAB18_HUMAN_.pdf", "Melting_Curves/meltCurve_sp_Q9NP72_RAB18_HUMAN_.pdf")</f>
        <v>Melting_Curves/meltCurve_sp_Q9NP72_RAB18_HUMAN_.pdf</v>
      </c>
      <c r="AA3415" t="s">
        <v>17581</v>
      </c>
      <c r="AB3415" t="s">
        <v>22249</v>
      </c>
    </row>
    <row r="3416" spans="1:28" x14ac:dyDescent="0.25">
      <c r="A3416" t="s">
        <v>3420</v>
      </c>
      <c r="B3416">
        <v>0.99904790336628502</v>
      </c>
      <c r="C3416">
        <v>0.89569215441063699</v>
      </c>
      <c r="D3416">
        <v>0.823970693683306</v>
      </c>
      <c r="E3416">
        <v>0.765950563936585</v>
      </c>
      <c r="F3416">
        <v>0.69705840885032799</v>
      </c>
      <c r="G3416">
        <v>0.42427439820657997</v>
      </c>
      <c r="H3416">
        <v>0.29038432210959497</v>
      </c>
      <c r="I3416">
        <v>0.283587147491696</v>
      </c>
      <c r="J3416">
        <v>0.26664524016908298</v>
      </c>
      <c r="K3416">
        <v>0.289971464393735</v>
      </c>
      <c r="L3416">
        <v>583.73830327575502</v>
      </c>
      <c r="M3416">
        <v>10.904068389848399</v>
      </c>
      <c r="N3416">
        <v>55.841468639042603</v>
      </c>
      <c r="O3416">
        <v>51.827876151626</v>
      </c>
      <c r="P3416">
        <v>-4.3072938347359098E-2</v>
      </c>
      <c r="Q3416">
        <v>0.18136970531607599</v>
      </c>
      <c r="R3416">
        <v>0.97101185120602695</v>
      </c>
      <c r="S3416" t="s">
        <v>8156</v>
      </c>
      <c r="T3416" t="s">
        <v>9478</v>
      </c>
      <c r="U3416" t="s">
        <v>9478</v>
      </c>
      <c r="V3416" t="s">
        <v>9478</v>
      </c>
      <c r="W3416">
        <v>2</v>
      </c>
      <c r="X3416" t="s">
        <v>12894</v>
      </c>
      <c r="Y3416">
        <v>0.57512385150634626</v>
      </c>
      <c r="Z3416" t="str">
        <f>HYPERLINK("Melting_Curves/meltCurve_sp_Q9NP73_2_ALG13_HUMAN_.pdf", "Melting_Curves/meltCurve_sp_Q9NP73_2_ALG13_HUMAN_.pdf")</f>
        <v>Melting_Curves/meltCurve_sp_Q9NP73_2_ALG13_HUMAN_.pdf</v>
      </c>
      <c r="AA3416" t="s">
        <v>17582</v>
      </c>
      <c r="AB3416" t="s">
        <v>22250</v>
      </c>
    </row>
    <row r="3417" spans="1:28" x14ac:dyDescent="0.25">
      <c r="A3417" t="s">
        <v>3421</v>
      </c>
      <c r="B3417">
        <v>0.99904790336628502</v>
      </c>
      <c r="C3417">
        <v>1.00572778881109</v>
      </c>
      <c r="D3417">
        <v>0.93765696303761004</v>
      </c>
      <c r="E3417">
        <v>0.910122966390426</v>
      </c>
      <c r="F3417">
        <v>0.90718392747176402</v>
      </c>
      <c r="G3417">
        <v>0.68134945875928499</v>
      </c>
      <c r="H3417">
        <v>0.62101850182613005</v>
      </c>
      <c r="I3417">
        <v>0.65451018446176501</v>
      </c>
      <c r="J3417">
        <v>0.67213448477753401</v>
      </c>
      <c r="K3417">
        <v>0.65974318581359803</v>
      </c>
      <c r="L3417">
        <v>1613.6943568317199</v>
      </c>
      <c r="M3417">
        <v>29.924921474249501</v>
      </c>
      <c r="O3417">
        <v>53.685673146915803</v>
      </c>
      <c r="P3417">
        <v>-4.9370975892820197E-2</v>
      </c>
      <c r="Q3417">
        <v>0.64571380573027004</v>
      </c>
      <c r="R3417">
        <v>0.95019386818403695</v>
      </c>
      <c r="S3417" t="s">
        <v>8157</v>
      </c>
      <c r="T3417" t="s">
        <v>9478</v>
      </c>
      <c r="U3417" t="s">
        <v>9478</v>
      </c>
      <c r="V3417" t="s">
        <v>9478</v>
      </c>
      <c r="W3417">
        <v>21</v>
      </c>
      <c r="X3417" t="s">
        <v>12895</v>
      </c>
      <c r="Y3417">
        <v>0.81249533198692747</v>
      </c>
      <c r="Z3417" t="str">
        <f>HYPERLINK("Melting_Curves/meltCurve_sp_Q9NP74_PALMD_HUMAN_.pdf", "Melting_Curves/meltCurve_sp_Q9NP74_PALMD_HUMAN_.pdf")</f>
        <v>Melting_Curves/meltCurve_sp_Q9NP74_PALMD_HUMAN_.pdf</v>
      </c>
      <c r="AA3417" t="s">
        <v>17583</v>
      </c>
      <c r="AB3417" t="s">
        <v>22251</v>
      </c>
    </row>
    <row r="3418" spans="1:28" x14ac:dyDescent="0.25">
      <c r="A3418" t="s">
        <v>3422</v>
      </c>
      <c r="B3418">
        <v>0.99904790336628502</v>
      </c>
      <c r="C3418">
        <v>0.92604691086219204</v>
      </c>
      <c r="D3418">
        <v>0.89509354092865201</v>
      </c>
      <c r="E3418">
        <v>0.665093969962952</v>
      </c>
      <c r="F3418">
        <v>0.26451653714322398</v>
      </c>
      <c r="G3418">
        <v>0.115763282759172</v>
      </c>
      <c r="H3418">
        <v>6.3198179337774094E-2</v>
      </c>
      <c r="I3418">
        <v>5.4199596634492198E-2</v>
      </c>
      <c r="J3418">
        <v>5.5820319113594398E-2</v>
      </c>
      <c r="K3418">
        <v>3.7257108347635397E-2</v>
      </c>
      <c r="L3418">
        <v>1267.7625324384001</v>
      </c>
      <c r="M3418">
        <v>24.9233987764113</v>
      </c>
      <c r="N3418">
        <v>51.060591677243202</v>
      </c>
      <c r="O3418">
        <v>50.542306900653898</v>
      </c>
      <c r="P3418">
        <v>-0.117706089210856</v>
      </c>
      <c r="Q3418">
        <v>4.5225986763265898E-2</v>
      </c>
      <c r="R3418">
        <v>0.99401509601563998</v>
      </c>
      <c r="S3418" t="s">
        <v>8158</v>
      </c>
      <c r="T3418" t="s">
        <v>9478</v>
      </c>
      <c r="U3418" t="s">
        <v>9478</v>
      </c>
      <c r="V3418" t="s">
        <v>9478</v>
      </c>
      <c r="W3418">
        <v>5</v>
      </c>
      <c r="X3418" t="s">
        <v>12896</v>
      </c>
      <c r="Y3418">
        <v>0.39972164686302342</v>
      </c>
      <c r="Z3418" t="str">
        <f>HYPERLINK("Melting_Curves/meltCurve_sp_Q9NP77_SSU72_HUMAN_.pdf", "Melting_Curves/meltCurve_sp_Q9NP77_SSU72_HUMAN_.pdf")</f>
        <v>Melting_Curves/meltCurve_sp_Q9NP77_SSU72_HUMAN_.pdf</v>
      </c>
      <c r="AA3418" t="s">
        <v>17584</v>
      </c>
      <c r="AB3418" t="s">
        <v>22252</v>
      </c>
    </row>
    <row r="3419" spans="1:28" x14ac:dyDescent="0.25">
      <c r="A3419" t="s">
        <v>3423</v>
      </c>
      <c r="B3419">
        <v>0.99904790336628502</v>
      </c>
      <c r="C3419">
        <v>0.91915689608481099</v>
      </c>
      <c r="D3419">
        <v>0.92699212275128795</v>
      </c>
      <c r="E3419">
        <v>0.84885877952873101</v>
      </c>
      <c r="F3419">
        <v>0.653510577260348</v>
      </c>
      <c r="G3419">
        <v>0.29776750117147699</v>
      </c>
      <c r="H3419">
        <v>0.155698678179788</v>
      </c>
      <c r="I3419">
        <v>0.11948808539823499</v>
      </c>
      <c r="J3419">
        <v>0.10845108179099799</v>
      </c>
      <c r="K3419">
        <v>0.112314249877852</v>
      </c>
      <c r="L3419">
        <v>1120.8980046992399</v>
      </c>
      <c r="M3419">
        <v>20.776853137996799</v>
      </c>
      <c r="N3419">
        <v>54.468261890569401</v>
      </c>
      <c r="O3419">
        <v>53.457045059730603</v>
      </c>
      <c r="P3419">
        <v>-8.8444273198705903E-2</v>
      </c>
      <c r="Q3419">
        <v>8.9787641768531504E-2</v>
      </c>
      <c r="R3419">
        <v>0.99301461359872401</v>
      </c>
      <c r="S3419" t="s">
        <v>8159</v>
      </c>
      <c r="T3419" t="s">
        <v>9478</v>
      </c>
      <c r="U3419" t="s">
        <v>9478</v>
      </c>
      <c r="V3419" t="s">
        <v>9478</v>
      </c>
      <c r="W3419">
        <v>8</v>
      </c>
      <c r="X3419" t="s">
        <v>12897</v>
      </c>
      <c r="Y3419">
        <v>0.52464934153734921</v>
      </c>
      <c r="Z3419" t="str">
        <f>HYPERLINK("Melting_Curves/meltCurve_sp_Q9NP79_VTA1_HUMAN_.pdf", "Melting_Curves/meltCurve_sp_Q9NP79_VTA1_HUMAN_.pdf")</f>
        <v>Melting_Curves/meltCurve_sp_Q9NP79_VTA1_HUMAN_.pdf</v>
      </c>
      <c r="AA3419" t="s">
        <v>17585</v>
      </c>
      <c r="AB3419" t="s">
        <v>22253</v>
      </c>
    </row>
    <row r="3420" spans="1:28" x14ac:dyDescent="0.25">
      <c r="A3420" t="s">
        <v>3424</v>
      </c>
      <c r="B3420">
        <v>0.99904790336628502</v>
      </c>
      <c r="C3420">
        <v>0.95623916865192005</v>
      </c>
      <c r="D3420">
        <v>0.979050149533776</v>
      </c>
      <c r="E3420">
        <v>0.88939358712128702</v>
      </c>
      <c r="F3420">
        <v>0.88096851219703598</v>
      </c>
      <c r="G3420">
        <v>0.72014721862160602</v>
      </c>
      <c r="H3420">
        <v>0.51737463206743495</v>
      </c>
      <c r="I3420">
        <v>0.48049861868428001</v>
      </c>
      <c r="J3420">
        <v>0.42423264682081802</v>
      </c>
      <c r="K3420">
        <v>0.25674880531925198</v>
      </c>
      <c r="L3420">
        <v>561.21097857689801</v>
      </c>
      <c r="M3420">
        <v>8.9094677927921992</v>
      </c>
      <c r="N3420">
        <v>62.990395766230499</v>
      </c>
      <c r="O3420">
        <v>60.059430096355698</v>
      </c>
      <c r="P3420">
        <v>-3.7114030771990797E-2</v>
      </c>
      <c r="Q3420">
        <v>0</v>
      </c>
      <c r="R3420">
        <v>0.98425519553809604</v>
      </c>
      <c r="S3420" t="s">
        <v>8160</v>
      </c>
      <c r="T3420" t="s">
        <v>9478</v>
      </c>
      <c r="U3420" t="s">
        <v>9478</v>
      </c>
      <c r="V3420" t="s">
        <v>9478</v>
      </c>
      <c r="W3420">
        <v>1</v>
      </c>
      <c r="X3420" t="s">
        <v>12898</v>
      </c>
      <c r="Y3420">
        <v>0.7265871945547937</v>
      </c>
      <c r="Z3420" t="str">
        <f>HYPERLINK("Melting_Curves/meltCurve_sp_Q9NP97_DLRB1_HUMAN_.pdf", "Melting_Curves/meltCurve_sp_Q9NP97_DLRB1_HUMAN_.pdf")</f>
        <v>Melting_Curves/meltCurve_sp_Q9NP97_DLRB1_HUMAN_.pdf</v>
      </c>
      <c r="AA3420" t="s">
        <v>17586</v>
      </c>
      <c r="AB3420" t="s">
        <v>22254</v>
      </c>
    </row>
    <row r="3421" spans="1:28" x14ac:dyDescent="0.25">
      <c r="A3421" t="s">
        <v>3425</v>
      </c>
      <c r="B3421">
        <v>0.99904790336628502</v>
      </c>
      <c r="C3421">
        <v>0.89367296463585499</v>
      </c>
      <c r="D3421">
        <v>0.94498875486460499</v>
      </c>
      <c r="E3421">
        <v>0.92471252891010403</v>
      </c>
      <c r="F3421">
        <v>0.90958163922140201</v>
      </c>
      <c r="G3421">
        <v>0.62303546929342801</v>
      </c>
      <c r="H3421">
        <v>0.542261744249666</v>
      </c>
      <c r="I3421">
        <v>0.55348738730981795</v>
      </c>
      <c r="J3421">
        <v>0.54813323089115595</v>
      </c>
      <c r="K3421">
        <v>0.52767571823674897</v>
      </c>
      <c r="L3421">
        <v>1856.0202109926599</v>
      </c>
      <c r="M3421">
        <v>33.888222842386398</v>
      </c>
      <c r="O3421">
        <v>54.579222273011702</v>
      </c>
      <c r="P3421">
        <v>-7.1890160240525802E-2</v>
      </c>
      <c r="Q3421">
        <v>0.53686644472717204</v>
      </c>
      <c r="R3421">
        <v>0.94885471814998301</v>
      </c>
      <c r="S3421" t="s">
        <v>8161</v>
      </c>
      <c r="T3421" t="s">
        <v>9478</v>
      </c>
      <c r="U3421" t="s">
        <v>9478</v>
      </c>
      <c r="V3421" t="s">
        <v>9478</v>
      </c>
      <c r="W3421">
        <v>3</v>
      </c>
      <c r="X3421" t="s">
        <v>12899</v>
      </c>
      <c r="Y3421">
        <v>0.76728974233459224</v>
      </c>
      <c r="Z3421" t="str">
        <f>HYPERLINK("Melting_Curves/meltCurve_sp_Q9NPA8_2_ENY2_HUMAN_.pdf", "Melting_Curves/meltCurve_sp_Q9NPA8_2_ENY2_HUMAN_.pdf")</f>
        <v>Melting_Curves/meltCurve_sp_Q9NPA8_2_ENY2_HUMAN_.pdf</v>
      </c>
      <c r="AA3421" t="s">
        <v>17587</v>
      </c>
      <c r="AB3421" t="s">
        <v>22255</v>
      </c>
    </row>
    <row r="3422" spans="1:28" x14ac:dyDescent="0.25">
      <c r="A3422" t="s">
        <v>3426</v>
      </c>
      <c r="B3422">
        <v>0.99904790336628502</v>
      </c>
      <c r="C3422">
        <v>0.98686133463265502</v>
      </c>
      <c r="D3422">
        <v>0.79743751205382396</v>
      </c>
      <c r="E3422">
        <v>0.52918965801989304</v>
      </c>
      <c r="F3422">
        <v>0.41269934150299098</v>
      </c>
      <c r="G3422">
        <v>0.133081608329992</v>
      </c>
      <c r="H3422">
        <v>9.08963405676389E-2</v>
      </c>
      <c r="I3422">
        <v>2.7345469203439301E-2</v>
      </c>
      <c r="J3422">
        <v>2.9734793373061001E-2</v>
      </c>
      <c r="K3422">
        <v>4.0409082194672603E-2</v>
      </c>
      <c r="L3422">
        <v>754.89464965581794</v>
      </c>
      <c r="M3422">
        <v>14.862715806765801</v>
      </c>
      <c r="N3422">
        <v>50.821770071792102</v>
      </c>
      <c r="O3422">
        <v>49.898279029667101</v>
      </c>
      <c r="P3422">
        <v>-7.4141233687590596E-2</v>
      </c>
      <c r="Q3422">
        <v>4.4531327181086804E-3</v>
      </c>
      <c r="R3422">
        <v>0.99301617540642995</v>
      </c>
      <c r="S3422" t="s">
        <v>8162</v>
      </c>
      <c r="T3422" t="s">
        <v>9478</v>
      </c>
      <c r="U3422" t="s">
        <v>9478</v>
      </c>
      <c r="V3422" t="s">
        <v>9478</v>
      </c>
      <c r="W3422">
        <v>2</v>
      </c>
      <c r="X3422" t="s">
        <v>12900</v>
      </c>
      <c r="Y3422">
        <v>0.3860697424831383</v>
      </c>
      <c r="Z3422" t="str">
        <f>HYPERLINK("Melting_Curves/meltCurve_sp_Q9NPB8_GPCP1_HUMAN_.pdf", "Melting_Curves/meltCurve_sp_Q9NPB8_GPCP1_HUMAN_.pdf")</f>
        <v>Melting_Curves/meltCurve_sp_Q9NPB8_GPCP1_HUMAN_.pdf</v>
      </c>
      <c r="AA3422" t="s">
        <v>17588</v>
      </c>
      <c r="AB3422" t="s">
        <v>22256</v>
      </c>
    </row>
    <row r="3423" spans="1:28" x14ac:dyDescent="0.25">
      <c r="A3423" t="s">
        <v>3427</v>
      </c>
      <c r="B3423">
        <v>0.99904790336628502</v>
      </c>
      <c r="C3423">
        <v>0.97751109513927104</v>
      </c>
      <c r="D3423">
        <v>1.0220179837416099</v>
      </c>
      <c r="E3423">
        <v>0.97682957223717104</v>
      </c>
      <c r="F3423">
        <v>0.88341203176751804</v>
      </c>
      <c r="G3423">
        <v>0.61492021216244297</v>
      </c>
      <c r="H3423">
        <v>0.31706564774704499</v>
      </c>
      <c r="I3423">
        <v>0.149437462129351</v>
      </c>
      <c r="J3423">
        <v>4.5101713991394697E-2</v>
      </c>
      <c r="K3423">
        <v>5.0482209196554502E-2</v>
      </c>
      <c r="L3423">
        <v>1170.00360229339</v>
      </c>
      <c r="M3423">
        <v>20.020359421687999</v>
      </c>
      <c r="N3423">
        <v>58.440691011168802</v>
      </c>
      <c r="O3423">
        <v>57.866988698358</v>
      </c>
      <c r="P3423">
        <v>-8.6495811069136203E-2</v>
      </c>
      <c r="Q3423">
        <v>0</v>
      </c>
      <c r="R3423">
        <v>0.99840261431347199</v>
      </c>
      <c r="S3423" t="s">
        <v>8163</v>
      </c>
      <c r="T3423" t="s">
        <v>9478</v>
      </c>
      <c r="U3423" t="s">
        <v>9478</v>
      </c>
      <c r="V3423" t="s">
        <v>9478</v>
      </c>
      <c r="W3423">
        <v>5</v>
      </c>
      <c r="X3423" t="s">
        <v>12901</v>
      </c>
      <c r="Y3423">
        <v>0.62550327009490447</v>
      </c>
      <c r="Z3423" t="str">
        <f>HYPERLINK("Melting_Curves/meltCurve_sp_Q9NPD3_EXOS4_HUMAN_.pdf", "Melting_Curves/meltCurve_sp_Q9NPD3_EXOS4_HUMAN_.pdf")</f>
        <v>Melting_Curves/meltCurve_sp_Q9NPD3_EXOS4_HUMAN_.pdf</v>
      </c>
      <c r="AA3423" t="s">
        <v>17589</v>
      </c>
      <c r="AB3423" t="s">
        <v>22257</v>
      </c>
    </row>
    <row r="3424" spans="1:28" x14ac:dyDescent="0.25">
      <c r="A3424" t="s">
        <v>3428</v>
      </c>
      <c r="B3424">
        <v>0.99904790336628502</v>
      </c>
      <c r="C3424">
        <v>0.97336530349593198</v>
      </c>
      <c r="D3424">
        <v>0.95747443179939196</v>
      </c>
      <c r="E3424">
        <v>0.99832113264020605</v>
      </c>
      <c r="F3424">
        <v>0.902016545738764</v>
      </c>
      <c r="G3424">
        <v>0.69296787225145995</v>
      </c>
      <c r="H3424">
        <v>0.50333317673006694</v>
      </c>
      <c r="I3424">
        <v>0.38023580220758502</v>
      </c>
      <c r="J3424">
        <v>0.18768324054753299</v>
      </c>
      <c r="K3424">
        <v>9.5519854074078106E-2</v>
      </c>
      <c r="L3424">
        <v>891.57916820528999</v>
      </c>
      <c r="M3424">
        <v>14.6400478616087</v>
      </c>
      <c r="N3424">
        <v>60.900017361450601</v>
      </c>
      <c r="O3424">
        <v>59.797589277117403</v>
      </c>
      <c r="P3424">
        <v>-6.1213481544207901E-2</v>
      </c>
      <c r="Q3424">
        <v>0</v>
      </c>
      <c r="R3424">
        <v>0.99204193884172098</v>
      </c>
      <c r="S3424" t="s">
        <v>8164</v>
      </c>
      <c r="T3424" t="s">
        <v>9478</v>
      </c>
      <c r="U3424" t="s">
        <v>9478</v>
      </c>
      <c r="V3424" t="s">
        <v>9478</v>
      </c>
      <c r="W3424">
        <v>2</v>
      </c>
      <c r="X3424" t="s">
        <v>12902</v>
      </c>
      <c r="Y3424">
        <v>0.69911318914624798</v>
      </c>
      <c r="Z3424" t="str">
        <f>HYPERLINK("Melting_Curves/meltCurve_sp_Q9NPE3_NOP10_HUMAN_.pdf", "Melting_Curves/meltCurve_sp_Q9NPE3_NOP10_HUMAN_.pdf")</f>
        <v>Melting_Curves/meltCurve_sp_Q9NPE3_NOP10_HUMAN_.pdf</v>
      </c>
      <c r="AA3424" t="s">
        <v>17590</v>
      </c>
      <c r="AB3424" t="s">
        <v>22258</v>
      </c>
    </row>
    <row r="3425" spans="1:28" x14ac:dyDescent="0.25">
      <c r="A3425" t="s">
        <v>3429</v>
      </c>
      <c r="B3425">
        <v>0.99904790336628502</v>
      </c>
      <c r="C3425">
        <v>0.948633415538786</v>
      </c>
      <c r="D3425">
        <v>0.97793729885964698</v>
      </c>
      <c r="E3425">
        <v>0.76724866625718502</v>
      </c>
      <c r="F3425">
        <v>0.49266742889475901</v>
      </c>
      <c r="G3425">
        <v>0.25950002600834898</v>
      </c>
      <c r="H3425">
        <v>0.128239317622936</v>
      </c>
      <c r="I3425">
        <v>8.0257377387923698E-2</v>
      </c>
      <c r="J3425">
        <v>3.8949658165439299E-2</v>
      </c>
      <c r="K3425">
        <v>2.97162901022134E-2</v>
      </c>
      <c r="L3425">
        <v>954.66506641039905</v>
      </c>
      <c r="M3425">
        <v>17.991094827968499</v>
      </c>
      <c r="N3425">
        <v>53.2368460699495</v>
      </c>
      <c r="O3425">
        <v>52.4206441148294</v>
      </c>
      <c r="P3425">
        <v>-8.3360669159741899E-2</v>
      </c>
      <c r="Q3425">
        <v>2.8496270453540699E-2</v>
      </c>
      <c r="R3425">
        <v>0.99725590994386504</v>
      </c>
      <c r="S3425" t="s">
        <v>8165</v>
      </c>
      <c r="T3425" t="s">
        <v>9478</v>
      </c>
      <c r="U3425" t="s">
        <v>9478</v>
      </c>
      <c r="V3425" t="s">
        <v>9478</v>
      </c>
      <c r="W3425">
        <v>12</v>
      </c>
      <c r="X3425" t="s">
        <v>12903</v>
      </c>
      <c r="Y3425">
        <v>0.46742832608807799</v>
      </c>
      <c r="Z3425" t="str">
        <f>HYPERLINK("Melting_Curves/meltCurve_sp_Q9NPF4_OSGEP_HUMAN_.pdf", "Melting_Curves/meltCurve_sp_Q9NPF4_OSGEP_HUMAN_.pdf")</f>
        <v>Melting_Curves/meltCurve_sp_Q9NPF4_OSGEP_HUMAN_.pdf</v>
      </c>
      <c r="AA3425" t="s">
        <v>17591</v>
      </c>
      <c r="AB3425" t="s">
        <v>22155</v>
      </c>
    </row>
    <row r="3426" spans="1:28" x14ac:dyDescent="0.25">
      <c r="A3426" t="s">
        <v>3430</v>
      </c>
      <c r="B3426">
        <v>0.99904790336628502</v>
      </c>
      <c r="C3426">
        <v>1.00992159088453</v>
      </c>
      <c r="D3426">
        <v>1.05644200633858</v>
      </c>
      <c r="E3426">
        <v>0.90306173062744</v>
      </c>
      <c r="F3426">
        <v>0.94430115655239899</v>
      </c>
      <c r="G3426">
        <v>0.72790651568724196</v>
      </c>
      <c r="H3426">
        <v>0.64169553183599704</v>
      </c>
      <c r="I3426">
        <v>0.66837835330315998</v>
      </c>
      <c r="J3426">
        <v>0.59666763581085203</v>
      </c>
      <c r="K3426">
        <v>0.627362050089317</v>
      </c>
      <c r="L3426">
        <v>1396.7821567430301</v>
      </c>
      <c r="M3426">
        <v>25.244193895185401</v>
      </c>
      <c r="O3426">
        <v>54.987119273659403</v>
      </c>
      <c r="P3426">
        <v>-4.3676866449795501E-2</v>
      </c>
      <c r="Q3426">
        <v>0.61945562927544995</v>
      </c>
      <c r="R3426">
        <v>0.95678149674110702</v>
      </c>
      <c r="S3426" t="s">
        <v>8166</v>
      </c>
      <c r="T3426" t="s">
        <v>9478</v>
      </c>
      <c r="U3426" t="s">
        <v>9478</v>
      </c>
      <c r="V3426" t="s">
        <v>9478</v>
      </c>
      <c r="W3426">
        <v>3</v>
      </c>
      <c r="X3426" t="s">
        <v>12904</v>
      </c>
      <c r="Y3426">
        <v>0.81738079146752896</v>
      </c>
      <c r="Z3426" t="str">
        <f>HYPERLINK("Melting_Curves/meltCurve_sp_Q9NPG3_2_UBN1_HUMAN_.pdf", "Melting_Curves/meltCurve_sp_Q9NPG3_2_UBN1_HUMAN_.pdf")</f>
        <v>Melting_Curves/meltCurve_sp_Q9NPG3_2_UBN1_HUMAN_.pdf</v>
      </c>
      <c r="AA3426" t="s">
        <v>17592</v>
      </c>
      <c r="AB3426" t="s">
        <v>22259</v>
      </c>
    </row>
    <row r="3427" spans="1:28" x14ac:dyDescent="0.25">
      <c r="A3427" t="s">
        <v>3431</v>
      </c>
      <c r="B3427">
        <v>0.99904790336628502</v>
      </c>
      <c r="C3427">
        <v>1.0529884782225301</v>
      </c>
      <c r="D3427">
        <v>0.97971356537504395</v>
      </c>
      <c r="E3427">
        <v>0.97165290198591503</v>
      </c>
      <c r="F3427">
        <v>0.88453524735720201</v>
      </c>
      <c r="G3427">
        <v>0.66432651944671695</v>
      </c>
      <c r="H3427">
        <v>0.21056141510200399</v>
      </c>
      <c r="I3427">
        <v>5.7903534795751298E-2</v>
      </c>
      <c r="J3427">
        <v>2.9110561260090501E-2</v>
      </c>
      <c r="K3427">
        <v>1.2327382003767999E-2</v>
      </c>
      <c r="L3427">
        <v>1582.54548079099</v>
      </c>
      <c r="M3427">
        <v>27.202970177447401</v>
      </c>
      <c r="N3427">
        <v>58.175484515178702</v>
      </c>
      <c r="O3427">
        <v>57.863809334374203</v>
      </c>
      <c r="P3427">
        <v>-0.11753128657053299</v>
      </c>
      <c r="Q3427">
        <v>0</v>
      </c>
      <c r="R3427">
        <v>0.99608152197741995</v>
      </c>
      <c r="S3427" t="s">
        <v>8167</v>
      </c>
      <c r="T3427" t="s">
        <v>9478</v>
      </c>
      <c r="U3427" t="s">
        <v>9478</v>
      </c>
      <c r="V3427" t="s">
        <v>9478</v>
      </c>
      <c r="W3427">
        <v>6</v>
      </c>
      <c r="X3427" t="s">
        <v>12905</v>
      </c>
      <c r="Y3427">
        <v>0.61349424918643636</v>
      </c>
      <c r="Z3427" t="str">
        <f>HYPERLINK("Melting_Curves/meltCurve_sp_Q9NPH0_PPA6_HUMAN_.pdf", "Melting_Curves/meltCurve_sp_Q9NPH0_PPA6_HUMAN_.pdf")</f>
        <v>Melting_Curves/meltCurve_sp_Q9NPH0_PPA6_HUMAN_.pdf</v>
      </c>
      <c r="AA3427" t="s">
        <v>17593</v>
      </c>
      <c r="AB3427" t="s">
        <v>22260</v>
      </c>
    </row>
    <row r="3428" spans="1:28" x14ac:dyDescent="0.25">
      <c r="A3428" t="s">
        <v>3432</v>
      </c>
      <c r="B3428">
        <v>0.99904790336628502</v>
      </c>
      <c r="C3428">
        <v>0.98067043121646003</v>
      </c>
      <c r="D3428">
        <v>1.0069125163921699</v>
      </c>
      <c r="E3428">
        <v>1.00612728070098</v>
      </c>
      <c r="F3428">
        <v>0.975801368632078</v>
      </c>
      <c r="G3428">
        <v>0.80282499800790996</v>
      </c>
      <c r="H3428">
        <v>0.509011445222737</v>
      </c>
      <c r="I3428">
        <v>0.23525904933286801</v>
      </c>
      <c r="J3428">
        <v>5.6545407278454099E-2</v>
      </c>
      <c r="K3428">
        <v>3.4329746522086001E-2</v>
      </c>
      <c r="L3428">
        <v>1476.13964711518</v>
      </c>
      <c r="M3428">
        <v>24.274511813207699</v>
      </c>
      <c r="N3428">
        <v>60.810259906626399</v>
      </c>
      <c r="O3428">
        <v>60.402089111575698</v>
      </c>
      <c r="P3428">
        <v>-0.10047202290231901</v>
      </c>
      <c r="Q3428">
        <v>0</v>
      </c>
      <c r="R3428">
        <v>0.99739572964857504</v>
      </c>
      <c r="S3428" t="s">
        <v>8168</v>
      </c>
      <c r="T3428" t="s">
        <v>9478</v>
      </c>
      <c r="U3428" t="s">
        <v>9478</v>
      </c>
      <c r="V3428" t="s">
        <v>9478</v>
      </c>
      <c r="W3428">
        <v>7</v>
      </c>
      <c r="X3428" t="s">
        <v>12906</v>
      </c>
      <c r="Y3428">
        <v>0.70028950237489151</v>
      </c>
      <c r="Z3428" t="str">
        <f>HYPERLINK("Melting_Curves/meltCurve_sp_Q9NPJ3_ACO13_HUMAN_.pdf", "Melting_Curves/meltCurve_sp_Q9NPJ3_ACO13_HUMAN_.pdf")</f>
        <v>Melting_Curves/meltCurve_sp_Q9NPJ3_ACO13_HUMAN_.pdf</v>
      </c>
      <c r="AA3428" t="s">
        <v>17594</v>
      </c>
      <c r="AB3428" t="s">
        <v>22261</v>
      </c>
    </row>
    <row r="3429" spans="1:28" x14ac:dyDescent="0.25">
      <c r="A3429" t="s">
        <v>3433</v>
      </c>
      <c r="B3429">
        <v>0.99904790336628502</v>
      </c>
      <c r="C3429">
        <v>0.94545154474395798</v>
      </c>
      <c r="D3429">
        <v>0.92352911581187802</v>
      </c>
      <c r="E3429">
        <v>0.75570634928719604</v>
      </c>
      <c r="F3429">
        <v>0.25426641727801702</v>
      </c>
      <c r="G3429">
        <v>0.12767849528057301</v>
      </c>
      <c r="H3429">
        <v>6.9703483596601098E-2</v>
      </c>
      <c r="I3429">
        <v>5.1089869127979803E-2</v>
      </c>
      <c r="J3429">
        <v>3.7775836130550897E-2</v>
      </c>
      <c r="K3429">
        <v>4.06630657359488E-2</v>
      </c>
      <c r="L3429">
        <v>1895.70593848866</v>
      </c>
      <c r="M3429">
        <v>36.963614088409102</v>
      </c>
      <c r="N3429">
        <v>51.455471973475099</v>
      </c>
      <c r="O3429">
        <v>51.1363146762871</v>
      </c>
      <c r="P3429">
        <v>-0.170339294787128</v>
      </c>
      <c r="Q3429">
        <v>5.7397464800781298E-2</v>
      </c>
      <c r="R3429">
        <v>0.99340649458369201</v>
      </c>
      <c r="S3429" t="s">
        <v>8169</v>
      </c>
      <c r="T3429" t="s">
        <v>9478</v>
      </c>
      <c r="U3429" t="s">
        <v>9478</v>
      </c>
      <c r="V3429" t="s">
        <v>9478</v>
      </c>
      <c r="W3429">
        <v>7</v>
      </c>
      <c r="X3429" t="s">
        <v>12907</v>
      </c>
      <c r="Y3429">
        <v>0.41591250961611342</v>
      </c>
      <c r="Z3429" t="str">
        <f>HYPERLINK("Melting_Curves/meltCurve_sp_Q9NPQ8_4_RIC8A_HUMAN_.pdf", "Melting_Curves/meltCurve_sp_Q9NPQ8_4_RIC8A_HUMAN_.pdf")</f>
        <v>Melting_Curves/meltCurve_sp_Q9NPQ8_4_RIC8A_HUMAN_.pdf</v>
      </c>
      <c r="AA3429" t="s">
        <v>17595</v>
      </c>
      <c r="AB3429" t="s">
        <v>22262</v>
      </c>
    </row>
    <row r="3430" spans="1:28" x14ac:dyDescent="0.25">
      <c r="A3430" t="s">
        <v>3434</v>
      </c>
      <c r="B3430">
        <v>0.99904790336628502</v>
      </c>
      <c r="C3430">
        <v>0.93188923839648996</v>
      </c>
      <c r="D3430">
        <v>0.86311285958528805</v>
      </c>
      <c r="E3430">
        <v>0.67622803926755404</v>
      </c>
      <c r="F3430">
        <v>0.16779284394526001</v>
      </c>
      <c r="G3430">
        <v>9.2536618859052594E-2</v>
      </c>
      <c r="H3430">
        <v>5.3541114599147697E-2</v>
      </c>
      <c r="I3430">
        <v>3.4000760521028399E-2</v>
      </c>
      <c r="J3430">
        <v>2.8403202780913499E-2</v>
      </c>
      <c r="K3430">
        <v>2.7252719995376401E-2</v>
      </c>
      <c r="L3430">
        <v>1809.0438024309401</v>
      </c>
      <c r="M3430">
        <v>35.661517800061901</v>
      </c>
      <c r="N3430">
        <v>50.840423039613398</v>
      </c>
      <c r="O3430">
        <v>50.569452938645298</v>
      </c>
      <c r="P3430">
        <v>-0.169627210348782</v>
      </c>
      <c r="Q3430">
        <v>3.7850558707876E-2</v>
      </c>
      <c r="R3430">
        <v>0.98643449465659705</v>
      </c>
      <c r="S3430" t="s">
        <v>8170</v>
      </c>
      <c r="T3430" t="s">
        <v>9478</v>
      </c>
      <c r="U3430" t="s">
        <v>9478</v>
      </c>
      <c r="V3430" t="s">
        <v>9478</v>
      </c>
      <c r="W3430">
        <v>5</v>
      </c>
      <c r="X3430" t="s">
        <v>12908</v>
      </c>
      <c r="Y3430">
        <v>0.38617326711857669</v>
      </c>
      <c r="Z3430" t="str">
        <f>HYPERLINK("Melting_Curves/meltCurve_sp_Q9NQ88_TIGAR_HUMAN_.pdf", "Melting_Curves/meltCurve_sp_Q9NQ88_TIGAR_HUMAN_.pdf")</f>
        <v>Melting_Curves/meltCurve_sp_Q9NQ88_TIGAR_HUMAN_.pdf</v>
      </c>
      <c r="AA3430" t="s">
        <v>17596</v>
      </c>
      <c r="AB3430" t="s">
        <v>22263</v>
      </c>
    </row>
    <row r="3431" spans="1:28" x14ac:dyDescent="0.25">
      <c r="A3431" t="s">
        <v>3435</v>
      </c>
      <c r="B3431">
        <v>0.99904790336628502</v>
      </c>
      <c r="C3431">
        <v>0.91039222826696398</v>
      </c>
      <c r="D3431">
        <v>0.79462892524058704</v>
      </c>
      <c r="E3431">
        <v>0.64117336921272305</v>
      </c>
      <c r="F3431">
        <v>0.31926861030036602</v>
      </c>
      <c r="G3431">
        <v>0.18695169563262801</v>
      </c>
      <c r="H3431">
        <v>0.13324578052514599</v>
      </c>
      <c r="I3431">
        <v>0.102590589660642</v>
      </c>
      <c r="J3431">
        <v>9.8206575654362499E-2</v>
      </c>
      <c r="K3431">
        <v>7.5423869549820596E-2</v>
      </c>
      <c r="L3431">
        <v>776.31241340489896</v>
      </c>
      <c r="M3431">
        <v>15.3805222105717</v>
      </c>
      <c r="N3431">
        <v>50.934359135422802</v>
      </c>
      <c r="O3431">
        <v>49.643572840981598</v>
      </c>
      <c r="P3431">
        <v>-7.2432512606788305E-2</v>
      </c>
      <c r="Q3431">
        <v>6.4926564329731498E-2</v>
      </c>
      <c r="R3431">
        <v>0.99121458838465804</v>
      </c>
      <c r="S3431" t="s">
        <v>8171</v>
      </c>
      <c r="T3431" t="s">
        <v>9478</v>
      </c>
      <c r="U3431" t="s">
        <v>9478</v>
      </c>
      <c r="V3431" t="s">
        <v>9478</v>
      </c>
      <c r="W3431">
        <v>19</v>
      </c>
      <c r="X3431" t="s">
        <v>12909</v>
      </c>
      <c r="Y3431">
        <v>0.41241845435309149</v>
      </c>
      <c r="Z3431" t="str">
        <f>HYPERLINK("Melting_Curves/meltCurve_sp_Q9NQ94_2_A1CF_HUMAN_.pdf", "Melting_Curves/meltCurve_sp_Q9NQ94_2_A1CF_HUMAN_.pdf")</f>
        <v>Melting_Curves/meltCurve_sp_Q9NQ94_2_A1CF_HUMAN_.pdf</v>
      </c>
      <c r="AA3431" t="s">
        <v>17597</v>
      </c>
      <c r="AB3431" t="s">
        <v>22264</v>
      </c>
    </row>
    <row r="3432" spans="1:28" x14ac:dyDescent="0.25">
      <c r="A3432" t="s">
        <v>3436</v>
      </c>
      <c r="B3432">
        <v>0.99904790336628502</v>
      </c>
      <c r="C3432">
        <v>0.96452359194850101</v>
      </c>
      <c r="D3432">
        <v>0.93574964889899703</v>
      </c>
      <c r="E3432">
        <v>0.89222792749172397</v>
      </c>
      <c r="F3432">
        <v>0.85854867899973897</v>
      </c>
      <c r="G3432">
        <v>0.47821650309214297</v>
      </c>
      <c r="H3432">
        <v>0.27198948237947201</v>
      </c>
      <c r="I3432">
        <v>0.21424747949637701</v>
      </c>
      <c r="J3432">
        <v>0.20268765282547899</v>
      </c>
      <c r="K3432">
        <v>0.20142465989595901</v>
      </c>
      <c r="L3432">
        <v>1341.0966344972801</v>
      </c>
      <c r="M3432">
        <v>24.050586967441699</v>
      </c>
      <c r="N3432">
        <v>56.858016408647202</v>
      </c>
      <c r="O3432">
        <v>55.380282869709802</v>
      </c>
      <c r="P3432">
        <v>-8.8425024143754194E-2</v>
      </c>
      <c r="Q3432">
        <v>0.18556245472741401</v>
      </c>
      <c r="R3432">
        <v>0.99112758218414698</v>
      </c>
      <c r="S3432" t="s">
        <v>8172</v>
      </c>
      <c r="T3432" t="s">
        <v>9478</v>
      </c>
      <c r="U3432" t="s">
        <v>9478</v>
      </c>
      <c r="V3432" t="s">
        <v>9478</v>
      </c>
      <c r="W3432">
        <v>14</v>
      </c>
      <c r="X3432" t="s">
        <v>12910</v>
      </c>
      <c r="Y3432">
        <v>0.6214494787692898</v>
      </c>
      <c r="Z3432" t="str">
        <f>HYPERLINK("Melting_Curves/meltCurve_sp_Q9NQG5_RPR1B_HUMAN_.pdf", "Melting_Curves/meltCurve_sp_Q9NQG5_RPR1B_HUMAN_.pdf")</f>
        <v>Melting_Curves/meltCurve_sp_Q9NQG5_RPR1B_HUMAN_.pdf</v>
      </c>
      <c r="AA3432" t="s">
        <v>17598</v>
      </c>
      <c r="AB3432" t="s">
        <v>22265</v>
      </c>
    </row>
    <row r="3433" spans="1:28" x14ac:dyDescent="0.25">
      <c r="A3433" t="s">
        <v>3437</v>
      </c>
      <c r="B3433">
        <v>0.99904790336628502</v>
      </c>
      <c r="C3433">
        <v>0.76871559590070504</v>
      </c>
      <c r="D3433">
        <v>0.74396461918189005</v>
      </c>
      <c r="E3433">
        <v>0.73649800371954699</v>
      </c>
      <c r="F3433">
        <v>0.66171350465168199</v>
      </c>
      <c r="G3433">
        <v>0.39213377490199802</v>
      </c>
      <c r="H3433">
        <v>0.16931449800766499</v>
      </c>
      <c r="I3433">
        <v>0.113595369825179</v>
      </c>
      <c r="J3433">
        <v>5.8762358039935299E-2</v>
      </c>
      <c r="K3433">
        <v>5.4589045740629602E-2</v>
      </c>
      <c r="L3433">
        <v>558.57992388927698</v>
      </c>
      <c r="M3433">
        <v>10.377455349644199</v>
      </c>
      <c r="N3433">
        <v>53.826289897589497</v>
      </c>
      <c r="O3433">
        <v>51.942577393304397</v>
      </c>
      <c r="P3433">
        <v>-4.9967847772816598E-2</v>
      </c>
      <c r="Q3433">
        <v>0</v>
      </c>
      <c r="R3433">
        <v>0.93939468149902405</v>
      </c>
      <c r="S3433" t="s">
        <v>8173</v>
      </c>
      <c r="T3433" t="s">
        <v>9478</v>
      </c>
      <c r="U3433" t="s">
        <v>9478</v>
      </c>
      <c r="V3433" t="s">
        <v>9478</v>
      </c>
      <c r="W3433">
        <v>1</v>
      </c>
      <c r="X3433" t="s">
        <v>12911</v>
      </c>
      <c r="Y3433">
        <v>0.49096368309720168</v>
      </c>
      <c r="Z3433" t="str">
        <f>HYPERLINK("Melting_Curves/meltCurve_sp_Q9NQG6_MID51_HUMAN_.pdf", "Melting_Curves/meltCurve_sp_Q9NQG6_MID51_HUMAN_.pdf")</f>
        <v>Melting_Curves/meltCurve_sp_Q9NQG6_MID51_HUMAN_.pdf</v>
      </c>
      <c r="AA3433" t="s">
        <v>17599</v>
      </c>
      <c r="AB3433" t="s">
        <v>22266</v>
      </c>
    </row>
    <row r="3434" spans="1:28" x14ac:dyDescent="0.25">
      <c r="A3434" t="s">
        <v>3438</v>
      </c>
      <c r="B3434">
        <v>0.99904790336628502</v>
      </c>
      <c r="C3434">
        <v>1.2173254937104501</v>
      </c>
      <c r="D3434">
        <v>1.29173661748533</v>
      </c>
      <c r="E3434">
        <v>1.2019670412964401</v>
      </c>
      <c r="F3434">
        <v>1.06567369961666</v>
      </c>
      <c r="G3434">
        <v>0.51473693818339805</v>
      </c>
      <c r="H3434">
        <v>0.18931888539979799</v>
      </c>
      <c r="I3434">
        <v>0.104367477633608</v>
      </c>
      <c r="J3434">
        <v>6.4986398709192497E-2</v>
      </c>
      <c r="K3434">
        <v>3.5897914134697499E-2</v>
      </c>
      <c r="L3434">
        <v>3035.4826794365999</v>
      </c>
      <c r="M3434">
        <v>53.321398621672301</v>
      </c>
      <c r="N3434">
        <v>57.139725416340603</v>
      </c>
      <c r="O3434">
        <v>56.848119489111703</v>
      </c>
      <c r="P3434">
        <v>-0.21347412404530999</v>
      </c>
      <c r="Q3434">
        <v>8.9626430028609802E-2</v>
      </c>
      <c r="R3434">
        <v>0.92640862379233002</v>
      </c>
      <c r="S3434" t="s">
        <v>8174</v>
      </c>
      <c r="T3434" t="s">
        <v>9478</v>
      </c>
      <c r="U3434" t="s">
        <v>9478</v>
      </c>
      <c r="V3434" t="s">
        <v>9478</v>
      </c>
      <c r="W3434">
        <v>9</v>
      </c>
      <c r="X3434" t="s">
        <v>12912</v>
      </c>
      <c r="Y3434">
        <v>0.60532741295242176</v>
      </c>
      <c r="Z3434" t="str">
        <f>HYPERLINK("Melting_Curves/meltCurve_sp_Q9NQH7_2_XPP3_HUMAN_.pdf", "Melting_Curves/meltCurve_sp_Q9NQH7_2_XPP3_HUMAN_.pdf")</f>
        <v>Melting_Curves/meltCurve_sp_Q9NQH7_2_XPP3_HUMAN_.pdf</v>
      </c>
      <c r="AA3434" t="s">
        <v>17600</v>
      </c>
      <c r="AB3434" t="s">
        <v>22267</v>
      </c>
    </row>
    <row r="3435" spans="1:28" x14ac:dyDescent="0.25">
      <c r="A3435" t="s">
        <v>3439</v>
      </c>
      <c r="B3435">
        <v>0.99904790336628502</v>
      </c>
      <c r="C3435">
        <v>0.97830029522935902</v>
      </c>
      <c r="D3435">
        <v>1.0387815775987601</v>
      </c>
      <c r="E3435">
        <v>0.97825807183622104</v>
      </c>
      <c r="F3435">
        <v>0.925249479324742</v>
      </c>
      <c r="G3435">
        <v>0.72240900438745304</v>
      </c>
      <c r="H3435">
        <v>0.60214377842843303</v>
      </c>
      <c r="I3435">
        <v>0.54602064646150394</v>
      </c>
      <c r="J3435">
        <v>0.54854412302903999</v>
      </c>
      <c r="K3435">
        <v>0.56619419176180197</v>
      </c>
      <c r="L3435">
        <v>1557.7515594604899</v>
      </c>
      <c r="M3435">
        <v>27.7911838297046</v>
      </c>
      <c r="O3435">
        <v>55.764188909208698</v>
      </c>
      <c r="P3435">
        <v>-5.6110290533398603E-2</v>
      </c>
      <c r="Q3435">
        <v>0.54965324070589905</v>
      </c>
      <c r="R3435">
        <v>0.99316213952403998</v>
      </c>
      <c r="S3435" t="s">
        <v>8175</v>
      </c>
      <c r="T3435" t="s">
        <v>9478</v>
      </c>
      <c r="U3435" t="s">
        <v>9478</v>
      </c>
      <c r="V3435" t="s">
        <v>9478</v>
      </c>
      <c r="W3435">
        <v>4</v>
      </c>
      <c r="X3435" t="s">
        <v>12913</v>
      </c>
      <c r="Y3435">
        <v>0.79406513389456734</v>
      </c>
      <c r="Z3435" t="str">
        <f>HYPERLINK("Melting_Curves/meltCurve_sp_Q9NQP4_PFD4_HUMAN_.pdf", "Melting_Curves/meltCurve_sp_Q9NQP4_PFD4_HUMAN_.pdf")</f>
        <v>Melting_Curves/meltCurve_sp_Q9NQP4_PFD4_HUMAN_.pdf</v>
      </c>
      <c r="AA3435" t="s">
        <v>17601</v>
      </c>
      <c r="AB3435" t="s">
        <v>22268</v>
      </c>
    </row>
    <row r="3436" spans="1:28" x14ac:dyDescent="0.25">
      <c r="A3436" t="s">
        <v>3440</v>
      </c>
      <c r="B3436">
        <v>0.99904790336628502</v>
      </c>
      <c r="C3436">
        <v>1.0610285770424199</v>
      </c>
      <c r="D3436">
        <v>1.0852487515062399</v>
      </c>
      <c r="E3436">
        <v>1.0487841395186701</v>
      </c>
      <c r="F3436">
        <v>0.97154437526760595</v>
      </c>
      <c r="G3436">
        <v>0.63896449677481904</v>
      </c>
      <c r="H3436">
        <v>0.390070880109183</v>
      </c>
      <c r="I3436">
        <v>0.29988432458527697</v>
      </c>
      <c r="J3436">
        <v>0.23124675596566899</v>
      </c>
      <c r="K3436">
        <v>0.16156775019386799</v>
      </c>
      <c r="L3436">
        <v>1460.64176438714</v>
      </c>
      <c r="M3436">
        <v>25.207872350108499</v>
      </c>
      <c r="N3436">
        <v>59.109402237639202</v>
      </c>
      <c r="O3436">
        <v>57.582905043371902</v>
      </c>
      <c r="P3436">
        <v>-8.8009784993596005E-2</v>
      </c>
      <c r="Q3436">
        <v>0.19583960972200101</v>
      </c>
      <c r="R3436">
        <v>0.98322857010976195</v>
      </c>
      <c r="S3436" t="s">
        <v>8176</v>
      </c>
      <c r="T3436" t="s">
        <v>9478</v>
      </c>
      <c r="U3436" t="s">
        <v>9478</v>
      </c>
      <c r="V3436" t="s">
        <v>9478</v>
      </c>
      <c r="W3436">
        <v>23</v>
      </c>
      <c r="X3436" t="s">
        <v>12914</v>
      </c>
      <c r="Y3436">
        <v>0.68376250982385234</v>
      </c>
      <c r="Z3436" t="str">
        <f>HYPERLINK("Melting_Curves/meltCurve_sp_Q9NQR4_NIT2_HUMAN_.pdf", "Melting_Curves/meltCurve_sp_Q9NQR4_NIT2_HUMAN_.pdf")</f>
        <v>Melting_Curves/meltCurve_sp_Q9NQR4_NIT2_HUMAN_.pdf</v>
      </c>
      <c r="AA3436" t="s">
        <v>17602</v>
      </c>
      <c r="AB3436" t="s">
        <v>22269</v>
      </c>
    </row>
    <row r="3437" spans="1:28" x14ac:dyDescent="0.25">
      <c r="A3437" t="s">
        <v>3441</v>
      </c>
      <c r="B3437">
        <v>0.99904790336628502</v>
      </c>
      <c r="C3437">
        <v>1.07331302937078</v>
      </c>
      <c r="D3437">
        <v>1.02656260172283</v>
      </c>
      <c r="E3437">
        <v>0.98316203562947102</v>
      </c>
      <c r="F3437">
        <v>0.764946670341069</v>
      </c>
      <c r="G3437">
        <v>0.47353979448251299</v>
      </c>
      <c r="H3437">
        <v>0.46222517252552198</v>
      </c>
      <c r="I3437">
        <v>0.39716546253862001</v>
      </c>
      <c r="J3437">
        <v>0.42537741805822499</v>
      </c>
      <c r="K3437">
        <v>0.41629276724971698</v>
      </c>
      <c r="L3437">
        <v>2189.89586452819</v>
      </c>
      <c r="M3437">
        <v>40.912007104991197</v>
      </c>
      <c r="N3437">
        <v>56.126343914086398</v>
      </c>
      <c r="O3437">
        <v>53.399561897777602</v>
      </c>
      <c r="P3437">
        <v>-0.110168284373172</v>
      </c>
      <c r="Q3437">
        <v>0.42482147860809999</v>
      </c>
      <c r="R3437">
        <v>0.98921127061903702</v>
      </c>
      <c r="S3437" t="s">
        <v>8177</v>
      </c>
      <c r="T3437" t="s">
        <v>9478</v>
      </c>
      <c r="U3437" t="s">
        <v>9478</v>
      </c>
      <c r="V3437" t="s">
        <v>9478</v>
      </c>
      <c r="W3437">
        <v>4</v>
      </c>
      <c r="X3437" t="s">
        <v>12915</v>
      </c>
      <c r="Y3437">
        <v>0.68620001649151519</v>
      </c>
      <c r="Z3437" t="str">
        <f>HYPERLINK("Melting_Curves/meltCurve_sp_Q9NQS1_AVEN_HUMAN_.pdf", "Melting_Curves/meltCurve_sp_Q9NQS1_AVEN_HUMAN_.pdf")</f>
        <v>Melting_Curves/meltCurve_sp_Q9NQS1_AVEN_HUMAN_.pdf</v>
      </c>
      <c r="AA3437" t="s">
        <v>17603</v>
      </c>
      <c r="AB3437" t="s">
        <v>22270</v>
      </c>
    </row>
    <row r="3438" spans="1:28" x14ac:dyDescent="0.25">
      <c r="A3438" t="s">
        <v>3442</v>
      </c>
      <c r="B3438">
        <v>0.99904790336628502</v>
      </c>
      <c r="C3438">
        <v>1.10790512389853</v>
      </c>
      <c r="D3438">
        <v>1.0319995119365699</v>
      </c>
      <c r="E3438">
        <v>0.91616409092819395</v>
      </c>
      <c r="F3438">
        <v>0.62404947076558703</v>
      </c>
      <c r="G3438">
        <v>0.25365854945628302</v>
      </c>
      <c r="H3438">
        <v>0.10245586868333</v>
      </c>
      <c r="I3438">
        <v>6.0000641532941899E-2</v>
      </c>
      <c r="J3438">
        <v>3.2464318460913001E-2</v>
      </c>
      <c r="K3438">
        <v>2.6190657288662399E-2</v>
      </c>
      <c r="L3438">
        <v>1387.1076491701699</v>
      </c>
      <c r="M3438">
        <v>25.629599373269699</v>
      </c>
      <c r="N3438">
        <v>54.280125849121497</v>
      </c>
      <c r="O3438">
        <v>53.795054915854998</v>
      </c>
      <c r="P3438">
        <v>-0.114806860940873</v>
      </c>
      <c r="Q3438">
        <v>3.6119758667970098E-2</v>
      </c>
      <c r="R3438">
        <v>0.992167735988288</v>
      </c>
      <c r="S3438" t="s">
        <v>8178</v>
      </c>
      <c r="T3438" t="s">
        <v>9478</v>
      </c>
      <c r="U3438" t="s">
        <v>9478</v>
      </c>
      <c r="V3438" t="s">
        <v>9478</v>
      </c>
      <c r="W3438">
        <v>3</v>
      </c>
      <c r="X3438" t="s">
        <v>12916</v>
      </c>
      <c r="Y3438">
        <v>0.49835497623332942</v>
      </c>
      <c r="Z3438" t="str">
        <f>HYPERLINK("Melting_Curves/meltCurve_sp_Q9NQT4_EXOS5_HUMAN_.pdf", "Melting_Curves/meltCurve_sp_Q9NQT4_EXOS5_HUMAN_.pdf")</f>
        <v>Melting_Curves/meltCurve_sp_Q9NQT4_EXOS5_HUMAN_.pdf</v>
      </c>
      <c r="AA3438" t="s">
        <v>17604</v>
      </c>
      <c r="AB3438" t="s">
        <v>22271</v>
      </c>
    </row>
    <row r="3439" spans="1:28" x14ac:dyDescent="0.25">
      <c r="A3439" t="s">
        <v>3443</v>
      </c>
      <c r="B3439">
        <v>0.99904790336628502</v>
      </c>
      <c r="C3439">
        <v>0.76425840653161303</v>
      </c>
      <c r="D3439">
        <v>0.68744560231478902</v>
      </c>
      <c r="E3439">
        <v>0.44139113167178201</v>
      </c>
      <c r="F3439">
        <v>0.31054510683047598</v>
      </c>
      <c r="G3439">
        <v>0.17945492878545899</v>
      </c>
      <c r="H3439">
        <v>0.12780478477702001</v>
      </c>
      <c r="I3439">
        <v>0.100132273074619</v>
      </c>
      <c r="J3439">
        <v>9.1326245544982407E-2</v>
      </c>
      <c r="K3439">
        <v>8.0375134523965705E-2</v>
      </c>
      <c r="L3439">
        <v>577.28958647037496</v>
      </c>
      <c r="M3439">
        <v>11.926585178941901</v>
      </c>
      <c r="N3439">
        <v>48.878469281318097</v>
      </c>
      <c r="O3439">
        <v>47.102983596157102</v>
      </c>
      <c r="P3439">
        <v>-5.9852601284076497E-2</v>
      </c>
      <c r="Q3439">
        <v>5.47033416171794E-2</v>
      </c>
      <c r="R3439">
        <v>0.98988630858686599</v>
      </c>
      <c r="S3439" t="s">
        <v>8179</v>
      </c>
      <c r="T3439" t="s">
        <v>9478</v>
      </c>
      <c r="U3439" t="s">
        <v>9478</v>
      </c>
      <c r="V3439" t="s">
        <v>9478</v>
      </c>
      <c r="W3439">
        <v>28</v>
      </c>
      <c r="X3439" t="s">
        <v>12917</v>
      </c>
      <c r="Y3439">
        <v>0.35592070719682878</v>
      </c>
      <c r="Z3439" t="str">
        <f>HYPERLINK("Melting_Curves/meltCurve_sp_Q9NQT8_KI13B_HUMAN_.pdf", "Melting_Curves/meltCurve_sp_Q9NQT8_KI13B_HUMAN_.pdf")</f>
        <v>Melting_Curves/meltCurve_sp_Q9NQT8_KI13B_HUMAN_.pdf</v>
      </c>
      <c r="AA3439" t="s">
        <v>17605</v>
      </c>
      <c r="AB3439" t="s">
        <v>22272</v>
      </c>
    </row>
    <row r="3440" spans="1:28" x14ac:dyDescent="0.25">
      <c r="A3440" t="s">
        <v>3444</v>
      </c>
      <c r="B3440">
        <v>0.99904790336628502</v>
      </c>
      <c r="C3440">
        <v>0.94369489700811504</v>
      </c>
      <c r="D3440">
        <v>0.98111215495330395</v>
      </c>
      <c r="E3440">
        <v>0.67044948328356102</v>
      </c>
      <c r="F3440">
        <v>0.28442797220116001</v>
      </c>
      <c r="G3440">
        <v>0.135979507570439</v>
      </c>
      <c r="H3440">
        <v>7.7278414667233994E-2</v>
      </c>
      <c r="I3440">
        <v>5.5195826858480998E-2</v>
      </c>
      <c r="J3440">
        <v>4.1455179691388899E-2</v>
      </c>
      <c r="K3440">
        <v>3.1959229195782701E-2</v>
      </c>
      <c r="L3440">
        <v>1452.0759723787601</v>
      </c>
      <c r="M3440">
        <v>28.434178461402301</v>
      </c>
      <c r="N3440">
        <v>51.273355183394202</v>
      </c>
      <c r="O3440">
        <v>50.817386112485501</v>
      </c>
      <c r="P3440">
        <v>-0.13235604999387801</v>
      </c>
      <c r="Q3440">
        <v>5.38240064666968E-2</v>
      </c>
      <c r="R3440">
        <v>0.99656641913773103</v>
      </c>
      <c r="S3440" t="s">
        <v>8180</v>
      </c>
      <c r="T3440" t="s">
        <v>9478</v>
      </c>
      <c r="U3440" t="s">
        <v>9478</v>
      </c>
      <c r="V3440" t="s">
        <v>9478</v>
      </c>
      <c r="W3440">
        <v>21</v>
      </c>
      <c r="X3440" t="s">
        <v>12918</v>
      </c>
      <c r="Y3440">
        <v>0.40952809330708051</v>
      </c>
      <c r="Z3440" t="str">
        <f>HYPERLINK("Melting_Curves/meltCurve_sp_Q9NQW7_3_XPP1_HUMAN_.pdf", "Melting_Curves/meltCurve_sp_Q9NQW7_3_XPP1_HUMAN_.pdf")</f>
        <v>Melting_Curves/meltCurve_sp_Q9NQW7_3_XPP1_HUMAN_.pdf</v>
      </c>
      <c r="AA3440" t="s">
        <v>17606</v>
      </c>
      <c r="AB3440" t="s">
        <v>22273</v>
      </c>
    </row>
    <row r="3441" spans="1:28" x14ac:dyDescent="0.25">
      <c r="A3441" t="s">
        <v>3445</v>
      </c>
      <c r="B3441">
        <v>0.99904790336628502</v>
      </c>
      <c r="C3441">
        <v>1.0647292500944301</v>
      </c>
      <c r="D3441">
        <v>1.10939076963975</v>
      </c>
      <c r="E3441">
        <v>1.0844364388059999</v>
      </c>
      <c r="F3441">
        <v>0.89702938263004905</v>
      </c>
      <c r="G3441">
        <v>0.77075279269472197</v>
      </c>
      <c r="H3441">
        <v>0.48361677493975302</v>
      </c>
      <c r="I3441">
        <v>0.153323695747939</v>
      </c>
      <c r="J3441">
        <v>9.2886692494264303E-2</v>
      </c>
      <c r="K3441">
        <v>8.1262119829876994E-2</v>
      </c>
      <c r="L3441">
        <v>1398.49351126278</v>
      </c>
      <c r="M3441">
        <v>23.249682725133599</v>
      </c>
      <c r="N3441">
        <v>60.239858485553597</v>
      </c>
      <c r="O3441">
        <v>59.711400387691697</v>
      </c>
      <c r="P3441">
        <v>-9.5704434834785204E-2</v>
      </c>
      <c r="Q3441">
        <v>1.6839675135066901E-2</v>
      </c>
      <c r="R3441">
        <v>0.97828269432687898</v>
      </c>
      <c r="S3441" t="s">
        <v>8181</v>
      </c>
      <c r="T3441" t="s">
        <v>9478</v>
      </c>
      <c r="U3441" t="s">
        <v>9478</v>
      </c>
      <c r="V3441" t="s">
        <v>9478</v>
      </c>
      <c r="W3441">
        <v>21</v>
      </c>
      <c r="X3441" t="s">
        <v>12919</v>
      </c>
      <c r="Y3441">
        <v>0.6847619027515125</v>
      </c>
      <c r="Z3441" t="str">
        <f>HYPERLINK("Melting_Curves/meltCurve_sp_Q9NQX3_GEPH_HUMAN_.pdf", "Melting_Curves/meltCurve_sp_Q9NQX3_GEPH_HUMAN_.pdf")</f>
        <v>Melting_Curves/meltCurve_sp_Q9NQX3_GEPH_HUMAN_.pdf</v>
      </c>
      <c r="AA3441" t="s">
        <v>17607</v>
      </c>
      <c r="AB3441" t="s">
        <v>22274</v>
      </c>
    </row>
    <row r="3442" spans="1:28" x14ac:dyDescent="0.25">
      <c r="A3442" t="s">
        <v>3446</v>
      </c>
      <c r="B3442">
        <v>0.99904790336628502</v>
      </c>
      <c r="C3442">
        <v>0.91835086413573597</v>
      </c>
      <c r="D3442">
        <v>0.95327001618524798</v>
      </c>
      <c r="E3442">
        <v>0.81679602960711895</v>
      </c>
      <c r="F3442">
        <v>0.66188959525236402</v>
      </c>
      <c r="G3442">
        <v>0.252879820279312</v>
      </c>
      <c r="H3442">
        <v>7.3570265119723394E-2</v>
      </c>
      <c r="I3442">
        <v>6.5027729776526197E-2</v>
      </c>
      <c r="J3442">
        <v>1.9529498715446E-2</v>
      </c>
      <c r="K3442">
        <v>1.50552925501141E-2</v>
      </c>
      <c r="L3442">
        <v>1097.2329563405899</v>
      </c>
      <c r="M3442">
        <v>20.221767843806301</v>
      </c>
      <c r="N3442">
        <v>54.2599918056804</v>
      </c>
      <c r="O3442">
        <v>53.737719805429599</v>
      </c>
      <c r="P3442">
        <v>-9.4079156283051593E-2</v>
      </c>
      <c r="Q3442">
        <v>0</v>
      </c>
      <c r="R3442">
        <v>0.99347463376318301</v>
      </c>
      <c r="S3442" t="s">
        <v>8182</v>
      </c>
      <c r="T3442" t="s">
        <v>9478</v>
      </c>
      <c r="U3442" t="s">
        <v>9478</v>
      </c>
      <c r="V3442" t="s">
        <v>9478</v>
      </c>
      <c r="W3442">
        <v>3</v>
      </c>
      <c r="X3442" t="s">
        <v>12920</v>
      </c>
      <c r="Y3442">
        <v>0.48862998243629618</v>
      </c>
      <c r="Z3442" t="str">
        <f>HYPERLINK("Melting_Curves/meltCurve_sp_Q9NR09_BIRC6_HUMAN_.pdf", "Melting_Curves/meltCurve_sp_Q9NR09_BIRC6_HUMAN_.pdf")</f>
        <v>Melting_Curves/meltCurve_sp_Q9NR09_BIRC6_HUMAN_.pdf</v>
      </c>
      <c r="AA3442" t="s">
        <v>17608</v>
      </c>
      <c r="AB3442" t="s">
        <v>22275</v>
      </c>
    </row>
    <row r="3443" spans="1:28" x14ac:dyDescent="0.25">
      <c r="A3443" t="s">
        <v>3447</v>
      </c>
      <c r="B3443">
        <v>0.99904790336628502</v>
      </c>
      <c r="C3443">
        <v>0.94507152046193799</v>
      </c>
      <c r="D3443">
        <v>0.97814244281684504</v>
      </c>
      <c r="E3443">
        <v>0.71141247554487597</v>
      </c>
      <c r="F3443">
        <v>0.22756692124779199</v>
      </c>
      <c r="G3443">
        <v>9.0366597384623701E-2</v>
      </c>
      <c r="H3443">
        <v>4.8619681415156199E-2</v>
      </c>
      <c r="I3443">
        <v>3.4703658270388099E-2</v>
      </c>
      <c r="J3443">
        <v>3.23055521774284E-2</v>
      </c>
      <c r="K3443">
        <v>2.7615010451937799E-2</v>
      </c>
      <c r="L3443">
        <v>1920.0933601223701</v>
      </c>
      <c r="M3443">
        <v>37.5853114741318</v>
      </c>
      <c r="N3443">
        <v>51.202783906457299</v>
      </c>
      <c r="O3443">
        <v>50.942299433512297</v>
      </c>
      <c r="P3443">
        <v>-0.17689103631610101</v>
      </c>
      <c r="Q3443">
        <v>4.0985834123834997E-2</v>
      </c>
      <c r="R3443">
        <v>0.99749515672699796</v>
      </c>
      <c r="S3443" t="s">
        <v>8183</v>
      </c>
      <c r="T3443" t="s">
        <v>9478</v>
      </c>
      <c r="U3443" t="s">
        <v>9478</v>
      </c>
      <c r="V3443" t="s">
        <v>9478</v>
      </c>
      <c r="W3443">
        <v>19</v>
      </c>
      <c r="X3443" t="s">
        <v>12921</v>
      </c>
      <c r="Y3443">
        <v>0.39922075826965331</v>
      </c>
      <c r="Z3443" t="str">
        <f>HYPERLINK("Melting_Curves/meltCurve_sp_Q9NR19_ACSA_HUMAN_.pdf", "Melting_Curves/meltCurve_sp_Q9NR19_ACSA_HUMAN_.pdf")</f>
        <v>Melting_Curves/meltCurve_sp_Q9NR19_ACSA_HUMAN_.pdf</v>
      </c>
      <c r="AA3443" t="s">
        <v>17609</v>
      </c>
      <c r="AB3443" t="s">
        <v>22276</v>
      </c>
    </row>
    <row r="3444" spans="1:28" x14ac:dyDescent="0.25">
      <c r="A3444" t="s">
        <v>3448</v>
      </c>
      <c r="B3444">
        <v>0.99904790336628502</v>
      </c>
      <c r="C3444">
        <v>1.1050378412261599</v>
      </c>
      <c r="D3444">
        <v>1.0630434515535301</v>
      </c>
      <c r="E3444">
        <v>1.06304525424993</v>
      </c>
      <c r="F3444">
        <v>0.969421476782516</v>
      </c>
      <c r="G3444">
        <v>0.74922675840862896</v>
      </c>
      <c r="H3444">
        <v>0.46291943622901199</v>
      </c>
      <c r="I3444">
        <v>0.31409212969282801</v>
      </c>
      <c r="J3444">
        <v>0.15896372937379999</v>
      </c>
      <c r="K3444">
        <v>8.7831185615694501E-2</v>
      </c>
      <c r="L3444">
        <v>1204.2915322562401</v>
      </c>
      <c r="M3444">
        <v>19.937147740685599</v>
      </c>
      <c r="N3444">
        <v>60.683679228911899</v>
      </c>
      <c r="O3444">
        <v>59.806547670303999</v>
      </c>
      <c r="P3444">
        <v>-7.9689566628233705E-2</v>
      </c>
      <c r="Q3444">
        <v>4.3834985201651099E-2</v>
      </c>
      <c r="R3444">
        <v>0.98335662017742198</v>
      </c>
      <c r="S3444" t="s">
        <v>8184</v>
      </c>
      <c r="T3444" t="s">
        <v>9478</v>
      </c>
      <c r="U3444" t="s">
        <v>9478</v>
      </c>
      <c r="V3444" t="s">
        <v>9478</v>
      </c>
      <c r="W3444">
        <v>10</v>
      </c>
      <c r="X3444" t="s">
        <v>12922</v>
      </c>
      <c r="Y3444">
        <v>0.70134659926932197</v>
      </c>
      <c r="Z3444" t="str">
        <f>HYPERLINK("Melting_Curves/meltCurve_sp_Q9NR28_2_DBLOH_HUMAN_.pdf", "Melting_Curves/meltCurve_sp_Q9NR28_2_DBLOH_HUMAN_.pdf")</f>
        <v>Melting_Curves/meltCurve_sp_Q9NR28_2_DBLOH_HUMAN_.pdf</v>
      </c>
      <c r="AA3444" t="s">
        <v>17610</v>
      </c>
      <c r="AB3444" t="s">
        <v>22277</v>
      </c>
    </row>
    <row r="3445" spans="1:28" x14ac:dyDescent="0.25">
      <c r="A3445" t="s">
        <v>3449</v>
      </c>
      <c r="B3445">
        <v>0.99904790336628502</v>
      </c>
      <c r="C3445">
        <v>0.98682240694766499</v>
      </c>
      <c r="D3445">
        <v>0.99043523084227503</v>
      </c>
      <c r="E3445">
        <v>0.91708428385317797</v>
      </c>
      <c r="F3445">
        <v>0.91754000320558005</v>
      </c>
      <c r="G3445">
        <v>0.81955252383069599</v>
      </c>
      <c r="H3445">
        <v>0.67127304184817405</v>
      </c>
      <c r="I3445">
        <v>0.59910714302783996</v>
      </c>
      <c r="J3445">
        <v>0.61700722027321697</v>
      </c>
      <c r="K3445">
        <v>0.64159709096995399</v>
      </c>
      <c r="L3445">
        <v>996.31831412893496</v>
      </c>
      <c r="M3445">
        <v>17.560374811292998</v>
      </c>
      <c r="O3445">
        <v>56.016294656828201</v>
      </c>
      <c r="P3445">
        <v>-3.1960177238786802E-2</v>
      </c>
      <c r="Q3445">
        <v>0.59221978919644302</v>
      </c>
      <c r="R3445">
        <v>0.97328501247450305</v>
      </c>
      <c r="S3445" t="s">
        <v>8185</v>
      </c>
      <c r="T3445" t="s">
        <v>9478</v>
      </c>
      <c r="U3445" t="s">
        <v>9478</v>
      </c>
      <c r="V3445" t="s">
        <v>9478</v>
      </c>
      <c r="W3445">
        <v>5</v>
      </c>
      <c r="X3445" t="s">
        <v>12923</v>
      </c>
      <c r="Y3445">
        <v>0.82557812243916806</v>
      </c>
      <c r="Z3445" t="str">
        <f>HYPERLINK("Melting_Curves/meltCurve_sp_Q9NR30_DDX21_HUMAN_.pdf", "Melting_Curves/meltCurve_sp_Q9NR30_DDX21_HUMAN_.pdf")</f>
        <v>Melting_Curves/meltCurve_sp_Q9NR30_DDX21_HUMAN_.pdf</v>
      </c>
      <c r="AA3445" t="s">
        <v>17611</v>
      </c>
      <c r="AB3445" t="s">
        <v>22278</v>
      </c>
    </row>
    <row r="3446" spans="1:28" x14ac:dyDescent="0.25">
      <c r="A3446" t="s">
        <v>3450</v>
      </c>
      <c r="B3446">
        <v>0.99904790336628502</v>
      </c>
      <c r="C3446">
        <v>1.2660374304513999</v>
      </c>
      <c r="D3446">
        <v>1.0980890086967401</v>
      </c>
      <c r="E3446">
        <v>0.86621594979336802</v>
      </c>
      <c r="F3446">
        <v>0.63841775638096998</v>
      </c>
      <c r="G3446">
        <v>0.29884759720544402</v>
      </c>
      <c r="H3446">
        <v>7.0116236517997504E-2</v>
      </c>
      <c r="I3446">
        <v>0.117575430817242</v>
      </c>
      <c r="J3446">
        <v>0.118630030100844</v>
      </c>
      <c r="K3446">
        <v>8.33514694539359E-2</v>
      </c>
      <c r="L3446">
        <v>1403.73379843217</v>
      </c>
      <c r="M3446">
        <v>26.035351915000799</v>
      </c>
      <c r="N3446">
        <v>54.316165942809299</v>
      </c>
      <c r="O3446">
        <v>53.601400987036499</v>
      </c>
      <c r="P3446">
        <v>-0.110845459397294</v>
      </c>
      <c r="Q3446">
        <v>8.7179376084732405E-2</v>
      </c>
      <c r="R3446">
        <v>0.95539571271920798</v>
      </c>
      <c r="S3446" t="s">
        <v>8186</v>
      </c>
      <c r="T3446" t="s">
        <v>9478</v>
      </c>
      <c r="U3446" t="s">
        <v>9478</v>
      </c>
      <c r="V3446" t="s">
        <v>9478</v>
      </c>
      <c r="W3446">
        <v>4</v>
      </c>
      <c r="X3446" t="s">
        <v>12924</v>
      </c>
      <c r="Y3446">
        <v>0.51845727442709766</v>
      </c>
      <c r="Z3446" t="str">
        <f>HYPERLINK("Melting_Curves/meltCurve_sp_Q9NR31_SAR1A_HUMAN_.pdf", "Melting_Curves/meltCurve_sp_Q9NR31_SAR1A_HUMAN_.pdf")</f>
        <v>Melting_Curves/meltCurve_sp_Q9NR31_SAR1A_HUMAN_.pdf</v>
      </c>
      <c r="AA3446" t="s">
        <v>17612</v>
      </c>
      <c r="AB3446" t="s">
        <v>22279</v>
      </c>
    </row>
    <row r="3447" spans="1:28" x14ac:dyDescent="0.25">
      <c r="A3447" t="s">
        <v>3451</v>
      </c>
      <c r="B3447">
        <v>0.99904790336628502</v>
      </c>
      <c r="C3447">
        <v>0.97423943914243505</v>
      </c>
      <c r="D3447">
        <v>1.03507694377533</v>
      </c>
      <c r="E3447">
        <v>0.97281806127493098</v>
      </c>
      <c r="F3447">
        <v>0.69005217786658002</v>
      </c>
      <c r="G3447">
        <v>0.263677309710035</v>
      </c>
      <c r="H3447">
        <v>0.13310304870904099</v>
      </c>
      <c r="I3447">
        <v>5.4238243591166697E-2</v>
      </c>
      <c r="J3447">
        <v>4.2385453433056303E-2</v>
      </c>
      <c r="K3447">
        <v>3.4497017911223102E-2</v>
      </c>
      <c r="L3447">
        <v>1547.86101430907</v>
      </c>
      <c r="M3447">
        <v>28.379288974458799</v>
      </c>
      <c r="N3447">
        <v>54.737701672932502</v>
      </c>
      <c r="O3447">
        <v>54.273259004606103</v>
      </c>
      <c r="P3447">
        <v>-0.12441640493999</v>
      </c>
      <c r="Q3447">
        <v>4.8259620168801497E-2</v>
      </c>
      <c r="R3447">
        <v>0.996583360543145</v>
      </c>
      <c r="S3447" t="s">
        <v>8187</v>
      </c>
      <c r="T3447" t="s">
        <v>9478</v>
      </c>
      <c r="U3447" t="s">
        <v>9478</v>
      </c>
      <c r="V3447" t="s">
        <v>9478</v>
      </c>
      <c r="W3447">
        <v>23</v>
      </c>
      <c r="X3447" t="s">
        <v>12925</v>
      </c>
      <c r="Y3447">
        <v>0.51658240904291719</v>
      </c>
      <c r="Z3447" t="str">
        <f>HYPERLINK("Melting_Curves/meltCurve_sp_Q9NR45_SIAS_HUMAN_.pdf", "Melting_Curves/meltCurve_sp_Q9NR45_SIAS_HUMAN_.pdf")</f>
        <v>Melting_Curves/meltCurve_sp_Q9NR45_SIAS_HUMAN_.pdf</v>
      </c>
      <c r="AA3447" t="s">
        <v>17613</v>
      </c>
      <c r="AB3447" t="s">
        <v>22280</v>
      </c>
    </row>
    <row r="3448" spans="1:28" x14ac:dyDescent="0.25">
      <c r="A3448" t="s">
        <v>3452</v>
      </c>
      <c r="B3448">
        <v>0.99904790336628502</v>
      </c>
      <c r="C3448">
        <v>1.0242433091376999</v>
      </c>
      <c r="D3448">
        <v>0.71574209580888004</v>
      </c>
      <c r="E3448">
        <v>0.62065974698243398</v>
      </c>
      <c r="F3448">
        <v>0.26690652716570201</v>
      </c>
      <c r="G3448">
        <v>0.1185398827828</v>
      </c>
      <c r="H3448">
        <v>5.8991763388511802E-2</v>
      </c>
      <c r="I3448">
        <v>4.6351652055889599E-2</v>
      </c>
      <c r="J3448">
        <v>4.31953756962003E-2</v>
      </c>
      <c r="K3448">
        <v>3.8099168013856197E-2</v>
      </c>
      <c r="L3448">
        <v>840.19318075751505</v>
      </c>
      <c r="M3448">
        <v>16.719308935968598</v>
      </c>
      <c r="N3448">
        <v>50.361251852732998</v>
      </c>
      <c r="O3448">
        <v>49.550463743693797</v>
      </c>
      <c r="P3448">
        <v>-8.2869555660401897E-2</v>
      </c>
      <c r="Q3448">
        <v>1.7673715340762501E-2</v>
      </c>
      <c r="R3448">
        <v>0.98040933498741401</v>
      </c>
      <c r="S3448" t="s">
        <v>8188</v>
      </c>
      <c r="T3448" t="s">
        <v>9478</v>
      </c>
      <c r="U3448" t="s">
        <v>9478</v>
      </c>
      <c r="V3448" t="s">
        <v>9478</v>
      </c>
      <c r="W3448">
        <v>11</v>
      </c>
      <c r="X3448" t="s">
        <v>12926</v>
      </c>
      <c r="Y3448">
        <v>0.37253905297525408</v>
      </c>
      <c r="Z3448" t="str">
        <f>HYPERLINK("Melting_Curves/meltCurve_sp_Q9NR50_3_EI2BG_HUMAN_.pdf", "Melting_Curves/meltCurve_sp_Q9NR50_3_EI2BG_HUMAN_.pdf")</f>
        <v>Melting_Curves/meltCurve_sp_Q9NR50_3_EI2BG_HUMAN_.pdf</v>
      </c>
      <c r="AA3448" t="s">
        <v>17614</v>
      </c>
      <c r="AB3448" t="s">
        <v>22281</v>
      </c>
    </row>
    <row r="3449" spans="1:28" x14ac:dyDescent="0.25">
      <c r="A3449" t="s">
        <v>3453</v>
      </c>
      <c r="B3449">
        <v>0.99904790336628502</v>
      </c>
      <c r="C3449">
        <v>0.91652756480850806</v>
      </c>
      <c r="D3449">
        <v>0.94362101907523699</v>
      </c>
      <c r="E3449">
        <v>0.84046948537331601</v>
      </c>
      <c r="F3449">
        <v>0.664031185588566</v>
      </c>
      <c r="G3449">
        <v>0.45633906817002701</v>
      </c>
      <c r="H3449">
        <v>0.19645050538061601</v>
      </c>
      <c r="I3449">
        <v>7.2392328778235898E-2</v>
      </c>
      <c r="J3449">
        <v>4.1888569075528903E-2</v>
      </c>
      <c r="K3449">
        <v>4.65711593668649E-2</v>
      </c>
      <c r="L3449">
        <v>854.63019945277301</v>
      </c>
      <c r="M3449">
        <v>15.3787262944488</v>
      </c>
      <c r="N3449">
        <v>55.572244235199101</v>
      </c>
      <c r="O3449">
        <v>54.658005894314201</v>
      </c>
      <c r="P3449">
        <v>-7.0347127426497499E-2</v>
      </c>
      <c r="Q3449">
        <v>0</v>
      </c>
      <c r="R3449">
        <v>0.99226942963644105</v>
      </c>
      <c r="S3449" t="s">
        <v>8189</v>
      </c>
      <c r="T3449" t="s">
        <v>9478</v>
      </c>
      <c r="U3449" t="s">
        <v>9478</v>
      </c>
      <c r="V3449" t="s">
        <v>9478</v>
      </c>
      <c r="W3449">
        <v>12</v>
      </c>
      <c r="X3449" t="s">
        <v>12927</v>
      </c>
      <c r="Y3449">
        <v>0.53707779404173572</v>
      </c>
      <c r="Z3449" t="str">
        <f>HYPERLINK("Melting_Curves/meltCurve_sp_Q9NRF8_PYRG2_HUMAN_.pdf", "Melting_Curves/meltCurve_sp_Q9NRF8_PYRG2_HUMAN_.pdf")</f>
        <v>Melting_Curves/meltCurve_sp_Q9NRF8_PYRG2_HUMAN_.pdf</v>
      </c>
      <c r="AA3449" t="s">
        <v>17615</v>
      </c>
      <c r="AB3449" t="s">
        <v>22282</v>
      </c>
    </row>
    <row r="3450" spans="1:28" x14ac:dyDescent="0.25">
      <c r="A3450" t="s">
        <v>3454</v>
      </c>
      <c r="B3450">
        <v>0.99904790336628502</v>
      </c>
      <c r="C3450">
        <v>0.97917528306050505</v>
      </c>
      <c r="D3450">
        <v>0.94835444979925898</v>
      </c>
      <c r="E3450">
        <v>0.92313255649354797</v>
      </c>
      <c r="F3450">
        <v>0.84990662453588195</v>
      </c>
      <c r="G3450">
        <v>0.60438295113347695</v>
      </c>
      <c r="H3450">
        <v>0.45401597498923402</v>
      </c>
      <c r="I3450">
        <v>0.40694489785203602</v>
      </c>
      <c r="J3450">
        <v>0.42086754269847299</v>
      </c>
      <c r="K3450">
        <v>0.40446582611593601</v>
      </c>
      <c r="L3450">
        <v>1184.5239278015799</v>
      </c>
      <c r="M3450">
        <v>21.3964534435855</v>
      </c>
      <c r="N3450">
        <v>59.5993163334903</v>
      </c>
      <c r="O3450">
        <v>54.883985456810102</v>
      </c>
      <c r="P3450">
        <v>-5.9372935349997699E-2</v>
      </c>
      <c r="Q3450">
        <v>0.390825755270301</v>
      </c>
      <c r="R3450">
        <v>0.99389665533670202</v>
      </c>
      <c r="S3450" t="s">
        <v>8190</v>
      </c>
      <c r="T3450" t="s">
        <v>9478</v>
      </c>
      <c r="U3450" t="s">
        <v>9478</v>
      </c>
      <c r="V3450" t="s">
        <v>9478</v>
      </c>
      <c r="W3450">
        <v>3</v>
      </c>
      <c r="X3450" t="s">
        <v>12928</v>
      </c>
      <c r="Y3450">
        <v>0.70999516234989313</v>
      </c>
      <c r="Z3450" t="str">
        <f>HYPERLINK("Melting_Curves/meltCurve_sp_Q9NRF9_DPOE3_HUMAN_.pdf", "Melting_Curves/meltCurve_sp_Q9NRF9_DPOE3_HUMAN_.pdf")</f>
        <v>Melting_Curves/meltCurve_sp_Q9NRF9_DPOE3_HUMAN_.pdf</v>
      </c>
      <c r="AA3450" t="s">
        <v>17616</v>
      </c>
      <c r="AB3450" t="s">
        <v>22283</v>
      </c>
    </row>
    <row r="3451" spans="1:28" x14ac:dyDescent="0.25">
      <c r="A3451" t="s">
        <v>3455</v>
      </c>
      <c r="B3451">
        <v>0.99904790336628502</v>
      </c>
      <c r="C3451">
        <v>0.77172944746910999</v>
      </c>
      <c r="D3451">
        <v>0.75806889609729999</v>
      </c>
      <c r="E3451">
        <v>0.74205552933274499</v>
      </c>
      <c r="F3451">
        <v>0.59499666619781699</v>
      </c>
      <c r="G3451">
        <v>0.31782669426349103</v>
      </c>
      <c r="H3451">
        <v>9.7818855663762E-2</v>
      </c>
      <c r="I3451">
        <v>6.6790541819161997E-2</v>
      </c>
      <c r="J3451">
        <v>3.2651429252099698E-2</v>
      </c>
      <c r="K3451">
        <v>0.13481541763372401</v>
      </c>
      <c r="L3451">
        <v>592.62098633932203</v>
      </c>
      <c r="M3451">
        <v>11.1765516825765</v>
      </c>
      <c r="N3451">
        <v>53.0235961137506</v>
      </c>
      <c r="O3451">
        <v>51.411080624283002</v>
      </c>
      <c r="P3451">
        <v>-5.4366188657914399E-2</v>
      </c>
      <c r="Q3451">
        <v>0</v>
      </c>
      <c r="R3451">
        <v>0.94015926075358303</v>
      </c>
      <c r="S3451" t="s">
        <v>8191</v>
      </c>
      <c r="T3451" t="s">
        <v>9478</v>
      </c>
      <c r="U3451" t="s">
        <v>9478</v>
      </c>
      <c r="V3451" t="s">
        <v>9478</v>
      </c>
      <c r="W3451">
        <v>5</v>
      </c>
      <c r="X3451" t="s">
        <v>12929</v>
      </c>
      <c r="Y3451">
        <v>0.46478221372020301</v>
      </c>
      <c r="Z3451" t="str">
        <f>HYPERLINK("Melting_Curves/meltCurve_sp_Q9NRN7_ADPPT_HUMAN_.pdf", "Melting_Curves/meltCurve_sp_Q9NRN7_ADPPT_HUMAN_.pdf")</f>
        <v>Melting_Curves/meltCurve_sp_Q9NRN7_ADPPT_HUMAN_.pdf</v>
      </c>
      <c r="AA3451" t="s">
        <v>17617</v>
      </c>
      <c r="AB3451" t="s">
        <v>22284</v>
      </c>
    </row>
    <row r="3452" spans="1:28" x14ac:dyDescent="0.25">
      <c r="A3452" t="s">
        <v>3456</v>
      </c>
      <c r="B3452">
        <v>0.99904790336628502</v>
      </c>
      <c r="C3452">
        <v>1.0641040278335401</v>
      </c>
      <c r="D3452">
        <v>1.0411323624586399</v>
      </c>
      <c r="E3452">
        <v>0.88501911707658598</v>
      </c>
      <c r="F3452">
        <v>0.76074700623208402</v>
      </c>
      <c r="G3452">
        <v>0.44821276252744002</v>
      </c>
      <c r="H3452">
        <v>0.260922982886021</v>
      </c>
      <c r="I3452">
        <v>0.12160125489606199</v>
      </c>
      <c r="J3452">
        <v>0.134929280720196</v>
      </c>
      <c r="K3452">
        <v>7.6473655023243006E-2</v>
      </c>
      <c r="L3452">
        <v>1035.69950518882</v>
      </c>
      <c r="M3452">
        <v>18.501171582684002</v>
      </c>
      <c r="N3452">
        <v>56.423308278093998</v>
      </c>
      <c r="O3452">
        <v>55.3384957820968</v>
      </c>
      <c r="P3452">
        <v>-7.7933920850334501E-2</v>
      </c>
      <c r="Q3452">
        <v>6.76147244231695E-2</v>
      </c>
      <c r="R3452">
        <v>0.99289215734770597</v>
      </c>
      <c r="S3452" t="s">
        <v>8192</v>
      </c>
      <c r="T3452" t="s">
        <v>9478</v>
      </c>
      <c r="U3452" t="s">
        <v>9478</v>
      </c>
      <c r="V3452" t="s">
        <v>9478</v>
      </c>
      <c r="W3452">
        <v>3</v>
      </c>
      <c r="X3452" t="s">
        <v>12930</v>
      </c>
      <c r="Y3452">
        <v>0.57757269763655839</v>
      </c>
      <c r="Z3452" t="str">
        <f>HYPERLINK("Melting_Curves/meltCurve_sp_Q9NRP4_ACN9_HUMAN_.pdf", "Melting_Curves/meltCurve_sp_Q9NRP4_ACN9_HUMAN_.pdf")</f>
        <v>Melting_Curves/meltCurve_sp_Q9NRP4_ACN9_HUMAN_.pdf</v>
      </c>
      <c r="AA3452" t="s">
        <v>17618</v>
      </c>
      <c r="AB3452" t="s">
        <v>22285</v>
      </c>
    </row>
    <row r="3453" spans="1:28" x14ac:dyDescent="0.25">
      <c r="A3453" t="s">
        <v>3457</v>
      </c>
      <c r="B3453">
        <v>0.99904790336628502</v>
      </c>
      <c r="C3453">
        <v>0.88902975991853594</v>
      </c>
      <c r="D3453">
        <v>0.83649125722561601</v>
      </c>
      <c r="E3453">
        <v>0.79045721628599497</v>
      </c>
      <c r="F3453">
        <v>0.75059238554750196</v>
      </c>
      <c r="G3453">
        <v>0.55994848528840901</v>
      </c>
      <c r="H3453">
        <v>0.45777476266122902</v>
      </c>
      <c r="I3453">
        <v>0.44624554230019903</v>
      </c>
      <c r="J3453">
        <v>0.429657983847957</v>
      </c>
      <c r="K3453">
        <v>0.35385577274563002</v>
      </c>
      <c r="L3453">
        <v>407.717990013784</v>
      </c>
      <c r="M3453">
        <v>7.2300151658945904</v>
      </c>
      <c r="N3453">
        <v>60.867902743259897</v>
      </c>
      <c r="O3453">
        <v>52.557618660674201</v>
      </c>
      <c r="P3453">
        <v>-2.7345464570582002E-2</v>
      </c>
      <c r="Q3453">
        <v>0.20617040286649699</v>
      </c>
      <c r="R3453">
        <v>0.97656583522793305</v>
      </c>
      <c r="S3453" t="s">
        <v>8193</v>
      </c>
      <c r="T3453" t="s">
        <v>9478</v>
      </c>
      <c r="U3453" t="s">
        <v>9478</v>
      </c>
      <c r="V3453" t="s">
        <v>9478</v>
      </c>
      <c r="W3453">
        <v>9</v>
      </c>
      <c r="X3453" t="s">
        <v>12931</v>
      </c>
      <c r="Y3453">
        <v>0.6518018567231475</v>
      </c>
      <c r="Z3453" t="str">
        <f>HYPERLINK("Melting_Curves/meltCurve_sp_Q9NRR5_UBQL4_HUMAN_.pdf", "Melting_Curves/meltCurve_sp_Q9NRR5_UBQL4_HUMAN_.pdf")</f>
        <v>Melting_Curves/meltCurve_sp_Q9NRR5_UBQL4_HUMAN_.pdf</v>
      </c>
      <c r="AA3453" t="s">
        <v>17619</v>
      </c>
      <c r="AB3453" t="s">
        <v>22286</v>
      </c>
    </row>
    <row r="3454" spans="1:28" x14ac:dyDescent="0.25">
      <c r="A3454" t="s">
        <v>3458</v>
      </c>
      <c r="B3454">
        <v>0.99904790336628502</v>
      </c>
      <c r="C3454">
        <v>0.98252656606154798</v>
      </c>
      <c r="D3454">
        <v>0.89582755297488503</v>
      </c>
      <c r="E3454">
        <v>0.76087531989727597</v>
      </c>
      <c r="F3454">
        <v>0.63861844985608096</v>
      </c>
      <c r="G3454">
        <v>0.29779549758054902</v>
      </c>
      <c r="H3454">
        <v>0.111006918278335</v>
      </c>
      <c r="I3454">
        <v>3.3801819850645301E-2</v>
      </c>
      <c r="J3454">
        <v>1.01402877995754E-2</v>
      </c>
      <c r="K3454">
        <v>1.7723675866101699E-2</v>
      </c>
      <c r="L3454">
        <v>916.01218914906201</v>
      </c>
      <c r="M3454">
        <v>16.941125512720301</v>
      </c>
      <c r="N3454">
        <v>54.070326851349201</v>
      </c>
      <c r="O3454">
        <v>53.333786156246298</v>
      </c>
      <c r="P3454">
        <v>-7.9415825074561602E-2</v>
      </c>
      <c r="Q3454">
        <v>0</v>
      </c>
      <c r="R3454">
        <v>0.99402541318235005</v>
      </c>
      <c r="S3454" t="s">
        <v>8194</v>
      </c>
      <c r="T3454" t="s">
        <v>9478</v>
      </c>
      <c r="U3454" t="s">
        <v>9478</v>
      </c>
      <c r="V3454" t="s">
        <v>9478</v>
      </c>
      <c r="W3454">
        <v>3</v>
      </c>
      <c r="X3454" t="s">
        <v>12932</v>
      </c>
      <c r="Y3454">
        <v>0.48643185577776638</v>
      </c>
      <c r="Z3454" t="str">
        <f>HYPERLINK("Melting_Curves/meltCurve_sp_Q9NRS6_2_SNX15_HUMAN_.pdf", "Melting_Curves/meltCurve_sp_Q9NRS6_2_SNX15_HUMAN_.pdf")</f>
        <v>Melting_Curves/meltCurve_sp_Q9NRS6_2_SNX15_HUMAN_.pdf</v>
      </c>
      <c r="AA3454" t="s">
        <v>17620</v>
      </c>
      <c r="AB3454" t="s">
        <v>22287</v>
      </c>
    </row>
    <row r="3455" spans="1:28" x14ac:dyDescent="0.25">
      <c r="A3455" t="s">
        <v>3459</v>
      </c>
      <c r="B3455">
        <v>0.99904790336628502</v>
      </c>
      <c r="C3455">
        <v>0.920917275682268</v>
      </c>
      <c r="D3455">
        <v>0.89214222123976294</v>
      </c>
      <c r="E3455">
        <v>0.88300135216275699</v>
      </c>
      <c r="F3455">
        <v>0.78666328834864097</v>
      </c>
      <c r="G3455">
        <v>0.38871484409668999</v>
      </c>
      <c r="H3455">
        <v>0.159899172618926</v>
      </c>
      <c r="I3455">
        <v>0.10879487511918</v>
      </c>
      <c r="J3455">
        <v>9.2749858740120095E-2</v>
      </c>
      <c r="K3455">
        <v>7.6829843021519406E-2</v>
      </c>
      <c r="L3455">
        <v>1177.7064872538799</v>
      </c>
      <c r="M3455">
        <v>21.229206283691902</v>
      </c>
      <c r="N3455">
        <v>55.801111107482697</v>
      </c>
      <c r="O3455">
        <v>54.990553091918699</v>
      </c>
      <c r="P3455">
        <v>-9.0897009761505193E-2</v>
      </c>
      <c r="Q3455">
        <v>5.8212865758551703E-2</v>
      </c>
      <c r="R3455">
        <v>0.98692383873487399</v>
      </c>
      <c r="S3455" t="s">
        <v>8195</v>
      </c>
      <c r="T3455" t="s">
        <v>9478</v>
      </c>
      <c r="U3455" t="s">
        <v>9478</v>
      </c>
      <c r="V3455" t="s">
        <v>9478</v>
      </c>
      <c r="W3455">
        <v>14</v>
      </c>
      <c r="X3455" t="s">
        <v>12933</v>
      </c>
      <c r="Y3455">
        <v>0.55536593071684359</v>
      </c>
      <c r="Z3455" t="str">
        <f>HYPERLINK("Melting_Curves/meltCurve_sp_Q9NRV9_HEBP1_HUMAN_.pdf", "Melting_Curves/meltCurve_sp_Q9NRV9_HEBP1_HUMAN_.pdf")</f>
        <v>Melting_Curves/meltCurve_sp_Q9NRV9_HEBP1_HUMAN_.pdf</v>
      </c>
      <c r="AA3455" t="s">
        <v>17621</v>
      </c>
      <c r="AB3455" t="s">
        <v>22288</v>
      </c>
    </row>
    <row r="3456" spans="1:28" x14ac:dyDescent="0.25">
      <c r="A3456" t="s">
        <v>3460</v>
      </c>
      <c r="B3456">
        <v>0.99904790336628502</v>
      </c>
      <c r="C3456">
        <v>1.0037270505003799</v>
      </c>
      <c r="D3456">
        <v>0.87767333168142203</v>
      </c>
      <c r="E3456">
        <v>0.50105562419363103</v>
      </c>
      <c r="F3456">
        <v>0.21622551418699501</v>
      </c>
      <c r="G3456">
        <v>0.12898023593335101</v>
      </c>
      <c r="H3456">
        <v>8.52430680622666E-2</v>
      </c>
      <c r="I3456">
        <v>5.1972962679000902E-2</v>
      </c>
      <c r="J3456">
        <v>2.80168348772795E-2</v>
      </c>
      <c r="K3456">
        <v>2.8629851453109301E-2</v>
      </c>
      <c r="L3456">
        <v>1166.5984022627399</v>
      </c>
      <c r="M3456">
        <v>23.434830126820302</v>
      </c>
      <c r="N3456">
        <v>49.996716036616903</v>
      </c>
      <c r="O3456">
        <v>49.422303572339402</v>
      </c>
      <c r="P3456">
        <v>-0.11283403867719299</v>
      </c>
      <c r="Q3456">
        <v>4.8182363783507098E-2</v>
      </c>
      <c r="R3456">
        <v>0.99767496897581598</v>
      </c>
      <c r="S3456" t="s">
        <v>8196</v>
      </c>
      <c r="T3456" t="s">
        <v>9478</v>
      </c>
      <c r="U3456" t="s">
        <v>9478</v>
      </c>
      <c r="V3456" t="s">
        <v>9478</v>
      </c>
      <c r="W3456">
        <v>5</v>
      </c>
      <c r="X3456" t="s">
        <v>12934</v>
      </c>
      <c r="Y3456">
        <v>0.36816280673691459</v>
      </c>
      <c r="Z3456" t="str">
        <f>HYPERLINK("Melting_Curves/meltCurve_sp_Q9NRW7_VPS45_HUMAN_.pdf", "Melting_Curves/meltCurve_sp_Q9NRW7_VPS45_HUMAN_.pdf")</f>
        <v>Melting_Curves/meltCurve_sp_Q9NRW7_VPS45_HUMAN_.pdf</v>
      </c>
      <c r="AA3456" t="s">
        <v>17622</v>
      </c>
      <c r="AB3456" t="s">
        <v>22289</v>
      </c>
    </row>
    <row r="3457" spans="1:28" x14ac:dyDescent="0.25">
      <c r="A3457" t="s">
        <v>3461</v>
      </c>
      <c r="B3457">
        <v>0.99904790336628502</v>
      </c>
      <c r="C3457">
        <v>1.2211829054267</v>
      </c>
      <c r="D3457">
        <v>1.1237458694986</v>
      </c>
      <c r="E3457">
        <v>1.26257503572785</v>
      </c>
      <c r="F3457">
        <v>1.3592145616673701</v>
      </c>
      <c r="G3457">
        <v>1.1920934755415</v>
      </c>
      <c r="H3457">
        <v>0.994486842930001</v>
      </c>
      <c r="I3457">
        <v>0.67978927780465603</v>
      </c>
      <c r="J3457">
        <v>0.81460543377427996</v>
      </c>
      <c r="K3457">
        <v>0.68337046515761901</v>
      </c>
      <c r="L3457">
        <v>15000</v>
      </c>
      <c r="M3457">
        <v>242.16146443844801</v>
      </c>
      <c r="O3457">
        <v>61.937918226508202</v>
      </c>
      <c r="P3457">
        <v>-0.267918471601296</v>
      </c>
      <c r="Q3457">
        <v>0.725896729673149</v>
      </c>
      <c r="R3457">
        <v>0.40821182141296802</v>
      </c>
      <c r="S3457" t="s">
        <v>8197</v>
      </c>
      <c r="T3457" t="s">
        <v>9478</v>
      </c>
      <c r="U3457" t="s">
        <v>9478</v>
      </c>
      <c r="V3457" t="s">
        <v>9478</v>
      </c>
      <c r="W3457">
        <v>2</v>
      </c>
      <c r="X3457" t="s">
        <v>12935</v>
      </c>
      <c r="Y3457">
        <v>0.92640892367909777</v>
      </c>
      <c r="Z3457" t="str">
        <f>HYPERLINK("Melting_Curves/meltCurve_sp_Q9NRX4_PHP14_HUMAN_.pdf", "Melting_Curves/meltCurve_sp_Q9NRX4_PHP14_HUMAN_.pdf")</f>
        <v>Melting_Curves/meltCurve_sp_Q9NRX4_PHP14_HUMAN_.pdf</v>
      </c>
      <c r="AA3457" t="s">
        <v>17623</v>
      </c>
      <c r="AB3457" t="s">
        <v>22290</v>
      </c>
    </row>
    <row r="3458" spans="1:28" x14ac:dyDescent="0.25">
      <c r="A3458" t="s">
        <v>3462</v>
      </c>
      <c r="B3458">
        <v>0.99904790336628502</v>
      </c>
      <c r="C3458">
        <v>0.91336774449352198</v>
      </c>
      <c r="D3458">
        <v>0.89387807437024602</v>
      </c>
      <c r="E3458">
        <v>0.53794115392021702</v>
      </c>
      <c r="F3458">
        <v>0.25752875876409098</v>
      </c>
      <c r="G3458">
        <v>0.13261160640918801</v>
      </c>
      <c r="H3458">
        <v>9.8035901431252695E-2</v>
      </c>
      <c r="I3458">
        <v>8.0793029941212693E-2</v>
      </c>
      <c r="J3458">
        <v>7.7411463768915695E-2</v>
      </c>
      <c r="K3458">
        <v>6.6439275796546196E-2</v>
      </c>
      <c r="L3458">
        <v>1103.96723286056</v>
      </c>
      <c r="M3458">
        <v>22.110108991138102</v>
      </c>
      <c r="N3458">
        <v>50.286331995730301</v>
      </c>
      <c r="O3458">
        <v>49.527342569137602</v>
      </c>
      <c r="P3458">
        <v>-0.10352446726836199</v>
      </c>
      <c r="Q3458">
        <v>7.2427550537972202E-2</v>
      </c>
      <c r="R3458">
        <v>0.99662176456301399</v>
      </c>
      <c r="S3458" t="s">
        <v>8198</v>
      </c>
      <c r="T3458" t="s">
        <v>9478</v>
      </c>
      <c r="U3458" t="s">
        <v>9478</v>
      </c>
      <c r="V3458" t="s">
        <v>9478</v>
      </c>
      <c r="W3458">
        <v>17</v>
      </c>
      <c r="X3458" t="s">
        <v>12936</v>
      </c>
      <c r="Y3458">
        <v>0.39006347020880627</v>
      </c>
      <c r="Z3458" t="str">
        <f>HYPERLINK("Melting_Curves/meltCurve_sp_Q9NRY4_RHG35_HUMAN_.pdf", "Melting_Curves/meltCurve_sp_Q9NRY4_RHG35_HUMAN_.pdf")</f>
        <v>Melting_Curves/meltCurve_sp_Q9NRY4_RHG35_HUMAN_.pdf</v>
      </c>
      <c r="AA3458" t="s">
        <v>17624</v>
      </c>
      <c r="AB3458" t="s">
        <v>22291</v>
      </c>
    </row>
    <row r="3459" spans="1:28" x14ac:dyDescent="0.25">
      <c r="A3459" t="s">
        <v>3463</v>
      </c>
      <c r="B3459">
        <v>0.99904790336628502</v>
      </c>
      <c r="C3459">
        <v>1.06929681893279</v>
      </c>
      <c r="D3459">
        <v>0.974193012882695</v>
      </c>
      <c r="E3459">
        <v>1.0211242730721499</v>
      </c>
      <c r="F3459">
        <v>1.17780082765728</v>
      </c>
      <c r="G3459">
        <v>0.73578673845471498</v>
      </c>
      <c r="H3459">
        <v>0.44324320635672998</v>
      </c>
      <c r="I3459">
        <v>0.37192452404348397</v>
      </c>
      <c r="J3459">
        <v>0.357917864051989</v>
      </c>
      <c r="K3459">
        <v>0.39278486195724299</v>
      </c>
      <c r="L3459">
        <v>5046.5508274856302</v>
      </c>
      <c r="M3459">
        <v>88.258942673659305</v>
      </c>
      <c r="N3459">
        <v>58.181161048506603</v>
      </c>
      <c r="O3459">
        <v>57.149581575894103</v>
      </c>
      <c r="P3459">
        <v>-0.23524895577920399</v>
      </c>
      <c r="Q3459">
        <v>0.39068483011142902</v>
      </c>
      <c r="R3459">
        <v>0.95785922845090299</v>
      </c>
      <c r="S3459" t="s">
        <v>8199</v>
      </c>
      <c r="T3459" t="s">
        <v>9478</v>
      </c>
      <c r="U3459" t="s">
        <v>9478</v>
      </c>
      <c r="V3459" t="s">
        <v>9478</v>
      </c>
      <c r="W3459">
        <v>12</v>
      </c>
      <c r="X3459" t="s">
        <v>12937</v>
      </c>
      <c r="Y3459">
        <v>0.74008868474031098</v>
      </c>
      <c r="Z3459" t="str">
        <f>HYPERLINK("Melting_Curves/meltCurve_sp_Q9NRY5_F1142_HUMAN_.pdf", "Melting_Curves/meltCurve_sp_Q9NRY5_F1142_HUMAN_.pdf")</f>
        <v>Melting_Curves/meltCurve_sp_Q9NRY5_F1142_HUMAN_.pdf</v>
      </c>
      <c r="AA3459" t="s">
        <v>17625</v>
      </c>
      <c r="AB3459" t="s">
        <v>22292</v>
      </c>
    </row>
    <row r="3460" spans="1:28" x14ac:dyDescent="0.25">
      <c r="A3460" t="s">
        <v>3464</v>
      </c>
      <c r="B3460">
        <v>0.99904790336628502</v>
      </c>
      <c r="C3460">
        <v>0.91438768861805597</v>
      </c>
      <c r="D3460">
        <v>0.94363672162363998</v>
      </c>
      <c r="E3460">
        <v>0.90891394870328901</v>
      </c>
      <c r="F3460">
        <v>0.78269628499302502</v>
      </c>
      <c r="G3460">
        <v>0.45059230292461999</v>
      </c>
      <c r="H3460">
        <v>0.11198374934812</v>
      </c>
      <c r="I3460">
        <v>4.9102512418098501E-2</v>
      </c>
      <c r="J3460">
        <v>3.2605610800848402E-2</v>
      </c>
      <c r="K3460">
        <v>3.2475659842817098E-2</v>
      </c>
      <c r="L3460">
        <v>1219.9137403602101</v>
      </c>
      <c r="M3460">
        <v>21.730001873252</v>
      </c>
      <c r="N3460">
        <v>56.139605789955802</v>
      </c>
      <c r="O3460">
        <v>55.670647905271103</v>
      </c>
      <c r="P3460">
        <v>-9.7585137417909598E-2</v>
      </c>
      <c r="Q3460">
        <v>0</v>
      </c>
      <c r="R3460">
        <v>0.99198630657887699</v>
      </c>
      <c r="S3460" t="s">
        <v>8200</v>
      </c>
      <c r="T3460" t="s">
        <v>9478</v>
      </c>
      <c r="U3460" t="s">
        <v>9478</v>
      </c>
      <c r="V3460" t="s">
        <v>9478</v>
      </c>
      <c r="W3460">
        <v>12</v>
      </c>
      <c r="X3460" t="s">
        <v>12938</v>
      </c>
      <c r="Y3460">
        <v>0.54938704238800751</v>
      </c>
      <c r="Z3460" t="str">
        <f>HYPERLINK("Melting_Curves/meltCurve_sp_Q9NS86_LANC2_HUMAN_.pdf", "Melting_Curves/meltCurve_sp_Q9NS86_LANC2_HUMAN_.pdf")</f>
        <v>Melting_Curves/meltCurve_sp_Q9NS86_LANC2_HUMAN_.pdf</v>
      </c>
      <c r="AA3460" t="s">
        <v>17626</v>
      </c>
      <c r="AB3460" t="s">
        <v>22293</v>
      </c>
    </row>
    <row r="3461" spans="1:28" x14ac:dyDescent="0.25">
      <c r="A3461" t="s">
        <v>3465</v>
      </c>
      <c r="B3461">
        <v>0.99904790336628502</v>
      </c>
      <c r="C3461">
        <v>1.1134126370634401</v>
      </c>
      <c r="D3461">
        <v>0.92999754436951199</v>
      </c>
      <c r="E3461">
        <v>1.0851395166022499</v>
      </c>
      <c r="F3461">
        <v>0.66610338024251203</v>
      </c>
      <c r="G3461">
        <v>0.50484466743911605</v>
      </c>
      <c r="H3461">
        <v>0.36556400334727601</v>
      </c>
      <c r="I3461">
        <v>0.42441692189917901</v>
      </c>
      <c r="J3461">
        <v>0.486363724700412</v>
      </c>
      <c r="K3461">
        <v>0.31599443806712701</v>
      </c>
      <c r="L3461">
        <v>13233.9519984043</v>
      </c>
      <c r="M3461">
        <v>250</v>
      </c>
      <c r="N3461">
        <v>53.325203701904599</v>
      </c>
      <c r="O3461">
        <v>52.932421490242902</v>
      </c>
      <c r="P3461">
        <v>-0.68550056179945096</v>
      </c>
      <c r="Q3461">
        <v>0.41943673734987302</v>
      </c>
      <c r="R3461">
        <v>0.94274497521673595</v>
      </c>
      <c r="S3461" t="s">
        <v>8201</v>
      </c>
      <c r="T3461" t="s">
        <v>9478</v>
      </c>
      <c r="U3461" t="s">
        <v>9478</v>
      </c>
      <c r="V3461" t="s">
        <v>9478</v>
      </c>
      <c r="W3461">
        <v>1</v>
      </c>
      <c r="X3461" t="s">
        <v>12939</v>
      </c>
      <c r="Y3461">
        <v>0.6698258356852792</v>
      </c>
      <c r="Z3461" t="str">
        <f>HYPERLINK("Melting_Curves/meltCurve_sp_Q9NS91_RAD18_HUMAN_.pdf", "Melting_Curves/meltCurve_sp_Q9NS91_RAD18_HUMAN_.pdf")</f>
        <v>Melting_Curves/meltCurve_sp_Q9NS91_RAD18_HUMAN_.pdf</v>
      </c>
      <c r="AA3461" t="s">
        <v>17627</v>
      </c>
      <c r="AB3461" t="s">
        <v>22294</v>
      </c>
    </row>
    <row r="3462" spans="1:28" x14ac:dyDescent="0.25">
      <c r="A3462" t="s">
        <v>3466</v>
      </c>
      <c r="B3462">
        <v>0.99904790336628502</v>
      </c>
      <c r="C3462">
        <v>1.0814591815541299</v>
      </c>
      <c r="D3462">
        <v>1.07046848176093</v>
      </c>
      <c r="E3462">
        <v>0.96134744686993301</v>
      </c>
      <c r="F3462">
        <v>0.90596231790232595</v>
      </c>
      <c r="G3462">
        <v>0.60036828616198901</v>
      </c>
      <c r="H3462">
        <v>0.28470351069685201</v>
      </c>
      <c r="I3462">
        <v>0.32136381199231001</v>
      </c>
      <c r="J3462">
        <v>0.28897529152423501</v>
      </c>
      <c r="K3462">
        <v>0.27232864530587098</v>
      </c>
      <c r="L3462">
        <v>1838.0536432465401</v>
      </c>
      <c r="M3462">
        <v>32.564623276533702</v>
      </c>
      <c r="N3462">
        <v>57.863714426499598</v>
      </c>
      <c r="O3462">
        <v>56.231691763391296</v>
      </c>
      <c r="P3462">
        <v>-0.10493596402290201</v>
      </c>
      <c r="Q3462">
        <v>0.27520132082196103</v>
      </c>
      <c r="R3462">
        <v>0.98566309853615597</v>
      </c>
      <c r="S3462" t="s">
        <v>8202</v>
      </c>
      <c r="T3462" t="s">
        <v>9478</v>
      </c>
      <c r="U3462" t="s">
        <v>9478</v>
      </c>
      <c r="V3462" t="s">
        <v>9478</v>
      </c>
      <c r="W3462">
        <v>4</v>
      </c>
      <c r="X3462" t="s">
        <v>12940</v>
      </c>
      <c r="Y3462">
        <v>0.67662973244116353</v>
      </c>
      <c r="Z3462" t="str">
        <f>HYPERLINK("Melting_Curves/meltCurve_sp_Q9NSB8_2_HOME2_HUMAN_.pdf", "Melting_Curves/meltCurve_sp_Q9NSB8_2_HOME2_HUMAN_.pdf")</f>
        <v>Melting_Curves/meltCurve_sp_Q9NSB8_2_HOME2_HUMAN_.pdf</v>
      </c>
      <c r="AA3462" t="s">
        <v>17628</v>
      </c>
      <c r="AB3462" t="s">
        <v>22295</v>
      </c>
    </row>
    <row r="3463" spans="1:28" x14ac:dyDescent="0.25">
      <c r="A3463" t="s">
        <v>3467</v>
      </c>
      <c r="B3463">
        <v>0.99904790336628502</v>
      </c>
      <c r="C3463">
        <v>0.91555197476781702</v>
      </c>
      <c r="D3463">
        <v>0.82678608624307603</v>
      </c>
      <c r="E3463">
        <v>0.52009562751585403</v>
      </c>
      <c r="F3463">
        <v>0.32630837016131298</v>
      </c>
      <c r="G3463">
        <v>0.19482926360466199</v>
      </c>
      <c r="H3463">
        <v>0.14524979137586699</v>
      </c>
      <c r="I3463">
        <v>0.10721509832865</v>
      </c>
      <c r="J3463">
        <v>9.8600186557428193E-2</v>
      </c>
      <c r="K3463">
        <v>6.7345227627163898E-2</v>
      </c>
      <c r="L3463">
        <v>800.523041494616</v>
      </c>
      <c r="M3463">
        <v>16.0663802788056</v>
      </c>
      <c r="N3463">
        <v>50.375523258862998</v>
      </c>
      <c r="O3463">
        <v>49.073228956902199</v>
      </c>
      <c r="P3463">
        <v>-7.5275435843043803E-2</v>
      </c>
      <c r="Q3463">
        <v>8.0384355060961005E-2</v>
      </c>
      <c r="R3463">
        <v>0.99832306420348804</v>
      </c>
      <c r="S3463" t="s">
        <v>8203</v>
      </c>
      <c r="T3463" t="s">
        <v>9478</v>
      </c>
      <c r="U3463" t="s">
        <v>9478</v>
      </c>
      <c r="V3463" t="s">
        <v>9478</v>
      </c>
      <c r="W3463">
        <v>4</v>
      </c>
      <c r="X3463" t="s">
        <v>12941</v>
      </c>
      <c r="Y3463">
        <v>0.40105395965929619</v>
      </c>
      <c r="Z3463" t="str">
        <f>HYPERLINK("Melting_Curves/meltCurve_sp_Q9NSD9_SYFB_HUMAN_.pdf", "Melting_Curves/meltCurve_sp_Q9NSD9_SYFB_HUMAN_.pdf")</f>
        <v>Melting_Curves/meltCurve_sp_Q9NSD9_SYFB_HUMAN_.pdf</v>
      </c>
      <c r="AA3463" t="s">
        <v>17629</v>
      </c>
      <c r="AB3463" t="s">
        <v>22296</v>
      </c>
    </row>
    <row r="3464" spans="1:28" x14ac:dyDescent="0.25">
      <c r="A3464" t="s">
        <v>3468</v>
      </c>
      <c r="B3464">
        <v>0.99904790336628502</v>
      </c>
      <c r="C3464">
        <v>0.93732674136653804</v>
      </c>
      <c r="D3464">
        <v>0.99980420262166703</v>
      </c>
      <c r="E3464">
        <v>0.85977629092849694</v>
      </c>
      <c r="F3464">
        <v>0.45456376311832403</v>
      </c>
      <c r="G3464">
        <v>0.13426165761502301</v>
      </c>
      <c r="H3464">
        <v>6.9974199780361498E-2</v>
      </c>
      <c r="I3464">
        <v>4.8105597228711099E-2</v>
      </c>
      <c r="J3464">
        <v>4.0679673965318797E-2</v>
      </c>
      <c r="K3464">
        <v>3.2743500220676201E-2</v>
      </c>
      <c r="L3464">
        <v>1692.0110898927301</v>
      </c>
      <c r="M3464">
        <v>32.168632682064803</v>
      </c>
      <c r="N3464">
        <v>52.757359708040902</v>
      </c>
      <c r="O3464">
        <v>52.396156244100503</v>
      </c>
      <c r="P3464">
        <v>-0.146389060203094</v>
      </c>
      <c r="Q3464">
        <v>4.6252805730587501E-2</v>
      </c>
      <c r="R3464">
        <v>0.99728731273598104</v>
      </c>
      <c r="S3464" t="s">
        <v>8204</v>
      </c>
      <c r="T3464" t="s">
        <v>9478</v>
      </c>
      <c r="U3464" t="s">
        <v>9478</v>
      </c>
      <c r="V3464" t="s">
        <v>9478</v>
      </c>
      <c r="W3464">
        <v>41</v>
      </c>
      <c r="X3464" t="s">
        <v>12942</v>
      </c>
      <c r="Y3464">
        <v>0.45212494158066718</v>
      </c>
      <c r="Z3464" t="str">
        <f>HYPERLINK("Melting_Curves/meltCurve_sp_Q9NSE4_SYIM_HUMAN_.pdf", "Melting_Curves/meltCurve_sp_Q9NSE4_SYIM_HUMAN_.pdf")</f>
        <v>Melting_Curves/meltCurve_sp_Q9NSE4_SYIM_HUMAN_.pdf</v>
      </c>
      <c r="AA3464" t="s">
        <v>17630</v>
      </c>
      <c r="AB3464" t="s">
        <v>22297</v>
      </c>
    </row>
    <row r="3465" spans="1:28" x14ac:dyDescent="0.25">
      <c r="A3465" t="s">
        <v>3469</v>
      </c>
      <c r="B3465">
        <v>0.99904790336628502</v>
      </c>
      <c r="C3465">
        <v>1.01634922772016</v>
      </c>
      <c r="D3465">
        <v>0.97054562632657704</v>
      </c>
      <c r="E3465">
        <v>0.70503376250743</v>
      </c>
      <c r="F3465">
        <v>0.52025606726037099</v>
      </c>
      <c r="G3465">
        <v>0.247656398409064</v>
      </c>
      <c r="H3465">
        <v>0.153702898078838</v>
      </c>
      <c r="I3465">
        <v>0.106960662544986</v>
      </c>
      <c r="J3465">
        <v>9.3724665772654495E-2</v>
      </c>
      <c r="K3465">
        <v>9.5446247592528802E-2</v>
      </c>
      <c r="L3465">
        <v>984.36349389977204</v>
      </c>
      <c r="M3465">
        <v>18.758705401953399</v>
      </c>
      <c r="N3465">
        <v>52.990888306439601</v>
      </c>
      <c r="O3465">
        <v>51.889587466820402</v>
      </c>
      <c r="P3465">
        <v>-8.2838894216473502E-2</v>
      </c>
      <c r="Q3465">
        <v>8.3455761520769001E-2</v>
      </c>
      <c r="R3465">
        <v>0.99739340512938202</v>
      </c>
      <c r="S3465" t="s">
        <v>8205</v>
      </c>
      <c r="T3465" t="s">
        <v>9478</v>
      </c>
      <c r="U3465" t="s">
        <v>9478</v>
      </c>
      <c r="V3465" t="s">
        <v>9478</v>
      </c>
      <c r="W3465">
        <v>22</v>
      </c>
      <c r="X3465" t="s">
        <v>12943</v>
      </c>
      <c r="Y3465">
        <v>0.47871840412861449</v>
      </c>
      <c r="Z3465" t="str">
        <f>HYPERLINK("Melting_Curves/meltCurve_sp_Q9NSK0_KLC4_HUMAN_.pdf", "Melting_Curves/meltCurve_sp_Q9NSK0_KLC4_HUMAN_.pdf")</f>
        <v>Melting_Curves/meltCurve_sp_Q9NSK0_KLC4_HUMAN_.pdf</v>
      </c>
      <c r="AA3465" t="s">
        <v>17631</v>
      </c>
      <c r="AB3465" t="s">
        <v>22298</v>
      </c>
    </row>
    <row r="3466" spans="1:28" x14ac:dyDescent="0.25">
      <c r="A3466" t="s">
        <v>3470</v>
      </c>
      <c r="B3466">
        <v>0.99904790336628502</v>
      </c>
      <c r="C3466">
        <v>0.95916210665788704</v>
      </c>
      <c r="D3466">
        <v>0.84248062912786603</v>
      </c>
      <c r="E3466">
        <v>0.51622787667965797</v>
      </c>
      <c r="F3466">
        <v>0.28077586655369802</v>
      </c>
      <c r="G3466">
        <v>0.16252421557393101</v>
      </c>
      <c r="H3466">
        <v>8.5301856080844798E-2</v>
      </c>
      <c r="I3466">
        <v>6.5425247753098895E-2</v>
      </c>
      <c r="J3466">
        <v>6.2183762456523503E-2</v>
      </c>
      <c r="K3466">
        <v>3.5561987115954798E-2</v>
      </c>
      <c r="L3466">
        <v>919.05681196302203</v>
      </c>
      <c r="M3466">
        <v>18.405128882890999</v>
      </c>
      <c r="N3466">
        <v>50.220486216790299</v>
      </c>
      <c r="O3466">
        <v>49.356525181172103</v>
      </c>
      <c r="P3466">
        <v>-8.8596168242916204E-2</v>
      </c>
      <c r="Q3466">
        <v>4.9699282803946199E-2</v>
      </c>
      <c r="R3466">
        <v>0.99908837310657805</v>
      </c>
      <c r="S3466" t="s">
        <v>8206</v>
      </c>
      <c r="T3466" t="s">
        <v>9478</v>
      </c>
      <c r="U3466" t="s">
        <v>9478</v>
      </c>
      <c r="V3466" t="s">
        <v>9478</v>
      </c>
      <c r="W3466">
        <v>5</v>
      </c>
      <c r="X3466" t="s">
        <v>12944</v>
      </c>
      <c r="Y3466">
        <v>0.37994597326090612</v>
      </c>
      <c r="Z3466" t="str">
        <f>HYPERLINK("Melting_Curves/meltCurve_sp_Q9NSY0_NRBP2_HUMAN_.pdf", "Melting_Curves/meltCurve_sp_Q9NSY0_NRBP2_HUMAN_.pdf")</f>
        <v>Melting_Curves/meltCurve_sp_Q9NSY0_NRBP2_HUMAN_.pdf</v>
      </c>
      <c r="AA3466" t="s">
        <v>17632</v>
      </c>
      <c r="AB3466" t="s">
        <v>22299</v>
      </c>
    </row>
    <row r="3467" spans="1:28" x14ac:dyDescent="0.25">
      <c r="A3467" t="s">
        <v>3471</v>
      </c>
      <c r="B3467">
        <v>0.99904790336628502</v>
      </c>
      <c r="C3467">
        <v>0.94725632645251701</v>
      </c>
      <c r="D3467">
        <v>0.84448396336013698</v>
      </c>
      <c r="E3467">
        <v>0.50240755042249097</v>
      </c>
      <c r="F3467">
        <v>0.19235329234020099</v>
      </c>
      <c r="G3467">
        <v>9.5150057556869796E-2</v>
      </c>
      <c r="H3467">
        <v>3.4619509653781098E-2</v>
      </c>
      <c r="I3467">
        <v>2.2206412373161202E-2</v>
      </c>
      <c r="J3467">
        <v>1.99007581093937E-2</v>
      </c>
      <c r="K3467">
        <v>1.3794387197718199E-2</v>
      </c>
      <c r="L3467">
        <v>1055.75055830529</v>
      </c>
      <c r="M3467">
        <v>21.228301491789601</v>
      </c>
      <c r="N3467">
        <v>49.803747727385101</v>
      </c>
      <c r="O3467">
        <v>49.298125335017403</v>
      </c>
      <c r="P3467">
        <v>-0.106059861606061</v>
      </c>
      <c r="Q3467">
        <v>1.4820964153955901E-2</v>
      </c>
      <c r="R3467">
        <v>0.99847205403528305</v>
      </c>
      <c r="S3467" t="s">
        <v>8207</v>
      </c>
      <c r="T3467" t="s">
        <v>9478</v>
      </c>
      <c r="U3467" t="s">
        <v>9478</v>
      </c>
      <c r="V3467" t="s">
        <v>9478</v>
      </c>
      <c r="W3467">
        <v>4</v>
      </c>
      <c r="X3467" t="s">
        <v>12945</v>
      </c>
      <c r="Y3467">
        <v>0.3466517190095626</v>
      </c>
      <c r="Z3467" t="str">
        <f>HYPERLINK("Melting_Curves/meltCurve_sp_Q9NSY2_STAR5_HUMAN_.pdf", "Melting_Curves/meltCurve_sp_Q9NSY2_STAR5_HUMAN_.pdf")</f>
        <v>Melting_Curves/meltCurve_sp_Q9NSY2_STAR5_HUMAN_.pdf</v>
      </c>
      <c r="AA3467" t="s">
        <v>17633</v>
      </c>
      <c r="AB3467" t="s">
        <v>22300</v>
      </c>
    </row>
    <row r="3468" spans="1:28" x14ac:dyDescent="0.25">
      <c r="A3468" t="s">
        <v>3472</v>
      </c>
      <c r="B3468">
        <v>0.99904790336628502</v>
      </c>
      <c r="C3468">
        <v>0.93294396893667098</v>
      </c>
      <c r="D3468">
        <v>0.92374183121631503</v>
      </c>
      <c r="E3468">
        <v>0.86259985206256895</v>
      </c>
      <c r="F3468">
        <v>0.84796027520975004</v>
      </c>
      <c r="G3468">
        <v>0.52738902860366499</v>
      </c>
      <c r="H3468">
        <v>0.31507898545153201</v>
      </c>
      <c r="I3468">
        <v>0.188837988424996</v>
      </c>
      <c r="J3468">
        <v>0.14073357425753899</v>
      </c>
      <c r="K3468">
        <v>0.105466466079414</v>
      </c>
      <c r="L3468">
        <v>856.48543013557401</v>
      </c>
      <c r="M3468">
        <v>14.9155366097363</v>
      </c>
      <c r="N3468">
        <v>57.688339806444901</v>
      </c>
      <c r="O3468">
        <v>56.419839456900498</v>
      </c>
      <c r="P3468">
        <v>-6.3902196465752903E-2</v>
      </c>
      <c r="Q3468">
        <v>3.3228394891602099E-2</v>
      </c>
      <c r="R3468">
        <v>0.98923794682716804</v>
      </c>
      <c r="S3468" t="s">
        <v>8208</v>
      </c>
      <c r="T3468" t="s">
        <v>9478</v>
      </c>
      <c r="U3468" t="s">
        <v>9478</v>
      </c>
      <c r="V3468" t="s">
        <v>9478</v>
      </c>
      <c r="W3468">
        <v>8</v>
      </c>
      <c r="X3468" t="s">
        <v>12946</v>
      </c>
      <c r="Y3468">
        <v>0.60908926602047397</v>
      </c>
      <c r="Z3468" t="str">
        <f>HYPERLINK("Melting_Curves/meltCurve_sp_Q9NT62_ATG3_HUMAN_.pdf", "Melting_Curves/meltCurve_sp_Q9NT62_ATG3_HUMAN_.pdf")</f>
        <v>Melting_Curves/meltCurve_sp_Q9NT62_ATG3_HUMAN_.pdf</v>
      </c>
      <c r="AA3468" t="s">
        <v>17634</v>
      </c>
      <c r="AB3468" t="s">
        <v>22301</v>
      </c>
    </row>
    <row r="3469" spans="1:28" x14ac:dyDescent="0.25">
      <c r="A3469" t="s">
        <v>3473</v>
      </c>
      <c r="B3469">
        <v>0.99904790336628502</v>
      </c>
      <c r="C3469">
        <v>0.99115912028086794</v>
      </c>
      <c r="D3469">
        <v>0.91583724443491799</v>
      </c>
      <c r="E3469">
        <v>0.72221492506864804</v>
      </c>
      <c r="F3469">
        <v>0.27089195171803399</v>
      </c>
      <c r="G3469">
        <v>0.10130405612059699</v>
      </c>
      <c r="H3469">
        <v>3.8771416094954297E-2</v>
      </c>
      <c r="I3469">
        <v>3.3633873674297501E-2</v>
      </c>
      <c r="J3469">
        <v>2.9325519762719899E-2</v>
      </c>
      <c r="K3469">
        <v>2.7751493919855399E-2</v>
      </c>
      <c r="L3469">
        <v>1571.0071614404401</v>
      </c>
      <c r="M3469">
        <v>30.632098161587901</v>
      </c>
      <c r="N3469">
        <v>51.400771340478698</v>
      </c>
      <c r="O3469">
        <v>51.069201959984802</v>
      </c>
      <c r="P3469">
        <v>-0.14501101742178901</v>
      </c>
      <c r="Q3469">
        <v>3.29679965384009E-2</v>
      </c>
      <c r="R3469">
        <v>0.99704257190745205</v>
      </c>
      <c r="S3469" t="s">
        <v>8209</v>
      </c>
      <c r="T3469" t="s">
        <v>9478</v>
      </c>
      <c r="U3469" t="s">
        <v>9478</v>
      </c>
      <c r="V3469" t="s">
        <v>9478</v>
      </c>
      <c r="W3469">
        <v>6</v>
      </c>
      <c r="X3469" t="s">
        <v>12947</v>
      </c>
      <c r="Y3469">
        <v>0.40263462639869541</v>
      </c>
      <c r="Z3469" t="str">
        <f>HYPERLINK("Melting_Curves/meltCurve_sp_Q9NTG7_SIR3_HUMAN_.pdf", "Melting_Curves/meltCurve_sp_Q9NTG7_SIR3_HUMAN_.pdf")</f>
        <v>Melting_Curves/meltCurve_sp_Q9NTG7_SIR3_HUMAN_.pdf</v>
      </c>
      <c r="AA3469" t="s">
        <v>17635</v>
      </c>
      <c r="AB3469" t="s">
        <v>22302</v>
      </c>
    </row>
    <row r="3470" spans="1:28" x14ac:dyDescent="0.25">
      <c r="A3470" t="s">
        <v>3474</v>
      </c>
      <c r="B3470">
        <v>0.99904790336628502</v>
      </c>
      <c r="C3470">
        <v>1.04812508700702</v>
      </c>
      <c r="D3470">
        <v>0.97353832263592799</v>
      </c>
      <c r="E3470">
        <v>0.72528921977985195</v>
      </c>
      <c r="F3470">
        <v>0.65202828597839602</v>
      </c>
      <c r="G3470">
        <v>0.57842345088621105</v>
      </c>
      <c r="H3470">
        <v>0.47658685318566202</v>
      </c>
      <c r="I3470">
        <v>0.50398476807778902</v>
      </c>
      <c r="J3470">
        <v>0.41592167264548602</v>
      </c>
      <c r="K3470">
        <v>0.369575512314605</v>
      </c>
      <c r="L3470">
        <v>771.51276454774904</v>
      </c>
      <c r="M3470">
        <v>14.8578227389762</v>
      </c>
      <c r="N3470">
        <v>58.871583575962397</v>
      </c>
      <c r="O3470">
        <v>51.0129410472966</v>
      </c>
      <c r="P3470">
        <v>-4.27202996709777E-2</v>
      </c>
      <c r="Q3470">
        <v>0.41335694550308</v>
      </c>
      <c r="R3470">
        <v>0.96466286774666599</v>
      </c>
      <c r="S3470" t="s">
        <v>8210</v>
      </c>
      <c r="T3470" t="s">
        <v>9478</v>
      </c>
      <c r="U3470" t="s">
        <v>9478</v>
      </c>
      <c r="V3470" t="s">
        <v>9478</v>
      </c>
      <c r="W3470">
        <v>10</v>
      </c>
      <c r="X3470" t="s">
        <v>12948</v>
      </c>
      <c r="Y3470">
        <v>0.65991654120120502</v>
      </c>
      <c r="Z3470" t="str">
        <f>HYPERLINK("Melting_Curves/meltCurve_sp_Q9NTI5_2_PDS5B_HUMAN_.pdf", "Melting_Curves/meltCurve_sp_Q9NTI5_2_PDS5B_HUMAN_.pdf")</f>
        <v>Melting_Curves/meltCurve_sp_Q9NTI5_2_PDS5B_HUMAN_.pdf</v>
      </c>
      <c r="AA3470" t="s">
        <v>17636</v>
      </c>
      <c r="AB3470" t="s">
        <v>22303</v>
      </c>
    </row>
    <row r="3471" spans="1:28" x14ac:dyDescent="0.25">
      <c r="A3471" t="s">
        <v>3475</v>
      </c>
      <c r="B3471">
        <v>0.99904790336628502</v>
      </c>
      <c r="C3471">
        <v>0.97589127926628905</v>
      </c>
      <c r="D3471">
        <v>0.96906167256053799</v>
      </c>
      <c r="E3471">
        <v>0.94598340622689803</v>
      </c>
      <c r="F3471">
        <v>0.83559476065387095</v>
      </c>
      <c r="G3471">
        <v>0.48959968238750601</v>
      </c>
      <c r="H3471">
        <v>0.111857783237769</v>
      </c>
      <c r="I3471">
        <v>8.3932968755340606E-2</v>
      </c>
      <c r="J3471">
        <v>5.9618839999894799E-2</v>
      </c>
      <c r="K3471">
        <v>4.1709905538940099E-2</v>
      </c>
      <c r="L3471">
        <v>1448.4590216762101</v>
      </c>
      <c r="M3471">
        <v>25.634353328409599</v>
      </c>
      <c r="N3471">
        <v>56.638833961321602</v>
      </c>
      <c r="O3471">
        <v>56.164094045197999</v>
      </c>
      <c r="P3471">
        <v>-0.11074323562644001</v>
      </c>
      <c r="Q3471">
        <v>2.9471341876640501E-2</v>
      </c>
      <c r="R3471">
        <v>0.99701212685246399</v>
      </c>
      <c r="S3471" t="s">
        <v>8211</v>
      </c>
      <c r="T3471" t="s">
        <v>9478</v>
      </c>
      <c r="U3471" t="s">
        <v>9478</v>
      </c>
      <c r="V3471" t="s">
        <v>9478</v>
      </c>
      <c r="W3471">
        <v>14</v>
      </c>
      <c r="X3471" t="s">
        <v>12949</v>
      </c>
      <c r="Y3471">
        <v>0.57189844105028387</v>
      </c>
      <c r="Z3471" t="str">
        <f>HYPERLINK("Melting_Curves/meltCurve_sp_Q9NTJ4_3_MA2C1_HUMAN_.pdf", "Melting_Curves/meltCurve_sp_Q9NTJ4_3_MA2C1_HUMAN_.pdf")</f>
        <v>Melting_Curves/meltCurve_sp_Q9NTJ4_3_MA2C1_HUMAN_.pdf</v>
      </c>
      <c r="AA3471" t="s">
        <v>17637</v>
      </c>
      <c r="AB3471" t="s">
        <v>22304</v>
      </c>
    </row>
    <row r="3472" spans="1:28" x14ac:dyDescent="0.25">
      <c r="A3472" t="s">
        <v>3476</v>
      </c>
      <c r="B3472">
        <v>0.99904790336628502</v>
      </c>
      <c r="C3472">
        <v>0.90711852813900296</v>
      </c>
      <c r="D3472">
        <v>0.96408688567259504</v>
      </c>
      <c r="E3472">
        <v>0.35807448554023602</v>
      </c>
      <c r="F3472">
        <v>9.1479407497304099E-2</v>
      </c>
      <c r="G3472">
        <v>6.2695735223305696E-2</v>
      </c>
      <c r="H3472">
        <v>3.8058744778931598E-2</v>
      </c>
      <c r="I3472">
        <v>2.59469299359383E-2</v>
      </c>
      <c r="J3472">
        <v>1.80444213399256E-2</v>
      </c>
      <c r="K3472">
        <v>1.31215255539742E-2</v>
      </c>
      <c r="L3472">
        <v>2012.2978446647001</v>
      </c>
      <c r="M3472">
        <v>40.897815962460498</v>
      </c>
      <c r="N3472">
        <v>49.283053612321901</v>
      </c>
      <c r="O3472">
        <v>49.085865043350303</v>
      </c>
      <c r="P3472">
        <v>-0.20160969632852299</v>
      </c>
      <c r="Q3472">
        <v>3.2107978630372798E-2</v>
      </c>
      <c r="R3472">
        <v>0.99407304435658195</v>
      </c>
      <c r="S3472" t="s">
        <v>8212</v>
      </c>
      <c r="T3472" t="s">
        <v>9478</v>
      </c>
      <c r="U3472" t="s">
        <v>9478</v>
      </c>
      <c r="V3472" t="s">
        <v>9478</v>
      </c>
      <c r="W3472">
        <v>12</v>
      </c>
      <c r="X3472" t="s">
        <v>12950</v>
      </c>
      <c r="Y3472">
        <v>0.33217722063780619</v>
      </c>
      <c r="Z3472" t="str">
        <f>HYPERLINK("Melting_Curves/meltCurve_sp_Q9NTK5_OLA1_HUMAN_.pdf", "Melting_Curves/meltCurve_sp_Q9NTK5_OLA1_HUMAN_.pdf")</f>
        <v>Melting_Curves/meltCurve_sp_Q9NTK5_OLA1_HUMAN_.pdf</v>
      </c>
      <c r="AA3472" t="s">
        <v>17638</v>
      </c>
      <c r="AB3472" t="s">
        <v>22305</v>
      </c>
    </row>
    <row r="3473" spans="1:28" x14ac:dyDescent="0.25">
      <c r="A3473" t="s">
        <v>3477</v>
      </c>
      <c r="B3473">
        <v>0.99904790336628502</v>
      </c>
      <c r="C3473">
        <v>0.93847679794236405</v>
      </c>
      <c r="D3473">
        <v>0.99651735540878805</v>
      </c>
      <c r="E3473">
        <v>0.93259110631794395</v>
      </c>
      <c r="F3473">
        <v>0.85285508757448003</v>
      </c>
      <c r="G3473">
        <v>0.49180730523368499</v>
      </c>
      <c r="H3473">
        <v>0.168839212857882</v>
      </c>
      <c r="I3473">
        <v>0.119683678422701</v>
      </c>
      <c r="J3473">
        <v>6.8999434248759803E-2</v>
      </c>
      <c r="K3473">
        <v>3.28737165437284E-2</v>
      </c>
      <c r="L3473">
        <v>1323.8728585291799</v>
      </c>
      <c r="M3473">
        <v>23.3512057857996</v>
      </c>
      <c r="N3473">
        <v>56.8706612485311</v>
      </c>
      <c r="O3473">
        <v>56.283106890000703</v>
      </c>
      <c r="P3473">
        <v>-0.10009482834198</v>
      </c>
      <c r="Q3473">
        <v>3.4987967174883103E-2</v>
      </c>
      <c r="R3473">
        <v>0.99642748674887205</v>
      </c>
      <c r="S3473" t="s">
        <v>8213</v>
      </c>
      <c r="T3473" t="s">
        <v>9478</v>
      </c>
      <c r="U3473" t="s">
        <v>9478</v>
      </c>
      <c r="V3473" t="s">
        <v>9478</v>
      </c>
      <c r="W3473">
        <v>5</v>
      </c>
      <c r="X3473" t="s">
        <v>12951</v>
      </c>
      <c r="Y3473">
        <v>0.58170955431310889</v>
      </c>
      <c r="Z3473" t="str">
        <f>HYPERLINK("Melting_Curves/meltCurve_sp_Q9NTM9_CUTC_HUMAN_.pdf", "Melting_Curves/meltCurve_sp_Q9NTM9_CUTC_HUMAN_.pdf")</f>
        <v>Melting_Curves/meltCurve_sp_Q9NTM9_CUTC_HUMAN_.pdf</v>
      </c>
      <c r="AA3473" t="s">
        <v>17639</v>
      </c>
      <c r="AB3473" t="s">
        <v>22306</v>
      </c>
    </row>
    <row r="3474" spans="1:28" x14ac:dyDescent="0.25">
      <c r="A3474" t="s">
        <v>3478</v>
      </c>
      <c r="B3474">
        <v>0.99904790336628502</v>
      </c>
      <c r="C3474">
        <v>1.00747238368412</v>
      </c>
      <c r="D3474">
        <v>1.0635792706782601</v>
      </c>
      <c r="E3474">
        <v>0.94601687002291701</v>
      </c>
      <c r="F3474">
        <v>0.98037235284309798</v>
      </c>
      <c r="G3474">
        <v>0.67907004336412802</v>
      </c>
      <c r="H3474">
        <v>0.33511368203251002</v>
      </c>
      <c r="I3474">
        <v>0.14497867294658601</v>
      </c>
      <c r="J3474">
        <v>0.124928835581716</v>
      </c>
      <c r="K3474">
        <v>0.10595391398443001</v>
      </c>
      <c r="L3474">
        <v>1581.2932924925401</v>
      </c>
      <c r="M3474">
        <v>27.0540903618882</v>
      </c>
      <c r="N3474">
        <v>58.886607139825699</v>
      </c>
      <c r="O3474">
        <v>58.132774821716197</v>
      </c>
      <c r="P3474">
        <v>-0.105759346311531</v>
      </c>
      <c r="Q3474">
        <v>9.1002688764109899E-2</v>
      </c>
      <c r="R3474">
        <v>0.99431111819115903</v>
      </c>
      <c r="S3474" t="s">
        <v>8214</v>
      </c>
      <c r="T3474" t="s">
        <v>9478</v>
      </c>
      <c r="U3474" t="s">
        <v>9478</v>
      </c>
      <c r="V3474" t="s">
        <v>9478</v>
      </c>
      <c r="W3474">
        <v>5</v>
      </c>
      <c r="X3474" t="s">
        <v>12952</v>
      </c>
      <c r="Y3474">
        <v>0.65694732666827327</v>
      </c>
      <c r="Z3474" t="str">
        <f>HYPERLINK("Melting_Curves/meltCurve_sp_Q9NTN9_SEM4G_HUMAN_.pdf", "Melting_Curves/meltCurve_sp_Q9NTN9_SEM4G_HUMAN_.pdf")</f>
        <v>Melting_Curves/meltCurve_sp_Q9NTN9_SEM4G_HUMAN_.pdf</v>
      </c>
      <c r="AA3474" t="s">
        <v>17640</v>
      </c>
      <c r="AB3474" t="s">
        <v>22307</v>
      </c>
    </row>
    <row r="3475" spans="1:28" x14ac:dyDescent="0.25">
      <c r="A3475" t="s">
        <v>3479</v>
      </c>
      <c r="B3475">
        <v>0.99904790336628502</v>
      </c>
      <c r="C3475">
        <v>1.02969052096089</v>
      </c>
      <c r="D3475">
        <v>1.0128559667357999</v>
      </c>
      <c r="E3475">
        <v>0.96091739499326601</v>
      </c>
      <c r="F3475">
        <v>0.911140022412955</v>
      </c>
      <c r="G3475">
        <v>0.729074974210277</v>
      </c>
      <c r="H3475">
        <v>0.59087560811971196</v>
      </c>
      <c r="I3475">
        <v>0.58738359677934804</v>
      </c>
      <c r="J3475">
        <v>0.52625694703980797</v>
      </c>
      <c r="K3475">
        <v>0.29434858472356101</v>
      </c>
      <c r="L3475">
        <v>575.64248839331503</v>
      </c>
      <c r="M3475">
        <v>8.8183306692699208</v>
      </c>
      <c r="N3475">
        <v>65.277940280249794</v>
      </c>
      <c r="O3475">
        <v>62.182313127204999</v>
      </c>
      <c r="P3475">
        <v>-3.5481355270268897E-2</v>
      </c>
      <c r="Q3475">
        <v>0</v>
      </c>
      <c r="R3475">
        <v>0.96082688655984505</v>
      </c>
      <c r="S3475" t="s">
        <v>8215</v>
      </c>
      <c r="T3475" t="s">
        <v>9478</v>
      </c>
      <c r="U3475" t="s">
        <v>9478</v>
      </c>
      <c r="V3475" t="s">
        <v>9478</v>
      </c>
      <c r="W3475">
        <v>14</v>
      </c>
      <c r="X3475" t="s">
        <v>12953</v>
      </c>
      <c r="Y3475">
        <v>0.77292872257649325</v>
      </c>
      <c r="Z3475" t="str">
        <f>HYPERLINK("Melting_Curves/meltCurve_sp_Q9NTX5_6_ECHD1_HUMAN_.pdf", "Melting_Curves/meltCurve_sp_Q9NTX5_6_ECHD1_HUMAN_.pdf")</f>
        <v>Melting_Curves/meltCurve_sp_Q9NTX5_6_ECHD1_HUMAN_.pdf</v>
      </c>
      <c r="AA3475" t="s">
        <v>17641</v>
      </c>
      <c r="AB3475" t="s">
        <v>22308</v>
      </c>
    </row>
    <row r="3476" spans="1:28" x14ac:dyDescent="0.25">
      <c r="A3476" t="s">
        <v>3480</v>
      </c>
      <c r="B3476">
        <v>0.99904790336628502</v>
      </c>
      <c r="C3476">
        <v>1.0495001142703699</v>
      </c>
      <c r="D3476">
        <v>0.98979080942931197</v>
      </c>
      <c r="E3476">
        <v>0.94287048503213</v>
      </c>
      <c r="F3476">
        <v>0.70902722194290402</v>
      </c>
      <c r="G3476">
        <v>0.275821711744349</v>
      </c>
      <c r="H3476">
        <v>0.167103162212318</v>
      </c>
      <c r="I3476">
        <v>0.13040998962869699</v>
      </c>
      <c r="J3476">
        <v>0.13804776998165499</v>
      </c>
      <c r="K3476">
        <v>0.132328583786614</v>
      </c>
      <c r="L3476">
        <v>1727.44823638566</v>
      </c>
      <c r="M3476">
        <v>31.9131746778665</v>
      </c>
      <c r="N3476">
        <v>54.661552568378099</v>
      </c>
      <c r="O3476">
        <v>53.918429880742998</v>
      </c>
      <c r="P3476">
        <v>-0.12821935299918999</v>
      </c>
      <c r="Q3476">
        <v>0.13348029230199099</v>
      </c>
      <c r="R3476">
        <v>0.99825325708377</v>
      </c>
      <c r="S3476" t="s">
        <v>8216</v>
      </c>
      <c r="T3476" t="s">
        <v>9478</v>
      </c>
      <c r="U3476" t="s">
        <v>9478</v>
      </c>
      <c r="V3476" t="s">
        <v>9478</v>
      </c>
      <c r="W3476">
        <v>11</v>
      </c>
      <c r="X3476" t="s">
        <v>12954</v>
      </c>
      <c r="Y3476">
        <v>0.54665731875917023</v>
      </c>
      <c r="Z3476" t="str">
        <f>HYPERLINK("Melting_Curves/meltCurve_sp_Q9NTZ6_RBM12_HUMAN_.pdf", "Melting_Curves/meltCurve_sp_Q9NTZ6_RBM12_HUMAN_.pdf")</f>
        <v>Melting_Curves/meltCurve_sp_Q9NTZ6_RBM12_HUMAN_.pdf</v>
      </c>
      <c r="AA3476" t="s">
        <v>17642</v>
      </c>
      <c r="AB3476" t="s">
        <v>22309</v>
      </c>
    </row>
    <row r="3477" spans="1:28" x14ac:dyDescent="0.25">
      <c r="A3477" t="s">
        <v>3481</v>
      </c>
      <c r="B3477">
        <v>0.99904790336628502</v>
      </c>
      <c r="C3477">
        <v>0.84713077322222496</v>
      </c>
      <c r="D3477">
        <v>0.71879763151423004</v>
      </c>
      <c r="E3477">
        <v>0.80882699197487096</v>
      </c>
      <c r="F3477">
        <v>0.68731078044277005</v>
      </c>
      <c r="G3477">
        <v>0.55934391744843803</v>
      </c>
      <c r="H3477">
        <v>0.19768311654669399</v>
      </c>
      <c r="I3477">
        <v>0.119992134490636</v>
      </c>
      <c r="J3477">
        <v>9.2035739943279696E-2</v>
      </c>
      <c r="K3477">
        <v>6.6516426464150402E-2</v>
      </c>
      <c r="L3477">
        <v>614.08729411022102</v>
      </c>
      <c r="M3477">
        <v>11.0554925934788</v>
      </c>
      <c r="N3477">
        <v>55.545900728226997</v>
      </c>
      <c r="O3477">
        <v>53.821371147391901</v>
      </c>
      <c r="P3477">
        <v>-5.1369697543530199E-2</v>
      </c>
      <c r="Q3477">
        <v>0</v>
      </c>
      <c r="R3477">
        <v>0.92709255083027398</v>
      </c>
      <c r="S3477" t="s">
        <v>8217</v>
      </c>
      <c r="T3477" t="s">
        <v>9478</v>
      </c>
      <c r="U3477" t="s">
        <v>9478</v>
      </c>
      <c r="V3477" t="s">
        <v>9478</v>
      </c>
      <c r="W3477">
        <v>3</v>
      </c>
      <c r="X3477" t="s">
        <v>12955</v>
      </c>
      <c r="Y3477">
        <v>0.540865420527045</v>
      </c>
      <c r="Z3477" t="str">
        <f>HYPERLINK("Melting_Curves/meltCurve_sp_Q9NU23_LYRM2_HUMAN_.pdf", "Melting_Curves/meltCurve_sp_Q9NU23_LYRM2_HUMAN_.pdf")</f>
        <v>Melting_Curves/meltCurve_sp_Q9NU23_LYRM2_HUMAN_.pdf</v>
      </c>
      <c r="AA3477" t="s">
        <v>17643</v>
      </c>
      <c r="AB3477" t="s">
        <v>22310</v>
      </c>
    </row>
    <row r="3478" spans="1:28" x14ac:dyDescent="0.25">
      <c r="A3478" t="s">
        <v>3482</v>
      </c>
      <c r="B3478">
        <v>0.99904790336628502</v>
      </c>
      <c r="C3478">
        <v>0.90756342713542903</v>
      </c>
      <c r="D3478">
        <v>0.96672265372553901</v>
      </c>
      <c r="E3478">
        <v>0.74896886011455999</v>
      </c>
      <c r="F3478">
        <v>0.64187970834907904</v>
      </c>
      <c r="G3478">
        <v>0.35769990174222299</v>
      </c>
      <c r="H3478">
        <v>0.233926699934702</v>
      </c>
      <c r="I3478">
        <v>0.158480401678047</v>
      </c>
      <c r="J3478">
        <v>0.20164468516577799</v>
      </c>
      <c r="K3478">
        <v>0.18533185454928799</v>
      </c>
      <c r="L3478">
        <v>860.73202414068601</v>
      </c>
      <c r="M3478">
        <v>16.127281734845901</v>
      </c>
      <c r="N3478">
        <v>54.531285135829101</v>
      </c>
      <c r="O3478">
        <v>52.570801726404802</v>
      </c>
      <c r="P3478">
        <v>-6.5561210959709001E-2</v>
      </c>
      <c r="Q3478">
        <v>0.145214066563776</v>
      </c>
      <c r="R3478">
        <v>0.98814315770307404</v>
      </c>
      <c r="S3478" t="s">
        <v>8218</v>
      </c>
      <c r="T3478" t="s">
        <v>9478</v>
      </c>
      <c r="U3478" t="s">
        <v>9478</v>
      </c>
      <c r="V3478" t="s">
        <v>9478</v>
      </c>
      <c r="W3478">
        <v>1</v>
      </c>
      <c r="X3478" t="s">
        <v>12956</v>
      </c>
      <c r="Y3478">
        <v>0.54256697351558714</v>
      </c>
      <c r="Z3478" t="str">
        <f>HYPERLINK("Melting_Curves/meltCurve_sp_Q9NUG6_PDRG1_HUMAN_.pdf", "Melting_Curves/meltCurve_sp_Q9NUG6_PDRG1_HUMAN_.pdf")</f>
        <v>Melting_Curves/meltCurve_sp_Q9NUG6_PDRG1_HUMAN_.pdf</v>
      </c>
      <c r="AA3478" t="s">
        <v>17644</v>
      </c>
      <c r="AB3478" t="s">
        <v>22311</v>
      </c>
    </row>
    <row r="3479" spans="1:28" x14ac:dyDescent="0.25">
      <c r="A3479" t="s">
        <v>3483</v>
      </c>
      <c r="B3479">
        <v>0.99904790336628502</v>
      </c>
      <c r="C3479">
        <v>1.1805066598726901</v>
      </c>
      <c r="D3479">
        <v>0.98195105428875695</v>
      </c>
      <c r="E3479">
        <v>0.35674052597669298</v>
      </c>
      <c r="F3479">
        <v>0.143186978977488</v>
      </c>
      <c r="G3479">
        <v>5.8515846438807501E-2</v>
      </c>
      <c r="H3479">
        <v>2.5511129477862899E-2</v>
      </c>
      <c r="I3479">
        <v>1.2239194996828901E-2</v>
      </c>
      <c r="J3479">
        <v>1.6082820232362498E-2</v>
      </c>
      <c r="K3479">
        <v>7.8582443897115897E-3</v>
      </c>
      <c r="L3479">
        <v>2050.1738668052299</v>
      </c>
      <c r="M3479">
        <v>41.593665356301003</v>
      </c>
      <c r="N3479">
        <v>49.370226514871099</v>
      </c>
      <c r="O3479">
        <v>49.177004310448098</v>
      </c>
      <c r="P3479">
        <v>-0.20458447976545699</v>
      </c>
      <c r="Q3479">
        <v>3.2464784409608698E-2</v>
      </c>
      <c r="R3479">
        <v>0.98069948660082795</v>
      </c>
      <c r="S3479" t="s">
        <v>8219</v>
      </c>
      <c r="T3479" t="s">
        <v>9478</v>
      </c>
      <c r="U3479" t="s">
        <v>9478</v>
      </c>
      <c r="V3479" t="s">
        <v>9478</v>
      </c>
      <c r="W3479">
        <v>13</v>
      </c>
      <c r="X3479" t="s">
        <v>12957</v>
      </c>
      <c r="Y3479">
        <v>0.3351440557880716</v>
      </c>
      <c r="Z3479" t="str">
        <f>HYPERLINK("Melting_Curves/meltCurve_sp_Q9NUI1_2_DECR2_HUMAN_.pdf", "Melting_Curves/meltCurve_sp_Q9NUI1_2_DECR2_HUMAN_.pdf")</f>
        <v>Melting_Curves/meltCurve_sp_Q9NUI1_2_DECR2_HUMAN_.pdf</v>
      </c>
      <c r="AA3479" t="s">
        <v>17645</v>
      </c>
      <c r="AB3479" t="s">
        <v>22312</v>
      </c>
    </row>
    <row r="3480" spans="1:28" x14ac:dyDescent="0.25">
      <c r="A3480" t="s">
        <v>3484</v>
      </c>
      <c r="B3480">
        <v>0.99904790336628502</v>
      </c>
      <c r="C3480">
        <v>1.05406025252505</v>
      </c>
      <c r="D3480">
        <v>1.09360678887899</v>
      </c>
      <c r="E3480">
        <v>1.00158967373867</v>
      </c>
      <c r="F3480">
        <v>0.79139602764768302</v>
      </c>
      <c r="G3480">
        <v>0.65996357650910198</v>
      </c>
      <c r="H3480">
        <v>0.44465108611992099</v>
      </c>
      <c r="I3480">
        <v>0.35166203483117597</v>
      </c>
      <c r="J3480">
        <v>0.26855433228841302</v>
      </c>
      <c r="K3480">
        <v>0.16612253822015499</v>
      </c>
      <c r="L3480">
        <v>874.01024457561402</v>
      </c>
      <c r="M3480">
        <v>14.866770697308899</v>
      </c>
      <c r="N3480">
        <v>59.953725442994298</v>
      </c>
      <c r="O3480">
        <v>57.756574234962599</v>
      </c>
      <c r="P3480">
        <v>-5.6288697831239701E-2</v>
      </c>
      <c r="Q3480">
        <v>0.12537778292556101</v>
      </c>
      <c r="R3480">
        <v>0.97777346697546597</v>
      </c>
      <c r="S3480" t="s">
        <v>8220</v>
      </c>
      <c r="T3480" t="s">
        <v>9478</v>
      </c>
      <c r="U3480" t="s">
        <v>9478</v>
      </c>
      <c r="V3480" t="s">
        <v>9478</v>
      </c>
      <c r="W3480">
        <v>22</v>
      </c>
      <c r="X3480" t="s">
        <v>12958</v>
      </c>
      <c r="Y3480">
        <v>0.68289784164367573</v>
      </c>
      <c r="Z3480" t="str">
        <f>HYPERLINK("Melting_Curves/meltCurve_sp_Q9NUI1_DECR2_HUMAN_.pdf", "Melting_Curves/meltCurve_sp_Q9NUI1_DECR2_HUMAN_.pdf")</f>
        <v>Melting_Curves/meltCurve_sp_Q9NUI1_DECR2_HUMAN_.pdf</v>
      </c>
      <c r="AA3480" t="s">
        <v>17645</v>
      </c>
      <c r="AB3480" t="s">
        <v>22313</v>
      </c>
    </row>
    <row r="3481" spans="1:28" x14ac:dyDescent="0.25">
      <c r="A3481" t="s">
        <v>3485</v>
      </c>
      <c r="B3481">
        <v>0.99904790336628502</v>
      </c>
      <c r="C3481">
        <v>0.94370434533006398</v>
      </c>
      <c r="D3481">
        <v>0.92921741849226502</v>
      </c>
      <c r="E3481">
        <v>0.98650402628883405</v>
      </c>
      <c r="F3481">
        <v>0.86793660126398797</v>
      </c>
      <c r="G3481">
        <v>0.83896134222637997</v>
      </c>
      <c r="H3481">
        <v>0.58114860189631501</v>
      </c>
      <c r="I3481">
        <v>0.33210991126079997</v>
      </c>
      <c r="J3481">
        <v>4.6925985673755097E-2</v>
      </c>
      <c r="K3481">
        <v>3.7296234356923801E-2</v>
      </c>
      <c r="L3481">
        <v>1426.24349613613</v>
      </c>
      <c r="M3481">
        <v>23.177746906315999</v>
      </c>
      <c r="N3481">
        <v>61.535058073154303</v>
      </c>
      <c r="O3481">
        <v>61.082460247206598</v>
      </c>
      <c r="P3481">
        <v>-9.4864255817339399E-2</v>
      </c>
      <c r="Q3481">
        <v>0</v>
      </c>
      <c r="R3481">
        <v>0.976820195915584</v>
      </c>
      <c r="S3481" t="s">
        <v>8221</v>
      </c>
      <c r="T3481" t="s">
        <v>9478</v>
      </c>
      <c r="U3481" t="s">
        <v>9478</v>
      </c>
      <c r="V3481" t="s">
        <v>9478</v>
      </c>
      <c r="W3481">
        <v>11</v>
      </c>
      <c r="X3481" t="s">
        <v>12959</v>
      </c>
      <c r="Y3481">
        <v>0.72320059998454334</v>
      </c>
      <c r="Z3481" t="str">
        <f>HYPERLINK("Melting_Curves/meltCurve_sp_Q9NUJ1_ABHDA_HUMAN_.pdf", "Melting_Curves/meltCurve_sp_Q9NUJ1_ABHDA_HUMAN_.pdf")</f>
        <v>Melting_Curves/meltCurve_sp_Q9NUJ1_ABHDA_HUMAN_.pdf</v>
      </c>
      <c r="AA3481" t="s">
        <v>17646</v>
      </c>
      <c r="AB3481" t="s">
        <v>22314</v>
      </c>
    </row>
    <row r="3482" spans="1:28" x14ac:dyDescent="0.25">
      <c r="A3482" t="s">
        <v>3486</v>
      </c>
      <c r="B3482">
        <v>0.99904790336628502</v>
      </c>
      <c r="C3482">
        <v>1.0617123019642101</v>
      </c>
      <c r="D3482">
        <v>0.95902131599645402</v>
      </c>
      <c r="E3482">
        <v>0.92880056442644698</v>
      </c>
      <c r="F3482">
        <v>0.851402384469926</v>
      </c>
      <c r="G3482">
        <v>0.667949654435261</v>
      </c>
      <c r="H3482">
        <v>0.61548497339090902</v>
      </c>
      <c r="I3482">
        <v>0.70703144559571796</v>
      </c>
      <c r="J3482">
        <v>0.84888571252246803</v>
      </c>
      <c r="K3482">
        <v>0.75843354733060597</v>
      </c>
      <c r="L3482">
        <v>1931.6980558242001</v>
      </c>
      <c r="M3482">
        <v>37.007005252320099</v>
      </c>
      <c r="O3482">
        <v>52.046463614425498</v>
      </c>
      <c r="P3482">
        <v>-4.9712273933098398E-2</v>
      </c>
      <c r="Q3482">
        <v>0.72034048735072398</v>
      </c>
      <c r="R3482">
        <v>0.79909949153526105</v>
      </c>
      <c r="S3482" t="s">
        <v>8222</v>
      </c>
      <c r="T3482" t="s">
        <v>9478</v>
      </c>
      <c r="U3482" t="s">
        <v>9478</v>
      </c>
      <c r="V3482" t="s">
        <v>9478</v>
      </c>
      <c r="W3482">
        <v>3</v>
      </c>
      <c r="X3482" t="s">
        <v>12960</v>
      </c>
      <c r="Y3482">
        <v>0.83523062289991012</v>
      </c>
      <c r="Z3482" t="str">
        <f>HYPERLINK("Melting_Curves/meltCurve_sp_Q9NUL5_4_CS066_HUMAN_.pdf", "Melting_Curves/meltCurve_sp_Q9NUL5_4_CS066_HUMAN_.pdf")</f>
        <v>Melting_Curves/meltCurve_sp_Q9NUL5_4_CS066_HUMAN_.pdf</v>
      </c>
      <c r="AA3482" t="s">
        <v>17647</v>
      </c>
      <c r="AB3482" t="s">
        <v>22315</v>
      </c>
    </row>
    <row r="3483" spans="1:28" x14ac:dyDescent="0.25">
      <c r="A3483" t="s">
        <v>3487</v>
      </c>
      <c r="B3483">
        <v>0.99904790336628502</v>
      </c>
      <c r="C3483">
        <v>0.740233968545431</v>
      </c>
      <c r="D3483">
        <v>1.0043126218215499</v>
      </c>
      <c r="E3483">
        <v>1.2606763011714599</v>
      </c>
      <c r="F3483">
        <v>0.94014019355455403</v>
      </c>
      <c r="G3483">
        <v>0.44367093532597301</v>
      </c>
      <c r="H3483">
        <v>0.54075151755375295</v>
      </c>
      <c r="I3483">
        <v>0.20976308355974599</v>
      </c>
      <c r="J3483">
        <v>0.23311590406215801</v>
      </c>
      <c r="K3483">
        <v>0.20246389326129099</v>
      </c>
      <c r="L3483">
        <v>2399.54525315107</v>
      </c>
      <c r="M3483">
        <v>43.047328919825901</v>
      </c>
      <c r="N3483">
        <v>56.8480179075545</v>
      </c>
      <c r="O3483">
        <v>55.622153682986799</v>
      </c>
      <c r="P3483">
        <v>-0.13860962723725601</v>
      </c>
      <c r="Q3483">
        <v>0.283602374428997</v>
      </c>
      <c r="R3483">
        <v>0.84077182067031797</v>
      </c>
      <c r="S3483" t="s">
        <v>8223</v>
      </c>
      <c r="T3483" t="s">
        <v>9478</v>
      </c>
      <c r="U3483" t="s">
        <v>9478</v>
      </c>
      <c r="V3483" t="s">
        <v>9478</v>
      </c>
      <c r="W3483">
        <v>2</v>
      </c>
      <c r="X3483" t="s">
        <v>12961</v>
      </c>
      <c r="Y3483">
        <v>0.661893728136284</v>
      </c>
      <c r="Z3483" t="str">
        <f>HYPERLINK("Melting_Curves/meltCurve_sp_Q9NUP7_TRM13_HUMAN_.pdf", "Melting_Curves/meltCurve_sp_Q9NUP7_TRM13_HUMAN_.pdf")</f>
        <v>Melting_Curves/meltCurve_sp_Q9NUP7_TRM13_HUMAN_.pdf</v>
      </c>
      <c r="AA3483" t="s">
        <v>17648</v>
      </c>
      <c r="AB3483" t="s">
        <v>22316</v>
      </c>
    </row>
    <row r="3484" spans="1:28" x14ac:dyDescent="0.25">
      <c r="A3484" t="s">
        <v>3488</v>
      </c>
      <c r="B3484">
        <v>0.99904790336628502</v>
      </c>
      <c r="C3484">
        <v>0.98695210133708999</v>
      </c>
      <c r="D3484">
        <v>0.96576678800973803</v>
      </c>
      <c r="E3484">
        <v>0.874638826531561</v>
      </c>
      <c r="F3484">
        <v>0.73442973202253004</v>
      </c>
      <c r="G3484">
        <v>0.47512070215886198</v>
      </c>
      <c r="H3484">
        <v>0.37048336709606999</v>
      </c>
      <c r="I3484">
        <v>0.31471411307306402</v>
      </c>
      <c r="J3484">
        <v>0.29166714916027697</v>
      </c>
      <c r="K3484">
        <v>0.23820017600617399</v>
      </c>
      <c r="L3484">
        <v>926.98360639662098</v>
      </c>
      <c r="M3484">
        <v>16.944224212074001</v>
      </c>
      <c r="N3484">
        <v>56.9685164902642</v>
      </c>
      <c r="O3484">
        <v>53.962981774242401</v>
      </c>
      <c r="P3484">
        <v>-5.9290271451315803E-2</v>
      </c>
      <c r="Q3484">
        <v>0.244750420710901</v>
      </c>
      <c r="R3484">
        <v>0.99793997740171503</v>
      </c>
      <c r="S3484" t="s">
        <v>8224</v>
      </c>
      <c r="T3484" t="s">
        <v>9478</v>
      </c>
      <c r="U3484" t="s">
        <v>9478</v>
      </c>
      <c r="V3484" t="s">
        <v>9478</v>
      </c>
      <c r="W3484">
        <v>6</v>
      </c>
      <c r="X3484" t="s">
        <v>12962</v>
      </c>
      <c r="Y3484">
        <v>0.62784020645228023</v>
      </c>
      <c r="Z3484" t="str">
        <f>HYPERLINK("Melting_Curves/meltCurve_sp_Q9NUP9_LIN7C_HUMAN_.pdf", "Melting_Curves/meltCurve_sp_Q9NUP9_LIN7C_HUMAN_.pdf")</f>
        <v>Melting_Curves/meltCurve_sp_Q9NUP9_LIN7C_HUMAN_.pdf</v>
      </c>
      <c r="AA3484" t="s">
        <v>17649</v>
      </c>
      <c r="AB3484" t="s">
        <v>22317</v>
      </c>
    </row>
    <row r="3485" spans="1:28" x14ac:dyDescent="0.25">
      <c r="A3485" t="s">
        <v>3489</v>
      </c>
      <c r="B3485">
        <v>0.99904790336628502</v>
      </c>
      <c r="C3485">
        <v>0.96524901776965999</v>
      </c>
      <c r="D3485">
        <v>0.83033691433010504</v>
      </c>
      <c r="E3485">
        <v>0.78828527443181595</v>
      </c>
      <c r="F3485">
        <v>0.63445407772856499</v>
      </c>
      <c r="G3485">
        <v>0.281136348877152</v>
      </c>
      <c r="H3485">
        <v>0.18466165057106201</v>
      </c>
      <c r="I3485">
        <v>0.124433246049892</v>
      </c>
      <c r="J3485">
        <v>0.104372733108594</v>
      </c>
      <c r="K3485">
        <v>0.18730152286802801</v>
      </c>
      <c r="L3485">
        <v>872.06000933105395</v>
      </c>
      <c r="M3485">
        <v>16.3552925006531</v>
      </c>
      <c r="N3485">
        <v>54.031273229251497</v>
      </c>
      <c r="O3485">
        <v>52.541744078961699</v>
      </c>
      <c r="P3485">
        <v>-7.0286077468190905E-2</v>
      </c>
      <c r="Q3485">
        <v>9.6882577907133505E-2</v>
      </c>
      <c r="R3485">
        <v>0.97917801368356605</v>
      </c>
      <c r="S3485" t="s">
        <v>8225</v>
      </c>
      <c r="T3485" t="s">
        <v>9478</v>
      </c>
      <c r="U3485" t="s">
        <v>9478</v>
      </c>
      <c r="V3485" t="s">
        <v>9478</v>
      </c>
      <c r="W3485">
        <v>4</v>
      </c>
      <c r="X3485" t="s">
        <v>12963</v>
      </c>
      <c r="Y3485">
        <v>0.51483805338999733</v>
      </c>
      <c r="Z3485" t="str">
        <f>HYPERLINK("Melting_Curves/meltCurve_sp_Q9NUQ3_TXLNG_HUMAN_.pdf", "Melting_Curves/meltCurve_sp_Q9NUQ3_TXLNG_HUMAN_.pdf")</f>
        <v>Melting_Curves/meltCurve_sp_Q9NUQ3_TXLNG_HUMAN_.pdf</v>
      </c>
      <c r="AA3485" t="s">
        <v>17650</v>
      </c>
      <c r="AB3485" t="s">
        <v>22318</v>
      </c>
    </row>
    <row r="3486" spans="1:28" x14ac:dyDescent="0.25">
      <c r="A3486" t="s">
        <v>3490</v>
      </c>
      <c r="B3486">
        <v>0.99904790336628502</v>
      </c>
      <c r="C3486">
        <v>1.0200060907522801</v>
      </c>
      <c r="D3486">
        <v>0.93398467417101205</v>
      </c>
      <c r="E3486">
        <v>0.80452561561545299</v>
      </c>
      <c r="F3486">
        <v>0.79228961807903497</v>
      </c>
      <c r="G3486">
        <v>0.54272422219285399</v>
      </c>
      <c r="H3486">
        <v>0.48937121156291002</v>
      </c>
      <c r="I3486">
        <v>0.42026650110095398</v>
      </c>
      <c r="J3486">
        <v>0.44459706831096102</v>
      </c>
      <c r="K3486">
        <v>0.41262347142408201</v>
      </c>
      <c r="L3486">
        <v>781.57366147042501</v>
      </c>
      <c r="M3486">
        <v>14.5269136421913</v>
      </c>
      <c r="N3486">
        <v>60.048435653915597</v>
      </c>
      <c r="O3486">
        <v>52.8130830123255</v>
      </c>
      <c r="P3486">
        <v>-4.1974132336947599E-2</v>
      </c>
      <c r="Q3486">
        <v>0.38967658453005599</v>
      </c>
      <c r="R3486">
        <v>0.98239736646175502</v>
      </c>
      <c r="S3486" t="s">
        <v>8226</v>
      </c>
      <c r="T3486" t="s">
        <v>9478</v>
      </c>
      <c r="U3486" t="s">
        <v>9478</v>
      </c>
      <c r="V3486" t="s">
        <v>9478</v>
      </c>
      <c r="W3486">
        <v>11</v>
      </c>
      <c r="X3486" t="s">
        <v>12964</v>
      </c>
      <c r="Y3486">
        <v>0.68363177003849829</v>
      </c>
      <c r="Z3486" t="str">
        <f>HYPERLINK("Melting_Curves/meltCurve_sp_Q9NUQ6_SPS2L_HUMAN_.pdf", "Melting_Curves/meltCurve_sp_Q9NUQ6_SPS2L_HUMAN_.pdf")</f>
        <v>Melting_Curves/meltCurve_sp_Q9NUQ6_SPS2L_HUMAN_.pdf</v>
      </c>
      <c r="AA3486" t="s">
        <v>17651</v>
      </c>
      <c r="AB3486" t="s">
        <v>22319</v>
      </c>
    </row>
    <row r="3487" spans="1:28" x14ac:dyDescent="0.25">
      <c r="A3487" t="s">
        <v>3491</v>
      </c>
      <c r="B3487">
        <v>0.99904790336628502</v>
      </c>
      <c r="C3487">
        <v>0.88506554509779201</v>
      </c>
      <c r="D3487">
        <v>0.69489561939206801</v>
      </c>
      <c r="E3487">
        <v>0.45142714085626201</v>
      </c>
      <c r="F3487">
        <v>0.36092121381497899</v>
      </c>
      <c r="G3487">
        <v>0.221036894470588</v>
      </c>
      <c r="H3487">
        <v>0.159377124677993</v>
      </c>
      <c r="I3487">
        <v>0.148530282344456</v>
      </c>
      <c r="J3487">
        <v>0.127409397858713</v>
      </c>
      <c r="K3487">
        <v>0.137307394796336</v>
      </c>
      <c r="L3487">
        <v>673.65236236794703</v>
      </c>
      <c r="M3487">
        <v>13.895433506285899</v>
      </c>
      <c r="N3487">
        <v>49.458053383376701</v>
      </c>
      <c r="O3487">
        <v>47.509142545593598</v>
      </c>
      <c r="P3487">
        <v>-6.4345407265531299E-2</v>
      </c>
      <c r="Q3487">
        <v>0.12011996536986499</v>
      </c>
      <c r="R3487">
        <v>0.99572520196454894</v>
      </c>
      <c r="S3487" t="s">
        <v>8227</v>
      </c>
      <c r="T3487" t="s">
        <v>9478</v>
      </c>
      <c r="U3487" t="s">
        <v>9478</v>
      </c>
      <c r="V3487" t="s">
        <v>9478</v>
      </c>
      <c r="W3487">
        <v>6</v>
      </c>
      <c r="X3487" t="s">
        <v>12965</v>
      </c>
      <c r="Y3487">
        <v>0.39447419926225641</v>
      </c>
      <c r="Z3487" t="str">
        <f>HYPERLINK("Melting_Curves/meltCurve_sp_Q9NUQ8_2_ABCF3_HUMAN_.pdf", "Melting_Curves/meltCurve_sp_Q9NUQ8_2_ABCF3_HUMAN_.pdf")</f>
        <v>Melting_Curves/meltCurve_sp_Q9NUQ8_2_ABCF3_HUMAN_.pdf</v>
      </c>
      <c r="AA3487" t="s">
        <v>17652</v>
      </c>
      <c r="AB3487" t="s">
        <v>22320</v>
      </c>
    </row>
    <row r="3488" spans="1:28" x14ac:dyDescent="0.25">
      <c r="A3488" t="s">
        <v>3492</v>
      </c>
      <c r="B3488">
        <v>0.99904790336628502</v>
      </c>
      <c r="C3488">
        <v>0.92863410255781698</v>
      </c>
      <c r="D3488">
        <v>0.91846346384132904</v>
      </c>
      <c r="E3488">
        <v>0.92703983660007006</v>
      </c>
      <c r="F3488">
        <v>0.88393951123103098</v>
      </c>
      <c r="G3488">
        <v>0.62749989700898701</v>
      </c>
      <c r="H3488">
        <v>0.157539047062382</v>
      </c>
      <c r="I3488">
        <v>8.2468548598511798E-2</v>
      </c>
      <c r="J3488">
        <v>5.59220882595826E-2</v>
      </c>
      <c r="K3488">
        <v>6.3958604807728497E-2</v>
      </c>
      <c r="L3488">
        <v>1662.8271381018701</v>
      </c>
      <c r="M3488">
        <v>28.873471751087301</v>
      </c>
      <c r="N3488">
        <v>57.741328125895997</v>
      </c>
      <c r="O3488">
        <v>57.316005698940202</v>
      </c>
      <c r="P3488">
        <v>-0.12135511519390201</v>
      </c>
      <c r="Q3488">
        <v>3.6411304955337002E-2</v>
      </c>
      <c r="R3488">
        <v>0.98702135921336998</v>
      </c>
      <c r="S3488" t="s">
        <v>8228</v>
      </c>
      <c r="T3488" t="s">
        <v>9478</v>
      </c>
      <c r="U3488" t="s">
        <v>9478</v>
      </c>
      <c r="V3488" t="s">
        <v>9478</v>
      </c>
      <c r="W3488">
        <v>8</v>
      </c>
      <c r="X3488" t="s">
        <v>12966</v>
      </c>
      <c r="Y3488">
        <v>0.60820581408074581</v>
      </c>
      <c r="Z3488" t="str">
        <f>HYPERLINK("Melting_Curves/meltCurve_sp_Q9NUQ9_FA49B_HUMAN_.pdf", "Melting_Curves/meltCurve_sp_Q9NUQ9_FA49B_HUMAN_.pdf")</f>
        <v>Melting_Curves/meltCurve_sp_Q9NUQ9_FA49B_HUMAN_.pdf</v>
      </c>
      <c r="AA3488" t="s">
        <v>17653</v>
      </c>
      <c r="AB3488" t="s">
        <v>22321</v>
      </c>
    </row>
    <row r="3489" spans="1:28" x14ac:dyDescent="0.25">
      <c r="A3489" t="s">
        <v>3493</v>
      </c>
      <c r="B3489">
        <v>0.99904790336628502</v>
      </c>
      <c r="C3489">
        <v>0.96953977292662397</v>
      </c>
      <c r="D3489">
        <v>0.88217738969020498</v>
      </c>
      <c r="E3489">
        <v>0.79312500388802099</v>
      </c>
      <c r="F3489">
        <v>0.38297946289803197</v>
      </c>
      <c r="G3489">
        <v>0.199303770152569</v>
      </c>
      <c r="H3489">
        <v>0.15577498782480001</v>
      </c>
      <c r="I3489">
        <v>0.100748188729043</v>
      </c>
      <c r="J3489">
        <v>0.12830155722759201</v>
      </c>
      <c r="K3489">
        <v>9.5605493255288498E-2</v>
      </c>
      <c r="L3489">
        <v>1362.5738657683701</v>
      </c>
      <c r="M3489">
        <v>26.349296936220899</v>
      </c>
      <c r="N3489">
        <v>52.224651211028203</v>
      </c>
      <c r="O3489">
        <v>51.416863313841901</v>
      </c>
      <c r="P3489">
        <v>-0.113516994664963</v>
      </c>
      <c r="Q3489">
        <v>0.11396131546921701</v>
      </c>
      <c r="R3489">
        <v>0.99018631178091998</v>
      </c>
      <c r="S3489" t="s">
        <v>8229</v>
      </c>
      <c r="T3489" t="s">
        <v>9478</v>
      </c>
      <c r="U3489" t="s">
        <v>9478</v>
      </c>
      <c r="V3489" t="s">
        <v>9478</v>
      </c>
      <c r="W3489">
        <v>4</v>
      </c>
      <c r="X3489" t="s">
        <v>12967</v>
      </c>
      <c r="Y3489">
        <v>0.46715044676614381</v>
      </c>
      <c r="Z3489" t="str">
        <f>HYPERLINK("Melting_Curves/meltCurve_sp_Q9NUV9_GIMA4_HUMAN_.pdf", "Melting_Curves/meltCurve_sp_Q9NUV9_GIMA4_HUMAN_.pdf")</f>
        <v>Melting_Curves/meltCurve_sp_Q9NUV9_GIMA4_HUMAN_.pdf</v>
      </c>
      <c r="AA3489" t="s">
        <v>17654</v>
      </c>
      <c r="AB3489" t="s">
        <v>22322</v>
      </c>
    </row>
    <row r="3490" spans="1:28" x14ac:dyDescent="0.25">
      <c r="A3490" t="s">
        <v>3494</v>
      </c>
      <c r="B3490">
        <v>0.99904790336628502</v>
      </c>
      <c r="C3490">
        <v>1.11056318799135</v>
      </c>
      <c r="D3490">
        <v>1.0132909197551301</v>
      </c>
      <c r="E3490">
        <v>0.98224598857487899</v>
      </c>
      <c r="F3490">
        <v>0.88914344629249897</v>
      </c>
      <c r="G3490">
        <v>0.35392903121941899</v>
      </c>
      <c r="H3490">
        <v>0.18545487500730701</v>
      </c>
      <c r="I3490">
        <v>0.15656752971188301</v>
      </c>
      <c r="J3490">
        <v>0.102589473205159</v>
      </c>
      <c r="K3490">
        <v>5.9582332895692799E-2</v>
      </c>
      <c r="L3490">
        <v>2048.0601840279201</v>
      </c>
      <c r="M3490">
        <v>36.828379847580003</v>
      </c>
      <c r="N3490">
        <v>55.999420057422803</v>
      </c>
      <c r="O3490">
        <v>55.447728686922297</v>
      </c>
      <c r="P3490">
        <v>-0.147330863110362</v>
      </c>
      <c r="Q3490">
        <v>0.11273458387907</v>
      </c>
      <c r="R3490">
        <v>0.98947609127082803</v>
      </c>
      <c r="S3490" t="s">
        <v>8230</v>
      </c>
      <c r="T3490" t="s">
        <v>9478</v>
      </c>
      <c r="U3490" t="s">
        <v>9478</v>
      </c>
      <c r="V3490" t="s">
        <v>9478</v>
      </c>
      <c r="W3490">
        <v>6</v>
      </c>
      <c r="X3490" t="s">
        <v>12968</v>
      </c>
      <c r="Y3490">
        <v>0.57842739955334299</v>
      </c>
      <c r="Z3490" t="str">
        <f>HYPERLINK("Melting_Curves/meltCurve_sp_Q9NUY8_2_TBC23_HUMAN_.pdf", "Melting_Curves/meltCurve_sp_Q9NUY8_2_TBC23_HUMAN_.pdf")</f>
        <v>Melting_Curves/meltCurve_sp_Q9NUY8_2_TBC23_HUMAN_.pdf</v>
      </c>
      <c r="AA3490" t="s">
        <v>17655</v>
      </c>
      <c r="AB3490" t="s">
        <v>22323</v>
      </c>
    </row>
    <row r="3491" spans="1:28" x14ac:dyDescent="0.25">
      <c r="A3491" t="s">
        <v>3495</v>
      </c>
      <c r="B3491">
        <v>0.99904790336628502</v>
      </c>
      <c r="C3491">
        <v>0.95143329084956796</v>
      </c>
      <c r="D3491">
        <v>0.85639899717583601</v>
      </c>
      <c r="E3491">
        <v>0.70304823139906303</v>
      </c>
      <c r="F3491">
        <v>0.42855941613965098</v>
      </c>
      <c r="G3491">
        <v>0.17228044983970101</v>
      </c>
      <c r="H3491">
        <v>0.11472705600517</v>
      </c>
      <c r="I3491">
        <v>7.7227731410838996E-2</v>
      </c>
      <c r="J3491">
        <v>6.5264918996052704E-2</v>
      </c>
      <c r="K3491">
        <v>6.0691519325342801E-2</v>
      </c>
      <c r="L3491">
        <v>892.60753245333103</v>
      </c>
      <c r="M3491">
        <v>17.234550201909599</v>
      </c>
      <c r="N3491">
        <v>52.056115213698199</v>
      </c>
      <c r="O3491">
        <v>51.109549047417403</v>
      </c>
      <c r="P3491">
        <v>-8.0774325360019605E-2</v>
      </c>
      <c r="Q3491">
        <v>4.1901859238608799E-2</v>
      </c>
      <c r="R3491">
        <v>0.99619063835833099</v>
      </c>
      <c r="S3491" t="s">
        <v>8231</v>
      </c>
      <c r="T3491" t="s">
        <v>9478</v>
      </c>
      <c r="U3491" t="s">
        <v>9478</v>
      </c>
      <c r="V3491" t="s">
        <v>9478</v>
      </c>
      <c r="W3491">
        <v>3</v>
      </c>
      <c r="X3491" t="s">
        <v>12969</v>
      </c>
      <c r="Y3491">
        <v>0.43571019911424869</v>
      </c>
      <c r="Z3491" t="str">
        <f>HYPERLINK("Melting_Curves/meltCurve_sp_Q9NV35_NUD15_HUMAN_.pdf", "Melting_Curves/meltCurve_sp_Q9NV35_NUD15_HUMAN_.pdf")</f>
        <v>Melting_Curves/meltCurve_sp_Q9NV35_NUD15_HUMAN_.pdf</v>
      </c>
      <c r="AA3491" t="s">
        <v>17656</v>
      </c>
      <c r="AB3491" t="s">
        <v>22324</v>
      </c>
    </row>
    <row r="3492" spans="1:28" x14ac:dyDescent="0.25">
      <c r="A3492" t="s">
        <v>3496</v>
      </c>
      <c r="B3492">
        <v>0.99904790336628502</v>
      </c>
      <c r="C3492">
        <v>1.0279163098856501</v>
      </c>
      <c r="D3492">
        <v>1.02926666793724</v>
      </c>
      <c r="E3492">
        <v>1.00991105072278</v>
      </c>
      <c r="F3492">
        <v>0.85998529388440403</v>
      </c>
      <c r="G3492">
        <v>0.63502795054738403</v>
      </c>
      <c r="H3492">
        <v>0.36330855322126498</v>
      </c>
      <c r="I3492">
        <v>0.25237127875578003</v>
      </c>
      <c r="J3492">
        <v>0.199305850469426</v>
      </c>
      <c r="K3492">
        <v>0.163286879912585</v>
      </c>
      <c r="L3492">
        <v>1192.7698369745401</v>
      </c>
      <c r="M3492">
        <v>20.647657368114899</v>
      </c>
      <c r="N3492">
        <v>58.769587184877203</v>
      </c>
      <c r="O3492">
        <v>57.234124823285001</v>
      </c>
      <c r="P3492">
        <v>-7.6812465485327899E-2</v>
      </c>
      <c r="Q3492">
        <v>0.14834541142814001</v>
      </c>
      <c r="R3492">
        <v>0.996424390501785</v>
      </c>
      <c r="S3492" t="s">
        <v>8232</v>
      </c>
      <c r="T3492" t="s">
        <v>9478</v>
      </c>
      <c r="U3492" t="s">
        <v>9478</v>
      </c>
      <c r="V3492" t="s">
        <v>9478</v>
      </c>
      <c r="W3492">
        <v>1</v>
      </c>
      <c r="X3492" t="s">
        <v>12970</v>
      </c>
      <c r="Y3492">
        <v>0.66227558086214311</v>
      </c>
      <c r="Z3492" t="str">
        <f>HYPERLINK("Melting_Curves/meltCurve_sp_Q9NV56_MRGBP_HUMAN_.pdf", "Melting_Curves/meltCurve_sp_Q9NV56_MRGBP_HUMAN_.pdf")</f>
        <v>Melting_Curves/meltCurve_sp_Q9NV56_MRGBP_HUMAN_.pdf</v>
      </c>
      <c r="AA3492" t="s">
        <v>17657</v>
      </c>
      <c r="AB3492" t="s">
        <v>22325</v>
      </c>
    </row>
    <row r="3493" spans="1:28" x14ac:dyDescent="0.25">
      <c r="A3493" t="s">
        <v>3497</v>
      </c>
      <c r="B3493">
        <v>0.99904790336628502</v>
      </c>
      <c r="C3493">
        <v>1.04903488939953</v>
      </c>
      <c r="D3493">
        <v>1.0349504479910001</v>
      </c>
      <c r="E3493">
        <v>0.41357532518158302</v>
      </c>
      <c r="F3493">
        <v>0.153697067875085</v>
      </c>
      <c r="G3493">
        <v>9.1715667938183601E-2</v>
      </c>
      <c r="H3493">
        <v>5.7955433296228702E-2</v>
      </c>
      <c r="I3493">
        <v>4.7548051740592498E-2</v>
      </c>
      <c r="J3493">
        <v>4.10587542901985E-2</v>
      </c>
      <c r="K3493">
        <v>4.2807622961799199E-2</v>
      </c>
      <c r="L3493">
        <v>2403.85272569176</v>
      </c>
      <c r="M3493">
        <v>48.531007893104203</v>
      </c>
      <c r="N3493">
        <v>49.673309397652503</v>
      </c>
      <c r="O3493">
        <v>49.448421564151502</v>
      </c>
      <c r="P3493">
        <v>-0.22957387595828599</v>
      </c>
      <c r="Q3493">
        <v>6.4346254640990405E-2</v>
      </c>
      <c r="R3493">
        <v>0.99423808373372502</v>
      </c>
      <c r="S3493" t="s">
        <v>8233</v>
      </c>
      <c r="T3493" t="s">
        <v>9478</v>
      </c>
      <c r="U3493" t="s">
        <v>9478</v>
      </c>
      <c r="V3493" t="s">
        <v>9478</v>
      </c>
      <c r="W3493">
        <v>10</v>
      </c>
      <c r="X3493" t="s">
        <v>12971</v>
      </c>
      <c r="Y3493">
        <v>0.36381500758862911</v>
      </c>
      <c r="Z3493" t="str">
        <f>HYPERLINK("Melting_Curves/meltCurve_sp_Q9NV70_2_EXOC1_HUMAN_.pdf", "Melting_Curves/meltCurve_sp_Q9NV70_2_EXOC1_HUMAN_.pdf")</f>
        <v>Melting_Curves/meltCurve_sp_Q9NV70_2_EXOC1_HUMAN_.pdf</v>
      </c>
      <c r="AA3493" t="s">
        <v>17658</v>
      </c>
      <c r="AB3493" t="s">
        <v>22326</v>
      </c>
    </row>
    <row r="3494" spans="1:28" x14ac:dyDescent="0.25">
      <c r="A3494" t="s">
        <v>3498</v>
      </c>
      <c r="B3494">
        <v>0.99904790336628502</v>
      </c>
      <c r="C3494">
        <v>1.0785972841234299</v>
      </c>
      <c r="D3494">
        <v>0.99601293273015101</v>
      </c>
      <c r="E3494">
        <v>0.76385121476763096</v>
      </c>
      <c r="F3494">
        <v>0.47076600061149798</v>
      </c>
      <c r="G3494">
        <v>0.200913219257534</v>
      </c>
      <c r="H3494">
        <v>0.106939014861077</v>
      </c>
      <c r="I3494">
        <v>6.8857059395690798E-2</v>
      </c>
      <c r="J3494">
        <v>5.89722533835512E-2</v>
      </c>
      <c r="K3494">
        <v>6.0733107205699299E-2</v>
      </c>
      <c r="L3494">
        <v>1231.05098433423</v>
      </c>
      <c r="M3494">
        <v>23.464990346489799</v>
      </c>
      <c r="N3494">
        <v>52.760168743543701</v>
      </c>
      <c r="O3494">
        <v>52.086730148811398</v>
      </c>
      <c r="P3494">
        <v>-0.105661495288492</v>
      </c>
      <c r="Q3494">
        <v>6.1842147437160697E-2</v>
      </c>
      <c r="R3494">
        <v>0.99506947132332102</v>
      </c>
      <c r="S3494" t="s">
        <v>8234</v>
      </c>
      <c r="T3494" t="s">
        <v>9478</v>
      </c>
      <c r="U3494" t="s">
        <v>9478</v>
      </c>
      <c r="V3494" t="s">
        <v>9478</v>
      </c>
      <c r="W3494">
        <v>11</v>
      </c>
      <c r="X3494" t="s">
        <v>12972</v>
      </c>
      <c r="Y3494">
        <v>0.46128728401526509</v>
      </c>
      <c r="Z3494" t="str">
        <f>HYPERLINK("Melting_Curves/meltCurve_sp_Q9NVD7_PARVA_HUMAN_.pdf", "Melting_Curves/meltCurve_sp_Q9NVD7_PARVA_HUMAN_.pdf")</f>
        <v>Melting_Curves/meltCurve_sp_Q9NVD7_PARVA_HUMAN_.pdf</v>
      </c>
      <c r="AA3494" t="s">
        <v>17659</v>
      </c>
      <c r="AB3494" t="s">
        <v>22327</v>
      </c>
    </row>
    <row r="3495" spans="1:28" x14ac:dyDescent="0.25">
      <c r="A3495" t="s">
        <v>3499</v>
      </c>
      <c r="B3495">
        <v>0.99904790336628502</v>
      </c>
      <c r="C3495">
        <v>0.86409460869835697</v>
      </c>
      <c r="D3495">
        <v>0.64380605000707003</v>
      </c>
      <c r="E3495">
        <v>0.32421332663962399</v>
      </c>
      <c r="F3495">
        <v>0.19408289551983601</v>
      </c>
      <c r="G3495">
        <v>0.13884381224193301</v>
      </c>
      <c r="H3495">
        <v>9.87224324211501E-2</v>
      </c>
      <c r="I3495">
        <v>8.9709079831202201E-2</v>
      </c>
      <c r="J3495">
        <v>6.2633949387959395E-2</v>
      </c>
      <c r="K3495">
        <v>5.3089375268778098E-2</v>
      </c>
      <c r="L3495">
        <v>833.88095827785196</v>
      </c>
      <c r="M3495">
        <v>17.6349660083409</v>
      </c>
      <c r="N3495">
        <v>47.706260367244603</v>
      </c>
      <c r="O3495">
        <v>46.690185218307199</v>
      </c>
      <c r="P3495">
        <v>-8.7631743664981401E-2</v>
      </c>
      <c r="Q3495">
        <v>7.1997323636019406E-2</v>
      </c>
      <c r="R3495">
        <v>0.99765726318169401</v>
      </c>
      <c r="S3495" t="s">
        <v>8235</v>
      </c>
      <c r="T3495" t="s">
        <v>9478</v>
      </c>
      <c r="U3495" t="s">
        <v>9478</v>
      </c>
      <c r="V3495" t="s">
        <v>9478</v>
      </c>
      <c r="W3495">
        <v>9</v>
      </c>
      <c r="X3495" t="s">
        <v>12973</v>
      </c>
      <c r="Y3495">
        <v>0.31502560250686062</v>
      </c>
      <c r="Z3495" t="str">
        <f>HYPERLINK("Melting_Curves/meltCurve_sp_Q9NVE7_PANK4_HUMAN_.pdf", "Melting_Curves/meltCurve_sp_Q9NVE7_PANK4_HUMAN_.pdf")</f>
        <v>Melting_Curves/meltCurve_sp_Q9NVE7_PANK4_HUMAN_.pdf</v>
      </c>
      <c r="AA3495" t="s">
        <v>17660</v>
      </c>
      <c r="AB3495" t="s">
        <v>22328</v>
      </c>
    </row>
    <row r="3496" spans="1:28" x14ac:dyDescent="0.25">
      <c r="A3496" t="s">
        <v>3500</v>
      </c>
      <c r="B3496">
        <v>0.99904790336628502</v>
      </c>
      <c r="C3496">
        <v>0.93066309276063597</v>
      </c>
      <c r="D3496">
        <v>0.89912122140361195</v>
      </c>
      <c r="E3496">
        <v>0.63666366712557698</v>
      </c>
      <c r="F3496">
        <v>0.29360934817213402</v>
      </c>
      <c r="G3496">
        <v>0.19193249070762999</v>
      </c>
      <c r="H3496">
        <v>0.11385487175169499</v>
      </c>
      <c r="I3496">
        <v>9.6881803982942494E-2</v>
      </c>
      <c r="J3496">
        <v>7.9694536495977006E-2</v>
      </c>
      <c r="K3496">
        <v>6.72942660544842E-2</v>
      </c>
      <c r="L3496">
        <v>1066.19081603166</v>
      </c>
      <c r="M3496">
        <v>21.046581070455499</v>
      </c>
      <c r="N3496">
        <v>51.082588126348597</v>
      </c>
      <c r="O3496">
        <v>50.207933683916103</v>
      </c>
      <c r="P3496">
        <v>-9.6401595118718306E-2</v>
      </c>
      <c r="Q3496">
        <v>8.0136366830529798E-2</v>
      </c>
      <c r="R3496">
        <v>0.99485200963222997</v>
      </c>
      <c r="S3496" t="s">
        <v>8236</v>
      </c>
      <c r="T3496" t="s">
        <v>9478</v>
      </c>
      <c r="U3496" t="s">
        <v>9478</v>
      </c>
      <c r="V3496" t="s">
        <v>9478</v>
      </c>
      <c r="W3496">
        <v>6</v>
      </c>
      <c r="X3496" t="s">
        <v>12974</v>
      </c>
      <c r="Y3496">
        <v>0.41854520596633621</v>
      </c>
      <c r="Z3496" t="str">
        <f>HYPERLINK("Melting_Curves/meltCurve_sp_Q9NVF9_EKI2_HUMAN_.pdf", "Melting_Curves/meltCurve_sp_Q9NVF9_EKI2_HUMAN_.pdf")</f>
        <v>Melting_Curves/meltCurve_sp_Q9NVF9_EKI2_HUMAN_.pdf</v>
      </c>
      <c r="AA3496" t="s">
        <v>17661</v>
      </c>
      <c r="AB3496" t="s">
        <v>22329</v>
      </c>
    </row>
    <row r="3497" spans="1:28" x14ac:dyDescent="0.25">
      <c r="A3497" t="s">
        <v>3501</v>
      </c>
      <c r="B3497">
        <v>0.99904790336628502</v>
      </c>
      <c r="C3497">
        <v>0.95416150499421104</v>
      </c>
      <c r="D3497">
        <v>0.91859011302875904</v>
      </c>
      <c r="E3497">
        <v>0.874609753145973</v>
      </c>
      <c r="F3497">
        <v>0.75673072746521397</v>
      </c>
      <c r="G3497">
        <v>0.41758148775828202</v>
      </c>
      <c r="H3497">
        <v>0.157734715720522</v>
      </c>
      <c r="I3497">
        <v>6.6038532128687003E-2</v>
      </c>
      <c r="J3497">
        <v>5.8984129410749403E-2</v>
      </c>
      <c r="K3497">
        <v>3.9045928585277299E-2</v>
      </c>
      <c r="L3497">
        <v>1025.7836512875999</v>
      </c>
      <c r="M3497">
        <v>18.3581507168272</v>
      </c>
      <c r="N3497">
        <v>55.876194590290503</v>
      </c>
      <c r="O3497">
        <v>55.225847626888097</v>
      </c>
      <c r="P3497">
        <v>-8.3108678386499393E-2</v>
      </c>
      <c r="Q3497">
        <v>0</v>
      </c>
      <c r="R3497">
        <v>0.99474987990771202</v>
      </c>
      <c r="S3497" t="s">
        <v>8237</v>
      </c>
      <c r="T3497" t="s">
        <v>9478</v>
      </c>
      <c r="U3497" t="s">
        <v>9478</v>
      </c>
      <c r="V3497" t="s">
        <v>9478</v>
      </c>
      <c r="W3497">
        <v>7</v>
      </c>
      <c r="X3497" t="s">
        <v>12975</v>
      </c>
      <c r="Y3497">
        <v>0.54368914621295239</v>
      </c>
      <c r="Z3497" t="str">
        <f>HYPERLINK("Melting_Curves/meltCurve_sp_Q9NVG8_TBC13_HUMAN_.pdf", "Melting_Curves/meltCurve_sp_Q9NVG8_TBC13_HUMAN_.pdf")</f>
        <v>Melting_Curves/meltCurve_sp_Q9NVG8_TBC13_HUMAN_.pdf</v>
      </c>
      <c r="AA3497" t="s">
        <v>17662</v>
      </c>
      <c r="AB3497" t="s">
        <v>22330</v>
      </c>
    </row>
    <row r="3498" spans="1:28" x14ac:dyDescent="0.25">
      <c r="A3498" t="s">
        <v>3502</v>
      </c>
      <c r="B3498">
        <v>0.99904790336628502</v>
      </c>
      <c r="C3498">
        <v>0.98721686228193295</v>
      </c>
      <c r="D3498">
        <v>0.94375833827634903</v>
      </c>
      <c r="E3498">
        <v>0.77183953844643005</v>
      </c>
      <c r="F3498">
        <v>0.64681028742484603</v>
      </c>
      <c r="G3498">
        <v>0.36058901939291199</v>
      </c>
      <c r="H3498">
        <v>0.230566556901181</v>
      </c>
      <c r="I3498">
        <v>0.201837015374601</v>
      </c>
      <c r="J3498">
        <v>0.17466991223513101</v>
      </c>
      <c r="K3498">
        <v>0.131786660238778</v>
      </c>
      <c r="L3498">
        <v>844.78772876582002</v>
      </c>
      <c r="M3498">
        <v>15.699349919402801</v>
      </c>
      <c r="N3498">
        <v>54.786373634470102</v>
      </c>
      <c r="O3498">
        <v>52.959974612551697</v>
      </c>
      <c r="P3498">
        <v>-6.50745589006234E-2</v>
      </c>
      <c r="Q3498">
        <v>0.121987642727772</v>
      </c>
      <c r="R3498">
        <v>0.99766752434760797</v>
      </c>
      <c r="S3498" t="s">
        <v>8238</v>
      </c>
      <c r="T3498" t="s">
        <v>9478</v>
      </c>
      <c r="U3498" t="s">
        <v>9478</v>
      </c>
      <c r="V3498" t="s">
        <v>9478</v>
      </c>
      <c r="W3498">
        <v>3</v>
      </c>
      <c r="X3498" t="s">
        <v>12976</v>
      </c>
      <c r="Y3498">
        <v>0.54332460169430019</v>
      </c>
      <c r="Z3498" t="str">
        <f>HYPERLINK("Melting_Curves/meltCurve_sp_Q9NVH0_2_EXD2_HUMAN_.pdf", "Melting_Curves/meltCurve_sp_Q9NVH0_2_EXD2_HUMAN_.pdf")</f>
        <v>Melting_Curves/meltCurve_sp_Q9NVH0_2_EXD2_HUMAN_.pdf</v>
      </c>
      <c r="AA3498" t="s">
        <v>17663</v>
      </c>
      <c r="AB3498" t="s">
        <v>22331</v>
      </c>
    </row>
    <row r="3499" spans="1:28" x14ac:dyDescent="0.25">
      <c r="A3499" t="s">
        <v>3503</v>
      </c>
      <c r="B3499">
        <v>0.99904790336628502</v>
      </c>
      <c r="C3499">
        <v>0.96855854858232604</v>
      </c>
      <c r="D3499">
        <v>1.0349823680634</v>
      </c>
      <c r="E3499">
        <v>1.03208298301199</v>
      </c>
      <c r="F3499">
        <v>0.958643349463146</v>
      </c>
      <c r="G3499">
        <v>0.79168772779325502</v>
      </c>
      <c r="H3499">
        <v>0.52669733017696096</v>
      </c>
      <c r="I3499">
        <v>0.164855543910464</v>
      </c>
      <c r="J3499">
        <v>3.15473823493473E-2</v>
      </c>
      <c r="K3499">
        <v>2.90493892914294E-2</v>
      </c>
      <c r="L3499">
        <v>1609.74527778948</v>
      </c>
      <c r="M3499">
        <v>26.539143498232601</v>
      </c>
      <c r="N3499">
        <v>60.655509765064501</v>
      </c>
      <c r="O3499">
        <v>60.314282920742599</v>
      </c>
      <c r="P3499">
        <v>-0.110004766948871</v>
      </c>
      <c r="Q3499">
        <v>0</v>
      </c>
      <c r="R3499">
        <v>0.99149278936227303</v>
      </c>
      <c r="S3499" t="s">
        <v>8239</v>
      </c>
      <c r="T3499" t="s">
        <v>9478</v>
      </c>
      <c r="U3499" t="s">
        <v>9478</v>
      </c>
      <c r="V3499" t="s">
        <v>9478</v>
      </c>
      <c r="W3499">
        <v>14</v>
      </c>
      <c r="X3499" t="s">
        <v>12977</v>
      </c>
      <c r="Y3499">
        <v>0.69496701644195169</v>
      </c>
      <c r="Z3499" t="str">
        <f>HYPERLINK("Melting_Curves/meltCurve_sp_Q9NVH6_TMLH_HUMAN_.pdf", "Melting_Curves/meltCurve_sp_Q9NVH6_TMLH_HUMAN_.pdf")</f>
        <v>Melting_Curves/meltCurve_sp_Q9NVH6_TMLH_HUMAN_.pdf</v>
      </c>
      <c r="AA3499" t="s">
        <v>17664</v>
      </c>
      <c r="AB3499" t="s">
        <v>22332</v>
      </c>
    </row>
    <row r="3500" spans="1:28" x14ac:dyDescent="0.25">
      <c r="A3500" t="s">
        <v>3504</v>
      </c>
      <c r="B3500">
        <v>0.99904790336628502</v>
      </c>
      <c r="C3500">
        <v>1.0215749825406699</v>
      </c>
      <c r="D3500">
        <v>0.94199972081866501</v>
      </c>
      <c r="E3500">
        <v>0.96921507113703498</v>
      </c>
      <c r="F3500">
        <v>0.74811646040545698</v>
      </c>
      <c r="G3500">
        <v>0.63817929153919395</v>
      </c>
      <c r="H3500">
        <v>0.32851012534656898</v>
      </c>
      <c r="I3500">
        <v>0.24897012593778001</v>
      </c>
      <c r="J3500">
        <v>0.27383547603757702</v>
      </c>
      <c r="K3500">
        <v>0.17251916500282</v>
      </c>
      <c r="L3500">
        <v>929.70902014706405</v>
      </c>
      <c r="M3500">
        <v>16.302178759733099</v>
      </c>
      <c r="N3500">
        <v>58.318622046391297</v>
      </c>
      <c r="O3500">
        <v>56.192309747582001</v>
      </c>
      <c r="P3500">
        <v>-6.1562132555843502E-2</v>
      </c>
      <c r="Q3500">
        <v>0.15126284345902399</v>
      </c>
      <c r="R3500">
        <v>0.98386747216567105</v>
      </c>
      <c r="S3500" t="s">
        <v>8240</v>
      </c>
      <c r="T3500" t="s">
        <v>9478</v>
      </c>
      <c r="U3500" t="s">
        <v>9478</v>
      </c>
      <c r="V3500" t="s">
        <v>9478</v>
      </c>
      <c r="W3500">
        <v>2</v>
      </c>
      <c r="X3500" t="s">
        <v>12978</v>
      </c>
      <c r="Y3500">
        <v>0.64571310867226417</v>
      </c>
      <c r="Z3500" t="str">
        <f>HYPERLINK("Melting_Curves/meltCurve_sp_Q9NVM6_DJC17_HUMAN_.pdf", "Melting_Curves/meltCurve_sp_Q9NVM6_DJC17_HUMAN_.pdf")</f>
        <v>Melting_Curves/meltCurve_sp_Q9NVM6_DJC17_HUMAN_.pdf</v>
      </c>
      <c r="AA3500" t="s">
        <v>17665</v>
      </c>
      <c r="AB3500" t="s">
        <v>22333</v>
      </c>
    </row>
    <row r="3501" spans="1:28" x14ac:dyDescent="0.25">
      <c r="A3501" t="s">
        <v>3505</v>
      </c>
      <c r="B3501">
        <v>0.99904790336628502</v>
      </c>
      <c r="C3501">
        <v>0.903251169650375</v>
      </c>
      <c r="D3501">
        <v>0.94621352796986102</v>
      </c>
      <c r="E3501">
        <v>0.94650333562881295</v>
      </c>
      <c r="F3501">
        <v>1.0279971885885799</v>
      </c>
      <c r="G3501">
        <v>0.76355606036370405</v>
      </c>
      <c r="H3501">
        <v>0.448173020249515</v>
      </c>
      <c r="I3501">
        <v>0.271843478220822</v>
      </c>
      <c r="J3501">
        <v>0.21720142032807299</v>
      </c>
      <c r="K3501">
        <v>0.24951894642928499</v>
      </c>
      <c r="L3501">
        <v>1735.9044077711501</v>
      </c>
      <c r="M3501">
        <v>29.477158522285102</v>
      </c>
      <c r="N3501">
        <v>60.061129981138301</v>
      </c>
      <c r="O3501">
        <v>58.620777205601399</v>
      </c>
      <c r="P3501">
        <v>-9.8230135224112794E-2</v>
      </c>
      <c r="Q3501">
        <v>0.21861035334196299</v>
      </c>
      <c r="R3501">
        <v>0.98062735198822504</v>
      </c>
      <c r="S3501" t="s">
        <v>8241</v>
      </c>
      <c r="T3501" t="s">
        <v>9478</v>
      </c>
      <c r="U3501" t="s">
        <v>9478</v>
      </c>
      <c r="V3501" t="s">
        <v>9478</v>
      </c>
      <c r="W3501">
        <v>1</v>
      </c>
      <c r="X3501" t="s">
        <v>12979</v>
      </c>
      <c r="Y3501">
        <v>0.71578098026329584</v>
      </c>
      <c r="Z3501" t="str">
        <f>HYPERLINK("Melting_Curves/meltCurve_sp_Q9NVR5_KTU_HUMAN_.pdf", "Melting_Curves/meltCurve_sp_Q9NVR5_KTU_HUMAN_.pdf")</f>
        <v>Melting_Curves/meltCurve_sp_Q9NVR5_KTU_HUMAN_.pdf</v>
      </c>
      <c r="AA3501" t="s">
        <v>17666</v>
      </c>
      <c r="AB3501" t="s">
        <v>22334</v>
      </c>
    </row>
    <row r="3502" spans="1:28" x14ac:dyDescent="0.25">
      <c r="A3502" t="s">
        <v>3506</v>
      </c>
      <c r="B3502">
        <v>0.99904790336628502</v>
      </c>
      <c r="C3502">
        <v>0.98618756866616997</v>
      </c>
      <c r="D3502">
        <v>0.97881484050608303</v>
      </c>
      <c r="E3502">
        <v>0.92652581046611004</v>
      </c>
      <c r="F3502">
        <v>0.60240188858978505</v>
      </c>
      <c r="G3502">
        <v>0.37286931820685598</v>
      </c>
      <c r="H3502">
        <v>0.23953810636786901</v>
      </c>
      <c r="I3502">
        <v>0.19569004389695499</v>
      </c>
      <c r="J3502">
        <v>0.16779871305812699</v>
      </c>
      <c r="K3502">
        <v>0.13179725517772001</v>
      </c>
      <c r="L3502">
        <v>1178.8420733577</v>
      </c>
      <c r="M3502">
        <v>21.883143073568402</v>
      </c>
      <c r="N3502">
        <v>54.823785154392901</v>
      </c>
      <c r="O3502">
        <v>53.4260633193987</v>
      </c>
      <c r="P3502">
        <v>-8.6188465490771304E-2</v>
      </c>
      <c r="Q3502">
        <v>0.15832833544481201</v>
      </c>
      <c r="R3502">
        <v>0.99378585442513201</v>
      </c>
      <c r="S3502" t="s">
        <v>8242</v>
      </c>
      <c r="T3502" t="s">
        <v>9478</v>
      </c>
      <c r="U3502" t="s">
        <v>9478</v>
      </c>
      <c r="V3502" t="s">
        <v>9478</v>
      </c>
      <c r="W3502">
        <v>16</v>
      </c>
      <c r="X3502" t="s">
        <v>12980</v>
      </c>
      <c r="Y3502">
        <v>0.55731933104087039</v>
      </c>
      <c r="Z3502" t="str">
        <f>HYPERLINK("Melting_Curves/meltCurve_sp_Q9NVS9_PNPO_HUMAN_.pdf", "Melting_Curves/meltCurve_sp_Q9NVS9_PNPO_HUMAN_.pdf")</f>
        <v>Melting_Curves/meltCurve_sp_Q9NVS9_PNPO_HUMAN_.pdf</v>
      </c>
      <c r="AA3502" t="s">
        <v>17667</v>
      </c>
      <c r="AB3502" t="s">
        <v>22335</v>
      </c>
    </row>
    <row r="3503" spans="1:28" x14ac:dyDescent="0.25">
      <c r="A3503" t="s">
        <v>3507</v>
      </c>
      <c r="B3503">
        <v>0.99904790336628502</v>
      </c>
      <c r="C3503">
        <v>1.03644815994776</v>
      </c>
      <c r="D3503">
        <v>0.982858269645696</v>
      </c>
      <c r="E3503">
        <v>0.84593965514881397</v>
      </c>
      <c r="F3503">
        <v>0.79038432712045503</v>
      </c>
      <c r="G3503">
        <v>0.54941932620655398</v>
      </c>
      <c r="H3503">
        <v>0.38298052887263201</v>
      </c>
      <c r="I3503">
        <v>0.27291755530024198</v>
      </c>
      <c r="J3503">
        <v>0.227039619002388</v>
      </c>
      <c r="K3503">
        <v>0.17069224130866301</v>
      </c>
      <c r="L3503">
        <v>762.666089474812</v>
      </c>
      <c r="M3503">
        <v>13.350642762407</v>
      </c>
      <c r="N3503">
        <v>58.178720720769597</v>
      </c>
      <c r="O3503">
        <v>55.889771107825702</v>
      </c>
      <c r="P3503">
        <v>-5.33180043497892E-2</v>
      </c>
      <c r="Q3503">
        <v>0.107321926311405</v>
      </c>
      <c r="R3503">
        <v>0.99541629128842501</v>
      </c>
      <c r="S3503" t="s">
        <v>8243</v>
      </c>
      <c r="T3503" t="s">
        <v>9478</v>
      </c>
      <c r="U3503" t="s">
        <v>9478</v>
      </c>
      <c r="V3503" t="s">
        <v>9478</v>
      </c>
      <c r="W3503">
        <v>4</v>
      </c>
      <c r="X3503" t="s">
        <v>12981</v>
      </c>
      <c r="Y3503">
        <v>0.63141545276578848</v>
      </c>
      <c r="Z3503" t="str">
        <f>HYPERLINK("Melting_Curves/meltCurve_sp_Q9NVT9_ARMC1_HUMAN_.pdf", "Melting_Curves/meltCurve_sp_Q9NVT9_ARMC1_HUMAN_.pdf")</f>
        <v>Melting_Curves/meltCurve_sp_Q9NVT9_ARMC1_HUMAN_.pdf</v>
      </c>
      <c r="AA3503" t="s">
        <v>17668</v>
      </c>
      <c r="AB3503" t="s">
        <v>22336</v>
      </c>
    </row>
    <row r="3504" spans="1:28" x14ac:dyDescent="0.25">
      <c r="A3504" t="s">
        <v>3508</v>
      </c>
      <c r="B3504">
        <v>0.99904790336628502</v>
      </c>
      <c r="C3504">
        <v>0.94314616536602502</v>
      </c>
      <c r="D3504">
        <v>0.88766554078558801</v>
      </c>
      <c r="E3504">
        <v>0.94930974992567696</v>
      </c>
      <c r="F3504">
        <v>1.0097553486787501</v>
      </c>
      <c r="G3504">
        <v>0.69914332171036397</v>
      </c>
      <c r="H3504">
        <v>0.76417932784025999</v>
      </c>
      <c r="I3504">
        <v>0.76814812068737404</v>
      </c>
      <c r="J3504">
        <v>0.83797769788991605</v>
      </c>
      <c r="K3504">
        <v>0.98802326200930202</v>
      </c>
      <c r="L3504">
        <v>573.61784342265196</v>
      </c>
      <c r="M3504">
        <v>11.8227206792996</v>
      </c>
      <c r="O3504">
        <v>47.192606480471198</v>
      </c>
      <c r="P3504">
        <v>-1.0856193524401101E-2</v>
      </c>
      <c r="Q3504">
        <v>0.82670616615803505</v>
      </c>
      <c r="R3504">
        <v>0.253652886350759</v>
      </c>
      <c r="S3504" t="s">
        <v>8244</v>
      </c>
      <c r="T3504" t="s">
        <v>9478</v>
      </c>
      <c r="U3504" t="s">
        <v>9478</v>
      </c>
      <c r="V3504" t="s">
        <v>9478</v>
      </c>
      <c r="W3504">
        <v>2</v>
      </c>
      <c r="X3504" t="s">
        <v>12982</v>
      </c>
      <c r="Y3504">
        <v>0.88263957496007495</v>
      </c>
      <c r="Z3504" t="str">
        <f>HYPERLINK("Melting_Curves/meltCurve_sp_Q9NVU7_2_SDA1_HUMAN_.pdf", "Melting_Curves/meltCurve_sp_Q9NVU7_2_SDA1_HUMAN_.pdf")</f>
        <v>Melting_Curves/meltCurve_sp_Q9NVU7_2_SDA1_HUMAN_.pdf</v>
      </c>
      <c r="AA3504" t="s">
        <v>17669</v>
      </c>
      <c r="AB3504" t="s">
        <v>22337</v>
      </c>
    </row>
    <row r="3505" spans="1:28" x14ac:dyDescent="0.25">
      <c r="A3505" t="s">
        <v>3509</v>
      </c>
      <c r="B3505">
        <v>0.99904790336628502</v>
      </c>
      <c r="C3505">
        <v>0.89990200769956197</v>
      </c>
      <c r="D3505">
        <v>0.85841863546751596</v>
      </c>
      <c r="E3505">
        <v>0.88299434881678696</v>
      </c>
      <c r="F3505">
        <v>0.77942798725888995</v>
      </c>
      <c r="G3505">
        <v>0.54142769538975499</v>
      </c>
      <c r="H3505">
        <v>0.38411695067248203</v>
      </c>
      <c r="I3505">
        <v>0.29746110620667998</v>
      </c>
      <c r="J3505">
        <v>0.19808969850560099</v>
      </c>
      <c r="K3505">
        <v>0.134849770573576</v>
      </c>
      <c r="L3505">
        <v>602.25045631398405</v>
      </c>
      <c r="M3505">
        <v>10.329071973769199</v>
      </c>
      <c r="N3505">
        <v>58.306343859500501</v>
      </c>
      <c r="O3505">
        <v>56.247793046372898</v>
      </c>
      <c r="P3505">
        <v>-4.5928511522510901E-2</v>
      </c>
      <c r="Q3505">
        <v>0</v>
      </c>
      <c r="R3505">
        <v>0.98264418420995203</v>
      </c>
      <c r="S3505" t="s">
        <v>8245</v>
      </c>
      <c r="T3505" t="s">
        <v>9478</v>
      </c>
      <c r="U3505" t="s">
        <v>9478</v>
      </c>
      <c r="V3505" t="s">
        <v>9478</v>
      </c>
      <c r="W3505">
        <v>6</v>
      </c>
      <c r="X3505" t="s">
        <v>12983</v>
      </c>
      <c r="Y3505">
        <v>0.6189411242862346</v>
      </c>
      <c r="Z3505" t="str">
        <f>HYPERLINK("Melting_Curves/meltCurve_sp_Q9NVX2_NLE1_HUMAN_.pdf", "Melting_Curves/meltCurve_sp_Q9NVX2_NLE1_HUMAN_.pdf")</f>
        <v>Melting_Curves/meltCurve_sp_Q9NVX2_NLE1_HUMAN_.pdf</v>
      </c>
      <c r="AA3505" t="s">
        <v>17670</v>
      </c>
      <c r="AB3505" t="s">
        <v>22338</v>
      </c>
    </row>
    <row r="3506" spans="1:28" x14ac:dyDescent="0.25">
      <c r="A3506" t="s">
        <v>3510</v>
      </c>
      <c r="B3506">
        <v>0.99904790336628502</v>
      </c>
      <c r="C3506">
        <v>0.99179079399116199</v>
      </c>
      <c r="D3506">
        <v>0.94765669922746598</v>
      </c>
      <c r="E3506">
        <v>0.85744159315811697</v>
      </c>
      <c r="F3506">
        <v>0.82929152343706403</v>
      </c>
      <c r="G3506">
        <v>0.63516150132836802</v>
      </c>
      <c r="H3506">
        <v>0.42595053239196501</v>
      </c>
      <c r="I3506">
        <v>0.20848659395565999</v>
      </c>
      <c r="J3506">
        <v>0.178987440460115</v>
      </c>
      <c r="K3506">
        <v>7.8494044139272898E-2</v>
      </c>
      <c r="L3506">
        <v>792.70923402275002</v>
      </c>
      <c r="M3506">
        <v>13.446188705170099</v>
      </c>
      <c r="N3506">
        <v>58.954195351816701</v>
      </c>
      <c r="O3506">
        <v>57.6960380660365</v>
      </c>
      <c r="P3506">
        <v>-5.8272075749773403E-2</v>
      </c>
      <c r="Q3506">
        <v>0</v>
      </c>
      <c r="R3506">
        <v>0.99171041391876502</v>
      </c>
      <c r="S3506" t="s">
        <v>8246</v>
      </c>
      <c r="T3506" t="s">
        <v>9478</v>
      </c>
      <c r="U3506" t="s">
        <v>9478</v>
      </c>
      <c r="V3506" t="s">
        <v>9478</v>
      </c>
      <c r="W3506">
        <v>3</v>
      </c>
      <c r="X3506" t="s">
        <v>12984</v>
      </c>
      <c r="Y3506">
        <v>0.64160496777038578</v>
      </c>
      <c r="Z3506" t="str">
        <f>HYPERLINK("Melting_Curves/meltCurve_sp_Q9NVZ3_NECP2_HUMAN_.pdf", "Melting_Curves/meltCurve_sp_Q9NVZ3_NECP2_HUMAN_.pdf")</f>
        <v>Melting_Curves/meltCurve_sp_Q9NVZ3_NECP2_HUMAN_.pdf</v>
      </c>
      <c r="AA3506" t="s">
        <v>17671</v>
      </c>
      <c r="AB3506" t="s">
        <v>22339</v>
      </c>
    </row>
    <row r="3507" spans="1:28" x14ac:dyDescent="0.25">
      <c r="A3507" t="s">
        <v>3511</v>
      </c>
      <c r="B3507">
        <v>0.99904790336628502</v>
      </c>
      <c r="C3507">
        <v>1.14395437076379</v>
      </c>
      <c r="D3507">
        <v>1.0027766778765399</v>
      </c>
      <c r="E3507">
        <v>0.77971383188838705</v>
      </c>
      <c r="F3507">
        <v>0.55658851414571497</v>
      </c>
      <c r="G3507">
        <v>0.33669681278621599</v>
      </c>
      <c r="H3507">
        <v>0.18923574180085601</v>
      </c>
      <c r="I3507">
        <v>0.132750321360044</v>
      </c>
      <c r="J3507">
        <v>0.120829519625212</v>
      </c>
      <c r="K3507">
        <v>0.11870541858534001</v>
      </c>
      <c r="L3507">
        <v>1037.6356290525</v>
      </c>
      <c r="M3507">
        <v>19.4955128150172</v>
      </c>
      <c r="N3507">
        <v>53.932867698360802</v>
      </c>
      <c r="O3507">
        <v>52.673816911657802</v>
      </c>
      <c r="P3507">
        <v>-8.2078838585454894E-2</v>
      </c>
      <c r="Q3507">
        <v>0.112975372445796</v>
      </c>
      <c r="R3507">
        <v>0.98226445348862501</v>
      </c>
      <c r="S3507" t="s">
        <v>8247</v>
      </c>
      <c r="T3507" t="s">
        <v>9478</v>
      </c>
      <c r="U3507" t="s">
        <v>9478</v>
      </c>
      <c r="V3507" t="s">
        <v>9478</v>
      </c>
      <c r="W3507">
        <v>2</v>
      </c>
      <c r="X3507" t="s">
        <v>12985</v>
      </c>
      <c r="Y3507">
        <v>0.51669221298169543</v>
      </c>
      <c r="Z3507" t="str">
        <f>HYPERLINK("Melting_Curves/meltCurve_sp_Q9NW13_RBM28_HUMAN_.pdf", "Melting_Curves/meltCurve_sp_Q9NW13_RBM28_HUMAN_.pdf")</f>
        <v>Melting_Curves/meltCurve_sp_Q9NW13_RBM28_HUMAN_.pdf</v>
      </c>
      <c r="AA3507" t="s">
        <v>17672</v>
      </c>
      <c r="AB3507" t="s">
        <v>22340</v>
      </c>
    </row>
    <row r="3508" spans="1:28" x14ac:dyDescent="0.25">
      <c r="A3508" t="s">
        <v>3512</v>
      </c>
      <c r="B3508">
        <v>0.99904790336628502</v>
      </c>
      <c r="C3508">
        <v>1.0323210859190799</v>
      </c>
      <c r="D3508">
        <v>0.95991227381862498</v>
      </c>
      <c r="E3508">
        <v>0.95513561481475595</v>
      </c>
      <c r="F3508">
        <v>0.95711845598073098</v>
      </c>
      <c r="G3508">
        <v>0.71018844208501497</v>
      </c>
      <c r="H3508">
        <v>0.631812813715939</v>
      </c>
      <c r="I3508">
        <v>0.54162367631606601</v>
      </c>
      <c r="J3508">
        <v>0.50990358481505005</v>
      </c>
      <c r="K3508">
        <v>0.42910940785672003</v>
      </c>
      <c r="L3508">
        <v>928.82198198391495</v>
      </c>
      <c r="M3508">
        <v>15.9205847028286</v>
      </c>
      <c r="N3508">
        <v>65.915506423680597</v>
      </c>
      <c r="O3508">
        <v>57.4437800825566</v>
      </c>
      <c r="P3508">
        <v>-4.0207285009494401E-2</v>
      </c>
      <c r="Q3508">
        <v>0.41975175602528098</v>
      </c>
      <c r="R3508">
        <v>0.97963792819575002</v>
      </c>
      <c r="S3508" t="s">
        <v>8248</v>
      </c>
      <c r="T3508" t="s">
        <v>9478</v>
      </c>
      <c r="U3508" t="s">
        <v>9478</v>
      </c>
      <c r="V3508" t="s">
        <v>9478</v>
      </c>
      <c r="W3508">
        <v>6</v>
      </c>
      <c r="X3508" t="s">
        <v>12986</v>
      </c>
      <c r="Y3508">
        <v>0.78169966119503465</v>
      </c>
      <c r="Z3508" t="str">
        <f>HYPERLINK("Melting_Curves/meltCurve_sp_Q9NW64_RBM22_HUMAN_.pdf", "Melting_Curves/meltCurve_sp_Q9NW64_RBM22_HUMAN_.pdf")</f>
        <v>Melting_Curves/meltCurve_sp_Q9NW64_RBM22_HUMAN_.pdf</v>
      </c>
      <c r="AA3508" t="s">
        <v>17673</v>
      </c>
      <c r="AB3508" t="s">
        <v>22341</v>
      </c>
    </row>
    <row r="3509" spans="1:28" x14ac:dyDescent="0.25">
      <c r="A3509" t="s">
        <v>3513</v>
      </c>
      <c r="B3509">
        <v>0.99904790336628502</v>
      </c>
      <c r="C3509">
        <v>1.02387872748619</v>
      </c>
      <c r="D3509">
        <v>0.99916918136986099</v>
      </c>
      <c r="E3509">
        <v>1.0300016057480299</v>
      </c>
      <c r="F3509">
        <v>1.0161407533964399</v>
      </c>
      <c r="G3509">
        <v>0.82352797362844998</v>
      </c>
      <c r="H3509">
        <v>0.79012142481738101</v>
      </c>
      <c r="I3509">
        <v>0.76762590289639299</v>
      </c>
      <c r="J3509">
        <v>0.77838390862032403</v>
      </c>
      <c r="K3509">
        <v>0.77670863708698801</v>
      </c>
      <c r="L3509">
        <v>14172.5109061986</v>
      </c>
      <c r="M3509">
        <v>250</v>
      </c>
      <c r="O3509">
        <v>56.686401006973298</v>
      </c>
      <c r="P3509">
        <v>-0.24453613619079301</v>
      </c>
      <c r="Q3509">
        <v>0.77820996636582895</v>
      </c>
      <c r="R3509">
        <v>0.984798183792576</v>
      </c>
      <c r="S3509" t="s">
        <v>8249</v>
      </c>
      <c r="T3509" t="s">
        <v>9478</v>
      </c>
      <c r="U3509" t="s">
        <v>9478</v>
      </c>
      <c r="V3509" t="s">
        <v>9478</v>
      </c>
      <c r="W3509">
        <v>6</v>
      </c>
      <c r="X3509" t="s">
        <v>12987</v>
      </c>
      <c r="Y3509">
        <v>0.90162154351823731</v>
      </c>
      <c r="Z3509" t="str">
        <f>HYPERLINK("Melting_Curves/meltCurve_sp_Q9NW68_4_BSDC1_HUMAN_.pdf", "Melting_Curves/meltCurve_sp_Q9NW68_4_BSDC1_HUMAN_.pdf")</f>
        <v>Melting_Curves/meltCurve_sp_Q9NW68_4_BSDC1_HUMAN_.pdf</v>
      </c>
      <c r="AA3509" t="s">
        <v>17674</v>
      </c>
      <c r="AB3509" t="s">
        <v>22342</v>
      </c>
    </row>
    <row r="3510" spans="1:28" x14ac:dyDescent="0.25">
      <c r="A3510" t="s">
        <v>3514</v>
      </c>
      <c r="B3510">
        <v>0.99904790336628502</v>
      </c>
      <c r="C3510">
        <v>0.99860652931894001</v>
      </c>
      <c r="D3510">
        <v>0.84785255717031804</v>
      </c>
      <c r="E3510">
        <v>0.88445053386801498</v>
      </c>
      <c r="F3510">
        <v>0.82332494132865297</v>
      </c>
      <c r="G3510">
        <v>0.50019411020535498</v>
      </c>
      <c r="H3510">
        <v>0.497147308972052</v>
      </c>
      <c r="I3510">
        <v>0.35725116586621702</v>
      </c>
      <c r="J3510">
        <v>0.41189638746524199</v>
      </c>
      <c r="K3510">
        <v>0.301646783628924</v>
      </c>
      <c r="L3510">
        <v>700.24278653119802</v>
      </c>
      <c r="M3510">
        <v>12.585383989077201</v>
      </c>
      <c r="N3510">
        <v>59.476171415993399</v>
      </c>
      <c r="O3510">
        <v>54.290673540771202</v>
      </c>
      <c r="P3510">
        <v>-4.1851624911279597E-2</v>
      </c>
      <c r="Q3510">
        <v>0.27798860374734802</v>
      </c>
      <c r="R3510">
        <v>0.95333596884419802</v>
      </c>
      <c r="S3510" t="s">
        <v>8250</v>
      </c>
      <c r="T3510" t="s">
        <v>9478</v>
      </c>
      <c r="U3510" t="s">
        <v>9478</v>
      </c>
      <c r="V3510" t="s">
        <v>9478</v>
      </c>
      <c r="W3510">
        <v>6</v>
      </c>
      <c r="X3510" t="s">
        <v>12988</v>
      </c>
      <c r="Y3510">
        <v>0.6695304174172334</v>
      </c>
      <c r="Z3510" t="str">
        <f>HYPERLINK("Melting_Curves/meltCurve_sp_Q9NW68_8_BSDC1_HUMAN_.pdf", "Melting_Curves/meltCurve_sp_Q9NW68_8_BSDC1_HUMAN_.pdf")</f>
        <v>Melting_Curves/meltCurve_sp_Q9NW68_8_BSDC1_HUMAN_.pdf</v>
      </c>
      <c r="AA3510" t="s">
        <v>17674</v>
      </c>
      <c r="AB3510" t="s">
        <v>22343</v>
      </c>
    </row>
    <row r="3511" spans="1:28" x14ac:dyDescent="0.25">
      <c r="A3511" t="s">
        <v>3515</v>
      </c>
      <c r="B3511">
        <v>0.99904790336628502</v>
      </c>
      <c r="C3511">
        <v>0.89318698856113599</v>
      </c>
      <c r="D3511">
        <v>0.89830418968685399</v>
      </c>
      <c r="E3511">
        <v>0.85731066773659104</v>
      </c>
      <c r="F3511">
        <v>0.81804319297656503</v>
      </c>
      <c r="G3511">
        <v>0.55600068518367296</v>
      </c>
      <c r="H3511">
        <v>0.35740841513976102</v>
      </c>
      <c r="I3511">
        <v>0.32173561527809103</v>
      </c>
      <c r="J3511">
        <v>0.32003774368225701</v>
      </c>
      <c r="K3511">
        <v>0.32975265577868401</v>
      </c>
      <c r="L3511">
        <v>855.58450711899798</v>
      </c>
      <c r="M3511">
        <v>15.454711392306899</v>
      </c>
      <c r="N3511">
        <v>58.190166707138097</v>
      </c>
      <c r="O3511">
        <v>54.458700274122002</v>
      </c>
      <c r="P3511">
        <v>-5.2210092735350301E-2</v>
      </c>
      <c r="Q3511">
        <v>0.26416269494137001</v>
      </c>
      <c r="R3511">
        <v>0.96688333684730599</v>
      </c>
      <c r="S3511" t="s">
        <v>8251</v>
      </c>
      <c r="T3511" t="s">
        <v>9478</v>
      </c>
      <c r="U3511" t="s">
        <v>9478</v>
      </c>
      <c r="V3511" t="s">
        <v>9478</v>
      </c>
      <c r="W3511">
        <v>8</v>
      </c>
      <c r="X3511" t="s">
        <v>12989</v>
      </c>
      <c r="Y3511">
        <v>0.65432568223207943</v>
      </c>
      <c r="Z3511" t="str">
        <f>HYPERLINK("Melting_Curves/meltCurve_sp_Q9NW82_WDR70_HUMAN_.pdf", "Melting_Curves/meltCurve_sp_Q9NW82_WDR70_HUMAN_.pdf")</f>
        <v>Melting_Curves/meltCurve_sp_Q9NW82_WDR70_HUMAN_.pdf</v>
      </c>
      <c r="AA3511" t="s">
        <v>17675</v>
      </c>
      <c r="AB3511" t="s">
        <v>22344</v>
      </c>
    </row>
    <row r="3512" spans="1:28" x14ac:dyDescent="0.25">
      <c r="A3512" t="s">
        <v>3516</v>
      </c>
      <c r="B3512">
        <v>0.99904790336628502</v>
      </c>
      <c r="C3512">
        <v>0.97944294216435601</v>
      </c>
      <c r="D3512">
        <v>0.95396369113768498</v>
      </c>
      <c r="E3512">
        <v>0.90616295900780996</v>
      </c>
      <c r="F3512">
        <v>0.94843325460599603</v>
      </c>
      <c r="G3512">
        <v>0.67256316769214397</v>
      </c>
      <c r="H3512">
        <v>0.59764700413947802</v>
      </c>
      <c r="I3512">
        <v>0.65339224521593198</v>
      </c>
      <c r="J3512">
        <v>0.63909628621442005</v>
      </c>
      <c r="K3512">
        <v>0.58115077206242804</v>
      </c>
      <c r="L3512">
        <v>2439.9834989421502</v>
      </c>
      <c r="M3512">
        <v>44.458835433366197</v>
      </c>
      <c r="O3512">
        <v>54.771170543434401</v>
      </c>
      <c r="P3512">
        <v>-7.7961678293172201E-2</v>
      </c>
      <c r="Q3512">
        <v>0.61582022612953602</v>
      </c>
      <c r="R3512">
        <v>0.94916965199649095</v>
      </c>
      <c r="S3512" t="s">
        <v>8252</v>
      </c>
      <c r="T3512" t="s">
        <v>9478</v>
      </c>
      <c r="U3512" t="s">
        <v>9478</v>
      </c>
      <c r="V3512" t="s">
        <v>9478</v>
      </c>
      <c r="W3512">
        <v>5</v>
      </c>
      <c r="X3512" t="s">
        <v>12990</v>
      </c>
      <c r="Y3512">
        <v>0.80757343280627147</v>
      </c>
      <c r="Z3512" t="str">
        <f>HYPERLINK("Melting_Curves/meltCurve_sp_Q9NWB6_ARGL1_HUMAN_.pdf", "Melting_Curves/meltCurve_sp_Q9NWB6_ARGL1_HUMAN_.pdf")</f>
        <v>Melting_Curves/meltCurve_sp_Q9NWB6_ARGL1_HUMAN_.pdf</v>
      </c>
      <c r="AA3512" t="s">
        <v>17676</v>
      </c>
      <c r="AB3512" t="s">
        <v>22345</v>
      </c>
    </row>
    <row r="3513" spans="1:28" x14ac:dyDescent="0.25">
      <c r="A3513" t="s">
        <v>3517</v>
      </c>
      <c r="B3513">
        <v>0.99904790336628502</v>
      </c>
      <c r="C3513">
        <v>1.0700944423130601</v>
      </c>
      <c r="D3513">
        <v>0.97215392522546795</v>
      </c>
      <c r="E3513">
        <v>0.80566864515899395</v>
      </c>
      <c r="F3513">
        <v>0.64166963594096604</v>
      </c>
      <c r="G3513">
        <v>0.48999515951143002</v>
      </c>
      <c r="H3513">
        <v>0.40733235066633799</v>
      </c>
      <c r="I3513">
        <v>0.42053234765282899</v>
      </c>
      <c r="J3513">
        <v>0.42240011037212999</v>
      </c>
      <c r="K3513">
        <v>0.38719998427594898</v>
      </c>
      <c r="L3513">
        <v>1131.0544923590701</v>
      </c>
      <c r="M3513">
        <v>21.776566891463599</v>
      </c>
      <c r="N3513">
        <v>56.148504886351702</v>
      </c>
      <c r="O3513">
        <v>51.5070231047237</v>
      </c>
      <c r="P3513">
        <v>-6.3177871458754406E-2</v>
      </c>
      <c r="Q3513">
        <v>0.40228807996430899</v>
      </c>
      <c r="R3513">
        <v>0.98954642535998005</v>
      </c>
      <c r="S3513" t="s">
        <v>8253</v>
      </c>
      <c r="T3513" t="s">
        <v>9478</v>
      </c>
      <c r="U3513" t="s">
        <v>9478</v>
      </c>
      <c r="V3513" t="s">
        <v>9478</v>
      </c>
      <c r="W3513">
        <v>10</v>
      </c>
      <c r="X3513" t="s">
        <v>12991</v>
      </c>
      <c r="Y3513">
        <v>0.64724107147901511</v>
      </c>
      <c r="Z3513" t="str">
        <f>HYPERLINK("Melting_Curves/meltCurve_sp_Q9NWH9_SLTM_HUMAN_.pdf", "Melting_Curves/meltCurve_sp_Q9NWH9_SLTM_HUMAN_.pdf")</f>
        <v>Melting_Curves/meltCurve_sp_Q9NWH9_SLTM_HUMAN_.pdf</v>
      </c>
      <c r="AA3513" t="s">
        <v>17677</v>
      </c>
      <c r="AB3513" t="s">
        <v>22346</v>
      </c>
    </row>
    <row r="3514" spans="1:28" x14ac:dyDescent="0.25">
      <c r="A3514" t="s">
        <v>3518</v>
      </c>
      <c r="B3514">
        <v>0.99904790336628502</v>
      </c>
      <c r="C3514">
        <v>0.84681481335299802</v>
      </c>
      <c r="D3514">
        <v>0.69488757023129999</v>
      </c>
      <c r="E3514">
        <v>0.71625494142109303</v>
      </c>
      <c r="F3514">
        <v>0.62800103492789605</v>
      </c>
      <c r="G3514">
        <v>0.28927089315016902</v>
      </c>
      <c r="H3514">
        <v>0.130726363358004</v>
      </c>
      <c r="I3514">
        <v>0.104539992607461</v>
      </c>
      <c r="J3514">
        <v>8.0143644314545806E-2</v>
      </c>
      <c r="K3514">
        <v>9.4248763251232701E-2</v>
      </c>
      <c r="L3514">
        <v>551.20669161299202</v>
      </c>
      <c r="M3514">
        <v>10.407226904686899</v>
      </c>
      <c r="N3514">
        <v>52.963837162726698</v>
      </c>
      <c r="O3514">
        <v>51.120313505019197</v>
      </c>
      <c r="P3514">
        <v>-5.0917015420672999E-2</v>
      </c>
      <c r="Q3514">
        <v>0</v>
      </c>
      <c r="R3514">
        <v>0.952083697905584</v>
      </c>
      <c r="S3514" t="s">
        <v>8254</v>
      </c>
      <c r="T3514" t="s">
        <v>9478</v>
      </c>
      <c r="U3514" t="s">
        <v>9478</v>
      </c>
      <c r="V3514" t="s">
        <v>9478</v>
      </c>
      <c r="W3514">
        <v>2</v>
      </c>
      <c r="X3514" t="s">
        <v>12992</v>
      </c>
      <c r="Y3514">
        <v>0.46522478470124351</v>
      </c>
      <c r="Z3514" t="str">
        <f>HYPERLINK("Melting_Curves/meltCurve_sp_Q9NWK9_2_BCD1_HUMAN_.pdf", "Melting_Curves/meltCurve_sp_Q9NWK9_2_BCD1_HUMAN_.pdf")</f>
        <v>Melting_Curves/meltCurve_sp_Q9NWK9_2_BCD1_HUMAN_.pdf</v>
      </c>
      <c r="AA3514" t="s">
        <v>17678</v>
      </c>
      <c r="AB3514" t="s">
        <v>22347</v>
      </c>
    </row>
    <row r="3515" spans="1:28" x14ac:dyDescent="0.25">
      <c r="A3515" t="s">
        <v>3519</v>
      </c>
      <c r="B3515">
        <v>0.99904790336628502</v>
      </c>
      <c r="C3515">
        <v>0.97135823589688797</v>
      </c>
      <c r="D3515">
        <v>1.00932700903239</v>
      </c>
      <c r="E3515">
        <v>1.0250815681038901</v>
      </c>
      <c r="F3515">
        <v>0.97881900039196601</v>
      </c>
      <c r="G3515">
        <v>0.84865489608261302</v>
      </c>
      <c r="H3515">
        <v>0.71543140907185698</v>
      </c>
      <c r="I3515">
        <v>0.65155334388427499</v>
      </c>
      <c r="J3515">
        <v>0.58886327701998298</v>
      </c>
      <c r="K3515">
        <v>0.31103490900404401</v>
      </c>
      <c r="L3515">
        <v>777.07018230025801</v>
      </c>
      <c r="M3515">
        <v>11.592454325003899</v>
      </c>
      <c r="N3515">
        <v>67.032418018223595</v>
      </c>
      <c r="O3515">
        <v>65.130827051337505</v>
      </c>
      <c r="P3515">
        <v>-4.45090644411021E-2</v>
      </c>
      <c r="Q3515">
        <v>0</v>
      </c>
      <c r="R3515">
        <v>0.96218285669661097</v>
      </c>
      <c r="S3515" t="s">
        <v>8255</v>
      </c>
      <c r="T3515" t="s">
        <v>9478</v>
      </c>
      <c r="U3515" t="s">
        <v>9478</v>
      </c>
      <c r="V3515" t="s">
        <v>9478</v>
      </c>
      <c r="W3515">
        <v>18</v>
      </c>
      <c r="X3515" t="s">
        <v>12993</v>
      </c>
      <c r="Y3515">
        <v>0.83243280709375433</v>
      </c>
      <c r="Z3515" t="str">
        <f>HYPERLINK("Melting_Curves/meltCurve_sp_Q9NWU1_OXSM_HUMAN_.pdf", "Melting_Curves/meltCurve_sp_Q9NWU1_OXSM_HUMAN_.pdf")</f>
        <v>Melting_Curves/meltCurve_sp_Q9NWU1_OXSM_HUMAN_.pdf</v>
      </c>
      <c r="AA3515" t="s">
        <v>17679</v>
      </c>
      <c r="AB3515" t="s">
        <v>22348</v>
      </c>
    </row>
    <row r="3516" spans="1:28" x14ac:dyDescent="0.25">
      <c r="A3516" t="s">
        <v>3520</v>
      </c>
      <c r="B3516">
        <v>0.99904790336628502</v>
      </c>
      <c r="C3516">
        <v>1.00705324824477</v>
      </c>
      <c r="D3516">
        <v>0.98386142278697497</v>
      </c>
      <c r="E3516">
        <v>0.76724776003267203</v>
      </c>
      <c r="F3516">
        <v>0.542561413416631</v>
      </c>
      <c r="G3516">
        <v>0.37927121684323001</v>
      </c>
      <c r="H3516">
        <v>0.45674027591888899</v>
      </c>
      <c r="I3516">
        <v>0.453673943227138</v>
      </c>
      <c r="J3516">
        <v>0.43350010773847297</v>
      </c>
      <c r="K3516">
        <v>0.41448659503163698</v>
      </c>
      <c r="L3516">
        <v>1752.94592930404</v>
      </c>
      <c r="M3516">
        <v>34.640527646651698</v>
      </c>
      <c r="N3516">
        <v>53.586932581911398</v>
      </c>
      <c r="O3516">
        <v>50.4361501270198</v>
      </c>
      <c r="P3516">
        <v>-9.8334902062144805E-2</v>
      </c>
      <c r="Q3516">
        <v>0.42730483150458798</v>
      </c>
      <c r="R3516">
        <v>0.991269051647239</v>
      </c>
      <c r="S3516" t="s">
        <v>8256</v>
      </c>
      <c r="T3516" t="s">
        <v>9478</v>
      </c>
      <c r="U3516" t="s">
        <v>9478</v>
      </c>
      <c r="V3516" t="s">
        <v>9478</v>
      </c>
      <c r="W3516">
        <v>2</v>
      </c>
      <c r="X3516" t="s">
        <v>12994</v>
      </c>
      <c r="Y3516">
        <v>0.63240921642490144</v>
      </c>
      <c r="Z3516" t="str">
        <f>HYPERLINK("Melting_Curves/meltCurve_sp_Q9NWU2_GID8_HUMAN_.pdf", "Melting_Curves/meltCurve_sp_Q9NWU2_GID8_HUMAN_.pdf")</f>
        <v>Melting_Curves/meltCurve_sp_Q9NWU2_GID8_HUMAN_.pdf</v>
      </c>
      <c r="AA3516" t="s">
        <v>17680</v>
      </c>
      <c r="AB3516" t="s">
        <v>22349</v>
      </c>
    </row>
    <row r="3517" spans="1:28" x14ac:dyDescent="0.25">
      <c r="A3517" t="s">
        <v>3521</v>
      </c>
      <c r="B3517">
        <v>0.99904790336628502</v>
      </c>
      <c r="C3517">
        <v>0.95869292692241204</v>
      </c>
      <c r="D3517">
        <v>0.945767449625592</v>
      </c>
      <c r="E3517">
        <v>0.96152792655777497</v>
      </c>
      <c r="F3517">
        <v>0.99378541890102401</v>
      </c>
      <c r="G3517">
        <v>0.80082786491066904</v>
      </c>
      <c r="H3517">
        <v>0.60295248806464596</v>
      </c>
      <c r="I3517">
        <v>0.53673854464969595</v>
      </c>
      <c r="J3517">
        <v>0.52451881668328404</v>
      </c>
      <c r="K3517">
        <v>0.44545050678093401</v>
      </c>
      <c r="L3517">
        <v>1405.12754348566</v>
      </c>
      <c r="M3517">
        <v>24.0568876370011</v>
      </c>
      <c r="N3517">
        <v>66.065560662068194</v>
      </c>
      <c r="O3517">
        <v>58.009424977695403</v>
      </c>
      <c r="P3517">
        <v>-5.5028881257992199E-2</v>
      </c>
      <c r="Q3517">
        <v>0.469234124743107</v>
      </c>
      <c r="R3517">
        <v>0.97997863603673196</v>
      </c>
      <c r="S3517" t="s">
        <v>8257</v>
      </c>
      <c r="T3517" t="s">
        <v>9478</v>
      </c>
      <c r="U3517" t="s">
        <v>9478</v>
      </c>
      <c r="V3517" t="s">
        <v>9478</v>
      </c>
      <c r="W3517">
        <v>6</v>
      </c>
      <c r="X3517" t="s">
        <v>12995</v>
      </c>
      <c r="Y3517">
        <v>0.7996711033356223</v>
      </c>
      <c r="Z3517" t="str">
        <f>HYPERLINK("Melting_Curves/meltCurve_sp_Q9NWV4_CA123_HUMAN_.pdf", "Melting_Curves/meltCurve_sp_Q9NWV4_CA123_HUMAN_.pdf")</f>
        <v>Melting_Curves/meltCurve_sp_Q9NWV4_CA123_HUMAN_.pdf</v>
      </c>
      <c r="AA3517" t="s">
        <v>17681</v>
      </c>
      <c r="AB3517" t="s">
        <v>22350</v>
      </c>
    </row>
    <row r="3518" spans="1:28" x14ac:dyDescent="0.25">
      <c r="A3518" t="s">
        <v>3522</v>
      </c>
      <c r="B3518">
        <v>0.99904790336628502</v>
      </c>
      <c r="C3518">
        <v>0.92215705358053301</v>
      </c>
      <c r="D3518">
        <v>0.84605622212825804</v>
      </c>
      <c r="E3518">
        <v>0.56908133969680597</v>
      </c>
      <c r="F3518">
        <v>0.39114567933178401</v>
      </c>
      <c r="G3518">
        <v>0.21795992249100299</v>
      </c>
      <c r="H3518">
        <v>0.14220932376209999</v>
      </c>
      <c r="I3518">
        <v>0.11782804334078099</v>
      </c>
      <c r="J3518">
        <v>9.6267789920562299E-2</v>
      </c>
      <c r="K3518">
        <v>7.9527935223476801E-2</v>
      </c>
      <c r="L3518">
        <v>755.79493381024804</v>
      </c>
      <c r="M3518">
        <v>14.9290305574985</v>
      </c>
      <c r="N3518">
        <v>51.161205760966197</v>
      </c>
      <c r="O3518">
        <v>49.743536933550601</v>
      </c>
      <c r="P3518">
        <v>-6.9611493155960505E-2</v>
      </c>
      <c r="Q3518">
        <v>7.2313367974823697E-2</v>
      </c>
      <c r="R3518">
        <v>0.99911812665877697</v>
      </c>
      <c r="S3518" t="s">
        <v>8258</v>
      </c>
      <c r="T3518" t="s">
        <v>9478</v>
      </c>
      <c r="U3518" t="s">
        <v>9478</v>
      </c>
      <c r="V3518" t="s">
        <v>9478</v>
      </c>
      <c r="W3518">
        <v>2</v>
      </c>
      <c r="X3518" t="s">
        <v>12996</v>
      </c>
      <c r="Y3518">
        <v>0.42275826933636829</v>
      </c>
      <c r="Z3518" t="str">
        <f>HYPERLINK("Melting_Curves/meltCurve_sp_Q9NWX6_THG1_HUMAN_.pdf", "Melting_Curves/meltCurve_sp_Q9NWX6_THG1_HUMAN_.pdf")</f>
        <v>Melting_Curves/meltCurve_sp_Q9NWX6_THG1_HUMAN_.pdf</v>
      </c>
      <c r="AA3518" t="s">
        <v>17682</v>
      </c>
      <c r="AB3518" t="s">
        <v>22351</v>
      </c>
    </row>
    <row r="3519" spans="1:28" x14ac:dyDescent="0.25">
      <c r="A3519" t="s">
        <v>3523</v>
      </c>
      <c r="B3519">
        <v>0.99904790336628502</v>
      </c>
      <c r="C3519">
        <v>0.94296173066324696</v>
      </c>
      <c r="D3519">
        <v>0.73653313574402701</v>
      </c>
      <c r="E3519">
        <v>0.28444432155185401</v>
      </c>
      <c r="F3519">
        <v>0.14509142920051399</v>
      </c>
      <c r="G3519">
        <v>0.111432533224717</v>
      </c>
      <c r="H3519">
        <v>5.8557717855742E-2</v>
      </c>
      <c r="I3519">
        <v>4.4591716607075803E-2</v>
      </c>
      <c r="J3519">
        <v>2.5318622151604801E-2</v>
      </c>
      <c r="K3519">
        <v>3.5436936176218702E-2</v>
      </c>
      <c r="L3519">
        <v>1123.50721370473</v>
      </c>
      <c r="M3519">
        <v>23.492629389731</v>
      </c>
      <c r="N3519">
        <v>48.032038342297597</v>
      </c>
      <c r="O3519">
        <v>47.4813368310529</v>
      </c>
      <c r="P3519">
        <v>-0.11770784173682999</v>
      </c>
      <c r="Q3519">
        <v>4.8411415448831298E-2</v>
      </c>
      <c r="R3519">
        <v>0.99784723248381202</v>
      </c>
      <c r="S3519" t="s">
        <v>8259</v>
      </c>
      <c r="T3519" t="s">
        <v>9478</v>
      </c>
      <c r="U3519" t="s">
        <v>9478</v>
      </c>
      <c r="V3519" t="s">
        <v>9478</v>
      </c>
      <c r="W3519">
        <v>4</v>
      </c>
      <c r="X3519" t="s">
        <v>12997</v>
      </c>
      <c r="Y3519">
        <v>0.30619413818505631</v>
      </c>
      <c r="Z3519" t="str">
        <f>HYPERLINK("Melting_Curves/meltCurve_sp_Q9NWY4_CD027_HUMAN_.pdf", "Melting_Curves/meltCurve_sp_Q9NWY4_CD027_HUMAN_.pdf")</f>
        <v>Melting_Curves/meltCurve_sp_Q9NWY4_CD027_HUMAN_.pdf</v>
      </c>
      <c r="AA3519" t="s">
        <v>17683</v>
      </c>
      <c r="AB3519" t="s">
        <v>22352</v>
      </c>
    </row>
    <row r="3520" spans="1:28" x14ac:dyDescent="0.25">
      <c r="A3520" t="s">
        <v>3524</v>
      </c>
      <c r="B3520">
        <v>0.99904790336628502</v>
      </c>
      <c r="C3520">
        <v>0.87630124953409705</v>
      </c>
      <c r="D3520">
        <v>0.75914084172823704</v>
      </c>
      <c r="E3520">
        <v>0.41097635317893599</v>
      </c>
      <c r="F3520">
        <v>0.139848822757701</v>
      </c>
      <c r="G3520">
        <v>5.4114953416921303E-2</v>
      </c>
      <c r="H3520">
        <v>2.93400323193478E-2</v>
      </c>
      <c r="I3520">
        <v>1.7323523105514799E-2</v>
      </c>
      <c r="J3520">
        <v>2.4290709534549301E-2</v>
      </c>
      <c r="K3520">
        <v>8.4614431986321098E-3</v>
      </c>
      <c r="L3520">
        <v>916.56936039519906</v>
      </c>
      <c r="M3520">
        <v>18.834393772873899</v>
      </c>
      <c r="N3520">
        <v>48.684367420571498</v>
      </c>
      <c r="O3520">
        <v>48.126005962064497</v>
      </c>
      <c r="P3520">
        <v>-9.7471369851075407E-2</v>
      </c>
      <c r="Q3520">
        <v>3.7981470816341998E-3</v>
      </c>
      <c r="R3520">
        <v>0.99597000884382203</v>
      </c>
      <c r="S3520" t="s">
        <v>8260</v>
      </c>
      <c r="T3520" t="s">
        <v>9478</v>
      </c>
      <c r="U3520" t="s">
        <v>9478</v>
      </c>
      <c r="V3520" t="s">
        <v>9478</v>
      </c>
      <c r="W3520">
        <v>3</v>
      </c>
      <c r="X3520" t="s">
        <v>12998</v>
      </c>
      <c r="Y3520">
        <v>0.30736597312792302</v>
      </c>
      <c r="Z3520" t="str">
        <f>HYPERLINK("Melting_Curves/meltCurve_sp_Q9NWZ3_IRAK4_HUMAN_.pdf", "Melting_Curves/meltCurve_sp_Q9NWZ3_IRAK4_HUMAN_.pdf")</f>
        <v>Melting_Curves/meltCurve_sp_Q9NWZ3_IRAK4_HUMAN_.pdf</v>
      </c>
      <c r="AA3520" t="s">
        <v>17684</v>
      </c>
      <c r="AB3520" t="s">
        <v>22353</v>
      </c>
    </row>
    <row r="3521" spans="1:28" x14ac:dyDescent="0.25">
      <c r="A3521" t="s">
        <v>3525</v>
      </c>
      <c r="B3521">
        <v>0.99904790336628502</v>
      </c>
      <c r="C3521">
        <v>0.64062065425496095</v>
      </c>
      <c r="D3521">
        <v>0.55212881782978296</v>
      </c>
      <c r="E3521">
        <v>0.504109095234757</v>
      </c>
      <c r="F3521">
        <v>0.53343118615968399</v>
      </c>
      <c r="G3521">
        <v>0.61624618455184299</v>
      </c>
      <c r="H3521">
        <v>0.39022874586511402</v>
      </c>
      <c r="I3521">
        <v>0.46207840311999898</v>
      </c>
      <c r="J3521">
        <v>0.36362895166971598</v>
      </c>
      <c r="K3521">
        <v>0.54916042462750803</v>
      </c>
      <c r="L3521">
        <v>2658.53603411123</v>
      </c>
      <c r="M3521">
        <v>62.8485635228093</v>
      </c>
      <c r="N3521">
        <v>45.762694494408599</v>
      </c>
      <c r="O3521">
        <v>42.257900712429098</v>
      </c>
      <c r="P3521">
        <v>-0.18750882267892799</v>
      </c>
      <c r="Q3521">
        <v>0.49569402910876498</v>
      </c>
      <c r="R3521">
        <v>0.81801362938285704</v>
      </c>
      <c r="S3521" t="s">
        <v>8261</v>
      </c>
      <c r="T3521" t="s">
        <v>9478</v>
      </c>
      <c r="U3521" t="s">
        <v>9478</v>
      </c>
      <c r="V3521" t="s">
        <v>9478</v>
      </c>
      <c r="W3521">
        <v>1</v>
      </c>
      <c r="X3521" t="s">
        <v>12999</v>
      </c>
      <c r="Y3521">
        <v>0.5352239754994248</v>
      </c>
      <c r="Z3521" t="str">
        <f>HYPERLINK("Melting_Curves/meltCurve_sp_Q9NWZ5_3_UCKL1_HUMAN_.pdf", "Melting_Curves/meltCurve_sp_Q9NWZ5_3_UCKL1_HUMAN_.pdf")</f>
        <v>Melting_Curves/meltCurve_sp_Q9NWZ5_3_UCKL1_HUMAN_.pdf</v>
      </c>
      <c r="AA3521" t="s">
        <v>17685</v>
      </c>
      <c r="AB3521" t="s">
        <v>22354</v>
      </c>
    </row>
    <row r="3522" spans="1:28" x14ac:dyDescent="0.25">
      <c r="A3522" t="s">
        <v>3526</v>
      </c>
      <c r="B3522">
        <v>0.99904790336628502</v>
      </c>
      <c r="C3522">
        <v>0.800084484252927</v>
      </c>
      <c r="D3522">
        <v>0.86523595554363397</v>
      </c>
      <c r="E3522">
        <v>0.71420970471355805</v>
      </c>
      <c r="F3522">
        <v>0.520606465395136</v>
      </c>
      <c r="G3522">
        <v>0.21543512279728599</v>
      </c>
      <c r="H3522">
        <v>5.9255553647031299E-2</v>
      </c>
      <c r="I3522">
        <v>4.0410103954748297E-2</v>
      </c>
      <c r="J3522">
        <v>1.3302070042186099E-2</v>
      </c>
      <c r="K3522">
        <v>0</v>
      </c>
      <c r="L3522">
        <v>806.75878662244395</v>
      </c>
      <c r="M3522">
        <v>15.343225446750401</v>
      </c>
      <c r="N3522">
        <v>52.580793821811703</v>
      </c>
      <c r="O3522">
        <v>51.711868709708</v>
      </c>
      <c r="P3522">
        <v>-7.4183376255771899E-2</v>
      </c>
      <c r="Q3522">
        <v>0</v>
      </c>
      <c r="R3522">
        <v>0.97399485495486005</v>
      </c>
      <c r="S3522" t="s">
        <v>8262</v>
      </c>
      <c r="T3522" t="s">
        <v>9478</v>
      </c>
      <c r="U3522" t="s">
        <v>9478</v>
      </c>
      <c r="V3522" t="s">
        <v>9478</v>
      </c>
      <c r="W3522">
        <v>2</v>
      </c>
      <c r="X3522" t="s">
        <v>13000</v>
      </c>
      <c r="Y3522">
        <v>0.44053240829868429</v>
      </c>
      <c r="Z3522" t="str">
        <f>HYPERLINK("Melting_Curves/meltCurve_sp_Q9NX01_TXN4B_HUMAN_.pdf", "Melting_Curves/meltCurve_sp_Q9NX01_TXN4B_HUMAN_.pdf")</f>
        <v>Melting_Curves/meltCurve_sp_Q9NX01_TXN4B_HUMAN_.pdf</v>
      </c>
      <c r="AA3522" t="s">
        <v>17686</v>
      </c>
      <c r="AB3522" t="s">
        <v>22355</v>
      </c>
    </row>
    <row r="3523" spans="1:28" x14ac:dyDescent="0.25">
      <c r="A3523" t="s">
        <v>3527</v>
      </c>
      <c r="B3523">
        <v>0.99904790336628502</v>
      </c>
      <c r="C3523">
        <v>1.0587517648790401</v>
      </c>
      <c r="D3523">
        <v>1.0913223462188599</v>
      </c>
      <c r="E3523">
        <v>0.77667703190530601</v>
      </c>
      <c r="F3523">
        <v>0.45741047372799898</v>
      </c>
      <c r="G3523">
        <v>0.25770000834769302</v>
      </c>
      <c r="H3523">
        <v>0.114188160632993</v>
      </c>
      <c r="I3523">
        <v>7.2697090405521497E-2</v>
      </c>
      <c r="J3523">
        <v>5.4266169428653803E-2</v>
      </c>
      <c r="K3523">
        <v>3.7805442964163903E-2</v>
      </c>
      <c r="L3523">
        <v>1225.6965275095699</v>
      </c>
      <c r="M3523">
        <v>23.274109415581599</v>
      </c>
      <c r="N3523">
        <v>52.9649204470998</v>
      </c>
      <c r="O3523">
        <v>52.279368619076699</v>
      </c>
      <c r="P3523">
        <v>-0.104395746044112</v>
      </c>
      <c r="Q3523">
        <v>6.20230586019688E-2</v>
      </c>
      <c r="R3523">
        <v>0.985825392664474</v>
      </c>
      <c r="S3523" t="s">
        <v>8263</v>
      </c>
      <c r="T3523" t="s">
        <v>9478</v>
      </c>
      <c r="U3523" t="s">
        <v>9478</v>
      </c>
      <c r="V3523" t="s">
        <v>9478</v>
      </c>
      <c r="W3523">
        <v>5</v>
      </c>
      <c r="X3523" t="s">
        <v>13001</v>
      </c>
      <c r="Y3523">
        <v>0.46780896032768821</v>
      </c>
      <c r="Z3523" t="str">
        <f>HYPERLINK("Melting_Curves/meltCurve_sp_Q9NX08_COMD8_HUMAN_.pdf", "Melting_Curves/meltCurve_sp_Q9NX08_COMD8_HUMAN_.pdf")</f>
        <v>Melting_Curves/meltCurve_sp_Q9NX08_COMD8_HUMAN_.pdf</v>
      </c>
      <c r="AA3523" t="s">
        <v>17687</v>
      </c>
      <c r="AB3523" t="s">
        <v>22356</v>
      </c>
    </row>
    <row r="3524" spans="1:28" x14ac:dyDescent="0.25">
      <c r="A3524" t="s">
        <v>3528</v>
      </c>
      <c r="B3524">
        <v>0.99904790336628502</v>
      </c>
      <c r="C3524">
        <v>0.95503065116833696</v>
      </c>
      <c r="D3524">
        <v>1.0263180408388499</v>
      </c>
      <c r="E3524">
        <v>0.909761637858292</v>
      </c>
      <c r="F3524">
        <v>0.73075262000524699</v>
      </c>
      <c r="G3524">
        <v>0.23680087181502699</v>
      </c>
      <c r="H3524">
        <v>0.14558785964732701</v>
      </c>
      <c r="I3524">
        <v>9.3159263774913806E-2</v>
      </c>
      <c r="J3524">
        <v>6.0862345701044297E-2</v>
      </c>
      <c r="K3524">
        <v>4.8091702140641998E-2</v>
      </c>
      <c r="L3524">
        <v>1617.7620997133999</v>
      </c>
      <c r="M3524">
        <v>29.726175456140599</v>
      </c>
      <c r="N3524">
        <v>54.698247452957901</v>
      </c>
      <c r="O3524">
        <v>54.177631575076703</v>
      </c>
      <c r="P3524">
        <v>-0.12761439742844299</v>
      </c>
      <c r="Q3524">
        <v>6.9668555496450305E-2</v>
      </c>
      <c r="R3524">
        <v>0.99583589064118105</v>
      </c>
      <c r="S3524" t="s">
        <v>8264</v>
      </c>
      <c r="T3524" t="s">
        <v>9478</v>
      </c>
      <c r="U3524" t="s">
        <v>9478</v>
      </c>
      <c r="V3524" t="s">
        <v>9478</v>
      </c>
      <c r="W3524">
        <v>3</v>
      </c>
      <c r="X3524" t="s">
        <v>13002</v>
      </c>
      <c r="Y3524">
        <v>0.52316186797169684</v>
      </c>
      <c r="Z3524" t="str">
        <f>HYPERLINK("Melting_Curves/meltCurve_sp_Q9NX38_F206A_HUMAN_.pdf", "Melting_Curves/meltCurve_sp_Q9NX38_F206A_HUMAN_.pdf")</f>
        <v>Melting_Curves/meltCurve_sp_Q9NX38_F206A_HUMAN_.pdf</v>
      </c>
      <c r="AA3524" t="s">
        <v>17688</v>
      </c>
      <c r="AB3524" t="s">
        <v>22357</v>
      </c>
    </row>
    <row r="3525" spans="1:28" x14ac:dyDescent="0.25">
      <c r="A3525" t="s">
        <v>3529</v>
      </c>
      <c r="B3525">
        <v>0.99904790336628502</v>
      </c>
      <c r="C3525">
        <v>0.91000413212700204</v>
      </c>
      <c r="D3525">
        <v>0.73971102841028402</v>
      </c>
      <c r="E3525">
        <v>0.33837652545696401</v>
      </c>
      <c r="F3525">
        <v>0.22084766051611401</v>
      </c>
      <c r="G3525">
        <v>0.187930444794707</v>
      </c>
      <c r="H3525">
        <v>0.104528606571134</v>
      </c>
      <c r="I3525">
        <v>8.9387335825760195E-2</v>
      </c>
      <c r="J3525">
        <v>6.62885594806564E-2</v>
      </c>
      <c r="K3525">
        <v>4.8426326417948098E-2</v>
      </c>
      <c r="L3525">
        <v>916.30480689195497</v>
      </c>
      <c r="M3525">
        <v>19.088794430458599</v>
      </c>
      <c r="N3525">
        <v>48.456813631777102</v>
      </c>
      <c r="O3525">
        <v>47.484733775911103</v>
      </c>
      <c r="P3525">
        <v>-9.2264330889968701E-2</v>
      </c>
      <c r="Q3525">
        <v>8.1979588100931103E-2</v>
      </c>
      <c r="R3525">
        <v>0.99368830711183898</v>
      </c>
      <c r="S3525" t="s">
        <v>8265</v>
      </c>
      <c r="T3525" t="s">
        <v>9478</v>
      </c>
      <c r="U3525" t="s">
        <v>9478</v>
      </c>
      <c r="V3525" t="s">
        <v>9478</v>
      </c>
      <c r="W3525">
        <v>11</v>
      </c>
      <c r="X3525" t="s">
        <v>13003</v>
      </c>
      <c r="Y3525">
        <v>0.34125131115054441</v>
      </c>
      <c r="Z3525" t="str">
        <f>HYPERLINK("Melting_Curves/meltCurve_sp_Q9NX46_ARHL2_HUMAN_.pdf", "Melting_Curves/meltCurve_sp_Q9NX46_ARHL2_HUMAN_.pdf")</f>
        <v>Melting_Curves/meltCurve_sp_Q9NX46_ARHL2_HUMAN_.pdf</v>
      </c>
      <c r="AA3525" t="s">
        <v>17689</v>
      </c>
      <c r="AB3525" t="s">
        <v>22358</v>
      </c>
    </row>
    <row r="3526" spans="1:28" x14ac:dyDescent="0.25">
      <c r="A3526" t="s">
        <v>3530</v>
      </c>
      <c r="B3526">
        <v>0.99904790336628502</v>
      </c>
      <c r="C3526">
        <v>0.86629105768169301</v>
      </c>
      <c r="D3526">
        <v>0.90216982900606701</v>
      </c>
      <c r="E3526">
        <v>0.84109001662365501</v>
      </c>
      <c r="F3526">
        <v>0.79398139738504503</v>
      </c>
      <c r="G3526">
        <v>0.571440694511682</v>
      </c>
      <c r="H3526">
        <v>0.53959251242129502</v>
      </c>
      <c r="I3526">
        <v>0.47621255330336398</v>
      </c>
      <c r="J3526">
        <v>0.462924429705726</v>
      </c>
      <c r="K3526">
        <v>0.49233278029260602</v>
      </c>
      <c r="L3526">
        <v>526.629592531546</v>
      </c>
      <c r="M3526">
        <v>9.7019513725111306</v>
      </c>
      <c r="N3526">
        <v>64.231022991170406</v>
      </c>
      <c r="O3526">
        <v>52.125216343714101</v>
      </c>
      <c r="P3526">
        <v>-2.84574976356302E-2</v>
      </c>
      <c r="Q3526">
        <v>0.38876468213096599</v>
      </c>
      <c r="R3526">
        <v>0.95047544708877396</v>
      </c>
      <c r="S3526" t="s">
        <v>8266</v>
      </c>
      <c r="T3526" t="s">
        <v>9478</v>
      </c>
      <c r="U3526" t="s">
        <v>9478</v>
      </c>
      <c r="V3526" t="s">
        <v>9478</v>
      </c>
      <c r="W3526">
        <v>4</v>
      </c>
      <c r="X3526" t="s">
        <v>13004</v>
      </c>
      <c r="Y3526">
        <v>0.69779020099759681</v>
      </c>
      <c r="Z3526" t="str">
        <f>HYPERLINK("Melting_Curves/meltCurve_sp_Q9NX55_HYPK_HUMAN_.pdf", "Melting_Curves/meltCurve_sp_Q9NX55_HYPK_HUMAN_.pdf")</f>
        <v>Melting_Curves/meltCurve_sp_Q9NX55_HYPK_HUMAN_.pdf</v>
      </c>
      <c r="AA3526" t="s">
        <v>17690</v>
      </c>
      <c r="AB3526" t="s">
        <v>22359</v>
      </c>
    </row>
    <row r="3527" spans="1:28" x14ac:dyDescent="0.25">
      <c r="A3527" t="s">
        <v>3531</v>
      </c>
      <c r="B3527">
        <v>0.99904790336628502</v>
      </c>
      <c r="C3527">
        <v>1.0155581597490899</v>
      </c>
      <c r="D3527">
        <v>0.94472669046894397</v>
      </c>
      <c r="E3527">
        <v>0.84057000368589496</v>
      </c>
      <c r="F3527">
        <v>0.55569105714007905</v>
      </c>
      <c r="G3527">
        <v>0.13669930430596799</v>
      </c>
      <c r="H3527">
        <v>7.1289879115815802E-2</v>
      </c>
      <c r="I3527">
        <v>5.1568413461498999E-2</v>
      </c>
      <c r="J3527">
        <v>4.1763120640770597E-2</v>
      </c>
      <c r="K3527">
        <v>3.5529027191940697E-2</v>
      </c>
      <c r="L3527">
        <v>1461.9240042579299</v>
      </c>
      <c r="M3527">
        <v>27.513617168309299</v>
      </c>
      <c r="N3527">
        <v>53.277725077375401</v>
      </c>
      <c r="O3527">
        <v>52.856251301694002</v>
      </c>
      <c r="P3527">
        <v>-0.12549831176314399</v>
      </c>
      <c r="Q3527">
        <v>3.5632629798252997E-2</v>
      </c>
      <c r="R3527">
        <v>0.99795938388698702</v>
      </c>
      <c r="S3527" t="s">
        <v>8267</v>
      </c>
      <c r="T3527" t="s">
        <v>9478</v>
      </c>
      <c r="U3527" t="s">
        <v>9478</v>
      </c>
      <c r="V3527" t="s">
        <v>9478</v>
      </c>
      <c r="W3527">
        <v>13</v>
      </c>
      <c r="X3527" t="s">
        <v>13005</v>
      </c>
      <c r="Y3527">
        <v>0.46526093010786918</v>
      </c>
      <c r="Z3527" t="str">
        <f>HYPERLINK("Melting_Curves/meltCurve_sp_Q9NXA8_SIR5_HUMAN_.pdf", "Melting_Curves/meltCurve_sp_Q9NXA8_SIR5_HUMAN_.pdf")</f>
        <v>Melting_Curves/meltCurve_sp_Q9NXA8_SIR5_HUMAN_.pdf</v>
      </c>
      <c r="AA3527" t="s">
        <v>17691</v>
      </c>
      <c r="AB3527" t="s">
        <v>22360</v>
      </c>
    </row>
    <row r="3528" spans="1:28" x14ac:dyDescent="0.25">
      <c r="A3528" t="s">
        <v>3532</v>
      </c>
      <c r="B3528">
        <v>0.99904790336628502</v>
      </c>
      <c r="C3528">
        <v>0.99329586962604299</v>
      </c>
      <c r="D3528">
        <v>0.98871941267878005</v>
      </c>
      <c r="E3528">
        <v>0.70914329180302904</v>
      </c>
      <c r="F3528">
        <v>0.43374563145712802</v>
      </c>
      <c r="G3528">
        <v>0.18612445389381099</v>
      </c>
      <c r="H3528">
        <v>9.5615636678473004E-2</v>
      </c>
      <c r="I3528">
        <v>7.0082813530580199E-2</v>
      </c>
      <c r="J3528">
        <v>6.7500233394308606E-2</v>
      </c>
      <c r="K3528">
        <v>6.0981067719980103E-2</v>
      </c>
      <c r="L3528">
        <v>1165.18726154918</v>
      </c>
      <c r="M3528">
        <v>22.416674132253899</v>
      </c>
      <c r="N3528">
        <v>52.284935542070102</v>
      </c>
      <c r="O3528">
        <v>51.570249132658098</v>
      </c>
      <c r="P3528">
        <v>-0.10198510801945999</v>
      </c>
      <c r="Q3528">
        <v>6.15399209986425E-2</v>
      </c>
      <c r="R3528">
        <v>0.99885651801800401</v>
      </c>
      <c r="S3528" t="s">
        <v>8268</v>
      </c>
      <c r="T3528" t="s">
        <v>9478</v>
      </c>
      <c r="U3528" t="s">
        <v>9478</v>
      </c>
      <c r="V3528" t="s">
        <v>9478</v>
      </c>
      <c r="W3528">
        <v>9</v>
      </c>
      <c r="X3528" t="s">
        <v>13006</v>
      </c>
      <c r="Y3528">
        <v>0.44679141642491832</v>
      </c>
      <c r="Z3528" t="str">
        <f>HYPERLINK("Melting_Curves/meltCurve_sp_Q9NXD2_MTMRA_HUMAN_.pdf", "Melting_Curves/meltCurve_sp_Q9NXD2_MTMRA_HUMAN_.pdf")</f>
        <v>Melting_Curves/meltCurve_sp_Q9NXD2_MTMRA_HUMAN_.pdf</v>
      </c>
      <c r="AA3528" t="s">
        <v>17692</v>
      </c>
      <c r="AB3528" t="s">
        <v>22361</v>
      </c>
    </row>
    <row r="3529" spans="1:28" x14ac:dyDescent="0.25">
      <c r="A3529" t="s">
        <v>3533</v>
      </c>
      <c r="B3529">
        <v>0.99904790336628502</v>
      </c>
      <c r="C3529">
        <v>0.994233198248065</v>
      </c>
      <c r="D3529">
        <v>0.98964156177420703</v>
      </c>
      <c r="E3529">
        <v>0.96645230926954995</v>
      </c>
      <c r="F3529">
        <v>0.90231849777173101</v>
      </c>
      <c r="G3529">
        <v>0.78777694756338301</v>
      </c>
      <c r="H3529">
        <v>0.53659035450966297</v>
      </c>
      <c r="I3529">
        <v>0.30858812918901202</v>
      </c>
      <c r="J3529">
        <v>0.123015788913616</v>
      </c>
      <c r="K3529">
        <v>7.6709999934973294E-2</v>
      </c>
      <c r="L3529">
        <v>1141.6285151208201</v>
      </c>
      <c r="M3529">
        <v>18.686413187229501</v>
      </c>
      <c r="N3529">
        <v>61.094044472240498</v>
      </c>
      <c r="O3529">
        <v>60.4072636918265</v>
      </c>
      <c r="P3529">
        <v>-7.7338417387425501E-2</v>
      </c>
      <c r="Q3529">
        <v>0</v>
      </c>
      <c r="R3529">
        <v>0.99622259489180498</v>
      </c>
      <c r="S3529" t="s">
        <v>8269</v>
      </c>
      <c r="T3529" t="s">
        <v>9478</v>
      </c>
      <c r="U3529" t="s">
        <v>9478</v>
      </c>
      <c r="V3529" t="s">
        <v>9478</v>
      </c>
      <c r="W3529">
        <v>15</v>
      </c>
      <c r="X3529" t="s">
        <v>13007</v>
      </c>
      <c r="Y3529">
        <v>0.70847237103388172</v>
      </c>
      <c r="Z3529" t="str">
        <f>HYPERLINK("Melting_Curves/meltCurve_sp_Q9NXG2_THUM1_HUMAN_.pdf", "Melting_Curves/meltCurve_sp_Q9NXG2_THUM1_HUMAN_.pdf")</f>
        <v>Melting_Curves/meltCurve_sp_Q9NXG2_THUM1_HUMAN_.pdf</v>
      </c>
      <c r="AA3529" t="s">
        <v>17693</v>
      </c>
      <c r="AB3529" t="s">
        <v>22362</v>
      </c>
    </row>
    <row r="3530" spans="1:28" x14ac:dyDescent="0.25">
      <c r="A3530" t="s">
        <v>3534</v>
      </c>
      <c r="B3530">
        <v>0.99904790336628502</v>
      </c>
      <c r="C3530">
        <v>0.82999919341208095</v>
      </c>
      <c r="D3530">
        <v>0.61154051725817304</v>
      </c>
      <c r="E3530">
        <v>0.43713193146289098</v>
      </c>
      <c r="F3530">
        <v>0.27366839670605903</v>
      </c>
      <c r="G3530">
        <v>5.4012520040814999E-2</v>
      </c>
      <c r="H3530">
        <v>7.9778749400754204E-2</v>
      </c>
      <c r="I3530">
        <v>4.9436040000145003E-2</v>
      </c>
      <c r="J3530">
        <v>0</v>
      </c>
      <c r="K3530">
        <v>0</v>
      </c>
      <c r="L3530">
        <v>637.10986301062496</v>
      </c>
      <c r="M3530">
        <v>13.1717721075188</v>
      </c>
      <c r="N3530">
        <v>48.369346638608903</v>
      </c>
      <c r="O3530">
        <v>47.295217085871499</v>
      </c>
      <c r="P3530">
        <v>-6.9636993679530496E-2</v>
      </c>
      <c r="Q3530">
        <v>0</v>
      </c>
      <c r="R3530">
        <v>0.98780999679000503</v>
      </c>
      <c r="S3530" t="s">
        <v>8270</v>
      </c>
      <c r="T3530" t="s">
        <v>9478</v>
      </c>
      <c r="U3530" t="s">
        <v>9478</v>
      </c>
      <c r="V3530" t="s">
        <v>9478</v>
      </c>
      <c r="W3530">
        <v>1</v>
      </c>
      <c r="X3530" t="s">
        <v>13008</v>
      </c>
      <c r="Y3530">
        <v>0.31133435466168707</v>
      </c>
      <c r="Z3530" t="str">
        <f>HYPERLINK("Melting_Curves/meltCurve_sp_Q9NXG6_2_P4HTM_HUMAN_.pdf", "Melting_Curves/meltCurve_sp_Q9NXG6_2_P4HTM_HUMAN_.pdf")</f>
        <v>Melting_Curves/meltCurve_sp_Q9NXG6_2_P4HTM_HUMAN_.pdf</v>
      </c>
      <c r="AA3530" t="s">
        <v>17694</v>
      </c>
      <c r="AB3530" t="s">
        <v>22363</v>
      </c>
    </row>
    <row r="3531" spans="1:28" x14ac:dyDescent="0.25">
      <c r="A3531" t="s">
        <v>3535</v>
      </c>
      <c r="B3531">
        <v>0.99904790336628502</v>
      </c>
      <c r="C3531">
        <v>0.99376972524029095</v>
      </c>
      <c r="D3531">
        <v>1.0344803840996699</v>
      </c>
      <c r="E3531">
        <v>1.0475753237879999</v>
      </c>
      <c r="F3531">
        <v>1.0109579527347801</v>
      </c>
      <c r="G3531">
        <v>0.72560627721969895</v>
      </c>
      <c r="H3531">
        <v>0.15372126504306499</v>
      </c>
      <c r="I3531">
        <v>9.5707907896471697E-2</v>
      </c>
      <c r="J3531">
        <v>7.7177919389130406E-2</v>
      </c>
      <c r="K3531">
        <v>7.3880769581612604E-2</v>
      </c>
      <c r="L3531">
        <v>2890.2307678963002</v>
      </c>
      <c r="M3531">
        <v>49.8396264682356</v>
      </c>
      <c r="N3531">
        <v>58.192534083568098</v>
      </c>
      <c r="O3531">
        <v>57.897507239882799</v>
      </c>
      <c r="P3531">
        <v>-0.19811856304278599</v>
      </c>
      <c r="Q3531">
        <v>7.9402673167166996E-2</v>
      </c>
      <c r="R3531">
        <v>0.99787647494943299</v>
      </c>
      <c r="S3531" t="s">
        <v>8271</v>
      </c>
      <c r="T3531" t="s">
        <v>9478</v>
      </c>
      <c r="U3531" t="s">
        <v>9478</v>
      </c>
      <c r="V3531" t="s">
        <v>9478</v>
      </c>
      <c r="W3531">
        <v>10</v>
      </c>
      <c r="X3531" t="s">
        <v>13009</v>
      </c>
      <c r="Y3531">
        <v>0.63383274263206935</v>
      </c>
      <c r="Z3531" t="str">
        <f>HYPERLINK("Melting_Curves/meltCurve_sp_Q9NXH9_TRM1_HUMAN_.pdf", "Melting_Curves/meltCurve_sp_Q9NXH9_TRM1_HUMAN_.pdf")</f>
        <v>Melting_Curves/meltCurve_sp_Q9NXH9_TRM1_HUMAN_.pdf</v>
      </c>
      <c r="AA3531" t="s">
        <v>17695</v>
      </c>
      <c r="AB3531" t="s">
        <v>22364</v>
      </c>
    </row>
    <row r="3532" spans="1:28" x14ac:dyDescent="0.25">
      <c r="A3532" t="s">
        <v>3536</v>
      </c>
      <c r="B3532">
        <v>0.99904790336628502</v>
      </c>
      <c r="C3532">
        <v>1.1020259682968601</v>
      </c>
      <c r="D3532">
        <v>1.1731064947723799</v>
      </c>
      <c r="E3532">
        <v>1.0112320427644601</v>
      </c>
      <c r="F3532">
        <v>0.86470162412949303</v>
      </c>
      <c r="G3532">
        <v>0.59428415734683104</v>
      </c>
      <c r="H3532">
        <v>0.35775774706561198</v>
      </c>
      <c r="I3532">
        <v>0.194753148306818</v>
      </c>
      <c r="J3532">
        <v>0.10370691910240799</v>
      </c>
      <c r="K3532">
        <v>8.2420883745421197E-2</v>
      </c>
      <c r="L3532">
        <v>1150.6037480366699</v>
      </c>
      <c r="M3532">
        <v>19.7671485234542</v>
      </c>
      <c r="N3532">
        <v>58.538787870912003</v>
      </c>
      <c r="O3532">
        <v>57.621977255904497</v>
      </c>
      <c r="P3532">
        <v>-8.1231514300944094E-2</v>
      </c>
      <c r="Q3532">
        <v>5.2860722502682901E-2</v>
      </c>
      <c r="R3532">
        <v>0.97226733540284704</v>
      </c>
      <c r="S3532" t="s">
        <v>8272</v>
      </c>
      <c r="T3532" t="s">
        <v>9478</v>
      </c>
      <c r="U3532" t="s">
        <v>9478</v>
      </c>
      <c r="V3532" t="s">
        <v>9478</v>
      </c>
      <c r="W3532">
        <v>6</v>
      </c>
      <c r="X3532" t="s">
        <v>13010</v>
      </c>
      <c r="Y3532">
        <v>0.63832974788612329</v>
      </c>
      <c r="Z3532" t="str">
        <f>HYPERLINK("Melting_Curves/meltCurve_sp_Q9NXR7_4_BRE_HUMAN_.pdf", "Melting_Curves/meltCurve_sp_Q9NXR7_4_BRE_HUMAN_.pdf")</f>
        <v>Melting_Curves/meltCurve_sp_Q9NXR7_4_BRE_HUMAN_.pdf</v>
      </c>
      <c r="AA3532" t="s">
        <v>17696</v>
      </c>
      <c r="AB3532" t="s">
        <v>22365</v>
      </c>
    </row>
    <row r="3533" spans="1:28" x14ac:dyDescent="0.25">
      <c r="A3533" t="s">
        <v>3537</v>
      </c>
      <c r="B3533">
        <v>0.99904790336628502</v>
      </c>
      <c r="C3533">
        <v>0.98631974078425599</v>
      </c>
      <c r="D3533">
        <v>0.95535310989464095</v>
      </c>
      <c r="E3533">
        <v>0.88953034526958497</v>
      </c>
      <c r="F3533">
        <v>0.92255559212306804</v>
      </c>
      <c r="G3533">
        <v>0.53828337954330696</v>
      </c>
      <c r="H3533">
        <v>0.34889119965438198</v>
      </c>
      <c r="I3533">
        <v>0.234892388620038</v>
      </c>
      <c r="J3533">
        <v>0.10319183567388</v>
      </c>
      <c r="K3533">
        <v>6.4785918992366298E-2</v>
      </c>
      <c r="L3533">
        <v>931.42439609979203</v>
      </c>
      <c r="M3533">
        <v>15.955811928162101</v>
      </c>
      <c r="N3533">
        <v>58.418233923113696</v>
      </c>
      <c r="O3533">
        <v>57.481406694567099</v>
      </c>
      <c r="P3533">
        <v>-6.8995990710037605E-2</v>
      </c>
      <c r="Q3533">
        <v>5.8366812702107997E-3</v>
      </c>
      <c r="R3533">
        <v>0.98837199638315398</v>
      </c>
      <c r="S3533" t="s">
        <v>8273</v>
      </c>
      <c r="T3533" t="s">
        <v>9478</v>
      </c>
      <c r="U3533" t="s">
        <v>9478</v>
      </c>
      <c r="V3533" t="s">
        <v>9478</v>
      </c>
      <c r="W3533">
        <v>3</v>
      </c>
      <c r="X3533" t="s">
        <v>13011</v>
      </c>
      <c r="Y3533">
        <v>0.62702477143916591</v>
      </c>
      <c r="Z3533" t="str">
        <f>HYPERLINK("Melting_Curves/meltCurve_sp_Q9NXU5_ARL15_HUMAN_.pdf", "Melting_Curves/meltCurve_sp_Q9NXU5_ARL15_HUMAN_.pdf")</f>
        <v>Melting_Curves/meltCurve_sp_Q9NXU5_ARL15_HUMAN_.pdf</v>
      </c>
      <c r="AA3533" t="s">
        <v>17697</v>
      </c>
      <c r="AB3533" t="s">
        <v>22366</v>
      </c>
    </row>
    <row r="3534" spans="1:28" x14ac:dyDescent="0.25">
      <c r="A3534" t="s">
        <v>3538</v>
      </c>
      <c r="B3534">
        <v>0.99904790336628502</v>
      </c>
      <c r="C3534">
        <v>0.93034617685624699</v>
      </c>
      <c r="D3534">
        <v>0.94616974698248602</v>
      </c>
      <c r="E3534">
        <v>0.89259919536903198</v>
      </c>
      <c r="F3534">
        <v>0.77322551482843505</v>
      </c>
      <c r="G3534">
        <v>0.52479197344883199</v>
      </c>
      <c r="H3534">
        <v>0.40137607756268101</v>
      </c>
      <c r="I3534">
        <v>0.329556647873335</v>
      </c>
      <c r="J3534">
        <v>0.28655538611857601</v>
      </c>
      <c r="K3534">
        <v>0.30203031717798001</v>
      </c>
      <c r="L3534">
        <v>895.54515014282697</v>
      </c>
      <c r="M3534">
        <v>16.201227522004501</v>
      </c>
      <c r="N3534">
        <v>57.913420501272</v>
      </c>
      <c r="O3534">
        <v>54.454796221089403</v>
      </c>
      <c r="P3534">
        <v>-5.4978064317097598E-2</v>
      </c>
      <c r="Q3534">
        <v>0.26089660594493003</v>
      </c>
      <c r="R3534">
        <v>0.99248715529681397</v>
      </c>
      <c r="S3534" t="s">
        <v>8274</v>
      </c>
      <c r="T3534" t="s">
        <v>9478</v>
      </c>
      <c r="U3534" t="s">
        <v>9478</v>
      </c>
      <c r="V3534" t="s">
        <v>9478</v>
      </c>
      <c r="W3534">
        <v>15</v>
      </c>
      <c r="X3534" t="s">
        <v>13012</v>
      </c>
      <c r="Y3534">
        <v>0.65011117281898612</v>
      </c>
      <c r="Z3534" t="str">
        <f>HYPERLINK("Melting_Curves/meltCurve_sp_Q9NXV6_CARF_HUMAN_.pdf", "Melting_Curves/meltCurve_sp_Q9NXV6_CARF_HUMAN_.pdf")</f>
        <v>Melting_Curves/meltCurve_sp_Q9NXV6_CARF_HUMAN_.pdf</v>
      </c>
      <c r="AA3534" t="s">
        <v>17698</v>
      </c>
      <c r="AB3534" t="s">
        <v>22367</v>
      </c>
    </row>
    <row r="3535" spans="1:28" x14ac:dyDescent="0.25">
      <c r="A3535" t="s">
        <v>3539</v>
      </c>
      <c r="B3535">
        <v>0.99904790336628502</v>
      </c>
      <c r="C3535">
        <v>0.96459406411809701</v>
      </c>
      <c r="D3535">
        <v>0.948572569006638</v>
      </c>
      <c r="E3535">
        <v>0.90992046953015104</v>
      </c>
      <c r="F3535">
        <v>0.85804889229238601</v>
      </c>
      <c r="G3535">
        <v>0.62634313433285305</v>
      </c>
      <c r="H3535">
        <v>0.56974321207774503</v>
      </c>
      <c r="I3535">
        <v>0.56034544155760202</v>
      </c>
      <c r="J3535">
        <v>0.53669882939606095</v>
      </c>
      <c r="K3535">
        <v>0.55381229259591602</v>
      </c>
      <c r="L3535">
        <v>1183.94959377839</v>
      </c>
      <c r="M3535">
        <v>21.8795715766013</v>
      </c>
      <c r="O3535">
        <v>53.666159274315703</v>
      </c>
      <c r="P3535">
        <v>-4.7144430152042401E-2</v>
      </c>
      <c r="Q3535">
        <v>0.53746762380472302</v>
      </c>
      <c r="R3535">
        <v>0.98339451927454502</v>
      </c>
      <c r="S3535" t="s">
        <v>8275</v>
      </c>
      <c r="T3535" t="s">
        <v>9478</v>
      </c>
      <c r="U3535" t="s">
        <v>9478</v>
      </c>
      <c r="V3535" t="s">
        <v>9478</v>
      </c>
      <c r="W3535">
        <v>6</v>
      </c>
      <c r="X3535" t="s">
        <v>13013</v>
      </c>
      <c r="Y3535">
        <v>0.76045607358567402</v>
      </c>
      <c r="Z3535" t="str">
        <f>HYPERLINK("Melting_Curves/meltCurve_sp_Q9NXW2_DJB12_HUMAN_.pdf", "Melting_Curves/meltCurve_sp_Q9NXW2_DJB12_HUMAN_.pdf")</f>
        <v>Melting_Curves/meltCurve_sp_Q9NXW2_DJB12_HUMAN_.pdf</v>
      </c>
      <c r="AA3535" t="s">
        <v>17699</v>
      </c>
      <c r="AB3535" t="s">
        <v>22368</v>
      </c>
    </row>
    <row r="3536" spans="1:28" x14ac:dyDescent="0.25">
      <c r="A3536" t="s">
        <v>3540</v>
      </c>
      <c r="B3536">
        <v>0.99904790336628502</v>
      </c>
      <c r="C3536">
        <v>0.97167474961025901</v>
      </c>
      <c r="D3536">
        <v>0.77804580285305203</v>
      </c>
      <c r="E3536">
        <v>0.558634202363955</v>
      </c>
      <c r="F3536">
        <v>0.22007755853989799</v>
      </c>
      <c r="G3536">
        <v>0.23796285321232</v>
      </c>
      <c r="H3536">
        <v>9.9857319212580994E-2</v>
      </c>
      <c r="I3536">
        <v>9.9612371996709595E-2</v>
      </c>
      <c r="J3536">
        <v>1.9100597484837001E-2</v>
      </c>
      <c r="K3536">
        <v>1.99098447822996E-2</v>
      </c>
      <c r="L3536">
        <v>803.16440157153602</v>
      </c>
      <c r="M3536">
        <v>16.090975040450701</v>
      </c>
      <c r="N3536">
        <v>50.181441243504999</v>
      </c>
      <c r="O3536">
        <v>49.162142410040602</v>
      </c>
      <c r="P3536">
        <v>-7.8469346130349699E-2</v>
      </c>
      <c r="Q3536">
        <v>4.1096011929729698E-2</v>
      </c>
      <c r="R3536">
        <v>0.98345540140602306</v>
      </c>
      <c r="S3536" t="s">
        <v>8276</v>
      </c>
      <c r="T3536" t="s">
        <v>9478</v>
      </c>
      <c r="U3536" t="s">
        <v>9478</v>
      </c>
      <c r="V3536" t="s">
        <v>9478</v>
      </c>
      <c r="W3536">
        <v>2</v>
      </c>
      <c r="X3536" t="s">
        <v>13014</v>
      </c>
      <c r="Y3536">
        <v>0.37817651445654871</v>
      </c>
      <c r="Z3536" t="str">
        <f>HYPERLINK("Melting_Curves/meltCurve_sp_Q9NXW9_ALKB4_HUMAN_.pdf", "Melting_Curves/meltCurve_sp_Q9NXW9_ALKB4_HUMAN_.pdf")</f>
        <v>Melting_Curves/meltCurve_sp_Q9NXW9_ALKB4_HUMAN_.pdf</v>
      </c>
      <c r="AA3536" t="s">
        <v>17700</v>
      </c>
      <c r="AB3536" t="s">
        <v>22369</v>
      </c>
    </row>
    <row r="3537" spans="1:28" x14ac:dyDescent="0.25">
      <c r="A3537" t="s">
        <v>3541</v>
      </c>
      <c r="B3537">
        <v>0.99904790336628502</v>
      </c>
      <c r="C3537">
        <v>0.87180858682267703</v>
      </c>
      <c r="D3537">
        <v>0.92319795438612096</v>
      </c>
      <c r="E3537">
        <v>0.85516200163855405</v>
      </c>
      <c r="F3537">
        <v>0.69101985887726902</v>
      </c>
      <c r="G3537">
        <v>0.36336056250217702</v>
      </c>
      <c r="H3537">
        <v>0.39009800582575699</v>
      </c>
      <c r="I3537">
        <v>0.19308906621675101</v>
      </c>
      <c r="J3537">
        <v>0.13894903433243</v>
      </c>
      <c r="K3537">
        <v>4.2283394888365002E-2</v>
      </c>
      <c r="L3537">
        <v>646.77374127648295</v>
      </c>
      <c r="M3537">
        <v>11.497912134639099</v>
      </c>
      <c r="N3537">
        <v>56.251408418548998</v>
      </c>
      <c r="O3537">
        <v>54.630555701647303</v>
      </c>
      <c r="P3537">
        <v>-5.26316367019432E-2</v>
      </c>
      <c r="Q3537">
        <v>0</v>
      </c>
      <c r="R3537">
        <v>0.96964728395393096</v>
      </c>
      <c r="S3537" t="s">
        <v>8277</v>
      </c>
      <c r="T3537" t="s">
        <v>9478</v>
      </c>
      <c r="U3537" t="s">
        <v>9478</v>
      </c>
      <c r="V3537" t="s">
        <v>9478</v>
      </c>
      <c r="W3537">
        <v>1</v>
      </c>
      <c r="X3537" t="s">
        <v>13015</v>
      </c>
      <c r="Y3537">
        <v>0.56146142469136229</v>
      </c>
      <c r="Z3537" t="str">
        <f>HYPERLINK("Melting_Curves/meltCurve_sp_Q9NY12_2_GAR1_HUMAN_.pdf", "Melting_Curves/meltCurve_sp_Q9NY12_2_GAR1_HUMAN_.pdf")</f>
        <v>Melting_Curves/meltCurve_sp_Q9NY12_2_GAR1_HUMAN_.pdf</v>
      </c>
      <c r="AA3537" t="s">
        <v>17701</v>
      </c>
      <c r="AB3537" t="s">
        <v>22370</v>
      </c>
    </row>
    <row r="3538" spans="1:28" x14ac:dyDescent="0.25">
      <c r="A3538" t="s">
        <v>3542</v>
      </c>
      <c r="B3538">
        <v>0.99904790336628502</v>
      </c>
      <c r="C3538">
        <v>0.98626135727574205</v>
      </c>
      <c r="D3538">
        <v>0.965484511082769</v>
      </c>
      <c r="E3538">
        <v>0.787841322497281</v>
      </c>
      <c r="F3538">
        <v>0.66188568609721499</v>
      </c>
      <c r="G3538">
        <v>0.42761154163211801</v>
      </c>
      <c r="H3538">
        <v>0.27718857822284898</v>
      </c>
      <c r="I3538">
        <v>0.26486870600357598</v>
      </c>
      <c r="J3538">
        <v>0.21785868785124801</v>
      </c>
      <c r="K3538">
        <v>0.22517738450262401</v>
      </c>
      <c r="L3538">
        <v>866.74919172315697</v>
      </c>
      <c r="M3538">
        <v>16.131723443337499</v>
      </c>
      <c r="N3538">
        <v>55.440009683665103</v>
      </c>
      <c r="O3538">
        <v>52.9241678537865</v>
      </c>
      <c r="P3538">
        <v>-6.1267987728399198E-2</v>
      </c>
      <c r="Q3538">
        <v>0.19604100916579301</v>
      </c>
      <c r="R3538">
        <v>0.99785303241412204</v>
      </c>
      <c r="S3538" t="s">
        <v>8278</v>
      </c>
      <c r="T3538" t="s">
        <v>9478</v>
      </c>
      <c r="U3538" t="s">
        <v>9478</v>
      </c>
      <c r="V3538" t="s">
        <v>9478</v>
      </c>
      <c r="W3538">
        <v>13</v>
      </c>
      <c r="X3538" t="s">
        <v>13016</v>
      </c>
      <c r="Y3538">
        <v>0.57915762074763621</v>
      </c>
      <c r="Z3538" t="str">
        <f>HYPERLINK("Melting_Curves/meltCurve_sp_Q9NY27_PP4R2_HUMAN_.pdf", "Melting_Curves/meltCurve_sp_Q9NY27_PP4R2_HUMAN_.pdf")</f>
        <v>Melting_Curves/meltCurve_sp_Q9NY27_PP4R2_HUMAN_.pdf</v>
      </c>
      <c r="AA3538" t="s">
        <v>17702</v>
      </c>
      <c r="AB3538" t="s">
        <v>22371</v>
      </c>
    </row>
    <row r="3539" spans="1:28" x14ac:dyDescent="0.25">
      <c r="A3539" t="s">
        <v>3543</v>
      </c>
      <c r="B3539">
        <v>0.99904790336628502</v>
      </c>
      <c r="C3539">
        <v>0.99419078606564404</v>
      </c>
      <c r="D3539">
        <v>1.0247733303737001</v>
      </c>
      <c r="E3539">
        <v>0.87774147232835797</v>
      </c>
      <c r="F3539">
        <v>0.34860507478034702</v>
      </c>
      <c r="G3539">
        <v>0.109146967747194</v>
      </c>
      <c r="H3539">
        <v>5.7587597544677703E-2</v>
      </c>
      <c r="I3539">
        <v>3.6472272948566101E-2</v>
      </c>
      <c r="J3539">
        <v>2.87511299101493E-2</v>
      </c>
      <c r="K3539">
        <v>2.3895150980976401E-2</v>
      </c>
      <c r="L3539">
        <v>2266.6202139212701</v>
      </c>
      <c r="M3539">
        <v>43.486590402317198</v>
      </c>
      <c r="N3539">
        <v>52.235719498625102</v>
      </c>
      <c r="O3539">
        <v>52.012420431353299</v>
      </c>
      <c r="P3539">
        <v>-0.199602342482325</v>
      </c>
      <c r="Q3539">
        <v>4.5058721460087603E-2</v>
      </c>
      <c r="R3539">
        <v>0.99813534803969195</v>
      </c>
      <c r="S3539" t="s">
        <v>8279</v>
      </c>
      <c r="T3539" t="s">
        <v>9478</v>
      </c>
      <c r="U3539" t="s">
        <v>9478</v>
      </c>
      <c r="V3539" t="s">
        <v>9478</v>
      </c>
      <c r="W3539">
        <v>28</v>
      </c>
      <c r="X3539" t="s">
        <v>13017</v>
      </c>
      <c r="Y3539">
        <v>0.43383427311271289</v>
      </c>
      <c r="Z3539" t="str">
        <f>HYPERLINK("Melting_Curves/meltCurve_sp_Q9NY33_DPP3_HUMAN_.pdf", "Melting_Curves/meltCurve_sp_Q9NY33_DPP3_HUMAN_.pdf")</f>
        <v>Melting_Curves/meltCurve_sp_Q9NY33_DPP3_HUMAN_.pdf</v>
      </c>
      <c r="AA3539" t="s">
        <v>17703</v>
      </c>
      <c r="AB3539" t="s">
        <v>22372</v>
      </c>
    </row>
    <row r="3540" spans="1:28" x14ac:dyDescent="0.25">
      <c r="A3540" t="s">
        <v>3544</v>
      </c>
      <c r="B3540">
        <v>0.99904790336628502</v>
      </c>
      <c r="C3540">
        <v>0.97420026525576797</v>
      </c>
      <c r="D3540">
        <v>0.99660204810446495</v>
      </c>
      <c r="E3540">
        <v>0.76287470917770295</v>
      </c>
      <c r="F3540">
        <v>0.90828625855098</v>
      </c>
      <c r="G3540">
        <v>0.65213071991475202</v>
      </c>
      <c r="H3540">
        <v>0.61288328173372497</v>
      </c>
      <c r="I3540">
        <v>0.54754492764868601</v>
      </c>
      <c r="J3540">
        <v>0.50190530229653596</v>
      </c>
      <c r="K3540">
        <v>0.468696237703975</v>
      </c>
      <c r="L3540">
        <v>545.21283914436799</v>
      </c>
      <c r="M3540">
        <v>9.5014996566846008</v>
      </c>
      <c r="N3540">
        <v>67.176487477159199</v>
      </c>
      <c r="O3540">
        <v>55.012436582424399</v>
      </c>
      <c r="P3540">
        <v>-2.70077278427127E-2</v>
      </c>
      <c r="Q3540">
        <v>0.37488472201643802</v>
      </c>
      <c r="R3540">
        <v>0.92980996730462095</v>
      </c>
      <c r="S3540" t="s">
        <v>8280</v>
      </c>
      <c r="T3540" t="s">
        <v>9478</v>
      </c>
      <c r="U3540" t="s">
        <v>9478</v>
      </c>
      <c r="V3540" t="s">
        <v>9478</v>
      </c>
      <c r="W3540">
        <v>9</v>
      </c>
      <c r="X3540" t="s">
        <v>13018</v>
      </c>
      <c r="Y3540">
        <v>0.74507160472452127</v>
      </c>
      <c r="Z3540" t="str">
        <f>HYPERLINK("Melting_Curves/meltCurve_sp_Q9NYB0_TE2IP_HUMAN_.pdf", "Melting_Curves/meltCurve_sp_Q9NYB0_TE2IP_HUMAN_.pdf")</f>
        <v>Melting_Curves/meltCurve_sp_Q9NYB0_TE2IP_HUMAN_.pdf</v>
      </c>
      <c r="AA3540" t="s">
        <v>17704</v>
      </c>
      <c r="AB3540" t="s">
        <v>22373</v>
      </c>
    </row>
    <row r="3541" spans="1:28" x14ac:dyDescent="0.25">
      <c r="A3541" t="s">
        <v>3545</v>
      </c>
      <c r="B3541">
        <v>0.99904790336628502</v>
      </c>
      <c r="C3541">
        <v>0.98229142269190695</v>
      </c>
      <c r="D3541">
        <v>1.00153276495649</v>
      </c>
      <c r="E3541">
        <v>0.95886149252946395</v>
      </c>
      <c r="F3541">
        <v>0.97604767457769903</v>
      </c>
      <c r="G3541">
        <v>0.72815499060781197</v>
      </c>
      <c r="H3541">
        <v>0.67615642477288096</v>
      </c>
      <c r="I3541">
        <v>0.64610383910649305</v>
      </c>
      <c r="J3541">
        <v>0.69890694354591698</v>
      </c>
      <c r="K3541">
        <v>0.69297575104367004</v>
      </c>
      <c r="L3541">
        <v>3108.7013083913998</v>
      </c>
      <c r="M3541">
        <v>56.226204574239802</v>
      </c>
      <c r="O3541">
        <v>55.2193664081165</v>
      </c>
      <c r="P3541">
        <v>-8.1950381196019204E-2</v>
      </c>
      <c r="Q3541">
        <v>0.67806847401459702</v>
      </c>
      <c r="R3541">
        <v>0.98362229141900503</v>
      </c>
      <c r="S3541" t="s">
        <v>8281</v>
      </c>
      <c r="T3541" t="s">
        <v>9478</v>
      </c>
      <c r="U3541" t="s">
        <v>9478</v>
      </c>
      <c r="V3541" t="s">
        <v>9478</v>
      </c>
      <c r="W3541">
        <v>24</v>
      </c>
      <c r="X3541" t="s">
        <v>13019</v>
      </c>
      <c r="Y3541">
        <v>0.8427575684124412</v>
      </c>
      <c r="Z3541" t="str">
        <f>HYPERLINK("Melting_Curves/meltCurve_sp_Q9NYF8_2_BCLF1_HUMAN_.pdf", "Melting_Curves/meltCurve_sp_Q9NYF8_2_BCLF1_HUMAN_.pdf")</f>
        <v>Melting_Curves/meltCurve_sp_Q9NYF8_2_BCLF1_HUMAN_.pdf</v>
      </c>
      <c r="AA3541" t="s">
        <v>17705</v>
      </c>
      <c r="AB3541" t="s">
        <v>22374</v>
      </c>
    </row>
    <row r="3542" spans="1:28" x14ac:dyDescent="0.25">
      <c r="A3542" t="s">
        <v>3546</v>
      </c>
      <c r="B3542">
        <v>0.99904790336628502</v>
      </c>
      <c r="C3542">
        <v>0.99458708791871797</v>
      </c>
      <c r="D3542">
        <v>0.98197196889532701</v>
      </c>
      <c r="E3542">
        <v>0.89426121236027001</v>
      </c>
      <c r="F3542">
        <v>0.97234263854764003</v>
      </c>
      <c r="G3542">
        <v>0.76494703881597303</v>
      </c>
      <c r="H3542">
        <v>0.73268489846381901</v>
      </c>
      <c r="I3542">
        <v>0.67830726287171705</v>
      </c>
      <c r="J3542">
        <v>0.689165031897784</v>
      </c>
      <c r="K3542">
        <v>0.75779673531722302</v>
      </c>
      <c r="L3542">
        <v>1932.69382902707</v>
      </c>
      <c r="M3542">
        <v>35.079181223069099</v>
      </c>
      <c r="O3542">
        <v>54.917053585384799</v>
      </c>
      <c r="P3542">
        <v>-4.6365380231640399E-2</v>
      </c>
      <c r="Q3542">
        <v>0.70965785603449705</v>
      </c>
      <c r="R3542">
        <v>0.90707204897682303</v>
      </c>
      <c r="S3542" t="s">
        <v>8282</v>
      </c>
      <c r="T3542" t="s">
        <v>9478</v>
      </c>
      <c r="U3542" t="s">
        <v>9478</v>
      </c>
      <c r="V3542" t="s">
        <v>9478</v>
      </c>
      <c r="W3542">
        <v>7</v>
      </c>
      <c r="X3542" t="s">
        <v>13020</v>
      </c>
      <c r="Y3542">
        <v>0.85717695552762041</v>
      </c>
      <c r="Z3542" t="str">
        <f>HYPERLINK("Melting_Curves/meltCurve_sp_Q9NYJ1_COA4_HUMAN_.pdf", "Melting_Curves/meltCurve_sp_Q9NYJ1_COA4_HUMAN_.pdf")</f>
        <v>Melting_Curves/meltCurve_sp_Q9NYJ1_COA4_HUMAN_.pdf</v>
      </c>
      <c r="AA3542" t="s">
        <v>17706</v>
      </c>
      <c r="AB3542" t="s">
        <v>22375</v>
      </c>
    </row>
    <row r="3543" spans="1:28" x14ac:dyDescent="0.25">
      <c r="A3543" t="s">
        <v>3547</v>
      </c>
      <c r="B3543">
        <v>0.99904790336628502</v>
      </c>
      <c r="C3543">
        <v>1.03433641849883</v>
      </c>
      <c r="D3543">
        <v>0.97658537294417502</v>
      </c>
      <c r="E3543">
        <v>0.88141477373165</v>
      </c>
      <c r="F3543">
        <v>0.764627085751721</v>
      </c>
      <c r="G3543">
        <v>0.53335604248450397</v>
      </c>
      <c r="H3543">
        <v>0.45533520707630298</v>
      </c>
      <c r="I3543">
        <v>0.36620567796530601</v>
      </c>
      <c r="J3543">
        <v>0.38793387696654302</v>
      </c>
      <c r="K3543">
        <v>0.41739550590341601</v>
      </c>
      <c r="L3543">
        <v>1095.6029523100499</v>
      </c>
      <c r="M3543">
        <v>20.284512265279499</v>
      </c>
      <c r="N3543">
        <v>58.142218405344998</v>
      </c>
      <c r="O3543">
        <v>53.495075747047103</v>
      </c>
      <c r="P3543">
        <v>-5.8618497787887698E-2</v>
      </c>
      <c r="Q3543">
        <v>0.38165544059467799</v>
      </c>
      <c r="R3543">
        <v>0.992873019484524</v>
      </c>
      <c r="S3543" t="s">
        <v>8283</v>
      </c>
      <c r="T3543" t="s">
        <v>9478</v>
      </c>
      <c r="U3543" t="s">
        <v>9478</v>
      </c>
      <c r="V3543" t="s">
        <v>9478</v>
      </c>
      <c r="W3543">
        <v>3</v>
      </c>
      <c r="X3543" t="s">
        <v>13021</v>
      </c>
      <c r="Y3543">
        <v>0.67867223484173478</v>
      </c>
      <c r="Z3543" t="str">
        <f>HYPERLINK("Melting_Curves/meltCurve_sp_Q9NYJ8_TAB2_HUMAN_.pdf", "Melting_Curves/meltCurve_sp_Q9NYJ8_TAB2_HUMAN_.pdf")</f>
        <v>Melting_Curves/meltCurve_sp_Q9NYJ8_TAB2_HUMAN_.pdf</v>
      </c>
      <c r="AA3543" t="s">
        <v>17707</v>
      </c>
      <c r="AB3543" t="s">
        <v>22376</v>
      </c>
    </row>
    <row r="3544" spans="1:28" x14ac:dyDescent="0.25">
      <c r="A3544" t="s">
        <v>3548</v>
      </c>
      <c r="B3544">
        <v>0.99904790336628502</v>
      </c>
      <c r="C3544">
        <v>1.0147823412050301</v>
      </c>
      <c r="D3544">
        <v>0.97986286764960995</v>
      </c>
      <c r="E3544">
        <v>0.83468229913347902</v>
      </c>
      <c r="F3544">
        <v>0.64010421177509302</v>
      </c>
      <c r="G3544">
        <v>0.26911838918938402</v>
      </c>
      <c r="H3544">
        <v>0.13563436044534</v>
      </c>
      <c r="I3544">
        <v>0.116909361046619</v>
      </c>
      <c r="J3544">
        <v>9.8941388864138502E-2</v>
      </c>
      <c r="K3544">
        <v>0.11804442937856</v>
      </c>
      <c r="L3544">
        <v>1250.46078834235</v>
      </c>
      <c r="M3544">
        <v>23.292588285991599</v>
      </c>
      <c r="N3544">
        <v>54.177300492205397</v>
      </c>
      <c r="O3544">
        <v>53.293918148950098</v>
      </c>
      <c r="P3544">
        <v>-9.8843531160044004E-2</v>
      </c>
      <c r="Q3544">
        <v>9.5392047053281803E-2</v>
      </c>
      <c r="R3544">
        <v>0.998450647066353</v>
      </c>
      <c r="S3544" t="s">
        <v>8284</v>
      </c>
      <c r="T3544" t="s">
        <v>9478</v>
      </c>
      <c r="U3544" t="s">
        <v>9478</v>
      </c>
      <c r="V3544" t="s">
        <v>9478</v>
      </c>
      <c r="W3544">
        <v>11</v>
      </c>
      <c r="X3544" t="s">
        <v>13022</v>
      </c>
      <c r="Y3544">
        <v>0.51754824077874106</v>
      </c>
      <c r="Z3544" t="str">
        <f>HYPERLINK("Melting_Curves/meltCurve_sp_Q9NYL2_MLTK_HUMAN_.pdf", "Melting_Curves/meltCurve_sp_Q9NYL2_MLTK_HUMAN_.pdf")</f>
        <v>Melting_Curves/meltCurve_sp_Q9NYL2_MLTK_HUMAN_.pdf</v>
      </c>
      <c r="AA3544" t="s">
        <v>17708</v>
      </c>
      <c r="AB3544" t="s">
        <v>22377</v>
      </c>
    </row>
    <row r="3545" spans="1:28" x14ac:dyDescent="0.25">
      <c r="A3545" t="s">
        <v>3549</v>
      </c>
      <c r="B3545">
        <v>0.99904790336628502</v>
      </c>
      <c r="C3545">
        <v>1.00801333127214</v>
      </c>
      <c r="D3545">
        <v>0.93465164567989101</v>
      </c>
      <c r="E3545">
        <v>0.84087264090421099</v>
      </c>
      <c r="F3545">
        <v>0.719168319371978</v>
      </c>
      <c r="G3545">
        <v>0.53831746997913599</v>
      </c>
      <c r="H3545">
        <v>0.42202032945046197</v>
      </c>
      <c r="I3545">
        <v>0.39501753119323102</v>
      </c>
      <c r="J3545">
        <v>0.40599770630186399</v>
      </c>
      <c r="K3545">
        <v>0.34633735216529599</v>
      </c>
      <c r="L3545">
        <v>821.26919988470297</v>
      </c>
      <c r="M3545">
        <v>15.2707875333875</v>
      </c>
      <c r="N3545">
        <v>58.241042743803703</v>
      </c>
      <c r="O3545">
        <v>52.883452761328599</v>
      </c>
      <c r="P3545">
        <v>-4.73073917308625E-2</v>
      </c>
      <c r="Q3545">
        <v>0.344750853844637</v>
      </c>
      <c r="R3545">
        <v>0.99632658616686998</v>
      </c>
      <c r="S3545" t="s">
        <v>8285</v>
      </c>
      <c r="T3545" t="s">
        <v>9478</v>
      </c>
      <c r="U3545" t="s">
        <v>9478</v>
      </c>
      <c r="V3545" t="s">
        <v>9478</v>
      </c>
      <c r="W3545">
        <v>11</v>
      </c>
      <c r="X3545" t="s">
        <v>13023</v>
      </c>
      <c r="Y3545">
        <v>0.65902770268548494</v>
      </c>
      <c r="Z3545" t="str">
        <f>HYPERLINK("Melting_Curves/meltCurve_sp_Q9NYL9_TMOD3_HUMAN_.pdf", "Melting_Curves/meltCurve_sp_Q9NYL9_TMOD3_HUMAN_.pdf")</f>
        <v>Melting_Curves/meltCurve_sp_Q9NYL9_TMOD3_HUMAN_.pdf</v>
      </c>
      <c r="AA3545" t="s">
        <v>17709</v>
      </c>
      <c r="AB3545" t="s">
        <v>22378</v>
      </c>
    </row>
    <row r="3546" spans="1:28" x14ac:dyDescent="0.25">
      <c r="A3546" t="s">
        <v>3550</v>
      </c>
      <c r="B3546">
        <v>0.99904790336628502</v>
      </c>
      <c r="C3546">
        <v>1.08585843569808</v>
      </c>
      <c r="D3546">
        <v>1.06914459478112</v>
      </c>
      <c r="E3546">
        <v>1.0188839602604101</v>
      </c>
      <c r="F3546">
        <v>0.92004920281985503</v>
      </c>
      <c r="G3546">
        <v>0.73592557625827104</v>
      </c>
      <c r="H3546">
        <v>0.59056059531803295</v>
      </c>
      <c r="I3546">
        <v>0.44300184957239203</v>
      </c>
      <c r="J3546">
        <v>0.276444542297891</v>
      </c>
      <c r="K3546">
        <v>0.15331984477086</v>
      </c>
      <c r="L3546">
        <v>874.08099864595499</v>
      </c>
      <c r="M3546">
        <v>14.013150343825799</v>
      </c>
      <c r="N3546">
        <v>62.375766990460399</v>
      </c>
      <c r="O3546">
        <v>61.146715384560899</v>
      </c>
      <c r="P3546">
        <v>-5.7300715611096002E-2</v>
      </c>
      <c r="Q3546">
        <v>0</v>
      </c>
      <c r="R3546">
        <v>0.98094241290899398</v>
      </c>
      <c r="S3546" t="s">
        <v>8286</v>
      </c>
      <c r="T3546" t="s">
        <v>9478</v>
      </c>
      <c r="U3546" t="s">
        <v>9478</v>
      </c>
      <c r="V3546" t="s">
        <v>9478</v>
      </c>
      <c r="W3546">
        <v>13</v>
      </c>
      <c r="X3546" t="s">
        <v>13024</v>
      </c>
      <c r="Y3546">
        <v>0.73835903270901659</v>
      </c>
      <c r="Z3546" t="str">
        <f>HYPERLINK("Melting_Curves/meltCurve_sp_Q9NYQ3_HAOX2_HUMAN_.pdf", "Melting_Curves/meltCurve_sp_Q9NYQ3_HAOX2_HUMAN_.pdf")</f>
        <v>Melting_Curves/meltCurve_sp_Q9NYQ3_HAOX2_HUMAN_.pdf</v>
      </c>
      <c r="AA3546" t="s">
        <v>17710</v>
      </c>
      <c r="AB3546" t="s">
        <v>22379</v>
      </c>
    </row>
    <row r="3547" spans="1:28" x14ac:dyDescent="0.25">
      <c r="A3547" t="s">
        <v>3551</v>
      </c>
      <c r="B3547">
        <v>0.99904790336628502</v>
      </c>
      <c r="C3547">
        <v>1.0149300070282099</v>
      </c>
      <c r="D3547">
        <v>1.1081485816430101</v>
      </c>
      <c r="E3547">
        <v>1.0149388068503</v>
      </c>
      <c r="F3547">
        <v>0.75229322870864401</v>
      </c>
      <c r="G3547">
        <v>0.185083297864123</v>
      </c>
      <c r="H3547">
        <v>8.8119111376975007E-2</v>
      </c>
      <c r="I3547">
        <v>5.50576336386535E-2</v>
      </c>
      <c r="J3547">
        <v>4.2878008675868197E-2</v>
      </c>
      <c r="K3547">
        <v>3.90965599820828E-2</v>
      </c>
      <c r="L3547">
        <v>2230.2619980067002</v>
      </c>
      <c r="M3547">
        <v>40.988784597598901</v>
      </c>
      <c r="N3547">
        <v>54.561812098133601</v>
      </c>
      <c r="O3547">
        <v>54.282503795103104</v>
      </c>
      <c r="P3547">
        <v>-0.17869840694224101</v>
      </c>
      <c r="Q3547">
        <v>5.3382486066382698E-2</v>
      </c>
      <c r="R3547">
        <v>0.99301717008034696</v>
      </c>
      <c r="S3547" t="s">
        <v>8287</v>
      </c>
      <c r="T3547" t="s">
        <v>9478</v>
      </c>
      <c r="U3547" t="s">
        <v>9478</v>
      </c>
      <c r="V3547" t="s">
        <v>9478</v>
      </c>
      <c r="W3547">
        <v>35</v>
      </c>
      <c r="X3547" t="s">
        <v>13025</v>
      </c>
      <c r="Y3547">
        <v>0.51150443477007446</v>
      </c>
      <c r="Z3547" t="str">
        <f>HYPERLINK("Melting_Curves/meltCurve_sp_Q9NYU2_2_UGGG1_HUMAN_.pdf", "Melting_Curves/meltCurve_sp_Q9NYU2_2_UGGG1_HUMAN_.pdf")</f>
        <v>Melting_Curves/meltCurve_sp_Q9NYU2_2_UGGG1_HUMAN_.pdf</v>
      </c>
      <c r="AA3547" t="s">
        <v>17711</v>
      </c>
      <c r="AB3547" t="s">
        <v>22380</v>
      </c>
    </row>
    <row r="3548" spans="1:28" x14ac:dyDescent="0.25">
      <c r="A3548" t="s">
        <v>3552</v>
      </c>
      <c r="B3548">
        <v>0.99904790336628502</v>
      </c>
      <c r="C3548">
        <v>0.97170636096317797</v>
      </c>
      <c r="D3548">
        <v>0.92502219143559405</v>
      </c>
      <c r="E3548">
        <v>0.79980046036358898</v>
      </c>
      <c r="F3548">
        <v>0.57641532540123996</v>
      </c>
      <c r="G3548">
        <v>0.30307066587626802</v>
      </c>
      <c r="H3548">
        <v>0.15933103587566799</v>
      </c>
      <c r="I3548">
        <v>0.191911001454558</v>
      </c>
      <c r="J3548">
        <v>0.11901560263896201</v>
      </c>
      <c r="K3548">
        <v>9.0776863825153306E-2</v>
      </c>
      <c r="L3548">
        <v>945.85998468944103</v>
      </c>
      <c r="M3548">
        <v>17.745644191340801</v>
      </c>
      <c r="N3548">
        <v>53.959588204231899</v>
      </c>
      <c r="O3548">
        <v>52.637921425347699</v>
      </c>
      <c r="P3548">
        <v>-7.6078767102630104E-2</v>
      </c>
      <c r="Q3548">
        <v>9.7374146670858294E-2</v>
      </c>
      <c r="R3548">
        <v>0.99640140069524297</v>
      </c>
      <c r="S3548" t="s">
        <v>8288</v>
      </c>
      <c r="T3548" t="s">
        <v>9478</v>
      </c>
      <c r="U3548" t="s">
        <v>9478</v>
      </c>
      <c r="V3548" t="s">
        <v>9478</v>
      </c>
      <c r="W3548">
        <v>3</v>
      </c>
      <c r="X3548" t="s">
        <v>13026</v>
      </c>
      <c r="Y3548">
        <v>0.51258706386987152</v>
      </c>
      <c r="Z3548" t="str">
        <f>HYPERLINK("Melting_Curves/meltCurve_sp_Q9NYV4_2_CDK12_HUMAN_.pdf", "Melting_Curves/meltCurve_sp_Q9NYV4_2_CDK12_HUMAN_.pdf")</f>
        <v>Melting_Curves/meltCurve_sp_Q9NYV4_2_CDK12_HUMAN_.pdf</v>
      </c>
      <c r="AA3548" t="s">
        <v>17712</v>
      </c>
      <c r="AB3548" t="s">
        <v>22381</v>
      </c>
    </row>
    <row r="3549" spans="1:28" x14ac:dyDescent="0.25">
      <c r="A3549" t="s">
        <v>3553</v>
      </c>
      <c r="B3549">
        <v>0.99904790336628502</v>
      </c>
      <c r="C3549">
        <v>1.0226641849060301</v>
      </c>
      <c r="D3549">
        <v>0.913676635438465</v>
      </c>
      <c r="E3549">
        <v>0.65506446635953797</v>
      </c>
      <c r="F3549">
        <v>0.248935131525473</v>
      </c>
      <c r="G3549">
        <v>0.134387346639638</v>
      </c>
      <c r="H3549">
        <v>7.6009457849803105E-2</v>
      </c>
      <c r="I3549">
        <v>4.60713914181737E-2</v>
      </c>
      <c r="J3549">
        <v>2.4007773609710702E-2</v>
      </c>
      <c r="K3549">
        <v>8.8941713088725206E-3</v>
      </c>
      <c r="L3549">
        <v>1333.6093935669001</v>
      </c>
      <c r="M3549">
        <v>26.212317210192701</v>
      </c>
      <c r="N3549">
        <v>51.033941875901199</v>
      </c>
      <c r="O3549">
        <v>50.583835610235298</v>
      </c>
      <c r="P3549">
        <v>-0.124540003719309</v>
      </c>
      <c r="Q3549">
        <v>3.8674353536842801E-2</v>
      </c>
      <c r="R3549">
        <v>0.99550035123512004</v>
      </c>
      <c r="S3549" t="s">
        <v>8289</v>
      </c>
      <c r="T3549" t="s">
        <v>9478</v>
      </c>
      <c r="U3549" t="s">
        <v>9478</v>
      </c>
      <c r="V3549" t="s">
        <v>9478</v>
      </c>
      <c r="W3549">
        <v>5</v>
      </c>
      <c r="X3549" t="s">
        <v>13027</v>
      </c>
      <c r="Y3549">
        <v>0.39512271724902381</v>
      </c>
      <c r="Z3549" t="str">
        <f>HYPERLINK("Melting_Curves/meltCurve_sp_Q9NYY8_2_FAKD2_HUMAN_.pdf", "Melting_Curves/meltCurve_sp_Q9NYY8_2_FAKD2_HUMAN_.pdf")</f>
        <v>Melting_Curves/meltCurve_sp_Q9NYY8_2_FAKD2_HUMAN_.pdf</v>
      </c>
      <c r="AA3549" t="s">
        <v>17713</v>
      </c>
      <c r="AB3549" t="s">
        <v>22382</v>
      </c>
    </row>
    <row r="3550" spans="1:28" x14ac:dyDescent="0.25">
      <c r="A3550" t="s">
        <v>3554</v>
      </c>
      <c r="B3550">
        <v>0.99904790336628502</v>
      </c>
      <c r="C3550">
        <v>0.99238195834186105</v>
      </c>
      <c r="D3550">
        <v>1.03254354860569</v>
      </c>
      <c r="E3550">
        <v>0.97645958334742</v>
      </c>
      <c r="F3550">
        <v>0.70792906612931294</v>
      </c>
      <c r="G3550">
        <v>0.15328542177548399</v>
      </c>
      <c r="H3550">
        <v>7.7450534611789801E-2</v>
      </c>
      <c r="I3550">
        <v>4.4266370800475199E-2</v>
      </c>
      <c r="J3550">
        <v>3.6682294428865399E-2</v>
      </c>
      <c r="K3550">
        <v>3.20182538026174E-2</v>
      </c>
      <c r="L3550">
        <v>2173.6868464487502</v>
      </c>
      <c r="M3550">
        <v>40.178669705365401</v>
      </c>
      <c r="N3550">
        <v>54.225446452281602</v>
      </c>
      <c r="O3550">
        <v>53.967018802500199</v>
      </c>
      <c r="P3550">
        <v>-0.177898665992126</v>
      </c>
      <c r="Q3550">
        <v>4.4205192278254597E-2</v>
      </c>
      <c r="R3550">
        <v>0.99896893819038002</v>
      </c>
      <c r="S3550" t="s">
        <v>8290</v>
      </c>
      <c r="T3550" t="s">
        <v>9478</v>
      </c>
      <c r="U3550" t="s">
        <v>9478</v>
      </c>
      <c r="V3550" t="s">
        <v>9478</v>
      </c>
      <c r="W3550">
        <v>28</v>
      </c>
      <c r="X3550" t="s">
        <v>13028</v>
      </c>
      <c r="Y3550">
        <v>0.49698019770783303</v>
      </c>
      <c r="Z3550" t="str">
        <f>HYPERLINK("Melting_Curves/meltCurve_sp_Q9NZ08_ERAP1_HUMAN_.pdf", "Melting_Curves/meltCurve_sp_Q9NZ08_ERAP1_HUMAN_.pdf")</f>
        <v>Melting_Curves/meltCurve_sp_Q9NZ08_ERAP1_HUMAN_.pdf</v>
      </c>
      <c r="AA3550" t="s">
        <v>17714</v>
      </c>
      <c r="AB3550" t="s">
        <v>22383</v>
      </c>
    </row>
    <row r="3551" spans="1:28" x14ac:dyDescent="0.25">
      <c r="A3551" t="s">
        <v>3555</v>
      </c>
      <c r="B3551">
        <v>0.99904790336628502</v>
      </c>
      <c r="C3551">
        <v>1.0012047605358001</v>
      </c>
      <c r="D3551">
        <v>0.96793667411484796</v>
      </c>
      <c r="E3551">
        <v>0.77904415047039099</v>
      </c>
      <c r="F3551">
        <v>0.68101898527979299</v>
      </c>
      <c r="G3551">
        <v>0.45545706728690799</v>
      </c>
      <c r="H3551">
        <v>0.39300467851936699</v>
      </c>
      <c r="I3551">
        <v>0.31162969484715303</v>
      </c>
      <c r="J3551">
        <v>0.33826512461015901</v>
      </c>
      <c r="K3551">
        <v>0.31273717848917698</v>
      </c>
      <c r="L3551">
        <v>873.88212693593903</v>
      </c>
      <c r="M3551">
        <v>16.471203102107101</v>
      </c>
      <c r="N3551">
        <v>56.192488048173502</v>
      </c>
      <c r="O3551">
        <v>52.291607861159903</v>
      </c>
      <c r="P3551">
        <v>-5.5074315359122501E-2</v>
      </c>
      <c r="Q3551">
        <v>0.30066481131641598</v>
      </c>
      <c r="R3551">
        <v>0.99470551373856597</v>
      </c>
      <c r="S3551" t="s">
        <v>8291</v>
      </c>
      <c r="T3551" t="s">
        <v>9478</v>
      </c>
      <c r="U3551" t="s">
        <v>9478</v>
      </c>
      <c r="V3551" t="s">
        <v>9478</v>
      </c>
      <c r="W3551">
        <v>7</v>
      </c>
      <c r="X3551" t="s">
        <v>13029</v>
      </c>
      <c r="Y3551">
        <v>0.61811658158647043</v>
      </c>
      <c r="Z3551" t="str">
        <f>HYPERLINK("Melting_Curves/meltCurve_sp_Q9NZ09_2_UBAP1_HUMAN_.pdf", "Melting_Curves/meltCurve_sp_Q9NZ09_2_UBAP1_HUMAN_.pdf")</f>
        <v>Melting_Curves/meltCurve_sp_Q9NZ09_2_UBAP1_HUMAN_.pdf</v>
      </c>
      <c r="AA3551" t="s">
        <v>17715</v>
      </c>
      <c r="AB3551" t="s">
        <v>22384</v>
      </c>
    </row>
    <row r="3552" spans="1:28" x14ac:dyDescent="0.25">
      <c r="A3552" t="s">
        <v>3556</v>
      </c>
      <c r="B3552">
        <v>0.99904790336628502</v>
      </c>
      <c r="C3552">
        <v>1.0415859776255301</v>
      </c>
      <c r="D3552">
        <v>1.04525141323014</v>
      </c>
      <c r="E3552">
        <v>0.97855262322362901</v>
      </c>
      <c r="F3552">
        <v>0.82563725990065495</v>
      </c>
      <c r="G3552">
        <v>0.61348652569673601</v>
      </c>
      <c r="H3552">
        <v>0.41934976759824</v>
      </c>
      <c r="I3552">
        <v>0.28248627192824999</v>
      </c>
      <c r="J3552">
        <v>5.2728368498850202E-2</v>
      </c>
      <c r="K3552">
        <v>3.7578815627323597E-2</v>
      </c>
      <c r="L3552">
        <v>953.21217080168901</v>
      </c>
      <c r="M3552">
        <v>16.134830535697802</v>
      </c>
      <c r="N3552">
        <v>59.077916932549599</v>
      </c>
      <c r="O3552">
        <v>58.192767785336798</v>
      </c>
      <c r="P3552">
        <v>-6.9321565311358996E-2</v>
      </c>
      <c r="Q3552">
        <v>0</v>
      </c>
      <c r="R3552">
        <v>0.98606636322717001</v>
      </c>
      <c r="S3552" t="s">
        <v>8292</v>
      </c>
      <c r="T3552" t="s">
        <v>9478</v>
      </c>
      <c r="U3552" t="s">
        <v>9478</v>
      </c>
      <c r="V3552" t="s">
        <v>9478</v>
      </c>
      <c r="W3552">
        <v>11</v>
      </c>
      <c r="X3552" t="s">
        <v>13030</v>
      </c>
      <c r="Y3552">
        <v>0.64642124888808472</v>
      </c>
      <c r="Z3552" t="str">
        <f>HYPERLINK("Melting_Curves/meltCurve_sp_Q9NZ32_ARP10_HUMAN_.pdf", "Melting_Curves/meltCurve_sp_Q9NZ32_ARP10_HUMAN_.pdf")</f>
        <v>Melting_Curves/meltCurve_sp_Q9NZ32_ARP10_HUMAN_.pdf</v>
      </c>
      <c r="AA3552" t="s">
        <v>17716</v>
      </c>
      <c r="AB3552" t="s">
        <v>22385</v>
      </c>
    </row>
    <row r="3553" spans="1:28" x14ac:dyDescent="0.25">
      <c r="A3553" t="s">
        <v>3557</v>
      </c>
      <c r="B3553">
        <v>0.99904790336628502</v>
      </c>
      <c r="C3553">
        <v>0.78788378985327701</v>
      </c>
      <c r="D3553">
        <v>0.755813050011647</v>
      </c>
      <c r="E3553">
        <v>0.457394112553897</v>
      </c>
      <c r="F3553">
        <v>0.38587247733095797</v>
      </c>
      <c r="G3553">
        <v>0.21325714297489901</v>
      </c>
      <c r="H3553">
        <v>0.26630571356067401</v>
      </c>
      <c r="I3553">
        <v>0.108720009764231</v>
      </c>
      <c r="J3553">
        <v>6.6449093181156896E-2</v>
      </c>
      <c r="K3553">
        <v>8.1819428651673007E-2</v>
      </c>
      <c r="L3553">
        <v>524.592659048374</v>
      </c>
      <c r="M3553">
        <v>10.5700035089806</v>
      </c>
      <c r="N3553">
        <v>50.104281307223097</v>
      </c>
      <c r="O3553">
        <v>47.9526824970524</v>
      </c>
      <c r="P3553">
        <v>-5.2505360654080797E-2</v>
      </c>
      <c r="Q3553">
        <v>4.7575346981927898E-2</v>
      </c>
      <c r="R3553">
        <v>0.97375382397329402</v>
      </c>
      <c r="S3553" t="s">
        <v>8293</v>
      </c>
      <c r="T3553" t="s">
        <v>9478</v>
      </c>
      <c r="U3553" t="s">
        <v>9478</v>
      </c>
      <c r="V3553" t="s">
        <v>9478</v>
      </c>
      <c r="W3553">
        <v>2</v>
      </c>
      <c r="X3553" t="s">
        <v>13031</v>
      </c>
      <c r="Y3553">
        <v>0.39426781672329553</v>
      </c>
      <c r="Z3553" t="str">
        <f>HYPERLINK("Melting_Curves/meltCurve_sp_Q9NZ45_CISD1_HUMAN_.pdf", "Melting_Curves/meltCurve_sp_Q9NZ45_CISD1_HUMAN_.pdf")</f>
        <v>Melting_Curves/meltCurve_sp_Q9NZ45_CISD1_HUMAN_.pdf</v>
      </c>
      <c r="AA3553" t="s">
        <v>17717</v>
      </c>
      <c r="AB3553" t="s">
        <v>22386</v>
      </c>
    </row>
    <row r="3554" spans="1:28" x14ac:dyDescent="0.25">
      <c r="A3554" t="s">
        <v>3558</v>
      </c>
      <c r="B3554">
        <v>0.99904790336628502</v>
      </c>
      <c r="C3554">
        <v>1.0089334758938699</v>
      </c>
      <c r="D3554">
        <v>0.94627214043018604</v>
      </c>
      <c r="E3554">
        <v>0.93731338417997001</v>
      </c>
      <c r="F3554">
        <v>0.99898857950307096</v>
      </c>
      <c r="G3554">
        <v>0.72059860496685002</v>
      </c>
      <c r="H3554">
        <v>0.65716633749342201</v>
      </c>
      <c r="I3554">
        <v>0.65497263594160804</v>
      </c>
      <c r="J3554">
        <v>0.69053300305505905</v>
      </c>
      <c r="K3554">
        <v>0.64926842587028999</v>
      </c>
      <c r="L3554">
        <v>6142.1349928202799</v>
      </c>
      <c r="M3554">
        <v>109.33571398942701</v>
      </c>
      <c r="O3554">
        <v>56.158054160417898</v>
      </c>
      <c r="P3554">
        <v>-0.16404189810092401</v>
      </c>
      <c r="Q3554">
        <v>0.66297294467872703</v>
      </c>
      <c r="R3554">
        <v>0.96671549425423398</v>
      </c>
      <c r="S3554" t="s">
        <v>8294</v>
      </c>
      <c r="T3554" t="s">
        <v>9478</v>
      </c>
      <c r="U3554" t="s">
        <v>9478</v>
      </c>
      <c r="V3554" t="s">
        <v>9478</v>
      </c>
      <c r="W3554">
        <v>12</v>
      </c>
      <c r="X3554" t="s">
        <v>13032</v>
      </c>
      <c r="Y3554">
        <v>0.84488126150441201</v>
      </c>
      <c r="Z3554" t="str">
        <f>HYPERLINK("Melting_Curves/meltCurve_sp_Q9NZ63_CI078_HUMAN_.pdf", "Melting_Curves/meltCurve_sp_Q9NZ63_CI078_HUMAN_.pdf")</f>
        <v>Melting_Curves/meltCurve_sp_Q9NZ63_CI078_HUMAN_.pdf</v>
      </c>
      <c r="AA3554" t="s">
        <v>17718</v>
      </c>
      <c r="AB3554" t="s">
        <v>22387</v>
      </c>
    </row>
    <row r="3555" spans="1:28" x14ac:dyDescent="0.25">
      <c r="A3555" t="s">
        <v>3559</v>
      </c>
      <c r="B3555">
        <v>0.99904790336628502</v>
      </c>
      <c r="C3555">
        <v>1.00193642987664</v>
      </c>
      <c r="D3555">
        <v>0.967690090771129</v>
      </c>
      <c r="E3555">
        <v>0.87664504391832099</v>
      </c>
      <c r="F3555">
        <v>0.69233836663776904</v>
      </c>
      <c r="G3555">
        <v>0.46543708234328501</v>
      </c>
      <c r="H3555">
        <v>0.358674304968714</v>
      </c>
      <c r="I3555">
        <v>0.32829153265620298</v>
      </c>
      <c r="J3555">
        <v>0.29800169990770098</v>
      </c>
      <c r="K3555">
        <v>0.34763747588348998</v>
      </c>
      <c r="L3555">
        <v>1134.67082488234</v>
      </c>
      <c r="M3555">
        <v>21.1954865172988</v>
      </c>
      <c r="N3555">
        <v>56.142386335568297</v>
      </c>
      <c r="O3555">
        <v>53.063910619270402</v>
      </c>
      <c r="P3555">
        <v>-6.8578389120365901E-2</v>
      </c>
      <c r="Q3555">
        <v>0.31326070780922599</v>
      </c>
      <c r="R3555">
        <v>0.99793622681932304</v>
      </c>
      <c r="S3555" t="s">
        <v>8295</v>
      </c>
      <c r="T3555" t="s">
        <v>9478</v>
      </c>
      <c r="U3555" t="s">
        <v>9478</v>
      </c>
      <c r="V3555" t="s">
        <v>9478</v>
      </c>
      <c r="W3555">
        <v>22</v>
      </c>
      <c r="X3555" t="s">
        <v>13033</v>
      </c>
      <c r="Y3555">
        <v>0.63158059746171313</v>
      </c>
      <c r="Z3555" t="str">
        <f>HYPERLINK("Melting_Curves/meltCurve_sp_Q9NZB2_F120A_HUMAN_.pdf", "Melting_Curves/meltCurve_sp_Q9NZB2_F120A_HUMAN_.pdf")</f>
        <v>Melting_Curves/meltCurve_sp_Q9NZB2_F120A_HUMAN_.pdf</v>
      </c>
      <c r="AA3555" t="s">
        <v>17719</v>
      </c>
      <c r="AB3555" t="s">
        <v>22388</v>
      </c>
    </row>
    <row r="3556" spans="1:28" x14ac:dyDescent="0.25">
      <c r="A3556" t="s">
        <v>3560</v>
      </c>
      <c r="B3556">
        <v>0.99904790336628502</v>
      </c>
      <c r="C3556">
        <v>0.97172116464399805</v>
      </c>
      <c r="D3556">
        <v>0.98793357977464902</v>
      </c>
      <c r="E3556">
        <v>0.91467739360223099</v>
      </c>
      <c r="F3556">
        <v>0.69470491064218998</v>
      </c>
      <c r="G3556">
        <v>0.68383693654571198</v>
      </c>
      <c r="H3556">
        <v>0.53653804215553802</v>
      </c>
      <c r="I3556">
        <v>0.54076470555563805</v>
      </c>
      <c r="J3556">
        <v>0.38671424044140901</v>
      </c>
      <c r="K3556">
        <v>0.207669477312307</v>
      </c>
      <c r="L3556">
        <v>496.17171606849598</v>
      </c>
      <c r="M3556">
        <v>7.9640784145979504</v>
      </c>
      <c r="N3556">
        <v>62.301207682745797</v>
      </c>
      <c r="O3556">
        <v>58.7408377059839</v>
      </c>
      <c r="P3556">
        <v>-3.3933954948770002E-2</v>
      </c>
      <c r="Q3556">
        <v>0</v>
      </c>
      <c r="R3556">
        <v>0.95358340371388295</v>
      </c>
      <c r="S3556" t="s">
        <v>8296</v>
      </c>
      <c r="T3556" t="s">
        <v>9478</v>
      </c>
      <c r="U3556" t="s">
        <v>9478</v>
      </c>
      <c r="V3556" t="s">
        <v>9478</v>
      </c>
      <c r="W3556">
        <v>11</v>
      </c>
      <c r="X3556" t="s">
        <v>13034</v>
      </c>
      <c r="Y3556">
        <v>0.70270787407873769</v>
      </c>
      <c r="Z3556" t="str">
        <f>HYPERLINK("Melting_Curves/meltCurve_sp_Q9NZB8_2_MOCS1_HUMAN_.pdf", "Melting_Curves/meltCurve_sp_Q9NZB8_2_MOCS1_HUMAN_.pdf")</f>
        <v>Melting_Curves/meltCurve_sp_Q9NZB8_2_MOCS1_HUMAN_.pdf</v>
      </c>
      <c r="AA3556" t="s">
        <v>17720</v>
      </c>
      <c r="AB3556" t="s">
        <v>22389</v>
      </c>
    </row>
    <row r="3557" spans="1:28" x14ac:dyDescent="0.25">
      <c r="A3557" t="s">
        <v>3561</v>
      </c>
      <c r="B3557">
        <v>0.99904790336628502</v>
      </c>
      <c r="C3557">
        <v>0.99284066089996603</v>
      </c>
      <c r="D3557">
        <v>0.935593723899806</v>
      </c>
      <c r="E3557">
        <v>0.911388688509991</v>
      </c>
      <c r="F3557">
        <v>0.705042504597577</v>
      </c>
      <c r="G3557">
        <v>0.181421259510957</v>
      </c>
      <c r="H3557">
        <v>8.9135302219121998E-2</v>
      </c>
      <c r="I3557">
        <v>7.7957672471888201E-2</v>
      </c>
      <c r="J3557">
        <v>8.3760891539362295E-2</v>
      </c>
      <c r="K3557">
        <v>6.0813431176261402E-2</v>
      </c>
      <c r="L3557">
        <v>1887.64325340603</v>
      </c>
      <c r="M3557">
        <v>34.938015669995899</v>
      </c>
      <c r="N3557">
        <v>54.260884912721799</v>
      </c>
      <c r="O3557">
        <v>53.852267501501402</v>
      </c>
      <c r="P3557">
        <v>-0.150916977386684</v>
      </c>
      <c r="Q3557">
        <v>6.95302282184182E-2</v>
      </c>
      <c r="R3557">
        <v>0.99639030030707598</v>
      </c>
      <c r="S3557" t="s">
        <v>8297</v>
      </c>
      <c r="T3557" t="s">
        <v>9478</v>
      </c>
      <c r="U3557" t="s">
        <v>9478</v>
      </c>
      <c r="V3557" t="s">
        <v>9478</v>
      </c>
      <c r="W3557">
        <v>4</v>
      </c>
      <c r="X3557" t="s">
        <v>13035</v>
      </c>
      <c r="Y3557">
        <v>0.50916749836518294</v>
      </c>
      <c r="Z3557" t="str">
        <f>HYPERLINK("Melting_Curves/meltCurve_sp_Q9NZD2_GLTP_HUMAN_.pdf", "Melting_Curves/meltCurve_sp_Q9NZD2_GLTP_HUMAN_.pdf")</f>
        <v>Melting_Curves/meltCurve_sp_Q9NZD2_GLTP_HUMAN_.pdf</v>
      </c>
      <c r="AA3557" t="s">
        <v>17721</v>
      </c>
      <c r="AB3557" t="s">
        <v>22390</v>
      </c>
    </row>
    <row r="3558" spans="1:28" x14ac:dyDescent="0.25">
      <c r="A3558" t="s">
        <v>3562</v>
      </c>
      <c r="B3558">
        <v>0.99904790336628502</v>
      </c>
      <c r="C3558">
        <v>0.77844115642892198</v>
      </c>
      <c r="D3558">
        <v>0.78464546234524801</v>
      </c>
      <c r="E3558">
        <v>0.53673271406020595</v>
      </c>
      <c r="F3558">
        <v>0.26922747738586</v>
      </c>
      <c r="G3558">
        <v>0.15353530748592101</v>
      </c>
      <c r="H3558">
        <v>9.5089531957393503E-2</v>
      </c>
      <c r="I3558">
        <v>8.1345581323110594E-2</v>
      </c>
      <c r="J3558">
        <v>6.37232205509531E-2</v>
      </c>
      <c r="K3558">
        <v>3.26572878465793E-2</v>
      </c>
      <c r="L3558">
        <v>640.93613073070196</v>
      </c>
      <c r="M3558">
        <v>12.905383816228399</v>
      </c>
      <c r="N3558">
        <v>49.780920348897098</v>
      </c>
      <c r="O3558">
        <v>48.517130310055101</v>
      </c>
      <c r="P3558">
        <v>-6.5520387216925394E-2</v>
      </c>
      <c r="Q3558">
        <v>1.4897364046442501E-2</v>
      </c>
      <c r="R3558">
        <v>0.98232473077973803</v>
      </c>
      <c r="S3558" t="s">
        <v>8298</v>
      </c>
      <c r="T3558" t="s">
        <v>9478</v>
      </c>
      <c r="U3558" t="s">
        <v>9478</v>
      </c>
      <c r="V3558" t="s">
        <v>9478</v>
      </c>
      <c r="W3558">
        <v>2</v>
      </c>
      <c r="X3558" t="s">
        <v>13036</v>
      </c>
      <c r="Y3558">
        <v>0.36311472991430771</v>
      </c>
      <c r="Z3558" t="str">
        <f>HYPERLINK("Melting_Curves/meltCurve_sp_Q9NZD8_2_SPG21_HUMAN_.pdf", "Melting_Curves/meltCurve_sp_Q9NZD8_2_SPG21_HUMAN_.pdf")</f>
        <v>Melting_Curves/meltCurve_sp_Q9NZD8_2_SPG21_HUMAN_.pdf</v>
      </c>
      <c r="AA3558" t="s">
        <v>17722</v>
      </c>
      <c r="AB3558" t="s">
        <v>22391</v>
      </c>
    </row>
    <row r="3559" spans="1:28" x14ac:dyDescent="0.25">
      <c r="A3559" t="s">
        <v>3563</v>
      </c>
      <c r="B3559">
        <v>0.99904790336628502</v>
      </c>
      <c r="C3559">
        <v>0.99122133115003397</v>
      </c>
      <c r="D3559">
        <v>1.1771237693624299</v>
      </c>
      <c r="E3559">
        <v>1.14548519796054</v>
      </c>
      <c r="F3559">
        <v>1.0682325187198201</v>
      </c>
      <c r="G3559">
        <v>0.73148283842601503</v>
      </c>
      <c r="H3559">
        <v>0.18433138323849399</v>
      </c>
      <c r="I3559">
        <v>4.1859890721181001E-2</v>
      </c>
      <c r="J3559">
        <v>2.1804137219768E-2</v>
      </c>
      <c r="K3559">
        <v>1.9338771065381899E-2</v>
      </c>
      <c r="L3559">
        <v>2406.62347796727</v>
      </c>
      <c r="M3559">
        <v>41.164215297400702</v>
      </c>
      <c r="N3559">
        <v>58.521413248008898</v>
      </c>
      <c r="O3559">
        <v>58.326507038652203</v>
      </c>
      <c r="P3559">
        <v>-0.172945685682248</v>
      </c>
      <c r="Q3559">
        <v>1.9799293737471801E-2</v>
      </c>
      <c r="R3559">
        <v>0.97409039224835003</v>
      </c>
      <c r="S3559" t="s">
        <v>8299</v>
      </c>
      <c r="T3559" t="s">
        <v>9478</v>
      </c>
      <c r="U3559" t="s">
        <v>9478</v>
      </c>
      <c r="V3559" t="s">
        <v>9478</v>
      </c>
      <c r="W3559">
        <v>1</v>
      </c>
      <c r="X3559" t="s">
        <v>13037</v>
      </c>
      <c r="Y3559">
        <v>0.62673864190606188</v>
      </c>
      <c r="Z3559" t="str">
        <f>HYPERLINK("Melting_Curves/meltCurve_sp_Q9NZJ4_2_SACS_HUMAN_.pdf", "Melting_Curves/meltCurve_sp_Q9NZJ4_2_SACS_HUMAN_.pdf")</f>
        <v>Melting_Curves/meltCurve_sp_Q9NZJ4_2_SACS_HUMAN_.pdf</v>
      </c>
      <c r="AA3559" t="s">
        <v>17723</v>
      </c>
      <c r="AB3559" t="s">
        <v>22392</v>
      </c>
    </row>
    <row r="3560" spans="1:28" x14ac:dyDescent="0.25">
      <c r="A3560" t="s">
        <v>3564</v>
      </c>
      <c r="B3560">
        <v>0.99904790336628502</v>
      </c>
      <c r="C3560">
        <v>0.98960220202062299</v>
      </c>
      <c r="D3560">
        <v>0.76415877319717296</v>
      </c>
      <c r="E3560">
        <v>0.39385654498411299</v>
      </c>
      <c r="F3560">
        <v>0.164905887682567</v>
      </c>
      <c r="G3560">
        <v>6.6700233477947096E-2</v>
      </c>
      <c r="H3560">
        <v>3.5149790432985301E-2</v>
      </c>
      <c r="I3560">
        <v>2.31505183153158E-2</v>
      </c>
      <c r="J3560">
        <v>2.70158587873803E-2</v>
      </c>
      <c r="K3560">
        <v>1.6948102526850299E-2</v>
      </c>
      <c r="L3560">
        <v>1045.0814111852401</v>
      </c>
      <c r="M3560">
        <v>21.433625303232802</v>
      </c>
      <c r="N3560">
        <v>48.854616693248303</v>
      </c>
      <c r="O3560">
        <v>48.340481563837201</v>
      </c>
      <c r="P3560">
        <v>-0.108572200763754</v>
      </c>
      <c r="Q3560">
        <v>2.0547861297791199E-2</v>
      </c>
      <c r="R3560">
        <v>0.99845094622464503</v>
      </c>
      <c r="S3560" t="s">
        <v>8300</v>
      </c>
      <c r="T3560" t="s">
        <v>9478</v>
      </c>
      <c r="U3560" t="s">
        <v>9478</v>
      </c>
      <c r="V3560" t="s">
        <v>9478</v>
      </c>
      <c r="W3560">
        <v>3</v>
      </c>
      <c r="X3560" t="s">
        <v>13038</v>
      </c>
      <c r="Y3560">
        <v>0.3184394671367356</v>
      </c>
      <c r="Z3560" t="str">
        <f>HYPERLINK("Melting_Curves/meltCurve_sp_Q9NZJ6_COQ3_HUMAN_.pdf", "Melting_Curves/meltCurve_sp_Q9NZJ6_COQ3_HUMAN_.pdf")</f>
        <v>Melting_Curves/meltCurve_sp_Q9NZJ6_COQ3_HUMAN_.pdf</v>
      </c>
      <c r="AA3560" t="s">
        <v>17724</v>
      </c>
      <c r="AB3560" t="s">
        <v>22393</v>
      </c>
    </row>
    <row r="3561" spans="1:28" x14ac:dyDescent="0.25">
      <c r="A3561" t="s">
        <v>3565</v>
      </c>
      <c r="B3561">
        <v>0.99904790336628502</v>
      </c>
      <c r="C3561">
        <v>0.98706323734148604</v>
      </c>
      <c r="D3561">
        <v>0.92150202192340303</v>
      </c>
      <c r="E3561">
        <v>0.78642363420556405</v>
      </c>
      <c r="F3561">
        <v>0.54362159136466603</v>
      </c>
      <c r="G3561">
        <v>0.25580876176391798</v>
      </c>
      <c r="H3561">
        <v>0.150762608390758</v>
      </c>
      <c r="I3561">
        <v>0.121129799604869</v>
      </c>
      <c r="J3561">
        <v>7.2956156475620496E-2</v>
      </c>
      <c r="K3561">
        <v>4.8920360374088798E-2</v>
      </c>
      <c r="L3561">
        <v>946.08182891198203</v>
      </c>
      <c r="M3561">
        <v>17.780436563496501</v>
      </c>
      <c r="N3561">
        <v>53.542917153429897</v>
      </c>
      <c r="O3561">
        <v>52.549778455095399</v>
      </c>
      <c r="P3561">
        <v>-8.0155612421794004E-2</v>
      </c>
      <c r="Q3561">
        <v>5.2454857466109402E-2</v>
      </c>
      <c r="R3561">
        <v>0.99855565903352606</v>
      </c>
      <c r="S3561" t="s">
        <v>8301</v>
      </c>
      <c r="T3561" t="s">
        <v>9478</v>
      </c>
      <c r="U3561" t="s">
        <v>9478</v>
      </c>
      <c r="V3561" t="s">
        <v>9478</v>
      </c>
      <c r="W3561">
        <v>4</v>
      </c>
      <c r="X3561" t="s">
        <v>13039</v>
      </c>
      <c r="Y3561">
        <v>0.48541517026883579</v>
      </c>
      <c r="Z3561" t="str">
        <f>HYPERLINK("Melting_Curves/meltCurve_sp_Q9NZJ9_NUDT4_HUMAN_.pdf", "Melting_Curves/meltCurve_sp_Q9NZJ9_NUDT4_HUMAN_.pdf")</f>
        <v>Melting_Curves/meltCurve_sp_Q9NZJ9_NUDT4_HUMAN_.pdf</v>
      </c>
      <c r="AA3561" t="s">
        <v>17725</v>
      </c>
      <c r="AB3561" t="s">
        <v>22394</v>
      </c>
    </row>
    <row r="3562" spans="1:28" x14ac:dyDescent="0.25">
      <c r="A3562" t="s">
        <v>3566</v>
      </c>
      <c r="B3562">
        <v>0.99904790336628502</v>
      </c>
      <c r="C3562">
        <v>0.97884329268699</v>
      </c>
      <c r="D3562">
        <v>1.0232853134828499</v>
      </c>
      <c r="E3562">
        <v>0.93552109086318802</v>
      </c>
      <c r="F3562">
        <v>0.79727319071901903</v>
      </c>
      <c r="G3562">
        <v>0.26196230700229201</v>
      </c>
      <c r="H3562">
        <v>0.12524214382254201</v>
      </c>
      <c r="I3562">
        <v>7.6912761154784501E-2</v>
      </c>
      <c r="J3562">
        <v>4.9819179953624101E-2</v>
      </c>
      <c r="K3562">
        <v>5.3527664200136597E-2</v>
      </c>
      <c r="L3562">
        <v>1819.46030703468</v>
      </c>
      <c r="M3562">
        <v>33.134818604626702</v>
      </c>
      <c r="N3562">
        <v>55.1335444064322</v>
      </c>
      <c r="O3562">
        <v>54.711979500062498</v>
      </c>
      <c r="P3562">
        <v>-0.14192282796053601</v>
      </c>
      <c r="Q3562">
        <v>6.2636216389870006E-2</v>
      </c>
      <c r="R3562">
        <v>0.99798054293482097</v>
      </c>
      <c r="S3562" t="s">
        <v>8302</v>
      </c>
      <c r="T3562" t="s">
        <v>9478</v>
      </c>
      <c r="U3562" t="s">
        <v>9478</v>
      </c>
      <c r="V3562" t="s">
        <v>9478</v>
      </c>
      <c r="W3562">
        <v>9</v>
      </c>
      <c r="X3562" t="s">
        <v>13040</v>
      </c>
      <c r="Y3562">
        <v>0.5336673706534838</v>
      </c>
      <c r="Z3562" t="str">
        <f>HYPERLINK("Melting_Curves/meltCurve_sp_Q9NZL4_HPBP1_HUMAN_.pdf", "Melting_Curves/meltCurve_sp_Q9NZL4_HPBP1_HUMAN_.pdf")</f>
        <v>Melting_Curves/meltCurve_sp_Q9NZL4_HPBP1_HUMAN_.pdf</v>
      </c>
      <c r="AA3562" t="s">
        <v>17726</v>
      </c>
      <c r="AB3562" t="s">
        <v>22395</v>
      </c>
    </row>
    <row r="3563" spans="1:28" x14ac:dyDescent="0.25">
      <c r="A3563" t="s">
        <v>3567</v>
      </c>
      <c r="B3563">
        <v>0.99904790336628502</v>
      </c>
      <c r="C3563">
        <v>1.0184652531270599</v>
      </c>
      <c r="D3563">
        <v>1.0664120183016901</v>
      </c>
      <c r="E3563">
        <v>0.97899113197950005</v>
      </c>
      <c r="F3563">
        <v>0.73288691078259105</v>
      </c>
      <c r="G3563">
        <v>0.30917096357282497</v>
      </c>
      <c r="H3563">
        <v>0.11614360798855999</v>
      </c>
      <c r="I3563">
        <v>9.9314385574295297E-2</v>
      </c>
      <c r="J3563">
        <v>8.4979055878670703E-2</v>
      </c>
      <c r="K3563">
        <v>7.5771539584591596E-2</v>
      </c>
      <c r="L3563">
        <v>1639.17165184736</v>
      </c>
      <c r="M3563">
        <v>29.934683448097498</v>
      </c>
      <c r="N3563">
        <v>55.083349323762398</v>
      </c>
      <c r="O3563">
        <v>54.515645667412102</v>
      </c>
      <c r="P3563">
        <v>-0.12616164714449199</v>
      </c>
      <c r="Q3563">
        <v>8.09672731090266E-2</v>
      </c>
      <c r="R3563">
        <v>0.99630175051403103</v>
      </c>
      <c r="S3563" t="s">
        <v>8303</v>
      </c>
      <c r="T3563" t="s">
        <v>9478</v>
      </c>
      <c r="U3563" t="s">
        <v>9478</v>
      </c>
      <c r="V3563" t="s">
        <v>9478</v>
      </c>
      <c r="W3563">
        <v>21</v>
      </c>
      <c r="X3563" t="s">
        <v>13041</v>
      </c>
      <c r="Y3563">
        <v>0.53918773046225588</v>
      </c>
      <c r="Z3563" t="str">
        <f>HYPERLINK("Melting_Curves/meltCurve_sp_Q9NZL9_MAT2B_HUMAN_.pdf", "Melting_Curves/meltCurve_sp_Q9NZL9_MAT2B_HUMAN_.pdf")</f>
        <v>Melting_Curves/meltCurve_sp_Q9NZL9_MAT2B_HUMAN_.pdf</v>
      </c>
      <c r="AA3563" t="s">
        <v>17727</v>
      </c>
      <c r="AB3563" t="s">
        <v>22396</v>
      </c>
    </row>
    <row r="3564" spans="1:28" x14ac:dyDescent="0.25">
      <c r="A3564" t="s">
        <v>3568</v>
      </c>
      <c r="B3564">
        <v>0.99904790336628502</v>
      </c>
      <c r="C3564">
        <v>0.99906428433135996</v>
      </c>
      <c r="D3564">
        <v>1.05209041976003</v>
      </c>
      <c r="E3564">
        <v>0.90825796616793197</v>
      </c>
      <c r="F3564">
        <v>0.75970333510614596</v>
      </c>
      <c r="G3564">
        <v>0.550650097138775</v>
      </c>
      <c r="H3564">
        <v>0.38330989554171102</v>
      </c>
      <c r="I3564">
        <v>0.29995473826564401</v>
      </c>
      <c r="J3564">
        <v>0.23850836770335801</v>
      </c>
      <c r="K3564">
        <v>0.219131953614292</v>
      </c>
      <c r="L3564">
        <v>920.89908903215201</v>
      </c>
      <c r="M3564">
        <v>16.3846022668295</v>
      </c>
      <c r="N3564">
        <v>57.948373730707502</v>
      </c>
      <c r="O3564">
        <v>55.387905950205202</v>
      </c>
      <c r="P3564">
        <v>-5.9569021631734297E-2</v>
      </c>
      <c r="Q3564">
        <v>0.19456865060334799</v>
      </c>
      <c r="R3564">
        <v>0.99401155618718295</v>
      </c>
      <c r="S3564" t="s">
        <v>8304</v>
      </c>
      <c r="T3564" t="s">
        <v>9478</v>
      </c>
      <c r="U3564" t="s">
        <v>9478</v>
      </c>
      <c r="V3564" t="s">
        <v>9478</v>
      </c>
      <c r="W3564">
        <v>14</v>
      </c>
      <c r="X3564" t="s">
        <v>13042</v>
      </c>
      <c r="Y3564">
        <v>0.64258666179177171</v>
      </c>
      <c r="Z3564" t="str">
        <f>HYPERLINK("Melting_Curves/meltCurve_sp_Q9NZM3_2_ITSN2_HUMAN_.pdf", "Melting_Curves/meltCurve_sp_Q9NZM3_2_ITSN2_HUMAN_.pdf")</f>
        <v>Melting_Curves/meltCurve_sp_Q9NZM3_2_ITSN2_HUMAN_.pdf</v>
      </c>
      <c r="AA3564" t="s">
        <v>17728</v>
      </c>
      <c r="AB3564" t="s">
        <v>22397</v>
      </c>
    </row>
    <row r="3565" spans="1:28" x14ac:dyDescent="0.25">
      <c r="A3565" t="s">
        <v>3569</v>
      </c>
      <c r="B3565">
        <v>0.99904790336628502</v>
      </c>
      <c r="C3565">
        <v>0.98464783926340105</v>
      </c>
      <c r="D3565">
        <v>0.95336833834217205</v>
      </c>
      <c r="E3565">
        <v>0.80222824221573996</v>
      </c>
      <c r="F3565">
        <v>0.56816317174715303</v>
      </c>
      <c r="G3565">
        <v>0.29453028431030798</v>
      </c>
      <c r="H3565">
        <v>0.17911215717998999</v>
      </c>
      <c r="I3565">
        <v>0.120829487214503</v>
      </c>
      <c r="J3565">
        <v>0.112518990424037</v>
      </c>
      <c r="K3565">
        <v>0.111146709359703</v>
      </c>
      <c r="L3565">
        <v>1017.9677785710001</v>
      </c>
      <c r="M3565">
        <v>19.113124590761199</v>
      </c>
      <c r="N3565">
        <v>53.864287973647997</v>
      </c>
      <c r="O3565">
        <v>52.687394222048702</v>
      </c>
      <c r="P3565">
        <v>-8.1944792127168903E-2</v>
      </c>
      <c r="Q3565">
        <v>9.6476487038688705E-2</v>
      </c>
      <c r="R3565">
        <v>0.999767595756615</v>
      </c>
      <c r="S3565" t="s">
        <v>8305</v>
      </c>
      <c r="T3565" t="s">
        <v>9478</v>
      </c>
      <c r="U3565" t="s">
        <v>9478</v>
      </c>
      <c r="V3565" t="s">
        <v>9478</v>
      </c>
      <c r="W3565">
        <v>26</v>
      </c>
      <c r="X3565" t="s">
        <v>13043</v>
      </c>
      <c r="Y3565">
        <v>0.50920448052822309</v>
      </c>
      <c r="Z3565" t="str">
        <f>HYPERLINK("Melting_Curves/meltCurve_sp_Q9NZN5_2_ARHGC_HUMAN_.pdf", "Melting_Curves/meltCurve_sp_Q9NZN5_2_ARHGC_HUMAN_.pdf")</f>
        <v>Melting_Curves/meltCurve_sp_Q9NZN5_2_ARHGC_HUMAN_.pdf</v>
      </c>
      <c r="AA3565" t="s">
        <v>17729</v>
      </c>
      <c r="AB3565" t="s">
        <v>22398</v>
      </c>
    </row>
    <row r="3566" spans="1:28" x14ac:dyDescent="0.25">
      <c r="A3566" t="s">
        <v>3570</v>
      </c>
      <c r="B3566">
        <v>0.99904790336628502</v>
      </c>
      <c r="C3566">
        <v>1.0377341840985801</v>
      </c>
      <c r="D3566">
        <v>1.1121658994068999</v>
      </c>
      <c r="E3566">
        <v>0.88174025555378399</v>
      </c>
      <c r="F3566">
        <v>0.59871397838778495</v>
      </c>
      <c r="G3566">
        <v>0.20049427686986199</v>
      </c>
      <c r="H3566">
        <v>0.12702929294552501</v>
      </c>
      <c r="I3566">
        <v>0.109594552226188</v>
      </c>
      <c r="J3566">
        <v>0.12390609723136201</v>
      </c>
      <c r="K3566">
        <v>0.10793683369446599</v>
      </c>
      <c r="L3566">
        <v>1738.2291480936501</v>
      </c>
      <c r="M3566">
        <v>32.639305659457797</v>
      </c>
      <c r="N3566">
        <v>53.671948557826497</v>
      </c>
      <c r="O3566">
        <v>53.056984185780102</v>
      </c>
      <c r="P3566">
        <v>-0.136597858462359</v>
      </c>
      <c r="Q3566">
        <v>0.11181484761989301</v>
      </c>
      <c r="R3566">
        <v>0.99077133908148196</v>
      </c>
      <c r="S3566" t="s">
        <v>8306</v>
      </c>
      <c r="T3566" t="s">
        <v>9478</v>
      </c>
      <c r="U3566" t="s">
        <v>9478</v>
      </c>
      <c r="V3566" t="s">
        <v>9478</v>
      </c>
      <c r="W3566">
        <v>5</v>
      </c>
      <c r="X3566" t="s">
        <v>13044</v>
      </c>
      <c r="Y3566">
        <v>0.50916307628344748</v>
      </c>
      <c r="Z3566" t="str">
        <f>HYPERLINK("Melting_Curves/meltCurve_sp_Q9NZN8_4_CNOT2_HUMAN_.pdf", "Melting_Curves/meltCurve_sp_Q9NZN8_4_CNOT2_HUMAN_.pdf")</f>
        <v>Melting_Curves/meltCurve_sp_Q9NZN8_4_CNOT2_HUMAN_.pdf</v>
      </c>
      <c r="AA3566" t="s">
        <v>17730</v>
      </c>
      <c r="AB3566" t="s">
        <v>22399</v>
      </c>
    </row>
    <row r="3567" spans="1:28" x14ac:dyDescent="0.25">
      <c r="A3567" t="s">
        <v>3571</v>
      </c>
      <c r="B3567">
        <v>0.99904790336628502</v>
      </c>
      <c r="C3567">
        <v>1.0015022315516999</v>
      </c>
      <c r="D3567">
        <v>1.0417483180975899</v>
      </c>
      <c r="E3567">
        <v>1.03505937733345</v>
      </c>
      <c r="F3567">
        <v>1.16685719411825</v>
      </c>
      <c r="G3567">
        <v>0.46737686588506899</v>
      </c>
      <c r="H3567">
        <v>4.07155315074198E-2</v>
      </c>
      <c r="I3567">
        <v>2.0700256165648499E-2</v>
      </c>
      <c r="J3567">
        <v>0</v>
      </c>
      <c r="K3567">
        <v>0</v>
      </c>
      <c r="L3567">
        <v>13504.432166708801</v>
      </c>
      <c r="M3567">
        <v>237.08394368857799</v>
      </c>
      <c r="N3567">
        <v>56.968046031903697</v>
      </c>
      <c r="O3567">
        <v>56.956498424162</v>
      </c>
      <c r="P3567">
        <v>-1.02465823231415</v>
      </c>
      <c r="Q3567">
        <v>1.53539042369464E-2</v>
      </c>
      <c r="R3567">
        <v>0.98672219140297801</v>
      </c>
      <c r="S3567" t="s">
        <v>8307</v>
      </c>
      <c r="T3567" t="s">
        <v>9478</v>
      </c>
      <c r="U3567" t="s">
        <v>9478</v>
      </c>
      <c r="V3567" t="s">
        <v>9478</v>
      </c>
      <c r="W3567">
        <v>1</v>
      </c>
      <c r="X3567" t="s">
        <v>13045</v>
      </c>
      <c r="Y3567">
        <v>0.57213471193227305</v>
      </c>
      <c r="Z3567" t="str">
        <f>HYPERLINK("Melting_Curves/meltCurve_sp_Q9NZN9_3_AIPL1_HUMAN_.pdf", "Melting_Curves/meltCurve_sp_Q9NZN9_3_AIPL1_HUMAN_.pdf")</f>
        <v>Melting_Curves/meltCurve_sp_Q9NZN9_3_AIPL1_HUMAN_.pdf</v>
      </c>
      <c r="AA3567" t="s">
        <v>17731</v>
      </c>
      <c r="AB3567" t="s">
        <v>22400</v>
      </c>
    </row>
    <row r="3568" spans="1:28" x14ac:dyDescent="0.25">
      <c r="A3568" t="s">
        <v>3572</v>
      </c>
      <c r="B3568">
        <v>0.99904790336628502</v>
      </c>
      <c r="C3568">
        <v>1.0113679756374601</v>
      </c>
      <c r="D3568">
        <v>1.00723615248659</v>
      </c>
      <c r="E3568">
        <v>0.95503724037322102</v>
      </c>
      <c r="F3568">
        <v>0.87823511250915198</v>
      </c>
      <c r="G3568">
        <v>0.45892616197300901</v>
      </c>
      <c r="H3568">
        <v>0.24431962488385001</v>
      </c>
      <c r="I3568">
        <v>0.185275461256211</v>
      </c>
      <c r="J3568">
        <v>0.14996786036760701</v>
      </c>
      <c r="K3568">
        <v>0.147086459362886</v>
      </c>
      <c r="L3568">
        <v>1608.2969977447401</v>
      </c>
      <c r="M3568">
        <v>28.714300441371201</v>
      </c>
      <c r="N3568">
        <v>56.731245857773402</v>
      </c>
      <c r="O3568">
        <v>55.740748662364297</v>
      </c>
      <c r="P3568">
        <v>-0.109099387239492</v>
      </c>
      <c r="Q3568">
        <v>0.15286305960320601</v>
      </c>
      <c r="R3568">
        <v>0.99885021846889899</v>
      </c>
      <c r="S3568" t="s">
        <v>8308</v>
      </c>
      <c r="T3568" t="s">
        <v>9478</v>
      </c>
      <c r="U3568" t="s">
        <v>9478</v>
      </c>
      <c r="V3568" t="s">
        <v>9478</v>
      </c>
      <c r="W3568">
        <v>4</v>
      </c>
      <c r="X3568" t="s">
        <v>13046</v>
      </c>
      <c r="Y3568">
        <v>0.61107734659650459</v>
      </c>
      <c r="Z3568" t="str">
        <f>HYPERLINK("Melting_Curves/meltCurve_sp_Q9NZP8_C1RL_HUMAN_.pdf", "Melting_Curves/meltCurve_sp_Q9NZP8_C1RL_HUMAN_.pdf")</f>
        <v>Melting_Curves/meltCurve_sp_Q9NZP8_C1RL_HUMAN_.pdf</v>
      </c>
      <c r="AA3568" t="s">
        <v>17732</v>
      </c>
      <c r="AB3568" t="s">
        <v>22401</v>
      </c>
    </row>
    <row r="3569" spans="1:28" x14ac:dyDescent="0.25">
      <c r="A3569" t="s">
        <v>3573</v>
      </c>
      <c r="B3569">
        <v>0.99904790336628502</v>
      </c>
      <c r="C3569">
        <v>1.0017899544023099</v>
      </c>
      <c r="D3569">
        <v>0.94527072927780198</v>
      </c>
      <c r="E3569">
        <v>0.78718210783627596</v>
      </c>
      <c r="F3569">
        <v>0.63090054713523802</v>
      </c>
      <c r="G3569">
        <v>0.48216927721999597</v>
      </c>
      <c r="H3569">
        <v>0.40980481469379598</v>
      </c>
      <c r="I3569">
        <v>0.35634068951750297</v>
      </c>
      <c r="J3569">
        <v>0.36996382677739398</v>
      </c>
      <c r="K3569">
        <v>0.36777479674874802</v>
      </c>
      <c r="L3569">
        <v>906.21186744294096</v>
      </c>
      <c r="M3569">
        <v>17.3719002164732</v>
      </c>
      <c r="N3569">
        <v>56.131154926258901</v>
      </c>
      <c r="O3569">
        <v>51.488866135663102</v>
      </c>
      <c r="P3569">
        <v>-5.4536815747083099E-2</v>
      </c>
      <c r="Q3569">
        <v>0.35346654330708399</v>
      </c>
      <c r="R3569">
        <v>0.99852917649631301</v>
      </c>
      <c r="S3569" t="s">
        <v>8309</v>
      </c>
      <c r="T3569" t="s">
        <v>9478</v>
      </c>
      <c r="U3569" t="s">
        <v>9478</v>
      </c>
      <c r="V3569" t="s">
        <v>9478</v>
      </c>
      <c r="W3569">
        <v>15</v>
      </c>
      <c r="X3569" t="s">
        <v>13047</v>
      </c>
      <c r="Y3569">
        <v>0.62703494891616507</v>
      </c>
      <c r="Z3569" t="str">
        <f>HYPERLINK("Melting_Curves/meltCurve_sp_Q9NZT2_2_OGFR_HUMAN_.pdf", "Melting_Curves/meltCurve_sp_Q9NZT2_2_OGFR_HUMAN_.pdf")</f>
        <v>Melting_Curves/meltCurve_sp_Q9NZT2_2_OGFR_HUMAN_.pdf</v>
      </c>
      <c r="AA3569" t="s">
        <v>17733</v>
      </c>
      <c r="AB3569" t="s">
        <v>22402</v>
      </c>
    </row>
    <row r="3570" spans="1:28" x14ac:dyDescent="0.25">
      <c r="A3570" t="s">
        <v>3574</v>
      </c>
      <c r="B3570">
        <v>0.99904790336628502</v>
      </c>
      <c r="C3570">
        <v>1.13690011121068</v>
      </c>
      <c r="D3570">
        <v>1.10614941718352</v>
      </c>
      <c r="E3570">
        <v>1.0487817186149899</v>
      </c>
      <c r="F3570">
        <v>0.78407458767074401</v>
      </c>
      <c r="G3570">
        <v>0.26168756934058601</v>
      </c>
      <c r="H3570">
        <v>0.171838483732902</v>
      </c>
      <c r="I3570">
        <v>0.13746459664091101</v>
      </c>
      <c r="J3570">
        <v>0.17801055835174501</v>
      </c>
      <c r="K3570">
        <v>0.19259465794366001</v>
      </c>
      <c r="L3570">
        <v>2558.4737809625499</v>
      </c>
      <c r="M3570">
        <v>47.155016191351898</v>
      </c>
      <c r="N3570">
        <v>54.743109793875497</v>
      </c>
      <c r="O3570">
        <v>54.159352163626501</v>
      </c>
      <c r="P3570">
        <v>-0.180412006990608</v>
      </c>
      <c r="Q3570">
        <v>0.17116033892740001</v>
      </c>
      <c r="R3570">
        <v>0.97989758673179495</v>
      </c>
      <c r="S3570" t="s">
        <v>8310</v>
      </c>
      <c r="T3570" t="s">
        <v>9478</v>
      </c>
      <c r="U3570" t="s">
        <v>9478</v>
      </c>
      <c r="V3570" t="s">
        <v>9478</v>
      </c>
      <c r="W3570">
        <v>6</v>
      </c>
      <c r="X3570" t="s">
        <v>13048</v>
      </c>
      <c r="Y3570">
        <v>0.56727364392049329</v>
      </c>
      <c r="Z3570" t="str">
        <f>HYPERLINK("Melting_Curves/meltCurve_sp_Q9NZU5_LMCD1_HUMAN_.pdf", "Melting_Curves/meltCurve_sp_Q9NZU5_LMCD1_HUMAN_.pdf")</f>
        <v>Melting_Curves/meltCurve_sp_Q9NZU5_LMCD1_HUMAN_.pdf</v>
      </c>
      <c r="AA3570" t="s">
        <v>17734</v>
      </c>
      <c r="AB3570" t="s">
        <v>22403</v>
      </c>
    </row>
    <row r="3571" spans="1:28" x14ac:dyDescent="0.25">
      <c r="A3571" t="s">
        <v>3575</v>
      </c>
      <c r="B3571">
        <v>0.99904790336628502</v>
      </c>
      <c r="C3571">
        <v>0.94722353616572796</v>
      </c>
      <c r="D3571">
        <v>0.94664041344085104</v>
      </c>
      <c r="E3571">
        <v>0.90729699592186797</v>
      </c>
      <c r="F3571">
        <v>0.90458719932660003</v>
      </c>
      <c r="G3571">
        <v>0.70022945198869002</v>
      </c>
      <c r="H3571">
        <v>0.64231460313553701</v>
      </c>
      <c r="I3571">
        <v>0.62085261708207495</v>
      </c>
      <c r="J3571">
        <v>0.68673023436971703</v>
      </c>
      <c r="K3571">
        <v>0.67599267074705305</v>
      </c>
      <c r="L3571">
        <v>1295.7823434729401</v>
      </c>
      <c r="M3571">
        <v>24.060969767758301</v>
      </c>
      <c r="O3571">
        <v>53.486264921283798</v>
      </c>
      <c r="P3571">
        <v>-3.9618503873794397E-2</v>
      </c>
      <c r="Q3571">
        <v>0.64772621743481096</v>
      </c>
      <c r="R3571">
        <v>0.93255635367279099</v>
      </c>
      <c r="S3571" t="s">
        <v>8311</v>
      </c>
      <c r="T3571" t="s">
        <v>9478</v>
      </c>
      <c r="U3571" t="s">
        <v>9478</v>
      </c>
      <c r="V3571" t="s">
        <v>9478</v>
      </c>
      <c r="W3571">
        <v>5</v>
      </c>
      <c r="X3571" t="s">
        <v>13049</v>
      </c>
      <c r="Y3571">
        <v>0.81390058132787568</v>
      </c>
      <c r="Z3571" t="str">
        <f>HYPERLINK("Melting_Curves/meltCurve_sp_Q9NZZ3_CHMP5_HUMAN_.pdf", "Melting_Curves/meltCurve_sp_Q9NZZ3_CHMP5_HUMAN_.pdf")</f>
        <v>Melting_Curves/meltCurve_sp_Q9NZZ3_CHMP5_HUMAN_.pdf</v>
      </c>
      <c r="AA3571" t="s">
        <v>17735</v>
      </c>
      <c r="AB3571" t="s">
        <v>22404</v>
      </c>
    </row>
    <row r="3572" spans="1:28" x14ac:dyDescent="0.25">
      <c r="A3572" t="s">
        <v>3576</v>
      </c>
      <c r="B3572">
        <v>0.99904790336628502</v>
      </c>
      <c r="C3572">
        <v>1.03872838229329</v>
      </c>
      <c r="D3572">
        <v>1.05109131810236</v>
      </c>
      <c r="E3572">
        <v>0.92232889183360001</v>
      </c>
      <c r="F3572">
        <v>0.82351808573615204</v>
      </c>
      <c r="G3572">
        <v>0.47807105418144602</v>
      </c>
      <c r="H3572">
        <v>0.20720281491195999</v>
      </c>
      <c r="I3572">
        <v>0.132431672041114</v>
      </c>
      <c r="J3572">
        <v>8.7444972622614095E-2</v>
      </c>
      <c r="K3572">
        <v>6.9201735472011597E-2</v>
      </c>
      <c r="L3572">
        <v>1237.4775458752999</v>
      </c>
      <c r="M3572">
        <v>21.929982298415201</v>
      </c>
      <c r="N3572">
        <v>56.755332978549099</v>
      </c>
      <c r="O3572">
        <v>55.965639462869703</v>
      </c>
      <c r="P3572">
        <v>-9.2154078907046799E-2</v>
      </c>
      <c r="Q3572">
        <v>5.9306970611504597E-2</v>
      </c>
      <c r="R3572">
        <v>0.99655760588228703</v>
      </c>
      <c r="S3572" t="s">
        <v>8312</v>
      </c>
      <c r="T3572" t="s">
        <v>9478</v>
      </c>
      <c r="U3572" t="s">
        <v>9478</v>
      </c>
      <c r="V3572" t="s">
        <v>9478</v>
      </c>
      <c r="W3572">
        <v>7</v>
      </c>
      <c r="X3572" t="s">
        <v>13050</v>
      </c>
      <c r="Y3572">
        <v>0.58493081487935117</v>
      </c>
      <c r="Z3572" t="str">
        <f>HYPERLINK("Melting_Curves/meltCurve_sp_Q9P000_COMD9_HUMAN_.pdf", "Melting_Curves/meltCurve_sp_Q9P000_COMD9_HUMAN_.pdf")</f>
        <v>Melting_Curves/meltCurve_sp_Q9P000_COMD9_HUMAN_.pdf</v>
      </c>
      <c r="AA3572" t="s">
        <v>17736</v>
      </c>
      <c r="AB3572" t="s">
        <v>22405</v>
      </c>
    </row>
    <row r="3573" spans="1:28" x14ac:dyDescent="0.25">
      <c r="A3573" t="s">
        <v>3577</v>
      </c>
      <c r="B3573">
        <v>0.99904790336628502</v>
      </c>
      <c r="C3573">
        <v>0.94615548602072397</v>
      </c>
      <c r="D3573">
        <v>0.94347835305614902</v>
      </c>
      <c r="E3573">
        <v>0.82218240864830305</v>
      </c>
      <c r="F3573">
        <v>0.859053005299523</v>
      </c>
      <c r="G3573">
        <v>0.61420567190864095</v>
      </c>
      <c r="H3573">
        <v>0.57080424894356496</v>
      </c>
      <c r="I3573">
        <v>0.53447256224289696</v>
      </c>
      <c r="J3573">
        <v>0.63856785407728101</v>
      </c>
      <c r="K3573">
        <v>0.652091539513737</v>
      </c>
      <c r="L3573">
        <v>876.26585174098398</v>
      </c>
      <c r="M3573">
        <v>16.804253075062999</v>
      </c>
      <c r="O3573">
        <v>51.423808976531298</v>
      </c>
      <c r="P3573">
        <v>-3.4067828669844903E-2</v>
      </c>
      <c r="Q3573">
        <v>0.583014086441765</v>
      </c>
      <c r="R3573">
        <v>0.89757749304252499</v>
      </c>
      <c r="S3573" t="s">
        <v>8313</v>
      </c>
      <c r="T3573" t="s">
        <v>9478</v>
      </c>
      <c r="U3573" t="s">
        <v>9478</v>
      </c>
      <c r="V3573" t="s">
        <v>9478</v>
      </c>
      <c r="W3573">
        <v>6</v>
      </c>
      <c r="X3573" t="s">
        <v>13051</v>
      </c>
      <c r="Y3573">
        <v>0.75959183877215863</v>
      </c>
      <c r="Z3573" t="str">
        <f>HYPERLINK("Melting_Curves/meltCurve_sp_Q9P013_CWC15_HUMAN_.pdf", "Melting_Curves/meltCurve_sp_Q9P013_CWC15_HUMAN_.pdf")</f>
        <v>Melting_Curves/meltCurve_sp_Q9P013_CWC15_HUMAN_.pdf</v>
      </c>
      <c r="AA3573" t="s">
        <v>17737</v>
      </c>
      <c r="AB3573" t="s">
        <v>22406</v>
      </c>
    </row>
    <row r="3574" spans="1:28" x14ac:dyDescent="0.25">
      <c r="A3574" t="s">
        <v>3578</v>
      </c>
      <c r="B3574">
        <v>0.99904790336628502</v>
      </c>
      <c r="C3574">
        <v>0.93093713059547101</v>
      </c>
      <c r="D3574">
        <v>0.79746226760831795</v>
      </c>
      <c r="E3574">
        <v>0.33864454679977501</v>
      </c>
      <c r="F3574">
        <v>0.18376458623154099</v>
      </c>
      <c r="G3574">
        <v>0.11156617181492801</v>
      </c>
      <c r="H3574">
        <v>6.32352743495182E-2</v>
      </c>
      <c r="I3574">
        <v>4.6041777504677701E-2</v>
      </c>
      <c r="J3574">
        <v>4.2936471424404599E-2</v>
      </c>
      <c r="K3574">
        <v>3.7652755438932699E-2</v>
      </c>
      <c r="L3574">
        <v>1086.16786595393</v>
      </c>
      <c r="M3574">
        <v>22.435711176792601</v>
      </c>
      <c r="N3574">
        <v>48.643991322818103</v>
      </c>
      <c r="O3574">
        <v>48.032772184612398</v>
      </c>
      <c r="P3574">
        <v>-0.11086156313543601</v>
      </c>
      <c r="Q3574">
        <v>5.0642629714201401E-2</v>
      </c>
      <c r="R3574">
        <v>0.99794262682718804</v>
      </c>
      <c r="S3574" t="s">
        <v>8314</v>
      </c>
      <c r="T3574" t="s">
        <v>9478</v>
      </c>
      <c r="U3574" t="s">
        <v>9478</v>
      </c>
      <c r="V3574" t="s">
        <v>9478</v>
      </c>
      <c r="W3574">
        <v>10</v>
      </c>
      <c r="X3574" t="s">
        <v>13052</v>
      </c>
      <c r="Y3574">
        <v>0.32738668477049521</v>
      </c>
      <c r="Z3574" t="str">
        <f>HYPERLINK("Melting_Curves/meltCurve_sp_Q9P016_THYN1_HUMAN_.pdf", "Melting_Curves/meltCurve_sp_Q9P016_THYN1_HUMAN_.pdf")</f>
        <v>Melting_Curves/meltCurve_sp_Q9P016_THYN1_HUMAN_.pdf</v>
      </c>
      <c r="AA3574" t="s">
        <v>17738</v>
      </c>
      <c r="AB3574" t="s">
        <v>22407</v>
      </c>
    </row>
    <row r="3575" spans="1:28" x14ac:dyDescent="0.25">
      <c r="A3575" t="s">
        <v>3579</v>
      </c>
      <c r="B3575">
        <v>0.99904790336628502</v>
      </c>
      <c r="C3575">
        <v>0.77824145252412702</v>
      </c>
      <c r="D3575">
        <v>0.78473066776622902</v>
      </c>
      <c r="E3575">
        <v>0.78668493412906504</v>
      </c>
      <c r="F3575">
        <v>0.51237875353000994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1404.23463181228</v>
      </c>
      <c r="M3575">
        <v>26.728964420429001</v>
      </c>
      <c r="N3575">
        <v>52.5360656373919</v>
      </c>
      <c r="O3575">
        <v>52.244636611921202</v>
      </c>
      <c r="P3575">
        <v>-0.12790421688919501</v>
      </c>
      <c r="Q3575">
        <v>0</v>
      </c>
      <c r="R3575">
        <v>0.93589162491789102</v>
      </c>
      <c r="S3575" t="s">
        <v>8315</v>
      </c>
      <c r="T3575" t="s">
        <v>9478</v>
      </c>
      <c r="U3575" t="s">
        <v>9478</v>
      </c>
      <c r="V3575" t="s">
        <v>9478</v>
      </c>
      <c r="W3575">
        <v>1</v>
      </c>
      <c r="X3575" t="s">
        <v>13053</v>
      </c>
      <c r="Y3575">
        <v>0.42593934165694031</v>
      </c>
      <c r="Z3575" t="str">
        <f>HYPERLINK("Melting_Curves/meltCurve_sp_Q9P035_HACD3_HUMAN_.pdf", "Melting_Curves/meltCurve_sp_Q9P035_HACD3_HUMAN_.pdf")</f>
        <v>Melting_Curves/meltCurve_sp_Q9P035_HACD3_HUMAN_.pdf</v>
      </c>
      <c r="AA3575" t="s">
        <v>17739</v>
      </c>
      <c r="AB3575" t="s">
        <v>22408</v>
      </c>
    </row>
    <row r="3576" spans="1:28" x14ac:dyDescent="0.25">
      <c r="A3576" t="s">
        <v>3580</v>
      </c>
      <c r="B3576">
        <v>0.99904790336628502</v>
      </c>
      <c r="C3576">
        <v>1.0360754340009899</v>
      </c>
      <c r="D3576">
        <v>0.84720701195201698</v>
      </c>
      <c r="E3576">
        <v>0.55372237219253595</v>
      </c>
      <c r="F3576">
        <v>0.55525219569251205</v>
      </c>
      <c r="G3576">
        <v>0.38344180446783199</v>
      </c>
      <c r="H3576">
        <v>0.25860015690700999</v>
      </c>
      <c r="I3576">
        <v>0.27060927928373602</v>
      </c>
      <c r="J3576">
        <v>0.19593792572692301</v>
      </c>
      <c r="K3576">
        <v>0.28581290696515599</v>
      </c>
      <c r="L3576">
        <v>751.14071645045203</v>
      </c>
      <c r="M3576">
        <v>14.8895926210949</v>
      </c>
      <c r="N3576">
        <v>52.678885046960303</v>
      </c>
      <c r="O3576">
        <v>49.563629305290704</v>
      </c>
      <c r="P3576">
        <v>-5.7542731667602098E-2</v>
      </c>
      <c r="Q3576">
        <v>0.23389977762589201</v>
      </c>
      <c r="R3576">
        <v>0.969737577619602</v>
      </c>
      <c r="S3576" t="s">
        <v>8316</v>
      </c>
      <c r="T3576" t="s">
        <v>9478</v>
      </c>
      <c r="U3576" t="s">
        <v>9478</v>
      </c>
      <c r="V3576" t="s">
        <v>9478</v>
      </c>
      <c r="W3576">
        <v>2</v>
      </c>
      <c r="X3576" t="s">
        <v>13054</v>
      </c>
      <c r="Y3576">
        <v>0.51893123102614991</v>
      </c>
      <c r="Z3576" t="str">
        <f>HYPERLINK("Melting_Curves/meltCurve_sp_Q9P0J1_PDP1_HUMAN_.pdf", "Melting_Curves/meltCurve_sp_Q9P0J1_PDP1_HUMAN_.pdf")</f>
        <v>Melting_Curves/meltCurve_sp_Q9P0J1_PDP1_HUMAN_.pdf</v>
      </c>
      <c r="AA3576" t="s">
        <v>17740</v>
      </c>
      <c r="AB3576" t="s">
        <v>22409</v>
      </c>
    </row>
    <row r="3577" spans="1:28" x14ac:dyDescent="0.25">
      <c r="A3577" t="s">
        <v>3581</v>
      </c>
      <c r="B3577">
        <v>0.99904790336628502</v>
      </c>
      <c r="C3577">
        <v>1.17768562312102</v>
      </c>
      <c r="D3577">
        <v>1.1888392038478</v>
      </c>
      <c r="E3577">
        <v>0.96102037711092003</v>
      </c>
      <c r="F3577">
        <v>0.829546184071139</v>
      </c>
      <c r="G3577">
        <v>0.471115387993783</v>
      </c>
      <c r="H3577">
        <v>0.40892127432889602</v>
      </c>
      <c r="I3577">
        <v>0.329258613072067</v>
      </c>
      <c r="J3577">
        <v>0.36297279424685902</v>
      </c>
      <c r="K3577">
        <v>0.33567170268910101</v>
      </c>
      <c r="L3577">
        <v>1835.5976390232499</v>
      </c>
      <c r="M3577">
        <v>33.615704045110597</v>
      </c>
      <c r="N3577">
        <v>56.649696923841397</v>
      </c>
      <c r="O3577">
        <v>54.413202469045999</v>
      </c>
      <c r="P3577">
        <v>-0.100179775799528</v>
      </c>
      <c r="Q3577">
        <v>0.35136508252576298</v>
      </c>
      <c r="R3577">
        <v>0.939337195102105</v>
      </c>
      <c r="S3577" t="s">
        <v>8317</v>
      </c>
      <c r="T3577" t="s">
        <v>9478</v>
      </c>
      <c r="U3577" t="s">
        <v>9478</v>
      </c>
      <c r="V3577" t="s">
        <v>9478</v>
      </c>
      <c r="W3577">
        <v>2</v>
      </c>
      <c r="X3577" t="s">
        <v>13055</v>
      </c>
      <c r="Y3577">
        <v>0.67059194460212679</v>
      </c>
      <c r="Z3577" t="str">
        <f>HYPERLINK("Melting_Curves/meltCurve_sp_Q9P0J7_KCMF1_HUMAN_.pdf", "Melting_Curves/meltCurve_sp_Q9P0J7_KCMF1_HUMAN_.pdf")</f>
        <v>Melting_Curves/meltCurve_sp_Q9P0J7_KCMF1_HUMAN_.pdf</v>
      </c>
      <c r="AA3577" t="s">
        <v>17741</v>
      </c>
      <c r="AB3577" t="s">
        <v>22410</v>
      </c>
    </row>
    <row r="3578" spans="1:28" x14ac:dyDescent="0.25">
      <c r="A3578" t="s">
        <v>3582</v>
      </c>
      <c r="B3578">
        <v>0.99904790336628502</v>
      </c>
      <c r="C3578">
        <v>1.00080300806402</v>
      </c>
      <c r="D3578">
        <v>1.0007674718347499</v>
      </c>
      <c r="E3578">
        <v>0.85493923030657704</v>
      </c>
      <c r="F3578">
        <v>0.69676107656277697</v>
      </c>
      <c r="G3578">
        <v>0.48050017030819497</v>
      </c>
      <c r="H3578">
        <v>0.36589552751099802</v>
      </c>
      <c r="I3578">
        <v>0.30921426456742201</v>
      </c>
      <c r="J3578">
        <v>0.26924259992208399</v>
      </c>
      <c r="K3578">
        <v>0.225480480613199</v>
      </c>
      <c r="L3578">
        <v>881.77727314274102</v>
      </c>
      <c r="M3578">
        <v>16.145948723081599</v>
      </c>
      <c r="N3578">
        <v>56.7578247935975</v>
      </c>
      <c r="O3578">
        <v>53.79575951076</v>
      </c>
      <c r="P3578">
        <v>-5.7902430026723399E-2</v>
      </c>
      <c r="Q3578">
        <v>0.22837126989572801</v>
      </c>
      <c r="R3578">
        <v>0.99711434601196103</v>
      </c>
      <c r="S3578" t="s">
        <v>8318</v>
      </c>
      <c r="T3578" t="s">
        <v>9478</v>
      </c>
      <c r="U3578" t="s">
        <v>9478</v>
      </c>
      <c r="V3578" t="s">
        <v>9478</v>
      </c>
      <c r="W3578">
        <v>26</v>
      </c>
      <c r="X3578" t="s">
        <v>13056</v>
      </c>
      <c r="Y3578">
        <v>0.61821988923979243</v>
      </c>
      <c r="Z3578" t="str">
        <f>HYPERLINK("Melting_Curves/meltCurve_sp_Q9P0K7_3_RAI14_HUMAN_.pdf", "Melting_Curves/meltCurve_sp_Q9P0K7_3_RAI14_HUMAN_.pdf")</f>
        <v>Melting_Curves/meltCurve_sp_Q9P0K7_3_RAI14_HUMAN_.pdf</v>
      </c>
      <c r="AA3578" t="s">
        <v>17742</v>
      </c>
      <c r="AB3578" t="s">
        <v>22411</v>
      </c>
    </row>
    <row r="3579" spans="1:28" x14ac:dyDescent="0.25">
      <c r="A3579" t="s">
        <v>3583</v>
      </c>
      <c r="B3579">
        <v>0.99904790336628502</v>
      </c>
      <c r="C3579">
        <v>0.94597824046232903</v>
      </c>
      <c r="D3579">
        <v>0.90964642473877999</v>
      </c>
      <c r="E3579">
        <v>0.93454659548297703</v>
      </c>
      <c r="F3579">
        <v>0.96620760483187396</v>
      </c>
      <c r="G3579">
        <v>0.74532711030081</v>
      </c>
      <c r="H3579">
        <v>0.65011108631675996</v>
      </c>
      <c r="I3579">
        <v>0.61378911627083299</v>
      </c>
      <c r="J3579">
        <v>0.58560236212098205</v>
      </c>
      <c r="K3579">
        <v>0.51369579380889596</v>
      </c>
      <c r="L3579">
        <v>751.04742874695</v>
      </c>
      <c r="M3579">
        <v>12.8456200948798</v>
      </c>
      <c r="O3579">
        <v>57.104619501964997</v>
      </c>
      <c r="P3579">
        <v>-2.9590322406422301E-2</v>
      </c>
      <c r="Q3579">
        <v>0.47392762752416601</v>
      </c>
      <c r="R3579">
        <v>0.94559719165571798</v>
      </c>
      <c r="S3579" t="s">
        <v>8319</v>
      </c>
      <c r="T3579" t="s">
        <v>9478</v>
      </c>
      <c r="U3579" t="s">
        <v>9478</v>
      </c>
      <c r="V3579" t="s">
        <v>9478</v>
      </c>
      <c r="W3579">
        <v>6</v>
      </c>
      <c r="X3579" t="s">
        <v>13057</v>
      </c>
      <c r="Y3579">
        <v>0.80373182451452685</v>
      </c>
      <c r="Z3579" t="str">
        <f>HYPERLINK("Melting_Curves/meltCurve_sp_Q9P0L0_VAPA_HUMAN_.pdf", "Melting_Curves/meltCurve_sp_Q9P0L0_VAPA_HUMAN_.pdf")</f>
        <v>Melting_Curves/meltCurve_sp_Q9P0L0_VAPA_HUMAN_.pdf</v>
      </c>
      <c r="AA3579" t="s">
        <v>17743</v>
      </c>
      <c r="AB3579" t="s">
        <v>22412</v>
      </c>
    </row>
    <row r="3580" spans="1:28" x14ac:dyDescent="0.25">
      <c r="A3580" t="s">
        <v>3584</v>
      </c>
      <c r="B3580">
        <v>0.99904790336628502</v>
      </c>
      <c r="C3580">
        <v>0.93333072306680498</v>
      </c>
      <c r="D3580">
        <v>1.00382057342183</v>
      </c>
      <c r="E3580">
        <v>0.99482622135763199</v>
      </c>
      <c r="F3580">
        <v>0.99403557144948695</v>
      </c>
      <c r="G3580">
        <v>0.77313152263523399</v>
      </c>
      <c r="H3580">
        <v>0.62505736051902105</v>
      </c>
      <c r="I3580">
        <v>0.50683842985773997</v>
      </c>
      <c r="J3580">
        <v>0.37350861255975998</v>
      </c>
      <c r="K3580">
        <v>0.112580675764249</v>
      </c>
      <c r="L3580">
        <v>923.83163748546599</v>
      </c>
      <c r="M3580">
        <v>14.5747121959702</v>
      </c>
      <c r="N3580">
        <v>63.385926611587998</v>
      </c>
      <c r="O3580">
        <v>62.228499844020298</v>
      </c>
      <c r="P3580">
        <v>-5.8559826084834697E-2</v>
      </c>
      <c r="Q3580">
        <v>0</v>
      </c>
      <c r="R3580">
        <v>0.97281058580540902</v>
      </c>
      <c r="S3580" t="s">
        <v>8320</v>
      </c>
      <c r="T3580" t="s">
        <v>9478</v>
      </c>
      <c r="U3580" t="s">
        <v>9478</v>
      </c>
      <c r="V3580" t="s">
        <v>9478</v>
      </c>
      <c r="W3580">
        <v>7</v>
      </c>
      <c r="X3580" t="s">
        <v>13058</v>
      </c>
      <c r="Y3580">
        <v>0.76637633181935638</v>
      </c>
      <c r="Z3580" t="str">
        <f>HYPERLINK("Melting_Curves/meltCurve_sp_Q9P0M2_AKA7G_HUMAN_.pdf", "Melting_Curves/meltCurve_sp_Q9P0M2_AKA7G_HUMAN_.pdf")</f>
        <v>Melting_Curves/meltCurve_sp_Q9P0M2_AKA7G_HUMAN_.pdf</v>
      </c>
      <c r="AA3580" t="s">
        <v>17744</v>
      </c>
      <c r="AB3580" t="s">
        <v>22413</v>
      </c>
    </row>
    <row r="3581" spans="1:28" x14ac:dyDescent="0.25">
      <c r="A3581" t="s">
        <v>3585</v>
      </c>
      <c r="B3581">
        <v>0.99904790336628502</v>
      </c>
      <c r="C3581">
        <v>0.987407911715104</v>
      </c>
      <c r="D3581">
        <v>0.98455731625089704</v>
      </c>
      <c r="E3581">
        <v>0.94699565732461399</v>
      </c>
      <c r="F3581">
        <v>0.91727989213635697</v>
      </c>
      <c r="G3581">
        <v>0.64249473811368296</v>
      </c>
      <c r="H3581">
        <v>0.38242500135950003</v>
      </c>
      <c r="I3581">
        <v>0.27121331152315098</v>
      </c>
      <c r="J3581">
        <v>0.199255549516827</v>
      </c>
      <c r="K3581">
        <v>0.145056839970433</v>
      </c>
      <c r="L3581">
        <v>1123.97665011447</v>
      </c>
      <c r="M3581">
        <v>19.282180108873099</v>
      </c>
      <c r="N3581">
        <v>59.176468924867997</v>
      </c>
      <c r="O3581">
        <v>57.674854542429998</v>
      </c>
      <c r="P3581">
        <v>-7.31096843757124E-2</v>
      </c>
      <c r="Q3581">
        <v>0.12532054345125501</v>
      </c>
      <c r="R3581">
        <v>0.99826279720740596</v>
      </c>
      <c r="S3581" t="s">
        <v>8321</v>
      </c>
      <c r="T3581" t="s">
        <v>9478</v>
      </c>
      <c r="U3581" t="s">
        <v>9478</v>
      </c>
      <c r="V3581" t="s">
        <v>9478</v>
      </c>
      <c r="W3581">
        <v>4</v>
      </c>
      <c r="X3581" t="s">
        <v>13059</v>
      </c>
      <c r="Y3581">
        <v>0.66853230907146655</v>
      </c>
      <c r="Z3581" t="str">
        <f>HYPERLINK("Melting_Curves/meltCurve_sp_Q9P0P8_CF203_HUMAN_.pdf", "Melting_Curves/meltCurve_sp_Q9P0P8_CF203_HUMAN_.pdf")</f>
        <v>Melting_Curves/meltCurve_sp_Q9P0P8_CF203_HUMAN_.pdf</v>
      </c>
      <c r="AA3581" t="s">
        <v>17745</v>
      </c>
      <c r="AB3581" t="s">
        <v>22414</v>
      </c>
    </row>
    <row r="3582" spans="1:28" x14ac:dyDescent="0.25">
      <c r="A3582" t="s">
        <v>3586</v>
      </c>
      <c r="B3582">
        <v>0.99904790336628502</v>
      </c>
      <c r="C3582">
        <v>0.91774224045713804</v>
      </c>
      <c r="D3582">
        <v>0.84785619672863199</v>
      </c>
      <c r="E3582">
        <v>0.887048097384318</v>
      </c>
      <c r="F3582">
        <v>0.92534608967204701</v>
      </c>
      <c r="G3582">
        <v>0</v>
      </c>
      <c r="H3582">
        <v>0.51956598489203398</v>
      </c>
      <c r="I3582">
        <v>0.422221945721453</v>
      </c>
      <c r="J3582">
        <v>0.44562411672434898</v>
      </c>
      <c r="K3582">
        <v>0.29658233679989698</v>
      </c>
      <c r="L3582">
        <v>13359.433650868899</v>
      </c>
      <c r="M3582">
        <v>250</v>
      </c>
      <c r="N3582">
        <v>53.6781346857911</v>
      </c>
      <c r="O3582">
        <v>53.434315124229201</v>
      </c>
      <c r="P3582">
        <v>-0.77572006306821395</v>
      </c>
      <c r="Q3582">
        <v>0.33679887825697702</v>
      </c>
      <c r="R3582">
        <v>0.79325376354427501</v>
      </c>
      <c r="S3582" t="s">
        <v>8322</v>
      </c>
      <c r="T3582" t="s">
        <v>9478</v>
      </c>
      <c r="U3582" t="s">
        <v>9478</v>
      </c>
      <c r="V3582" t="s">
        <v>9478</v>
      </c>
      <c r="W3582">
        <v>2</v>
      </c>
      <c r="X3582" t="s">
        <v>13060</v>
      </c>
      <c r="Y3582">
        <v>0.63392509693525367</v>
      </c>
      <c r="Z3582" t="str">
        <f>HYPERLINK("Melting_Curves/meltCurve_sp_Q9P0R6_GSKIP_HUMAN_.pdf", "Melting_Curves/meltCurve_sp_Q9P0R6_GSKIP_HUMAN_.pdf")</f>
        <v>Melting_Curves/meltCurve_sp_Q9P0R6_GSKIP_HUMAN_.pdf</v>
      </c>
      <c r="AA3582" t="s">
        <v>17746</v>
      </c>
      <c r="AB3582" t="s">
        <v>22415</v>
      </c>
    </row>
    <row r="3583" spans="1:28" x14ac:dyDescent="0.25">
      <c r="A3583" t="s">
        <v>3587</v>
      </c>
      <c r="B3583">
        <v>0.99904790336628502</v>
      </c>
      <c r="C3583">
        <v>0.93289070579531896</v>
      </c>
      <c r="D3583">
        <v>0.95992165063635504</v>
      </c>
      <c r="E3583">
        <v>0.96160026661855502</v>
      </c>
      <c r="F3583">
        <v>0.88359996364316196</v>
      </c>
      <c r="G3583">
        <v>0.69637515013818496</v>
      </c>
      <c r="H3583">
        <v>0.40314427168389899</v>
      </c>
      <c r="I3583">
        <v>0.23376800071540599</v>
      </c>
      <c r="J3583">
        <v>8.38007580736123E-2</v>
      </c>
      <c r="K3583">
        <v>5.5320727562593097E-2</v>
      </c>
      <c r="L3583">
        <v>1073.0192651361001</v>
      </c>
      <c r="M3583">
        <v>18.0261276027767</v>
      </c>
      <c r="N3583">
        <v>59.525777804993801</v>
      </c>
      <c r="O3583">
        <v>58.807704143990897</v>
      </c>
      <c r="P3583">
        <v>-7.6635413701874905E-2</v>
      </c>
      <c r="Q3583">
        <v>0</v>
      </c>
      <c r="R3583">
        <v>0.99441090610728</v>
      </c>
      <c r="S3583" t="s">
        <v>8323</v>
      </c>
      <c r="T3583" t="s">
        <v>9478</v>
      </c>
      <c r="U3583" t="s">
        <v>9478</v>
      </c>
      <c r="V3583" t="s">
        <v>9478</v>
      </c>
      <c r="W3583">
        <v>31</v>
      </c>
      <c r="X3583" t="s">
        <v>13061</v>
      </c>
      <c r="Y3583">
        <v>0.66030102714592831</v>
      </c>
      <c r="Z3583" t="str">
        <f>HYPERLINK("Melting_Curves/meltCurve_sp_Q9P0Z9_SOX_HUMAN_.pdf", "Melting_Curves/meltCurve_sp_Q9P0Z9_SOX_HUMAN_.pdf")</f>
        <v>Melting_Curves/meltCurve_sp_Q9P0Z9_SOX_HUMAN_.pdf</v>
      </c>
      <c r="AA3583" t="s">
        <v>17747</v>
      </c>
      <c r="AB3583" t="s">
        <v>22416</v>
      </c>
    </row>
    <row r="3584" spans="1:28" x14ac:dyDescent="0.25">
      <c r="A3584" t="s">
        <v>3588</v>
      </c>
      <c r="B3584">
        <v>0.99904790336628502</v>
      </c>
      <c r="C3584">
        <v>1.1610337719745301</v>
      </c>
      <c r="D3584">
        <v>1.0393774037483201</v>
      </c>
      <c r="E3584">
        <v>1.17620525836834</v>
      </c>
      <c r="F3584">
        <v>1.07115346577856</v>
      </c>
      <c r="G3584">
        <v>0.93939199543330598</v>
      </c>
      <c r="H3584">
        <v>0.65548699018658996</v>
      </c>
      <c r="I3584">
        <v>0.48007486608094802</v>
      </c>
      <c r="J3584">
        <v>0.42708194011059603</v>
      </c>
      <c r="K3584">
        <v>0.361835886894118</v>
      </c>
      <c r="L3584">
        <v>2090.8567917115101</v>
      </c>
      <c r="M3584">
        <v>34.444878543591798</v>
      </c>
      <c r="N3584">
        <v>63.3429927274791</v>
      </c>
      <c r="O3584">
        <v>60.498022773398702</v>
      </c>
      <c r="P3584">
        <v>-8.8092861532962599E-2</v>
      </c>
      <c r="Q3584">
        <v>0.381106964646932</v>
      </c>
      <c r="R3584">
        <v>0.92754725197743504</v>
      </c>
      <c r="S3584" t="s">
        <v>8324</v>
      </c>
      <c r="T3584" t="s">
        <v>9478</v>
      </c>
      <c r="U3584" t="s">
        <v>9478</v>
      </c>
      <c r="V3584" t="s">
        <v>9478</v>
      </c>
      <c r="W3584">
        <v>2</v>
      </c>
      <c r="X3584" t="s">
        <v>13062</v>
      </c>
      <c r="Y3584">
        <v>0.81115597662173566</v>
      </c>
      <c r="Z3584" t="str">
        <f>HYPERLINK("Melting_Curves/meltCurve_sp_Q9P1F3_ABRAL_HUMAN_.pdf", "Melting_Curves/meltCurve_sp_Q9P1F3_ABRAL_HUMAN_.pdf")</f>
        <v>Melting_Curves/meltCurve_sp_Q9P1F3_ABRAL_HUMAN_.pdf</v>
      </c>
      <c r="AA3584" t="s">
        <v>17748</v>
      </c>
      <c r="AB3584" t="s">
        <v>22417</v>
      </c>
    </row>
    <row r="3585" spans="1:28" x14ac:dyDescent="0.25">
      <c r="A3585" t="s">
        <v>3589</v>
      </c>
      <c r="B3585">
        <v>0.99904790336628502</v>
      </c>
      <c r="C3585">
        <v>0.93796390413695796</v>
      </c>
      <c r="D3585">
        <v>0.90399132407370197</v>
      </c>
      <c r="E3585">
        <v>0.88264758810709099</v>
      </c>
      <c r="F3585">
        <v>0.717447463428044</v>
      </c>
      <c r="G3585">
        <v>0.37802220457349101</v>
      </c>
      <c r="H3585">
        <v>0.115046978826444</v>
      </c>
      <c r="I3585">
        <v>7.9418322651300693E-2</v>
      </c>
      <c r="J3585">
        <v>7.6408736248202602E-2</v>
      </c>
      <c r="K3585">
        <v>7.5476538962823803E-2</v>
      </c>
      <c r="L3585">
        <v>1118.04716114946</v>
      </c>
      <c r="M3585">
        <v>20.296596180711798</v>
      </c>
      <c r="N3585">
        <v>55.305602147812699</v>
      </c>
      <c r="O3585">
        <v>54.559064118152499</v>
      </c>
      <c r="P3585">
        <v>-8.9396381916742207E-2</v>
      </c>
      <c r="Q3585">
        <v>3.88074546953108E-2</v>
      </c>
      <c r="R3585">
        <v>0.99134343384229995</v>
      </c>
      <c r="S3585" t="s">
        <v>8325</v>
      </c>
      <c r="T3585" t="s">
        <v>9478</v>
      </c>
      <c r="U3585" t="s">
        <v>9478</v>
      </c>
      <c r="V3585" t="s">
        <v>9478</v>
      </c>
      <c r="W3585">
        <v>5</v>
      </c>
      <c r="X3585" t="s">
        <v>13063</v>
      </c>
      <c r="Y3585">
        <v>0.53463225793709246</v>
      </c>
      <c r="Z3585" t="str">
        <f>HYPERLINK("Melting_Curves/meltCurve_sp_Q9P1U1_ARP3B_HUMAN_.pdf", "Melting_Curves/meltCurve_sp_Q9P1U1_ARP3B_HUMAN_.pdf")</f>
        <v>Melting_Curves/meltCurve_sp_Q9P1U1_ARP3B_HUMAN_.pdf</v>
      </c>
      <c r="AA3585" t="s">
        <v>17749</v>
      </c>
      <c r="AB3585" t="s">
        <v>22418</v>
      </c>
    </row>
    <row r="3586" spans="1:28" x14ac:dyDescent="0.25">
      <c r="A3586" t="s">
        <v>3590</v>
      </c>
      <c r="B3586">
        <v>0.99904790336628502</v>
      </c>
      <c r="C3586">
        <v>1.00309343274511</v>
      </c>
      <c r="D3586">
        <v>0.94205625062080001</v>
      </c>
      <c r="E3586">
        <v>0.89002405163502496</v>
      </c>
      <c r="F3586">
        <v>0.87967889560671897</v>
      </c>
      <c r="G3586">
        <v>0.61162661098818705</v>
      </c>
      <c r="H3586">
        <v>0.45100736262853303</v>
      </c>
      <c r="I3586">
        <v>0.36788304090528301</v>
      </c>
      <c r="J3586">
        <v>0.39251864531421898</v>
      </c>
      <c r="K3586">
        <v>0.41698493996392699</v>
      </c>
      <c r="L3586">
        <v>1188.7405411760601</v>
      </c>
      <c r="M3586">
        <v>21.345212878533001</v>
      </c>
      <c r="N3586">
        <v>59.498816651406301</v>
      </c>
      <c r="O3586">
        <v>55.209306003913902</v>
      </c>
      <c r="P3586">
        <v>-6.0659351609410703E-2</v>
      </c>
      <c r="Q3586">
        <v>0.37243510754569897</v>
      </c>
      <c r="R3586">
        <v>0.98384252868584798</v>
      </c>
      <c r="S3586" t="s">
        <v>8326</v>
      </c>
      <c r="T3586" t="s">
        <v>9478</v>
      </c>
      <c r="U3586" t="s">
        <v>9478</v>
      </c>
      <c r="V3586" t="s">
        <v>9478</v>
      </c>
      <c r="W3586">
        <v>19</v>
      </c>
      <c r="X3586" t="s">
        <v>13064</v>
      </c>
      <c r="Y3586">
        <v>0.70811906884324882</v>
      </c>
      <c r="Z3586" t="str">
        <f>HYPERLINK("Melting_Curves/meltCurve_sp_Q9P1Y5_CAMP3_HUMAN_.pdf", "Melting_Curves/meltCurve_sp_Q9P1Y5_CAMP3_HUMAN_.pdf")</f>
        <v>Melting_Curves/meltCurve_sp_Q9P1Y5_CAMP3_HUMAN_.pdf</v>
      </c>
      <c r="AA3586" t="s">
        <v>17750</v>
      </c>
      <c r="AB3586" t="s">
        <v>22419</v>
      </c>
    </row>
    <row r="3587" spans="1:28" x14ac:dyDescent="0.25">
      <c r="A3587" t="s">
        <v>3591</v>
      </c>
      <c r="B3587">
        <v>0.99904790336628502</v>
      </c>
      <c r="C3587">
        <v>0.84386710782082497</v>
      </c>
      <c r="D3587">
        <v>0.87410696039275804</v>
      </c>
      <c r="E3587">
        <v>0.80921989063315902</v>
      </c>
      <c r="F3587">
        <v>0.72625355108253697</v>
      </c>
      <c r="G3587">
        <v>0.47345622715513103</v>
      </c>
      <c r="H3587">
        <v>0.33317380637995497</v>
      </c>
      <c r="I3587">
        <v>0.24688262350863499</v>
      </c>
      <c r="J3587">
        <v>0.184187216847774</v>
      </c>
      <c r="K3587">
        <v>0.222155491268857</v>
      </c>
      <c r="L3587">
        <v>538.15332008750704</v>
      </c>
      <c r="M3587">
        <v>9.5417641559148691</v>
      </c>
      <c r="N3587">
        <v>56.877050669124699</v>
      </c>
      <c r="O3587">
        <v>54.089290175343798</v>
      </c>
      <c r="P3587">
        <v>-4.2429817234508102E-2</v>
      </c>
      <c r="Q3587">
        <v>3.8473630370882798E-2</v>
      </c>
      <c r="R3587">
        <v>0.97321085362992699</v>
      </c>
      <c r="S3587" t="s">
        <v>8327</v>
      </c>
      <c r="T3587" t="s">
        <v>9478</v>
      </c>
      <c r="U3587" t="s">
        <v>9478</v>
      </c>
      <c r="V3587" t="s">
        <v>9478</v>
      </c>
      <c r="W3587">
        <v>4</v>
      </c>
      <c r="X3587" t="s">
        <v>13065</v>
      </c>
      <c r="Y3587">
        <v>0.58215923068203823</v>
      </c>
      <c r="Z3587" t="str">
        <f>HYPERLINK("Melting_Curves/meltCurve_sp_Q9P1Z2_2_CACO1_HUMAN_.pdf", "Melting_Curves/meltCurve_sp_Q9P1Z2_2_CACO1_HUMAN_.pdf")</f>
        <v>Melting_Curves/meltCurve_sp_Q9P1Z2_2_CACO1_HUMAN_.pdf</v>
      </c>
      <c r="AA3587" t="s">
        <v>17751</v>
      </c>
      <c r="AB3587" t="s">
        <v>22420</v>
      </c>
    </row>
    <row r="3588" spans="1:28" x14ac:dyDescent="0.25">
      <c r="A3588" t="s">
        <v>3592</v>
      </c>
      <c r="B3588">
        <v>0.99904790336628502</v>
      </c>
      <c r="C3588">
        <v>1.03259792688373</v>
      </c>
      <c r="D3588">
        <v>1.00694301264901</v>
      </c>
      <c r="E3588">
        <v>1.00546683946217</v>
      </c>
      <c r="F3588">
        <v>1.10713678948854</v>
      </c>
      <c r="G3588">
        <v>0.88792526741042499</v>
      </c>
      <c r="H3588">
        <v>0.76923919703799903</v>
      </c>
      <c r="I3588">
        <v>0.81134079205346799</v>
      </c>
      <c r="J3588">
        <v>0.87482631850339299</v>
      </c>
      <c r="K3588">
        <v>0.89960721610946104</v>
      </c>
      <c r="L3588">
        <v>14203.0408960727</v>
      </c>
      <c r="M3588">
        <v>250</v>
      </c>
      <c r="O3588">
        <v>56.808523515998203</v>
      </c>
      <c r="P3588">
        <v>-0.17740142290509001</v>
      </c>
      <c r="Q3588">
        <v>0.83875338101710295</v>
      </c>
      <c r="R3588">
        <v>0.77481695925280203</v>
      </c>
      <c r="S3588" t="s">
        <v>8328</v>
      </c>
      <c r="T3588" t="s">
        <v>9478</v>
      </c>
      <c r="U3588" t="s">
        <v>9478</v>
      </c>
      <c r="V3588" t="s">
        <v>9478</v>
      </c>
      <c r="W3588">
        <v>6</v>
      </c>
      <c r="X3588" t="s">
        <v>13066</v>
      </c>
      <c r="Y3588">
        <v>0.92913294254978518</v>
      </c>
      <c r="Z3588" t="str">
        <f>HYPERLINK("Melting_Curves/meltCurve_sp_Q9P206_2_K1522_HUMAN_.pdf", "Melting_Curves/meltCurve_sp_Q9P206_2_K1522_HUMAN_.pdf")</f>
        <v>Melting_Curves/meltCurve_sp_Q9P206_2_K1522_HUMAN_.pdf</v>
      </c>
      <c r="AA3588" t="s">
        <v>17752</v>
      </c>
      <c r="AB3588" t="s">
        <v>22421</v>
      </c>
    </row>
    <row r="3589" spans="1:28" x14ac:dyDescent="0.25">
      <c r="A3589" t="s">
        <v>3593</v>
      </c>
      <c r="B3589">
        <v>0.99904790336628502</v>
      </c>
      <c r="C3589">
        <v>0.95770652535005196</v>
      </c>
      <c r="D3589">
        <v>0.88527671344694003</v>
      </c>
      <c r="E3589">
        <v>0.78311768723796704</v>
      </c>
      <c r="F3589">
        <v>0.57068011144907205</v>
      </c>
      <c r="G3589">
        <v>0.237148823923643</v>
      </c>
      <c r="H3589">
        <v>0.197688605512987</v>
      </c>
      <c r="I3589">
        <v>0.123264784650228</v>
      </c>
      <c r="J3589">
        <v>9.2287660750711098E-2</v>
      </c>
      <c r="K3589">
        <v>7.8474815549512106E-2</v>
      </c>
      <c r="L3589">
        <v>888.82912186171302</v>
      </c>
      <c r="M3589">
        <v>16.719867682791001</v>
      </c>
      <c r="N3589">
        <v>53.615503115153501</v>
      </c>
      <c r="O3589">
        <v>52.4170508535625</v>
      </c>
      <c r="P3589">
        <v>-7.4470229158006995E-2</v>
      </c>
      <c r="Q3589">
        <v>6.6199834270627506E-2</v>
      </c>
      <c r="R3589">
        <v>0.99330360798571504</v>
      </c>
      <c r="S3589" t="s">
        <v>8329</v>
      </c>
      <c r="T3589" t="s">
        <v>9478</v>
      </c>
      <c r="U3589" t="s">
        <v>9478</v>
      </c>
      <c r="V3589" t="s">
        <v>9478</v>
      </c>
      <c r="W3589">
        <v>6</v>
      </c>
      <c r="X3589" t="s">
        <v>13067</v>
      </c>
      <c r="Y3589">
        <v>0.49290689315580238</v>
      </c>
      <c r="Z3589" t="str">
        <f>HYPERLINK("Melting_Curves/meltCurve_sp_Q9P258_RCC2_HUMAN_.pdf", "Melting_Curves/meltCurve_sp_Q9P258_RCC2_HUMAN_.pdf")</f>
        <v>Melting_Curves/meltCurve_sp_Q9P258_RCC2_HUMAN_.pdf</v>
      </c>
      <c r="AA3589" t="s">
        <v>17753</v>
      </c>
      <c r="AB3589" t="s">
        <v>22422</v>
      </c>
    </row>
    <row r="3590" spans="1:28" x14ac:dyDescent="0.25">
      <c r="A3590" t="s">
        <v>3594</v>
      </c>
      <c r="B3590">
        <v>0.99904790336628502</v>
      </c>
      <c r="C3590">
        <v>1.0529372512483099</v>
      </c>
      <c r="D3590">
        <v>1.0279140421095201</v>
      </c>
      <c r="E3590">
        <v>0.760234793196782</v>
      </c>
      <c r="F3590">
        <v>0.33461705070151598</v>
      </c>
      <c r="G3590">
        <v>0.17643868731009199</v>
      </c>
      <c r="H3590">
        <v>0.123595933851078</v>
      </c>
      <c r="I3590">
        <v>9.1635993633017193E-2</v>
      </c>
      <c r="J3590">
        <v>7.90186054325107E-2</v>
      </c>
      <c r="K3590">
        <v>8.8457921820639995E-2</v>
      </c>
      <c r="L3590">
        <v>1776.42206938973</v>
      </c>
      <c r="M3590">
        <v>34.514231256800599</v>
      </c>
      <c r="N3590">
        <v>51.815383249064702</v>
      </c>
      <c r="O3590">
        <v>51.297397791629599</v>
      </c>
      <c r="P3590">
        <v>-0.15088988258094899</v>
      </c>
      <c r="Q3590">
        <v>0.102952123832727</v>
      </c>
      <c r="R3590">
        <v>0.99530675799465995</v>
      </c>
      <c r="S3590" t="s">
        <v>8330</v>
      </c>
      <c r="T3590" t="s">
        <v>9478</v>
      </c>
      <c r="U3590" t="s">
        <v>9478</v>
      </c>
      <c r="V3590" t="s">
        <v>9478</v>
      </c>
      <c r="W3590">
        <v>10</v>
      </c>
      <c r="X3590" t="s">
        <v>13068</v>
      </c>
      <c r="Y3590">
        <v>0.45019404145689512</v>
      </c>
      <c r="Z3590" t="str">
        <f>HYPERLINK("Melting_Curves/meltCurve_sp_Q9P260_2_K1468_HUMAN_.pdf", "Melting_Curves/meltCurve_sp_Q9P260_2_K1468_HUMAN_.pdf")</f>
        <v>Melting_Curves/meltCurve_sp_Q9P260_2_K1468_HUMAN_.pdf</v>
      </c>
      <c r="AA3590" t="s">
        <v>17754</v>
      </c>
      <c r="AB3590" t="s">
        <v>22423</v>
      </c>
    </row>
    <row r="3591" spans="1:28" x14ac:dyDescent="0.25">
      <c r="A3591" t="s">
        <v>3595</v>
      </c>
      <c r="B3591">
        <v>0.99904790336628502</v>
      </c>
      <c r="C3591">
        <v>0.86625620069927101</v>
      </c>
      <c r="D3591">
        <v>0.88181687644464102</v>
      </c>
      <c r="E3591">
        <v>0.66205011255634005</v>
      </c>
      <c r="F3591">
        <v>0.28813370008578498</v>
      </c>
      <c r="G3591">
        <v>0.17306224065529899</v>
      </c>
      <c r="H3591">
        <v>0.116172277939162</v>
      </c>
      <c r="I3591">
        <v>8.6820230495709597E-2</v>
      </c>
      <c r="J3591">
        <v>3.7594769099093303E-2</v>
      </c>
      <c r="K3591">
        <v>8.1843234950419896E-2</v>
      </c>
      <c r="L3591">
        <v>972.35051223816799</v>
      </c>
      <c r="M3591">
        <v>19.150361390499398</v>
      </c>
      <c r="N3591">
        <v>51.118508292365398</v>
      </c>
      <c r="O3591">
        <v>50.230575002283103</v>
      </c>
      <c r="P3591">
        <v>-8.9553737376489403E-2</v>
      </c>
      <c r="Q3591">
        <v>6.0453647654311299E-2</v>
      </c>
      <c r="R3591">
        <v>0.98435457652868996</v>
      </c>
      <c r="S3591" t="s">
        <v>8331</v>
      </c>
      <c r="T3591" t="s">
        <v>9478</v>
      </c>
      <c r="U3591" t="s">
        <v>9478</v>
      </c>
      <c r="V3591" t="s">
        <v>9478</v>
      </c>
      <c r="W3591">
        <v>10</v>
      </c>
      <c r="X3591" t="s">
        <v>13069</v>
      </c>
      <c r="Y3591">
        <v>0.41205016516312898</v>
      </c>
      <c r="Z3591" t="str">
        <f>HYPERLINK("Melting_Curves/meltCurve_sp_Q9P260_K1468_HUMAN_.pdf", "Melting_Curves/meltCurve_sp_Q9P260_K1468_HUMAN_.pdf")</f>
        <v>Melting_Curves/meltCurve_sp_Q9P260_K1468_HUMAN_.pdf</v>
      </c>
      <c r="AA3591" t="s">
        <v>17754</v>
      </c>
      <c r="AB3591" t="s">
        <v>22424</v>
      </c>
    </row>
    <row r="3592" spans="1:28" x14ac:dyDescent="0.25">
      <c r="A3592" t="s">
        <v>3596</v>
      </c>
      <c r="B3592">
        <v>0.99904790336628502</v>
      </c>
      <c r="C3592">
        <v>1.0008509423726599</v>
      </c>
      <c r="D3592">
        <v>1.0098202270265499</v>
      </c>
      <c r="E3592">
        <v>0.86853684732047098</v>
      </c>
      <c r="F3592">
        <v>0.70973611881020904</v>
      </c>
      <c r="G3592">
        <v>0.384010575027671</v>
      </c>
      <c r="H3592">
        <v>0.22398461236612899</v>
      </c>
      <c r="I3592">
        <v>0.18303366090522599</v>
      </c>
      <c r="J3592">
        <v>0.155365347017797</v>
      </c>
      <c r="K3592">
        <v>0.169252406880749</v>
      </c>
      <c r="L3592">
        <v>1169.73696565675</v>
      </c>
      <c r="M3592">
        <v>21.476794535460499</v>
      </c>
      <c r="N3592">
        <v>55.384086124347398</v>
      </c>
      <c r="O3592">
        <v>53.999545367415102</v>
      </c>
      <c r="P3592">
        <v>-8.4529577834587394E-2</v>
      </c>
      <c r="Q3592">
        <v>0.14988303510499101</v>
      </c>
      <c r="R3592">
        <v>0.99878226146874705</v>
      </c>
      <c r="S3592" t="s">
        <v>8332</v>
      </c>
      <c r="T3592" t="s">
        <v>9478</v>
      </c>
      <c r="U3592" t="s">
        <v>9478</v>
      </c>
      <c r="V3592" t="s">
        <v>9478</v>
      </c>
      <c r="W3592">
        <v>21</v>
      </c>
      <c r="X3592" t="s">
        <v>13070</v>
      </c>
      <c r="Y3592">
        <v>0.57000840741204373</v>
      </c>
      <c r="Z3592" t="str">
        <f>HYPERLINK("Melting_Curves/meltCurve_sp_Q9P265_DIP2B_HUMAN_.pdf", "Melting_Curves/meltCurve_sp_Q9P265_DIP2B_HUMAN_.pdf")</f>
        <v>Melting_Curves/meltCurve_sp_Q9P265_DIP2B_HUMAN_.pdf</v>
      </c>
      <c r="AA3592" t="s">
        <v>17755</v>
      </c>
      <c r="AB3592" t="s">
        <v>22425</v>
      </c>
    </row>
    <row r="3593" spans="1:28" x14ac:dyDescent="0.25">
      <c r="A3593" t="s">
        <v>3597</v>
      </c>
      <c r="B3593">
        <v>0.99904790336628502</v>
      </c>
      <c r="C3593">
        <v>1.1467830232196901</v>
      </c>
      <c r="D3593">
        <v>1.1920407807272799</v>
      </c>
      <c r="E3593">
        <v>0.96340500050075395</v>
      </c>
      <c r="F3593">
        <v>0.60572197823572604</v>
      </c>
      <c r="G3593">
        <v>0.28872679449127198</v>
      </c>
      <c r="H3593">
        <v>0.18534602314463999</v>
      </c>
      <c r="I3593">
        <v>0.14662622036841899</v>
      </c>
      <c r="J3593">
        <v>9.1897737118533301E-2</v>
      </c>
      <c r="K3593">
        <v>7.6203432258942105E-2</v>
      </c>
      <c r="L3593">
        <v>1613.5869887342301</v>
      </c>
      <c r="M3593">
        <v>30.023443840562599</v>
      </c>
      <c r="N3593">
        <v>54.241627213379601</v>
      </c>
      <c r="O3593">
        <v>53.507496361353503</v>
      </c>
      <c r="P3593">
        <v>-0.123397684831991</v>
      </c>
      <c r="Q3593">
        <v>0.120333050737473</v>
      </c>
      <c r="R3593">
        <v>0.96323996683859703</v>
      </c>
      <c r="S3593" t="s">
        <v>8333</v>
      </c>
      <c r="T3593" t="s">
        <v>9478</v>
      </c>
      <c r="U3593" t="s">
        <v>9478</v>
      </c>
      <c r="V3593" t="s">
        <v>9478</v>
      </c>
      <c r="W3593">
        <v>2</v>
      </c>
      <c r="X3593" t="s">
        <v>13071</v>
      </c>
      <c r="Y3593">
        <v>0.52909673730088003</v>
      </c>
      <c r="Z3593" t="str">
        <f>HYPERLINK("Melting_Curves/meltCurve_sp_Q9P266_JCAD_HUMAN_.pdf", "Melting_Curves/meltCurve_sp_Q9P266_JCAD_HUMAN_.pdf")</f>
        <v>Melting_Curves/meltCurve_sp_Q9P266_JCAD_HUMAN_.pdf</v>
      </c>
      <c r="AA3593" t="s">
        <v>17756</v>
      </c>
      <c r="AB3593" t="s">
        <v>22426</v>
      </c>
    </row>
    <row r="3594" spans="1:28" x14ac:dyDescent="0.25">
      <c r="A3594" t="s">
        <v>3598</v>
      </c>
      <c r="B3594">
        <v>0.99904790336628502</v>
      </c>
      <c r="C3594">
        <v>0.89233130844864095</v>
      </c>
      <c r="D3594">
        <v>0.871040032445898</v>
      </c>
      <c r="E3594">
        <v>0.89272991359995701</v>
      </c>
      <c r="F3594">
        <v>0.89933856246863997</v>
      </c>
      <c r="G3594">
        <v>0.59162557839110796</v>
      </c>
      <c r="H3594">
        <v>0.614921184985467</v>
      </c>
      <c r="I3594">
        <v>0.61706801507604803</v>
      </c>
      <c r="J3594">
        <v>0.68604849283415203</v>
      </c>
      <c r="K3594">
        <v>0.69055233017905604</v>
      </c>
      <c r="L3594">
        <v>597.83614669475003</v>
      </c>
      <c r="M3594">
        <v>11.5807834528607</v>
      </c>
      <c r="O3594">
        <v>50.155870043432998</v>
      </c>
      <c r="P3594">
        <v>-2.2205001104811599E-2</v>
      </c>
      <c r="Q3594">
        <v>0.61543095774526202</v>
      </c>
      <c r="R3594">
        <v>0.75347911630785802</v>
      </c>
      <c r="S3594" t="s">
        <v>8334</v>
      </c>
      <c r="T3594" t="s">
        <v>9478</v>
      </c>
      <c r="U3594" t="s">
        <v>9478</v>
      </c>
      <c r="V3594" t="s">
        <v>9478</v>
      </c>
      <c r="W3594">
        <v>7</v>
      </c>
      <c r="X3594" t="s">
        <v>13072</v>
      </c>
      <c r="Y3594">
        <v>0.77707181392854696</v>
      </c>
      <c r="Z3594" t="str">
        <f>HYPERLINK("Melting_Curves/meltCurve_sp_Q9P270_SLAI2_HUMAN_.pdf", "Melting_Curves/meltCurve_sp_Q9P270_SLAI2_HUMAN_.pdf")</f>
        <v>Melting_Curves/meltCurve_sp_Q9P270_SLAI2_HUMAN_.pdf</v>
      </c>
      <c r="AA3594" t="s">
        <v>17757</v>
      </c>
      <c r="AB3594" t="s">
        <v>22427</v>
      </c>
    </row>
    <row r="3595" spans="1:28" x14ac:dyDescent="0.25">
      <c r="A3595" t="s">
        <v>3599</v>
      </c>
      <c r="B3595">
        <v>0.99904790336628502</v>
      </c>
      <c r="C3595">
        <v>0.98872018651940996</v>
      </c>
      <c r="D3595">
        <v>0.91184264490543199</v>
      </c>
      <c r="E3595">
        <v>0.87994915103659299</v>
      </c>
      <c r="F3595">
        <v>0.72325263733064304</v>
      </c>
      <c r="G3595">
        <v>0.447071937151581</v>
      </c>
      <c r="H3595">
        <v>0.22370224858360799</v>
      </c>
      <c r="I3595">
        <v>0.159087052771378</v>
      </c>
      <c r="J3595">
        <v>0.12207334571033</v>
      </c>
      <c r="K3595">
        <v>0.109201940865672</v>
      </c>
      <c r="L3595">
        <v>917.42326884001898</v>
      </c>
      <c r="M3595">
        <v>16.500431373846901</v>
      </c>
      <c r="N3595">
        <v>56.090838094967502</v>
      </c>
      <c r="O3595">
        <v>54.802553430295099</v>
      </c>
      <c r="P3595">
        <v>-7.0216207804210701E-2</v>
      </c>
      <c r="Q3595">
        <v>6.7233991826885997E-2</v>
      </c>
      <c r="R3595">
        <v>0.99674846065687195</v>
      </c>
      <c r="S3595" t="s">
        <v>8335</v>
      </c>
      <c r="T3595" t="s">
        <v>9478</v>
      </c>
      <c r="U3595" t="s">
        <v>9478</v>
      </c>
      <c r="V3595" t="s">
        <v>9478</v>
      </c>
      <c r="W3595">
        <v>11</v>
      </c>
      <c r="X3595" t="s">
        <v>13073</v>
      </c>
      <c r="Y3595">
        <v>0.56783580567778436</v>
      </c>
      <c r="Z3595" t="str">
        <f>HYPERLINK("Melting_Curves/meltCurve_sp_Q9P287_BCCIP_HUMAN_.pdf", "Melting_Curves/meltCurve_sp_Q9P287_BCCIP_HUMAN_.pdf")</f>
        <v>Melting_Curves/meltCurve_sp_Q9P287_BCCIP_HUMAN_.pdf</v>
      </c>
      <c r="AA3595" t="s">
        <v>17758</v>
      </c>
      <c r="AB3595" t="s">
        <v>22428</v>
      </c>
    </row>
    <row r="3596" spans="1:28" x14ac:dyDescent="0.25">
      <c r="A3596" t="s">
        <v>3600</v>
      </c>
      <c r="B3596">
        <v>0.99904790336628502</v>
      </c>
      <c r="C3596">
        <v>1.12061933673437</v>
      </c>
      <c r="D3596">
        <v>1.1780875072586801</v>
      </c>
      <c r="E3596">
        <v>1.1003665537277001</v>
      </c>
      <c r="F3596">
        <v>0.90665333059311404</v>
      </c>
      <c r="G3596">
        <v>0.85751646632436096</v>
      </c>
      <c r="H3596">
        <v>0.45594166048402301</v>
      </c>
      <c r="I3596">
        <v>0.21020640462597101</v>
      </c>
      <c r="J3596">
        <v>0.114381747544959</v>
      </c>
      <c r="K3596">
        <v>8.0995785354591399E-2</v>
      </c>
      <c r="L3596">
        <v>1686.01818576304</v>
      </c>
      <c r="M3596">
        <v>27.956275338525199</v>
      </c>
      <c r="N3596">
        <v>60.581856493711101</v>
      </c>
      <c r="O3596">
        <v>60.003058529068902</v>
      </c>
      <c r="P3596">
        <v>-0.10959222730207301</v>
      </c>
      <c r="Q3596">
        <v>5.9129017209512302E-2</v>
      </c>
      <c r="R3596">
        <v>0.96416726846285405</v>
      </c>
      <c r="S3596" t="s">
        <v>8336</v>
      </c>
      <c r="T3596" t="s">
        <v>9478</v>
      </c>
      <c r="U3596" t="s">
        <v>9478</v>
      </c>
      <c r="V3596" t="s">
        <v>9478</v>
      </c>
      <c r="W3596">
        <v>5</v>
      </c>
      <c r="X3596" t="s">
        <v>13074</v>
      </c>
      <c r="Y3596">
        <v>0.70211769456497242</v>
      </c>
      <c r="Z3596" t="str">
        <f>HYPERLINK("Melting_Curves/meltCurve_sp_Q9P299_COPZ2_HUMAN_.pdf", "Melting_Curves/meltCurve_sp_Q9P299_COPZ2_HUMAN_.pdf")</f>
        <v>Melting_Curves/meltCurve_sp_Q9P299_COPZ2_HUMAN_.pdf</v>
      </c>
      <c r="AA3596" t="s">
        <v>17759</v>
      </c>
      <c r="AB3596" t="s">
        <v>22429</v>
      </c>
    </row>
    <row r="3597" spans="1:28" x14ac:dyDescent="0.25">
      <c r="A3597" t="s">
        <v>3601</v>
      </c>
      <c r="B3597">
        <v>0.99904790336628502</v>
      </c>
      <c r="C3597">
        <v>1.0530990761822701</v>
      </c>
      <c r="D3597">
        <v>1.00628142123001</v>
      </c>
      <c r="E3597">
        <v>0.98098790858615803</v>
      </c>
      <c r="F3597">
        <v>0.93277437266382701</v>
      </c>
      <c r="G3597">
        <v>0.64886597533226498</v>
      </c>
      <c r="H3597">
        <v>0.53536252734152401</v>
      </c>
      <c r="I3597">
        <v>0.466042111187982</v>
      </c>
      <c r="J3597">
        <v>0.54838754441406901</v>
      </c>
      <c r="K3597">
        <v>0.55464552613395801</v>
      </c>
      <c r="L3597">
        <v>2170.0477314888199</v>
      </c>
      <c r="M3597">
        <v>39.123313822087802</v>
      </c>
      <c r="O3597">
        <v>55.322558904095203</v>
      </c>
      <c r="P3597">
        <v>-8.4424331322887805E-2</v>
      </c>
      <c r="Q3597">
        <v>0.52247824297716305</v>
      </c>
      <c r="R3597">
        <v>0.98418324752206598</v>
      </c>
      <c r="S3597" t="s">
        <v>8337</v>
      </c>
      <c r="T3597" t="s">
        <v>9478</v>
      </c>
      <c r="U3597" t="s">
        <v>9478</v>
      </c>
      <c r="V3597" t="s">
        <v>9478</v>
      </c>
      <c r="W3597">
        <v>4</v>
      </c>
      <c r="X3597" t="s">
        <v>13075</v>
      </c>
      <c r="Y3597">
        <v>0.77057416513508759</v>
      </c>
      <c r="Z3597" t="str">
        <f>HYPERLINK("Melting_Curves/meltCurve_sp_Q9P2D0_2_IBTK_HUMAN_.pdf", "Melting_Curves/meltCurve_sp_Q9P2D0_2_IBTK_HUMAN_.pdf")</f>
        <v>Melting_Curves/meltCurve_sp_Q9P2D0_2_IBTK_HUMAN_.pdf</v>
      </c>
      <c r="AA3597" t="s">
        <v>17760</v>
      </c>
      <c r="AB3597" t="s">
        <v>22430</v>
      </c>
    </row>
    <row r="3598" spans="1:28" x14ac:dyDescent="0.25">
      <c r="A3598" t="s">
        <v>3602</v>
      </c>
      <c r="B3598">
        <v>0.99904790336628502</v>
      </c>
      <c r="C3598">
        <v>0.98419849702290296</v>
      </c>
      <c r="D3598">
        <v>1.0174375921877301</v>
      </c>
      <c r="E3598">
        <v>0.62506247186072805</v>
      </c>
      <c r="F3598">
        <v>0.187892574764807</v>
      </c>
      <c r="G3598">
        <v>9.5223579719019597E-2</v>
      </c>
      <c r="H3598">
        <v>6.56789250366588E-2</v>
      </c>
      <c r="I3598">
        <v>3.9037183019728999E-2</v>
      </c>
      <c r="J3598">
        <v>2.60587972981185E-2</v>
      </c>
      <c r="K3598">
        <v>4.0778677481459698E-2</v>
      </c>
      <c r="L3598">
        <v>1978.65922689178</v>
      </c>
      <c r="M3598">
        <v>39.122877996120202</v>
      </c>
      <c r="N3598">
        <v>50.7139400117237</v>
      </c>
      <c r="O3598">
        <v>50.443905373587597</v>
      </c>
      <c r="P3598">
        <v>-0.18407296437095499</v>
      </c>
      <c r="Q3598">
        <v>5.0648787099743499E-2</v>
      </c>
      <c r="R3598">
        <v>0.99791014483291096</v>
      </c>
      <c r="S3598" t="s">
        <v>8338</v>
      </c>
      <c r="T3598" t="s">
        <v>9478</v>
      </c>
      <c r="U3598" t="s">
        <v>9478</v>
      </c>
      <c r="V3598" t="s">
        <v>9478</v>
      </c>
      <c r="W3598">
        <v>7</v>
      </c>
      <c r="X3598" t="s">
        <v>13076</v>
      </c>
      <c r="Y3598">
        <v>0.38878191036591248</v>
      </c>
      <c r="Z3598" t="str">
        <f>HYPERLINK("Melting_Curves/meltCurve_sp_Q9P2D3_3_HTR5B_HUMAN_.pdf", "Melting_Curves/meltCurve_sp_Q9P2D3_3_HTR5B_HUMAN_.pdf")</f>
        <v>Melting_Curves/meltCurve_sp_Q9P2D3_3_HTR5B_HUMAN_.pdf</v>
      </c>
      <c r="AA3598" t="s">
        <v>17761</v>
      </c>
      <c r="AB3598" t="s">
        <v>22431</v>
      </c>
    </row>
    <row r="3599" spans="1:28" x14ac:dyDescent="0.25">
      <c r="A3599" t="s">
        <v>3603</v>
      </c>
      <c r="B3599">
        <v>0.99904790336628502</v>
      </c>
      <c r="C3599">
        <v>1.0433996982349001</v>
      </c>
      <c r="D3599">
        <v>1.00140365188147</v>
      </c>
      <c r="E3599">
        <v>0.96201489183628897</v>
      </c>
      <c r="F3599">
        <v>0.91189881863579003</v>
      </c>
      <c r="G3599">
        <v>0.76429821371194995</v>
      </c>
      <c r="H3599">
        <v>0.63103022676298604</v>
      </c>
      <c r="I3599">
        <v>0.520753437608384</v>
      </c>
      <c r="J3599">
        <v>0.46679533577947302</v>
      </c>
      <c r="K3599">
        <v>0.39692640716112298</v>
      </c>
      <c r="L3599">
        <v>836.79611654994096</v>
      </c>
      <c r="M3599">
        <v>13.9654835166374</v>
      </c>
      <c r="N3599">
        <v>64.888986060527202</v>
      </c>
      <c r="O3599">
        <v>58.730420353290803</v>
      </c>
      <c r="P3599">
        <v>-3.9927863732486302E-2</v>
      </c>
      <c r="Q3599">
        <v>0.32843955879027198</v>
      </c>
      <c r="R3599">
        <v>0.99478023459528298</v>
      </c>
      <c r="S3599" t="s">
        <v>8339</v>
      </c>
      <c r="T3599" t="s">
        <v>9478</v>
      </c>
      <c r="U3599" t="s">
        <v>9478</v>
      </c>
      <c r="V3599" t="s">
        <v>9478</v>
      </c>
      <c r="W3599">
        <v>120</v>
      </c>
      <c r="X3599" t="s">
        <v>13077</v>
      </c>
      <c r="Y3599">
        <v>0.77847228124918577</v>
      </c>
      <c r="Z3599" t="str">
        <f>HYPERLINK("Melting_Curves/meltCurve_sp_Q9P2E9_2_RRBP1_HUMAN_.pdf", "Melting_Curves/meltCurve_sp_Q9P2E9_2_RRBP1_HUMAN_.pdf")</f>
        <v>Melting_Curves/meltCurve_sp_Q9P2E9_2_RRBP1_HUMAN_.pdf</v>
      </c>
      <c r="AA3599" t="s">
        <v>17762</v>
      </c>
      <c r="AB3599" t="s">
        <v>22432</v>
      </c>
    </row>
    <row r="3600" spans="1:28" x14ac:dyDescent="0.25">
      <c r="A3600" t="s">
        <v>3604</v>
      </c>
      <c r="B3600">
        <v>0.99904790336628502</v>
      </c>
      <c r="C3600">
        <v>1.0529375766318601</v>
      </c>
      <c r="D3600">
        <v>1.0909398863716999</v>
      </c>
      <c r="E3600">
        <v>1.0472586702464499</v>
      </c>
      <c r="F3600">
        <v>1.0411272562390299</v>
      </c>
      <c r="G3600">
        <v>0.82894107605565404</v>
      </c>
      <c r="H3600">
        <v>0.80872818340596997</v>
      </c>
      <c r="I3600">
        <v>0.82976731474147503</v>
      </c>
      <c r="J3600">
        <v>0.85753665438095195</v>
      </c>
      <c r="K3600">
        <v>0.72136769629241904</v>
      </c>
      <c r="L3600">
        <v>14139.4415601196</v>
      </c>
      <c r="M3600">
        <v>250</v>
      </c>
      <c r="O3600">
        <v>56.554146938538203</v>
      </c>
      <c r="P3600">
        <v>-0.21621982357056399</v>
      </c>
      <c r="Q3600">
        <v>0.80434995752662797</v>
      </c>
      <c r="R3600">
        <v>0.83687592322783999</v>
      </c>
      <c r="S3600" t="s">
        <v>8340</v>
      </c>
      <c r="T3600" t="s">
        <v>9478</v>
      </c>
      <c r="U3600" t="s">
        <v>9478</v>
      </c>
      <c r="V3600" t="s">
        <v>9478</v>
      </c>
      <c r="W3600">
        <v>121</v>
      </c>
      <c r="X3600" t="s">
        <v>13078</v>
      </c>
      <c r="Y3600">
        <v>0.91235363296557481</v>
      </c>
      <c r="Z3600" t="str">
        <f>HYPERLINK("Melting_Curves/meltCurve_sp_Q9P2E9_RRBP1_HUMAN_.pdf", "Melting_Curves/meltCurve_sp_Q9P2E9_RRBP1_HUMAN_.pdf")</f>
        <v>Melting_Curves/meltCurve_sp_Q9P2E9_RRBP1_HUMAN_.pdf</v>
      </c>
      <c r="AA3600" t="s">
        <v>17762</v>
      </c>
      <c r="AB3600" t="s">
        <v>22433</v>
      </c>
    </row>
    <row r="3601" spans="1:28" x14ac:dyDescent="0.25">
      <c r="A3601" t="s">
        <v>3605</v>
      </c>
      <c r="B3601">
        <v>0.99904790336628502</v>
      </c>
      <c r="C3601">
        <v>1.06656394527777</v>
      </c>
      <c r="D3601">
        <v>0.97068174552278597</v>
      </c>
      <c r="E3601">
        <v>0.79713284156928399</v>
      </c>
      <c r="F3601">
        <v>0.46253728235682301</v>
      </c>
      <c r="G3601">
        <v>0.29153450143812798</v>
      </c>
      <c r="H3601">
        <v>0.19742461466567399</v>
      </c>
      <c r="I3601">
        <v>0.15868737334368199</v>
      </c>
      <c r="J3601">
        <v>0.12558541374356999</v>
      </c>
      <c r="K3601">
        <v>0.14917847594584999</v>
      </c>
      <c r="L3601">
        <v>1247.85393192993</v>
      </c>
      <c r="M3601">
        <v>23.915826543120801</v>
      </c>
      <c r="N3601">
        <v>52.980260884729297</v>
      </c>
      <c r="O3601">
        <v>51.8162130596737</v>
      </c>
      <c r="P3601">
        <v>-9.7840949797920004E-2</v>
      </c>
      <c r="Q3601">
        <v>0.15208180229583501</v>
      </c>
      <c r="R3601">
        <v>0.99302066258121102</v>
      </c>
      <c r="S3601" t="s">
        <v>8341</v>
      </c>
      <c r="T3601" t="s">
        <v>9478</v>
      </c>
      <c r="U3601" t="s">
        <v>9478</v>
      </c>
      <c r="V3601" t="s">
        <v>9478</v>
      </c>
      <c r="W3601">
        <v>4</v>
      </c>
      <c r="X3601" t="s">
        <v>13079</v>
      </c>
      <c r="Y3601">
        <v>0.50468678328254712</v>
      </c>
      <c r="Z3601" t="str">
        <f>HYPERLINK("Melting_Curves/meltCurve_sp_Q9P2I0_CPSF2_HUMAN_.pdf", "Melting_Curves/meltCurve_sp_Q9P2I0_CPSF2_HUMAN_.pdf")</f>
        <v>Melting_Curves/meltCurve_sp_Q9P2I0_CPSF2_HUMAN_.pdf</v>
      </c>
      <c r="AA3601" t="s">
        <v>17763</v>
      </c>
      <c r="AB3601" t="s">
        <v>22434</v>
      </c>
    </row>
    <row r="3602" spans="1:28" x14ac:dyDescent="0.25">
      <c r="A3602" t="s">
        <v>3606</v>
      </c>
      <c r="B3602">
        <v>0.99904790336628502</v>
      </c>
      <c r="C3602">
        <v>0.81529384600441102</v>
      </c>
      <c r="D3602">
        <v>0.82312650480987404</v>
      </c>
      <c r="E3602">
        <v>0.66425828027561895</v>
      </c>
      <c r="F3602">
        <v>0.26251779888951698</v>
      </c>
      <c r="G3602">
        <v>0.22576345958017899</v>
      </c>
      <c r="H3602">
        <v>0.128697122180815</v>
      </c>
      <c r="I3602">
        <v>9.5269801296609502E-2</v>
      </c>
      <c r="J3602">
        <v>6.40439144147254E-2</v>
      </c>
      <c r="K3602">
        <v>7.7105764019804596E-2</v>
      </c>
      <c r="L3602">
        <v>706.95401343635797</v>
      </c>
      <c r="M3602">
        <v>13.9877956137202</v>
      </c>
      <c r="N3602">
        <v>50.875932393681602</v>
      </c>
      <c r="O3602">
        <v>49.541398187697801</v>
      </c>
      <c r="P3602">
        <v>-6.7488481976282599E-2</v>
      </c>
      <c r="Q3602">
        <v>4.4015046854549898E-2</v>
      </c>
      <c r="R3602">
        <v>0.96930289078331699</v>
      </c>
      <c r="S3602" t="s">
        <v>8342</v>
      </c>
      <c r="T3602" t="s">
        <v>9478</v>
      </c>
      <c r="U3602" t="s">
        <v>9478</v>
      </c>
      <c r="V3602" t="s">
        <v>9478</v>
      </c>
      <c r="W3602">
        <v>4</v>
      </c>
      <c r="X3602" t="s">
        <v>13080</v>
      </c>
      <c r="Y3602">
        <v>0.40510411321620082</v>
      </c>
      <c r="Z3602" t="str">
        <f>HYPERLINK("Melting_Curves/meltCurve_sp_Q9P2K8_2_E2AK4_HUMAN_.pdf", "Melting_Curves/meltCurve_sp_Q9P2K8_2_E2AK4_HUMAN_.pdf")</f>
        <v>Melting_Curves/meltCurve_sp_Q9P2K8_2_E2AK4_HUMAN_.pdf</v>
      </c>
      <c r="AA3602" t="s">
        <v>17764</v>
      </c>
      <c r="AB3602" t="s">
        <v>22435</v>
      </c>
    </row>
    <row r="3603" spans="1:28" x14ac:dyDescent="0.25">
      <c r="A3603" t="s">
        <v>3607</v>
      </c>
      <c r="B3603">
        <v>0.99904790336628502</v>
      </c>
      <c r="C3603">
        <v>1.0055726246046699</v>
      </c>
      <c r="D3603">
        <v>1.0007559556077701</v>
      </c>
      <c r="E3603">
        <v>0.926345307880443</v>
      </c>
      <c r="F3603">
        <v>0.85354927157469995</v>
      </c>
      <c r="G3603">
        <v>0.63794535437267297</v>
      </c>
      <c r="H3603">
        <v>0.58319121959158904</v>
      </c>
      <c r="I3603">
        <v>0.55365035909634097</v>
      </c>
      <c r="J3603">
        <v>0.59341690467581099</v>
      </c>
      <c r="K3603">
        <v>0.50585812541736497</v>
      </c>
      <c r="L3603">
        <v>1287.59738505881</v>
      </c>
      <c r="M3603">
        <v>23.7303013147393</v>
      </c>
      <c r="O3603">
        <v>53.878723525743197</v>
      </c>
      <c r="P3603">
        <v>-5.0176269752024702E-2</v>
      </c>
      <c r="Q3603">
        <v>0.54431454876321494</v>
      </c>
      <c r="R3603">
        <v>0.98774127311256499</v>
      </c>
      <c r="S3603" t="s">
        <v>8343</v>
      </c>
      <c r="T3603" t="s">
        <v>9478</v>
      </c>
      <c r="U3603" t="s">
        <v>9478</v>
      </c>
      <c r="V3603" t="s">
        <v>9478</v>
      </c>
      <c r="W3603">
        <v>69</v>
      </c>
      <c r="X3603" t="s">
        <v>13081</v>
      </c>
      <c r="Y3603">
        <v>0.76554131345752197</v>
      </c>
      <c r="Z3603" t="str">
        <f>HYPERLINK("Melting_Curves/meltCurve_sp_Q9P2M7_CING_HUMAN_.pdf", "Melting_Curves/meltCurve_sp_Q9P2M7_CING_HUMAN_.pdf")</f>
        <v>Melting_Curves/meltCurve_sp_Q9P2M7_CING_HUMAN_.pdf</v>
      </c>
      <c r="AA3603" t="s">
        <v>17765</v>
      </c>
      <c r="AB3603" t="s">
        <v>22436</v>
      </c>
    </row>
    <row r="3604" spans="1:28" x14ac:dyDescent="0.25">
      <c r="A3604" t="s">
        <v>3608</v>
      </c>
      <c r="B3604">
        <v>0.99904790336628502</v>
      </c>
      <c r="C3604">
        <v>1.12438425448532</v>
      </c>
      <c r="D3604">
        <v>1.0492413515663299</v>
      </c>
      <c r="E3604">
        <v>0.87464035914462401</v>
      </c>
      <c r="F3604">
        <v>0.75592768317940495</v>
      </c>
      <c r="G3604">
        <v>0.58278705097932104</v>
      </c>
      <c r="H3604">
        <v>0.47639126170718799</v>
      </c>
      <c r="I3604">
        <v>0.42972329536185799</v>
      </c>
      <c r="J3604">
        <v>0.479502029662141</v>
      </c>
      <c r="K3604">
        <v>0.426663909349973</v>
      </c>
      <c r="L3604">
        <v>1150.0380819249101</v>
      </c>
      <c r="M3604">
        <v>21.416398567025801</v>
      </c>
      <c r="N3604">
        <v>59.5229525575594</v>
      </c>
      <c r="O3604">
        <v>53.237333783115901</v>
      </c>
      <c r="P3604">
        <v>-5.6472241908523603E-2</v>
      </c>
      <c r="Q3604">
        <v>0.438494397241179</v>
      </c>
      <c r="R3604">
        <v>0.96548133423365101</v>
      </c>
      <c r="S3604" t="s">
        <v>8344</v>
      </c>
      <c r="T3604" t="s">
        <v>9478</v>
      </c>
      <c r="U3604" t="s">
        <v>9478</v>
      </c>
      <c r="V3604" t="s">
        <v>9478</v>
      </c>
      <c r="W3604">
        <v>10</v>
      </c>
      <c r="X3604" t="s">
        <v>13082</v>
      </c>
      <c r="Y3604">
        <v>0.70172993916134985</v>
      </c>
      <c r="Z3604" t="str">
        <f>HYPERLINK("Melting_Curves/meltCurve_sp_Q9P2N5_RBM27_HUMAN_.pdf", "Melting_Curves/meltCurve_sp_Q9P2N5_RBM27_HUMAN_.pdf")</f>
        <v>Melting_Curves/meltCurve_sp_Q9P2N5_RBM27_HUMAN_.pdf</v>
      </c>
      <c r="AA3604" t="s">
        <v>17766</v>
      </c>
      <c r="AB3604" t="s">
        <v>22437</v>
      </c>
    </row>
    <row r="3605" spans="1:28" x14ac:dyDescent="0.25">
      <c r="A3605" t="s">
        <v>3609</v>
      </c>
      <c r="B3605">
        <v>0.99904790336628502</v>
      </c>
      <c r="C3605">
        <v>0.98564834595539996</v>
      </c>
      <c r="D3605">
        <v>0.93108989010501497</v>
      </c>
      <c r="E3605">
        <v>0.31762120078580502</v>
      </c>
      <c r="F3605">
        <v>0.13109395376895899</v>
      </c>
      <c r="G3605">
        <v>8.2405262834408202E-2</v>
      </c>
      <c r="H3605">
        <v>5.5280527417132998E-2</v>
      </c>
      <c r="I3605">
        <v>4.4268686119597597E-2</v>
      </c>
      <c r="J3605">
        <v>3.73561273428753E-2</v>
      </c>
      <c r="K3605">
        <v>3.3972483444712598E-2</v>
      </c>
      <c r="L3605">
        <v>1851.02866076795</v>
      </c>
      <c r="M3605">
        <v>37.904968308843301</v>
      </c>
      <c r="N3605">
        <v>48.981265011650898</v>
      </c>
      <c r="O3605">
        <v>48.698080635698098</v>
      </c>
      <c r="P3605">
        <v>-0.184072620031592</v>
      </c>
      <c r="Q3605">
        <v>5.4059595138444501E-2</v>
      </c>
      <c r="R3605">
        <v>0.99830276860437495</v>
      </c>
      <c r="S3605" t="s">
        <v>8345</v>
      </c>
      <c r="T3605" t="s">
        <v>9478</v>
      </c>
      <c r="U3605" t="s">
        <v>9478</v>
      </c>
      <c r="V3605" t="s">
        <v>9478</v>
      </c>
      <c r="W3605">
        <v>22</v>
      </c>
      <c r="X3605" t="s">
        <v>13083</v>
      </c>
      <c r="Y3605">
        <v>0.33615422198161571</v>
      </c>
      <c r="Z3605" t="str">
        <f>HYPERLINK("Melting_Curves/meltCurve_sp_Q9P2R3_ANFY1_HUMAN_.pdf", "Melting_Curves/meltCurve_sp_Q9P2R3_ANFY1_HUMAN_.pdf")</f>
        <v>Melting_Curves/meltCurve_sp_Q9P2R3_ANFY1_HUMAN_.pdf</v>
      </c>
      <c r="AA3605" t="s">
        <v>17767</v>
      </c>
      <c r="AB3605" t="s">
        <v>22438</v>
      </c>
    </row>
    <row r="3606" spans="1:28" x14ac:dyDescent="0.25">
      <c r="A3606" t="s">
        <v>3610</v>
      </c>
      <c r="B3606">
        <v>0.99904790336628502</v>
      </c>
      <c r="C3606">
        <v>1.0215984181875399</v>
      </c>
      <c r="D3606">
        <v>1.0223158168422499</v>
      </c>
      <c r="E3606">
        <v>0.97781339214309104</v>
      </c>
      <c r="F3606">
        <v>1.19784127521205</v>
      </c>
      <c r="G3606">
        <v>0.83337320788621905</v>
      </c>
      <c r="H3606">
        <v>0.77990630925023596</v>
      </c>
      <c r="I3606">
        <v>0.84870250402084302</v>
      </c>
      <c r="J3606">
        <v>0.96196162307960498</v>
      </c>
      <c r="K3606">
        <v>0.89220279850122097</v>
      </c>
      <c r="L3606">
        <v>4483.0835321719896</v>
      </c>
      <c r="M3606">
        <v>80.751067749771806</v>
      </c>
      <c r="O3606">
        <v>55.483307136273602</v>
      </c>
      <c r="P3606">
        <v>-5.0175337110988698E-2</v>
      </c>
      <c r="Q3606">
        <v>0.86209998862826398</v>
      </c>
      <c r="R3606">
        <v>0.53091933672825697</v>
      </c>
      <c r="S3606" t="s">
        <v>8346</v>
      </c>
      <c r="T3606" t="s">
        <v>9478</v>
      </c>
      <c r="U3606" t="s">
        <v>9478</v>
      </c>
      <c r="V3606" t="s">
        <v>9478</v>
      </c>
      <c r="W3606">
        <v>3</v>
      </c>
      <c r="X3606" t="s">
        <v>13084</v>
      </c>
      <c r="Y3606">
        <v>0.93355700560900445</v>
      </c>
      <c r="Z3606" t="str">
        <f>HYPERLINK("Melting_Curves/meltCurve_sp_Q9P2R6_2_RERE_HUMAN_.pdf", "Melting_Curves/meltCurve_sp_Q9P2R6_2_RERE_HUMAN_.pdf")</f>
        <v>Melting_Curves/meltCurve_sp_Q9P2R6_2_RERE_HUMAN_.pdf</v>
      </c>
      <c r="AA3606" t="s">
        <v>17768</v>
      </c>
      <c r="AB3606" t="s">
        <v>22439</v>
      </c>
    </row>
    <row r="3607" spans="1:28" x14ac:dyDescent="0.25">
      <c r="A3607" t="s">
        <v>3611</v>
      </c>
      <c r="B3607">
        <v>0.99904790336628502</v>
      </c>
      <c r="C3607">
        <v>1.04332269761842</v>
      </c>
      <c r="D3607">
        <v>1.01209196226107</v>
      </c>
      <c r="E3607">
        <v>0.83646161817241604</v>
      </c>
      <c r="F3607">
        <v>0.51514322300678606</v>
      </c>
      <c r="G3607">
        <v>0.26315042049991</v>
      </c>
      <c r="H3607">
        <v>0.13810757013046099</v>
      </c>
      <c r="I3607">
        <v>8.5519516922175007E-2</v>
      </c>
      <c r="J3607">
        <v>5.8593852178880003E-2</v>
      </c>
      <c r="K3607">
        <v>5.3726720150265299E-2</v>
      </c>
      <c r="L3607">
        <v>1189.96212569094</v>
      </c>
      <c r="M3607">
        <v>22.371347967093602</v>
      </c>
      <c r="N3607">
        <v>53.523787002124301</v>
      </c>
      <c r="O3607">
        <v>52.771799943061602</v>
      </c>
      <c r="P3607">
        <v>-9.9109200985020601E-2</v>
      </c>
      <c r="Q3607">
        <v>6.4864292133074403E-2</v>
      </c>
      <c r="R3607">
        <v>0.99571290048616301</v>
      </c>
      <c r="S3607" t="s">
        <v>8347</v>
      </c>
      <c r="T3607" t="s">
        <v>9478</v>
      </c>
      <c r="U3607" t="s">
        <v>9478</v>
      </c>
      <c r="V3607" t="s">
        <v>9478</v>
      </c>
      <c r="W3607">
        <v>6</v>
      </c>
      <c r="X3607" t="s">
        <v>13085</v>
      </c>
      <c r="Y3607">
        <v>0.48661859957398251</v>
      </c>
      <c r="Z3607" t="str">
        <f>HYPERLINK("Melting_Curves/meltCurve_sp_Q9P2X3_IMPCT_HUMAN_.pdf", "Melting_Curves/meltCurve_sp_Q9P2X3_IMPCT_HUMAN_.pdf")</f>
        <v>Melting_Curves/meltCurve_sp_Q9P2X3_IMPCT_HUMAN_.pdf</v>
      </c>
      <c r="AA3607" t="s">
        <v>17769</v>
      </c>
      <c r="AB3607" t="s">
        <v>22440</v>
      </c>
    </row>
    <row r="3608" spans="1:28" x14ac:dyDescent="0.25">
      <c r="A3608" t="s">
        <v>3612</v>
      </c>
      <c r="B3608">
        <v>0.99904790336628502</v>
      </c>
      <c r="C3608">
        <v>1.0041587433146599</v>
      </c>
      <c r="D3608">
        <v>0.98517150256385699</v>
      </c>
      <c r="E3608">
        <v>0.73881311514829795</v>
      </c>
      <c r="F3608">
        <v>0.51170502445315502</v>
      </c>
      <c r="G3608">
        <v>0.22312947085971899</v>
      </c>
      <c r="H3608">
        <v>0.186471780788034</v>
      </c>
      <c r="I3608">
        <v>0.155397796688485</v>
      </c>
      <c r="J3608">
        <v>0.14236241835187199</v>
      </c>
      <c r="K3608">
        <v>7.6385601829706398E-2</v>
      </c>
      <c r="L3608">
        <v>1123.17952856326</v>
      </c>
      <c r="M3608">
        <v>21.4847400806221</v>
      </c>
      <c r="N3608">
        <v>52.9493517067299</v>
      </c>
      <c r="O3608">
        <v>51.831427719963699</v>
      </c>
      <c r="P3608">
        <v>-9.1274714970237605E-2</v>
      </c>
      <c r="Q3608">
        <v>0.119229225862825</v>
      </c>
      <c r="R3608">
        <v>0.99582220670574995</v>
      </c>
      <c r="S3608" t="s">
        <v>8348</v>
      </c>
      <c r="T3608" t="s">
        <v>9478</v>
      </c>
      <c r="U3608" t="s">
        <v>9478</v>
      </c>
      <c r="V3608" t="s">
        <v>9478</v>
      </c>
      <c r="W3608">
        <v>3</v>
      </c>
      <c r="X3608" t="s">
        <v>13086</v>
      </c>
      <c r="Y3608">
        <v>0.49040316940753742</v>
      </c>
      <c r="Z3608" t="str">
        <f>HYPERLINK("Melting_Curves/meltCurve_sp_Q9P2Y5_UVRAG_HUMAN_.pdf", "Melting_Curves/meltCurve_sp_Q9P2Y5_UVRAG_HUMAN_.pdf")</f>
        <v>Melting_Curves/meltCurve_sp_Q9P2Y5_UVRAG_HUMAN_.pdf</v>
      </c>
      <c r="AA3608" t="s">
        <v>17770</v>
      </c>
      <c r="AB3608" t="s">
        <v>22441</v>
      </c>
    </row>
    <row r="3609" spans="1:28" x14ac:dyDescent="0.25">
      <c r="A3609" t="s">
        <v>3613</v>
      </c>
      <c r="B3609">
        <v>0.99904790336628502</v>
      </c>
      <c r="C3609">
        <v>0.97782083525781605</v>
      </c>
      <c r="D3609">
        <v>0.951647024341434</v>
      </c>
      <c r="E3609">
        <v>0.87007868146741296</v>
      </c>
      <c r="F3609">
        <v>0.61150551249543095</v>
      </c>
      <c r="G3609">
        <v>0.19714414256575799</v>
      </c>
      <c r="H3609">
        <v>6.7568098139478894E-2</v>
      </c>
      <c r="I3609">
        <v>4.2315312147800301E-2</v>
      </c>
      <c r="J3609">
        <v>2.64268426302765E-2</v>
      </c>
      <c r="K3609">
        <v>2.0212522727424999E-2</v>
      </c>
      <c r="L3609">
        <v>1360.0601059405601</v>
      </c>
      <c r="M3609">
        <v>25.286459386751901</v>
      </c>
      <c r="N3609">
        <v>53.869391388736901</v>
      </c>
      <c r="O3609">
        <v>53.4530956020497</v>
      </c>
      <c r="P3609">
        <v>-0.11599960004813401</v>
      </c>
      <c r="Q3609">
        <v>1.9165524156032801E-2</v>
      </c>
      <c r="R3609">
        <v>0.99888453104198704</v>
      </c>
      <c r="S3609" t="s">
        <v>8349</v>
      </c>
      <c r="T3609" t="s">
        <v>9478</v>
      </c>
      <c r="U3609" t="s">
        <v>9478</v>
      </c>
      <c r="V3609" t="s">
        <v>9478</v>
      </c>
      <c r="W3609">
        <v>11</v>
      </c>
      <c r="X3609" t="s">
        <v>13087</v>
      </c>
      <c r="Y3609">
        <v>0.47877704485619083</v>
      </c>
      <c r="Z3609" t="str">
        <f>HYPERLINK("Melting_Curves/meltCurve_sp_Q9UBB4_ATX10_HUMAN_.pdf", "Melting_Curves/meltCurve_sp_Q9UBB4_ATX10_HUMAN_.pdf")</f>
        <v>Melting_Curves/meltCurve_sp_Q9UBB4_ATX10_HUMAN_.pdf</v>
      </c>
      <c r="AA3609" t="s">
        <v>17771</v>
      </c>
      <c r="AB3609" t="s">
        <v>22442</v>
      </c>
    </row>
    <row r="3610" spans="1:28" x14ac:dyDescent="0.25">
      <c r="A3610" t="s">
        <v>3614</v>
      </c>
      <c r="B3610">
        <v>0.99904790336628502</v>
      </c>
      <c r="C3610">
        <v>0.97833884092775703</v>
      </c>
      <c r="D3610">
        <v>1.0078717489579001</v>
      </c>
      <c r="E3610">
        <v>0.77186415187594304</v>
      </c>
      <c r="F3610">
        <v>0.371673160554368</v>
      </c>
      <c r="G3610">
        <v>0.207178354098697</v>
      </c>
      <c r="H3610">
        <v>0.21121650285027699</v>
      </c>
      <c r="I3610">
        <v>0.187811632687194</v>
      </c>
      <c r="J3610">
        <v>0.23990221013500301</v>
      </c>
      <c r="K3610">
        <v>0.29034209997312299</v>
      </c>
      <c r="L3610">
        <v>2140.1806880660301</v>
      </c>
      <c r="M3610">
        <v>41.906493789698096</v>
      </c>
      <c r="N3610">
        <v>51.814950389346201</v>
      </c>
      <c r="O3610">
        <v>50.954499512624601</v>
      </c>
      <c r="P3610">
        <v>-0.159100684855456</v>
      </c>
      <c r="Q3610">
        <v>0.22619326220484401</v>
      </c>
      <c r="R3610">
        <v>0.99362691196441899</v>
      </c>
      <c r="S3610" t="s">
        <v>8350</v>
      </c>
      <c r="T3610" t="s">
        <v>9478</v>
      </c>
      <c r="U3610" t="s">
        <v>9478</v>
      </c>
      <c r="V3610" t="s">
        <v>9478</v>
      </c>
      <c r="W3610">
        <v>3</v>
      </c>
      <c r="X3610" t="s">
        <v>13088</v>
      </c>
      <c r="Y3610">
        <v>0.51422473421607018</v>
      </c>
      <c r="Z3610" t="str">
        <f>HYPERLINK("Melting_Curves/meltCurve_sp_Q9UBB5_MBD2_HUMAN_.pdf", "Melting_Curves/meltCurve_sp_Q9UBB5_MBD2_HUMAN_.pdf")</f>
        <v>Melting_Curves/meltCurve_sp_Q9UBB5_MBD2_HUMAN_.pdf</v>
      </c>
      <c r="AA3610" t="s">
        <v>17772</v>
      </c>
      <c r="AB3610" t="s">
        <v>22443</v>
      </c>
    </row>
    <row r="3611" spans="1:28" x14ac:dyDescent="0.25">
      <c r="A3611" t="s">
        <v>3615</v>
      </c>
      <c r="B3611">
        <v>0.99904790336628502</v>
      </c>
      <c r="C3611">
        <v>1.1257269313468301</v>
      </c>
      <c r="D3611">
        <v>1.0885405268695101</v>
      </c>
      <c r="E3611">
        <v>0.62855863521645505</v>
      </c>
      <c r="F3611">
        <v>0.32876837053389402</v>
      </c>
      <c r="G3611">
        <v>0.22038486659324799</v>
      </c>
      <c r="H3611">
        <v>0.19113219231814699</v>
      </c>
      <c r="I3611">
        <v>0.126634179455382</v>
      </c>
      <c r="J3611">
        <v>5.7286565825898403E-2</v>
      </c>
      <c r="K3611">
        <v>0</v>
      </c>
      <c r="L3611">
        <v>1488.9479742250001</v>
      </c>
      <c r="M3611">
        <v>29.234469377894602</v>
      </c>
      <c r="N3611">
        <v>51.355952252241302</v>
      </c>
      <c r="O3611">
        <v>50.694720427264599</v>
      </c>
      <c r="P3611">
        <v>-0.12868938472842201</v>
      </c>
      <c r="Q3611">
        <v>0.107379042519461</v>
      </c>
      <c r="R3611">
        <v>0.96613372968207101</v>
      </c>
      <c r="S3611" t="s">
        <v>8351</v>
      </c>
      <c r="T3611" t="s">
        <v>9478</v>
      </c>
      <c r="U3611" t="s">
        <v>9478</v>
      </c>
      <c r="V3611" t="s">
        <v>9478</v>
      </c>
      <c r="W3611">
        <v>1</v>
      </c>
      <c r="X3611" t="s">
        <v>13089</v>
      </c>
      <c r="Y3611">
        <v>0.43853155111387182</v>
      </c>
      <c r="Z3611" t="str">
        <f>HYPERLINK("Melting_Curves/meltCurve_sp_Q9UBB6_2_NCDN_HUMAN_.pdf", "Melting_Curves/meltCurve_sp_Q9UBB6_2_NCDN_HUMAN_.pdf")</f>
        <v>Melting_Curves/meltCurve_sp_Q9UBB6_2_NCDN_HUMAN_.pdf</v>
      </c>
      <c r="AA3611" t="s">
        <v>17773</v>
      </c>
      <c r="AB3611" t="s">
        <v>22444</v>
      </c>
    </row>
    <row r="3612" spans="1:28" x14ac:dyDescent="0.25">
      <c r="A3612" t="s">
        <v>3616</v>
      </c>
      <c r="B3612">
        <v>0.99904790336628502</v>
      </c>
      <c r="C3612">
        <v>0.99415591768312395</v>
      </c>
      <c r="D3612">
        <v>1.0425874564190001</v>
      </c>
      <c r="E3612">
        <v>0.94759404619941401</v>
      </c>
      <c r="F3612">
        <v>0.95722819320212205</v>
      </c>
      <c r="G3612">
        <v>0.76257643774435302</v>
      </c>
      <c r="H3612">
        <v>0.63751499613431895</v>
      </c>
      <c r="I3612">
        <v>0.53202428391160905</v>
      </c>
      <c r="J3612">
        <v>0.44808768930986898</v>
      </c>
      <c r="K3612">
        <v>0.34090713124996103</v>
      </c>
      <c r="L3612">
        <v>798.62862315863902</v>
      </c>
      <c r="M3612">
        <v>12.9506564328158</v>
      </c>
      <c r="N3612">
        <v>64.613747612589805</v>
      </c>
      <c r="O3612">
        <v>60.252226918345102</v>
      </c>
      <c r="P3612">
        <v>-4.1759415670158201E-2</v>
      </c>
      <c r="Q3612">
        <v>0.22300564556852101</v>
      </c>
      <c r="R3612">
        <v>0.98853056607779699</v>
      </c>
      <c r="S3612" t="s">
        <v>8352</v>
      </c>
      <c r="T3612" t="s">
        <v>9478</v>
      </c>
      <c r="U3612" t="s">
        <v>9478</v>
      </c>
      <c r="V3612" t="s">
        <v>9478</v>
      </c>
      <c r="W3612">
        <v>14</v>
      </c>
      <c r="X3612" t="s">
        <v>13090</v>
      </c>
      <c r="Y3612">
        <v>0.77975840884169989</v>
      </c>
      <c r="Z3612" t="str">
        <f>HYPERLINK("Melting_Curves/meltCurve_sp_Q9UBC2_3_EP15R_HUMAN_.pdf", "Melting_Curves/meltCurve_sp_Q9UBC2_3_EP15R_HUMAN_.pdf")</f>
        <v>Melting_Curves/meltCurve_sp_Q9UBC2_3_EP15R_HUMAN_.pdf</v>
      </c>
      <c r="AA3612" t="s">
        <v>17774</v>
      </c>
      <c r="AB3612" t="s">
        <v>22445</v>
      </c>
    </row>
    <row r="3613" spans="1:28" x14ac:dyDescent="0.25">
      <c r="A3613" t="s">
        <v>3617</v>
      </c>
      <c r="B3613">
        <v>0.99904790336628502</v>
      </c>
      <c r="C3613">
        <v>1.00665949378717</v>
      </c>
      <c r="D3613">
        <v>1.0073848045628999</v>
      </c>
      <c r="E3613">
        <v>0.90445504828104095</v>
      </c>
      <c r="F3613">
        <v>0.57478334035598999</v>
      </c>
      <c r="G3613">
        <v>0.25905872827994397</v>
      </c>
      <c r="H3613">
        <v>0.105676560637202</v>
      </c>
      <c r="I3613">
        <v>6.6013185786565898E-2</v>
      </c>
      <c r="J3613">
        <v>5.0089748592221699E-2</v>
      </c>
      <c r="K3613">
        <v>4.1883185602484101E-2</v>
      </c>
      <c r="L3613">
        <v>1328.26175912392</v>
      </c>
      <c r="M3613">
        <v>24.706921978706699</v>
      </c>
      <c r="N3613">
        <v>53.986369419489002</v>
      </c>
      <c r="O3613">
        <v>53.412243298723602</v>
      </c>
      <c r="P3613">
        <v>-0.109970855847225</v>
      </c>
      <c r="Q3613">
        <v>4.9059001725039499E-2</v>
      </c>
      <c r="R3613">
        <v>0.99802686470856194</v>
      </c>
      <c r="S3613" t="s">
        <v>8353</v>
      </c>
      <c r="T3613" t="s">
        <v>9478</v>
      </c>
      <c r="U3613" t="s">
        <v>9478</v>
      </c>
      <c r="V3613" t="s">
        <v>9478</v>
      </c>
      <c r="W3613">
        <v>19</v>
      </c>
      <c r="X3613" t="s">
        <v>13091</v>
      </c>
      <c r="Y3613">
        <v>0.49423122358973598</v>
      </c>
      <c r="Z3613" t="str">
        <f>HYPERLINK("Melting_Curves/meltCurve_sp_Q9UBE0_SAE1_HUMAN_.pdf", "Melting_Curves/meltCurve_sp_Q9UBE0_SAE1_HUMAN_.pdf")</f>
        <v>Melting_Curves/meltCurve_sp_Q9UBE0_SAE1_HUMAN_.pdf</v>
      </c>
      <c r="AA3613" t="s">
        <v>17775</v>
      </c>
      <c r="AB3613" t="s">
        <v>22446</v>
      </c>
    </row>
    <row r="3614" spans="1:28" x14ac:dyDescent="0.25">
      <c r="A3614" t="s">
        <v>3618</v>
      </c>
      <c r="B3614">
        <v>0.99904790336628502</v>
      </c>
      <c r="C3614">
        <v>1.0679209626862201</v>
      </c>
      <c r="D3614">
        <v>1.1391541211004399</v>
      </c>
      <c r="E3614">
        <v>0.99717220278757901</v>
      </c>
      <c r="F3614">
        <v>0.57968009061596204</v>
      </c>
      <c r="G3614">
        <v>0.29090485448638898</v>
      </c>
      <c r="H3614">
        <v>0.12012726435246</v>
      </c>
      <c r="I3614">
        <v>5.4914869847679501E-2</v>
      </c>
      <c r="J3614">
        <v>4.9493364228535598E-2</v>
      </c>
      <c r="K3614">
        <v>4.3067517823154697E-2</v>
      </c>
      <c r="L3614">
        <v>1504.21990390731</v>
      </c>
      <c r="M3614">
        <v>27.8364310944437</v>
      </c>
      <c r="N3614">
        <v>54.282416508673101</v>
      </c>
      <c r="O3614">
        <v>53.761250590881801</v>
      </c>
      <c r="P3614">
        <v>-0.121815923560398</v>
      </c>
      <c r="Q3614">
        <v>5.8942948506533602E-2</v>
      </c>
      <c r="R3614">
        <v>0.97850702376292897</v>
      </c>
      <c r="S3614" t="s">
        <v>8354</v>
      </c>
      <c r="T3614" t="s">
        <v>9478</v>
      </c>
      <c r="U3614" t="s">
        <v>9478</v>
      </c>
      <c r="V3614" t="s">
        <v>9478</v>
      </c>
      <c r="W3614">
        <v>6</v>
      </c>
      <c r="X3614" t="s">
        <v>13092</v>
      </c>
      <c r="Y3614">
        <v>0.50642341062255791</v>
      </c>
      <c r="Z3614" t="str">
        <f>HYPERLINK("Melting_Curves/meltCurve_sp_Q9UBF2_COPG2_HUMAN_.pdf", "Melting_Curves/meltCurve_sp_Q9UBF2_COPG2_HUMAN_.pdf")</f>
        <v>Melting_Curves/meltCurve_sp_Q9UBF2_COPG2_HUMAN_.pdf</v>
      </c>
      <c r="AA3614" t="s">
        <v>17776</v>
      </c>
      <c r="AB3614" t="s">
        <v>22447</v>
      </c>
    </row>
    <row r="3615" spans="1:28" x14ac:dyDescent="0.25">
      <c r="A3615" t="s">
        <v>3619</v>
      </c>
      <c r="B3615">
        <v>0.99904790336628502</v>
      </c>
      <c r="C3615">
        <v>1.0048931005921899</v>
      </c>
      <c r="D3615">
        <v>1.0509927303595901</v>
      </c>
      <c r="E3615">
        <v>0.89425272485664598</v>
      </c>
      <c r="F3615">
        <v>0.76059206749471697</v>
      </c>
      <c r="G3615">
        <v>0.58072773232414499</v>
      </c>
      <c r="H3615">
        <v>0.41984620096777597</v>
      </c>
      <c r="I3615">
        <v>0.40020183249518998</v>
      </c>
      <c r="J3615">
        <v>0.497434449157583</v>
      </c>
      <c r="K3615">
        <v>0.45605170665772299</v>
      </c>
      <c r="L3615">
        <v>1292.5124388034901</v>
      </c>
      <c r="M3615">
        <v>24.079262739769401</v>
      </c>
      <c r="N3615">
        <v>58.768536287846601</v>
      </c>
      <c r="O3615">
        <v>53.3113019741523</v>
      </c>
      <c r="P3615">
        <v>-6.3471392877324506E-2</v>
      </c>
      <c r="Q3615">
        <v>0.43790807860181702</v>
      </c>
      <c r="R3615">
        <v>0.97888751625135195</v>
      </c>
      <c r="S3615" t="s">
        <v>8355</v>
      </c>
      <c r="T3615" t="s">
        <v>9478</v>
      </c>
      <c r="U3615" t="s">
        <v>9478</v>
      </c>
      <c r="V3615" t="s">
        <v>9478</v>
      </c>
      <c r="W3615">
        <v>4</v>
      </c>
      <c r="X3615" t="s">
        <v>13093</v>
      </c>
      <c r="Y3615">
        <v>0.69973764237061364</v>
      </c>
      <c r="Z3615" t="str">
        <f>HYPERLINK("Melting_Curves/meltCurve_sp_Q9UBF6_RBX2_HUMAN_.pdf", "Melting_Curves/meltCurve_sp_Q9UBF6_RBX2_HUMAN_.pdf")</f>
        <v>Melting_Curves/meltCurve_sp_Q9UBF6_RBX2_HUMAN_.pdf</v>
      </c>
      <c r="AA3615" t="s">
        <v>17777</v>
      </c>
      <c r="AB3615" t="s">
        <v>22448</v>
      </c>
    </row>
    <row r="3616" spans="1:28" x14ac:dyDescent="0.25">
      <c r="A3616" t="s">
        <v>3620</v>
      </c>
      <c r="B3616">
        <v>0.99904790336628502</v>
      </c>
      <c r="C3616">
        <v>1.1031260435630501</v>
      </c>
      <c r="D3616">
        <v>1.1118060244152199</v>
      </c>
      <c r="E3616">
        <v>1.1485651353686199</v>
      </c>
      <c r="F3616">
        <v>0.82352104276206695</v>
      </c>
      <c r="G3616">
        <v>0.241901567423501</v>
      </c>
      <c r="H3616">
        <v>0.140742535106884</v>
      </c>
      <c r="I3616">
        <v>6.2305956912727903E-2</v>
      </c>
      <c r="J3616">
        <v>7.6305218931019297E-2</v>
      </c>
      <c r="K3616">
        <v>0.227440915099235</v>
      </c>
      <c r="L3616">
        <v>2695.1895071517201</v>
      </c>
      <c r="M3616">
        <v>49.327951431443203</v>
      </c>
      <c r="N3616">
        <v>54.967229561364199</v>
      </c>
      <c r="O3616">
        <v>54.548612638457897</v>
      </c>
      <c r="P3616">
        <v>-0.19717178887914599</v>
      </c>
      <c r="Q3616">
        <v>0.127842424294419</v>
      </c>
      <c r="R3616">
        <v>0.968253845320734</v>
      </c>
      <c r="S3616" t="s">
        <v>8356</v>
      </c>
      <c r="T3616" t="s">
        <v>9478</v>
      </c>
      <c r="U3616" t="s">
        <v>9478</v>
      </c>
      <c r="V3616" t="s">
        <v>9478</v>
      </c>
      <c r="W3616">
        <v>3</v>
      </c>
      <c r="X3616" t="s">
        <v>13094</v>
      </c>
      <c r="Y3616">
        <v>0.55556131011935928</v>
      </c>
      <c r="Z3616" t="str">
        <f>HYPERLINK("Melting_Curves/meltCurve_sp_Q9UBF8_2_PI4KB_HUMAN_.pdf", "Melting_Curves/meltCurve_sp_Q9UBF8_2_PI4KB_HUMAN_.pdf")</f>
        <v>Melting_Curves/meltCurve_sp_Q9UBF8_2_PI4KB_HUMAN_.pdf</v>
      </c>
      <c r="AA3616" t="s">
        <v>17778</v>
      </c>
      <c r="AB3616" t="s">
        <v>22449</v>
      </c>
    </row>
    <row r="3617" spans="1:28" x14ac:dyDescent="0.25">
      <c r="A3617" t="s">
        <v>3621</v>
      </c>
      <c r="B3617">
        <v>0.99904790336628502</v>
      </c>
      <c r="C3617">
        <v>1.0898494321832299</v>
      </c>
      <c r="D3617">
        <v>0.970333698717883</v>
      </c>
      <c r="E3617">
        <v>0.78750160010526604</v>
      </c>
      <c r="F3617">
        <v>0.38253000123227598</v>
      </c>
      <c r="G3617">
        <v>0.17097690041771901</v>
      </c>
      <c r="H3617">
        <v>0.11158217193796401</v>
      </c>
      <c r="I3617">
        <v>3.3171875428211497E-2</v>
      </c>
      <c r="J3617">
        <v>4.0517590915610198E-2</v>
      </c>
      <c r="K3617">
        <v>5.1107898183852599E-2</v>
      </c>
      <c r="L3617">
        <v>1452.2068857714</v>
      </c>
      <c r="M3617">
        <v>27.916667362652699</v>
      </c>
      <c r="N3617">
        <v>52.252440136730598</v>
      </c>
      <c r="O3617">
        <v>51.754603374528301</v>
      </c>
      <c r="P3617">
        <v>-0.12695737552669101</v>
      </c>
      <c r="Q3617">
        <v>5.8544686795348501E-2</v>
      </c>
      <c r="R3617">
        <v>0.992278343671538</v>
      </c>
      <c r="S3617" t="s">
        <v>8357</v>
      </c>
      <c r="T3617" t="s">
        <v>9478</v>
      </c>
      <c r="U3617" t="s">
        <v>9478</v>
      </c>
      <c r="V3617" t="s">
        <v>9478</v>
      </c>
      <c r="W3617">
        <v>9</v>
      </c>
      <c r="X3617" t="s">
        <v>13095</v>
      </c>
      <c r="Y3617">
        <v>0.44266954931014962</v>
      </c>
      <c r="Z3617" t="str">
        <f>HYPERLINK("Melting_Curves/meltCurve_sp_Q9UBI1_COMD3_HUMAN_.pdf", "Melting_Curves/meltCurve_sp_Q9UBI1_COMD3_HUMAN_.pdf")</f>
        <v>Melting_Curves/meltCurve_sp_Q9UBI1_COMD3_HUMAN_.pdf</v>
      </c>
      <c r="AA3617" t="s">
        <v>17779</v>
      </c>
      <c r="AB3617" t="s">
        <v>22450</v>
      </c>
    </row>
    <row r="3618" spans="1:28" x14ac:dyDescent="0.25">
      <c r="A3618" t="s">
        <v>3622</v>
      </c>
      <c r="B3618">
        <v>0.99904790336628502</v>
      </c>
      <c r="C3618">
        <v>1.1104009799588299</v>
      </c>
      <c r="D3618">
        <v>1.07370560126623</v>
      </c>
      <c r="E3618">
        <v>0.82359036446258305</v>
      </c>
      <c r="F3618">
        <v>0.68463041158910398</v>
      </c>
      <c r="G3618">
        <v>0.40948388919921103</v>
      </c>
      <c r="H3618">
        <v>0.32107701207696798</v>
      </c>
      <c r="I3618">
        <v>0.27195487892596798</v>
      </c>
      <c r="J3618">
        <v>0.28260635040961102</v>
      </c>
      <c r="K3618">
        <v>0.26148795620899301</v>
      </c>
      <c r="L3618">
        <v>1205.5583285529699</v>
      </c>
      <c r="M3618">
        <v>22.555931158435499</v>
      </c>
      <c r="N3618">
        <v>55.315930855327103</v>
      </c>
      <c r="O3618">
        <v>53.032725624685803</v>
      </c>
      <c r="P3618">
        <v>-7.7983597056195703E-2</v>
      </c>
      <c r="Q3618">
        <v>0.26660550789707899</v>
      </c>
      <c r="R3618">
        <v>0.97845183978182204</v>
      </c>
      <c r="S3618" t="s">
        <v>8358</v>
      </c>
      <c r="T3618" t="s">
        <v>9478</v>
      </c>
      <c r="U3618" t="s">
        <v>9478</v>
      </c>
      <c r="V3618" t="s">
        <v>9478</v>
      </c>
      <c r="W3618">
        <v>2</v>
      </c>
      <c r="X3618" t="s">
        <v>13096</v>
      </c>
      <c r="Y3618">
        <v>0.60351268182124873</v>
      </c>
      <c r="Z3618" t="str">
        <f>HYPERLINK("Melting_Curves/meltCurve_sp_Q9UBI6_GBG12_HUMAN_.pdf", "Melting_Curves/meltCurve_sp_Q9UBI6_GBG12_HUMAN_.pdf")</f>
        <v>Melting_Curves/meltCurve_sp_Q9UBI6_GBG12_HUMAN_.pdf</v>
      </c>
      <c r="AA3618" t="s">
        <v>17780</v>
      </c>
      <c r="AB3618" t="s">
        <v>22451</v>
      </c>
    </row>
    <row r="3619" spans="1:28" x14ac:dyDescent="0.25">
      <c r="A3619" t="s">
        <v>3623</v>
      </c>
      <c r="B3619">
        <v>0.99904790336628502</v>
      </c>
      <c r="C3619">
        <v>0.91619633726960803</v>
      </c>
      <c r="D3619">
        <v>0.90049848891069995</v>
      </c>
      <c r="E3619">
        <v>0.66715814833051501</v>
      </c>
      <c r="F3619">
        <v>0.439842043479374</v>
      </c>
      <c r="G3619">
        <v>0.25443870114536499</v>
      </c>
      <c r="H3619">
        <v>0.14548387576939301</v>
      </c>
      <c r="I3619">
        <v>9.37396127034823E-2</v>
      </c>
      <c r="J3619">
        <v>6.5191865991358705E-2</v>
      </c>
      <c r="K3619">
        <v>4.0025615217602901E-2</v>
      </c>
      <c r="L3619">
        <v>744.54052121854897</v>
      </c>
      <c r="M3619">
        <v>14.2672717069741</v>
      </c>
      <c r="N3619">
        <v>52.373248816848204</v>
      </c>
      <c r="O3619">
        <v>51.192114599505302</v>
      </c>
      <c r="P3619">
        <v>-6.7943878023929094E-2</v>
      </c>
      <c r="Q3619">
        <v>2.4967829539999899E-2</v>
      </c>
      <c r="R3619">
        <v>0.99765015172288496</v>
      </c>
      <c r="S3619" t="s">
        <v>8359</v>
      </c>
      <c r="T3619" t="s">
        <v>9478</v>
      </c>
      <c r="U3619" t="s">
        <v>9478</v>
      </c>
      <c r="V3619" t="s">
        <v>9478</v>
      </c>
      <c r="W3619">
        <v>7</v>
      </c>
      <c r="X3619" t="s">
        <v>13097</v>
      </c>
      <c r="Y3619">
        <v>0.44431819390815142</v>
      </c>
      <c r="Z3619" t="str">
        <f>HYPERLINK("Melting_Curves/meltCurve_sp_Q9UBK8_2_MTRR_HUMAN_.pdf", "Melting_Curves/meltCurve_sp_Q9UBK8_2_MTRR_HUMAN_.pdf")</f>
        <v>Melting_Curves/meltCurve_sp_Q9UBK8_2_MTRR_HUMAN_.pdf</v>
      </c>
      <c r="AA3619" t="s">
        <v>17781</v>
      </c>
      <c r="AB3619" t="s">
        <v>22452</v>
      </c>
    </row>
    <row r="3620" spans="1:28" x14ac:dyDescent="0.25">
      <c r="A3620" t="s">
        <v>3624</v>
      </c>
      <c r="B3620">
        <v>0.99904790336628502</v>
      </c>
      <c r="C3620">
        <v>0.96873530233581695</v>
      </c>
      <c r="D3620">
        <v>0.77251900785277205</v>
      </c>
      <c r="E3620">
        <v>0.478688755011072</v>
      </c>
      <c r="F3620">
        <v>0.31885467356409902</v>
      </c>
      <c r="G3620">
        <v>0.209566941014665</v>
      </c>
      <c r="H3620">
        <v>0.15955672855452199</v>
      </c>
      <c r="I3620">
        <v>0.14127907459260999</v>
      </c>
      <c r="J3620">
        <v>0.15056586655451401</v>
      </c>
      <c r="K3620">
        <v>0.15082952126764801</v>
      </c>
      <c r="L3620">
        <v>895.02217481523496</v>
      </c>
      <c r="M3620">
        <v>18.3236999206859</v>
      </c>
      <c r="N3620">
        <v>49.761647843203697</v>
      </c>
      <c r="O3620">
        <v>48.2744450944653</v>
      </c>
      <c r="P3620">
        <v>-8.13055898896346E-2</v>
      </c>
      <c r="Q3620">
        <v>0.143229416434034</v>
      </c>
      <c r="R3620">
        <v>0.99823962763211904</v>
      </c>
      <c r="S3620" t="s">
        <v>8360</v>
      </c>
      <c r="T3620" t="s">
        <v>9478</v>
      </c>
      <c r="U3620" t="s">
        <v>9478</v>
      </c>
      <c r="V3620" t="s">
        <v>9478</v>
      </c>
      <c r="W3620">
        <v>13</v>
      </c>
      <c r="X3620" t="s">
        <v>13098</v>
      </c>
      <c r="Y3620">
        <v>0.41019602314321618</v>
      </c>
      <c r="Z3620" t="str">
        <f>HYPERLINK("Melting_Curves/meltCurve_sp_Q9UBN7_HDAC6_HUMAN_.pdf", "Melting_Curves/meltCurve_sp_Q9UBN7_HDAC6_HUMAN_.pdf")</f>
        <v>Melting_Curves/meltCurve_sp_Q9UBN7_HDAC6_HUMAN_.pdf</v>
      </c>
      <c r="AA3620" t="s">
        <v>17782</v>
      </c>
      <c r="AB3620" t="s">
        <v>22453</v>
      </c>
    </row>
    <row r="3621" spans="1:28" x14ac:dyDescent="0.25">
      <c r="A3621" t="s">
        <v>3625</v>
      </c>
      <c r="B3621">
        <v>0.99904790336628502</v>
      </c>
      <c r="C3621">
        <v>0.97350848728180295</v>
      </c>
      <c r="D3621">
        <v>0.874225742050875</v>
      </c>
      <c r="E3621">
        <v>0.87898877042375201</v>
      </c>
      <c r="F3621">
        <v>0.82088176485722997</v>
      </c>
      <c r="G3621">
        <v>0.55730733527955101</v>
      </c>
      <c r="H3621">
        <v>0.38557805520477001</v>
      </c>
      <c r="I3621">
        <v>0.33483594850756598</v>
      </c>
      <c r="J3621">
        <v>0.40729379664498599</v>
      </c>
      <c r="K3621">
        <v>0.26314149576539397</v>
      </c>
      <c r="L3621">
        <v>813.96716718281402</v>
      </c>
      <c r="M3621">
        <v>14.6146763419901</v>
      </c>
      <c r="N3621">
        <v>58.698258614000402</v>
      </c>
      <c r="O3621">
        <v>54.683582096638503</v>
      </c>
      <c r="P3621">
        <v>-4.9229733571494502E-2</v>
      </c>
      <c r="Q3621">
        <v>0.26327289249725</v>
      </c>
      <c r="R3621">
        <v>0.96849123333791398</v>
      </c>
      <c r="S3621" t="s">
        <v>8361</v>
      </c>
      <c r="T3621" t="s">
        <v>9478</v>
      </c>
      <c r="U3621" t="s">
        <v>9478</v>
      </c>
      <c r="V3621" t="s">
        <v>9478</v>
      </c>
      <c r="W3621">
        <v>1</v>
      </c>
      <c r="X3621" t="s">
        <v>13099</v>
      </c>
      <c r="Y3621">
        <v>0.66246947998919559</v>
      </c>
      <c r="Z3621" t="str">
        <f>HYPERLINK("Melting_Curves/meltCurve_sp_Q9UBP0_3_SPAST_HUMAN_.pdf", "Melting_Curves/meltCurve_sp_Q9UBP0_3_SPAST_HUMAN_.pdf")</f>
        <v>Melting_Curves/meltCurve_sp_Q9UBP0_3_SPAST_HUMAN_.pdf</v>
      </c>
      <c r="AA3621" t="s">
        <v>17783</v>
      </c>
      <c r="AB3621" t="s">
        <v>22454</v>
      </c>
    </row>
    <row r="3622" spans="1:28" x14ac:dyDescent="0.25">
      <c r="A3622" t="s">
        <v>3626</v>
      </c>
      <c r="B3622">
        <v>0.99904790336628502</v>
      </c>
      <c r="C3622">
        <v>0.90249871631189504</v>
      </c>
      <c r="D3622">
        <v>0.86206854995048299</v>
      </c>
      <c r="E3622">
        <v>0.77112682118801401</v>
      </c>
      <c r="F3622">
        <v>0.51885222898499594</v>
      </c>
      <c r="G3622">
        <v>0.17745374969282199</v>
      </c>
      <c r="H3622">
        <v>0.125369330070705</v>
      </c>
      <c r="I3622">
        <v>7.1358992627310699E-2</v>
      </c>
      <c r="J3622">
        <v>6.7897862149459906E-2</v>
      </c>
      <c r="K3622">
        <v>3.1428073965377203E-2</v>
      </c>
      <c r="L3622">
        <v>894.35803926219103</v>
      </c>
      <c r="M3622">
        <v>16.9392833822501</v>
      </c>
      <c r="N3622">
        <v>52.932596589433501</v>
      </c>
      <c r="O3622">
        <v>52.078531603645501</v>
      </c>
      <c r="P3622">
        <v>-7.9605465205152701E-2</v>
      </c>
      <c r="Q3622">
        <v>2.10981233523528E-2</v>
      </c>
      <c r="R3622">
        <v>0.98793459921883497</v>
      </c>
      <c r="S3622" t="s">
        <v>8362</v>
      </c>
      <c r="T3622" t="s">
        <v>9478</v>
      </c>
      <c r="U3622" t="s">
        <v>9478</v>
      </c>
      <c r="V3622" t="s">
        <v>9478</v>
      </c>
      <c r="W3622">
        <v>5</v>
      </c>
      <c r="X3622" t="s">
        <v>13100</v>
      </c>
      <c r="Y3622">
        <v>0.4564139264118493</v>
      </c>
      <c r="Z3622" t="str">
        <f>HYPERLINK("Melting_Curves/meltCurve_sp_Q9UBP6_TRMB_HUMAN_.pdf", "Melting_Curves/meltCurve_sp_Q9UBP6_TRMB_HUMAN_.pdf")</f>
        <v>Melting_Curves/meltCurve_sp_Q9UBP6_TRMB_HUMAN_.pdf</v>
      </c>
      <c r="AA3622" t="s">
        <v>17784</v>
      </c>
      <c r="AB3622" t="s">
        <v>22455</v>
      </c>
    </row>
    <row r="3623" spans="1:28" x14ac:dyDescent="0.25">
      <c r="A3623" t="s">
        <v>3627</v>
      </c>
      <c r="B3623">
        <v>0.99904790336628502</v>
      </c>
      <c r="C3623">
        <v>0.99842555420062795</v>
      </c>
      <c r="D3623">
        <v>0.91187712070838001</v>
      </c>
      <c r="E3623">
        <v>0.95716305635332599</v>
      </c>
      <c r="F3623">
        <v>0.83393654461472899</v>
      </c>
      <c r="G3623">
        <v>0.48035767535201102</v>
      </c>
      <c r="H3623">
        <v>0.17439103185962701</v>
      </c>
      <c r="I3623">
        <v>6.1644726672451203E-2</v>
      </c>
      <c r="J3623">
        <v>4.0518648759344501E-2</v>
      </c>
      <c r="K3623">
        <v>3.2872147563765303E-2</v>
      </c>
      <c r="L3623">
        <v>1294.26575223024</v>
      </c>
      <c r="M3623">
        <v>22.8226740015768</v>
      </c>
      <c r="N3623">
        <v>56.755588121920198</v>
      </c>
      <c r="O3623">
        <v>56.279642474886899</v>
      </c>
      <c r="P3623">
        <v>-0.100454734250609</v>
      </c>
      <c r="Q3623">
        <v>9.1524873850443098E-3</v>
      </c>
      <c r="R3623">
        <v>0.99566061691128305</v>
      </c>
      <c r="S3623" t="s">
        <v>8363</v>
      </c>
      <c r="T3623" t="s">
        <v>9478</v>
      </c>
      <c r="U3623" t="s">
        <v>9478</v>
      </c>
      <c r="V3623" t="s">
        <v>9478</v>
      </c>
      <c r="W3623">
        <v>7</v>
      </c>
      <c r="X3623" t="s">
        <v>13101</v>
      </c>
      <c r="Y3623">
        <v>0.57136568708351687</v>
      </c>
      <c r="Z3623" t="str">
        <f>HYPERLINK("Melting_Curves/meltCurve_sp_Q9UBQ0_VPS29_HUMAN_.pdf", "Melting_Curves/meltCurve_sp_Q9UBQ0_VPS29_HUMAN_.pdf")</f>
        <v>Melting_Curves/meltCurve_sp_Q9UBQ0_VPS29_HUMAN_.pdf</v>
      </c>
      <c r="AA3623" t="s">
        <v>17785</v>
      </c>
      <c r="AB3623" t="s">
        <v>22456</v>
      </c>
    </row>
    <row r="3624" spans="1:28" x14ac:dyDescent="0.25">
      <c r="A3624" t="s">
        <v>3628</v>
      </c>
      <c r="B3624">
        <v>0.99904790336628502</v>
      </c>
      <c r="C3624">
        <v>0.94192786054798605</v>
      </c>
      <c r="D3624">
        <v>0.92144202193930902</v>
      </c>
      <c r="E3624">
        <v>0.61758939363258103</v>
      </c>
      <c r="F3624">
        <v>0.187831530319746</v>
      </c>
      <c r="G3624">
        <v>9.8140624087328501E-2</v>
      </c>
      <c r="H3624">
        <v>5.1231388516738002E-2</v>
      </c>
      <c r="I3624">
        <v>3.5623130442640399E-2</v>
      </c>
      <c r="J3624">
        <v>2.73323759202838E-2</v>
      </c>
      <c r="K3624">
        <v>2.1711719179370901E-2</v>
      </c>
      <c r="L3624">
        <v>1545.2003061673699</v>
      </c>
      <c r="M3624">
        <v>30.5881349158246</v>
      </c>
      <c r="N3624">
        <v>50.638802782205701</v>
      </c>
      <c r="O3624">
        <v>50.3018938873184</v>
      </c>
      <c r="P3624">
        <v>-0.14660359729276901</v>
      </c>
      <c r="Q3624">
        <v>3.5653068152250597E-2</v>
      </c>
      <c r="R3624">
        <v>0.99560400558195405</v>
      </c>
      <c r="S3624" t="s">
        <v>8364</v>
      </c>
      <c r="T3624" t="s">
        <v>9478</v>
      </c>
      <c r="U3624" t="s">
        <v>9478</v>
      </c>
      <c r="V3624" t="s">
        <v>9478</v>
      </c>
      <c r="W3624">
        <v>18</v>
      </c>
      <c r="X3624" t="s">
        <v>13102</v>
      </c>
      <c r="Y3624">
        <v>0.37948404557360399</v>
      </c>
      <c r="Z3624" t="str">
        <f>HYPERLINK("Melting_Curves/meltCurve_sp_Q9UBQ7_GRHPR_HUMAN_.pdf", "Melting_Curves/meltCurve_sp_Q9UBQ7_GRHPR_HUMAN_.pdf")</f>
        <v>Melting_Curves/meltCurve_sp_Q9UBQ7_GRHPR_HUMAN_.pdf</v>
      </c>
      <c r="AA3624" t="s">
        <v>17786</v>
      </c>
      <c r="AB3624" t="s">
        <v>22457</v>
      </c>
    </row>
    <row r="3625" spans="1:28" x14ac:dyDescent="0.25">
      <c r="A3625" t="s">
        <v>3629</v>
      </c>
      <c r="B3625">
        <v>0.99904790336628502</v>
      </c>
      <c r="C3625">
        <v>1.05025605959019</v>
      </c>
      <c r="D3625">
        <v>1.1219654562886201</v>
      </c>
      <c r="E3625">
        <v>0.81616775330080005</v>
      </c>
      <c r="F3625">
        <v>0.30571165891468599</v>
      </c>
      <c r="G3625">
        <v>0.177603488192419</v>
      </c>
      <c r="H3625">
        <v>9.0227539439961493E-2</v>
      </c>
      <c r="I3625">
        <v>6.0783194869385403E-2</v>
      </c>
      <c r="J3625">
        <v>4.9920364579750798E-2</v>
      </c>
      <c r="K3625">
        <v>3.9570045724558502E-2</v>
      </c>
      <c r="L3625">
        <v>2151.9070013338101</v>
      </c>
      <c r="M3625">
        <v>41.645886246441201</v>
      </c>
      <c r="N3625">
        <v>51.881563729506396</v>
      </c>
      <c r="O3625">
        <v>51.552824362771702</v>
      </c>
      <c r="P3625">
        <v>-0.18629137210892599</v>
      </c>
      <c r="Q3625">
        <v>7.7572333520599404E-2</v>
      </c>
      <c r="R3625">
        <v>0.98551845094039903</v>
      </c>
      <c r="S3625" t="s">
        <v>8365</v>
      </c>
      <c r="T3625" t="s">
        <v>9478</v>
      </c>
      <c r="U3625" t="s">
        <v>9478</v>
      </c>
      <c r="V3625" t="s">
        <v>9478</v>
      </c>
      <c r="W3625">
        <v>26</v>
      </c>
      <c r="X3625" t="s">
        <v>13103</v>
      </c>
      <c r="Y3625">
        <v>0.43948086137048248</v>
      </c>
      <c r="Z3625" t="str">
        <f>HYPERLINK("Melting_Curves/meltCurve_sp_Q9UBR1_BUP1_HUMAN_.pdf", "Melting_Curves/meltCurve_sp_Q9UBR1_BUP1_HUMAN_.pdf")</f>
        <v>Melting_Curves/meltCurve_sp_Q9UBR1_BUP1_HUMAN_.pdf</v>
      </c>
      <c r="AA3625" t="s">
        <v>17787</v>
      </c>
      <c r="AB3625" t="s">
        <v>22458</v>
      </c>
    </row>
    <row r="3626" spans="1:28" x14ac:dyDescent="0.25">
      <c r="A3626" t="s">
        <v>3630</v>
      </c>
      <c r="B3626">
        <v>0.99904790336628502</v>
      </c>
      <c r="C3626">
        <v>1.05921895366481</v>
      </c>
      <c r="D3626">
        <v>0.98727751589769597</v>
      </c>
      <c r="E3626">
        <v>0.92896505815692898</v>
      </c>
      <c r="F3626">
        <v>0.91236833950728002</v>
      </c>
      <c r="G3626">
        <v>0.77129436905190196</v>
      </c>
      <c r="H3626">
        <v>0.57891338749371202</v>
      </c>
      <c r="I3626">
        <v>0.43875765431254199</v>
      </c>
      <c r="J3626">
        <v>0.184764283360388</v>
      </c>
      <c r="K3626">
        <v>6.3869020342876295E-2</v>
      </c>
      <c r="L3626">
        <v>1011.42146697666</v>
      </c>
      <c r="M3626">
        <v>16.345466834776101</v>
      </c>
      <c r="N3626">
        <v>61.8777965353678</v>
      </c>
      <c r="O3626">
        <v>60.973864224724203</v>
      </c>
      <c r="P3626">
        <v>-6.7023165820576602E-2</v>
      </c>
      <c r="Q3626">
        <v>0</v>
      </c>
      <c r="R3626">
        <v>0.98332865772494504</v>
      </c>
      <c r="S3626" t="s">
        <v>8366</v>
      </c>
      <c r="T3626" t="s">
        <v>9478</v>
      </c>
      <c r="U3626" t="s">
        <v>9478</v>
      </c>
      <c r="V3626" t="s">
        <v>9478</v>
      </c>
      <c r="W3626">
        <v>12</v>
      </c>
      <c r="X3626" t="s">
        <v>13104</v>
      </c>
      <c r="Y3626">
        <v>0.7293624972105418</v>
      </c>
      <c r="Z3626" t="str">
        <f>HYPERLINK("Melting_Curves/meltCurve_sp_Q9UBR2_CATZ_HUMAN_.pdf", "Melting_Curves/meltCurve_sp_Q9UBR2_CATZ_HUMAN_.pdf")</f>
        <v>Melting_Curves/meltCurve_sp_Q9UBR2_CATZ_HUMAN_.pdf</v>
      </c>
      <c r="AA3626" t="s">
        <v>17788</v>
      </c>
      <c r="AB3626" t="s">
        <v>22459</v>
      </c>
    </row>
    <row r="3627" spans="1:28" x14ac:dyDescent="0.25">
      <c r="A3627" t="s">
        <v>3631</v>
      </c>
      <c r="B3627">
        <v>0.99904790336628502</v>
      </c>
      <c r="C3627">
        <v>0.96548846925216103</v>
      </c>
      <c r="D3627">
        <v>1.00566461044026</v>
      </c>
      <c r="E3627">
        <v>0.87171846051010304</v>
      </c>
      <c r="F3627">
        <v>0.68701478598575205</v>
      </c>
      <c r="G3627">
        <v>0.42744470754491698</v>
      </c>
      <c r="H3627">
        <v>0.18330205315109099</v>
      </c>
      <c r="I3627">
        <v>9.60128401836782E-2</v>
      </c>
      <c r="J3627">
        <v>6.2186011774576902E-2</v>
      </c>
      <c r="K3627">
        <v>6.4790707033997003E-2</v>
      </c>
      <c r="L3627">
        <v>962.64752275323099</v>
      </c>
      <c r="M3627">
        <v>17.3285499282544</v>
      </c>
      <c r="N3627">
        <v>55.686167104729897</v>
      </c>
      <c r="O3627">
        <v>54.828693387603899</v>
      </c>
      <c r="P3627">
        <v>-7.7409206211039902E-2</v>
      </c>
      <c r="Q3627">
        <v>2.03444872546013E-2</v>
      </c>
      <c r="R3627">
        <v>0.99783977146731595</v>
      </c>
      <c r="S3627" t="s">
        <v>8367</v>
      </c>
      <c r="T3627" t="s">
        <v>9478</v>
      </c>
      <c r="U3627" t="s">
        <v>9478</v>
      </c>
      <c r="V3627" t="s">
        <v>9478</v>
      </c>
      <c r="W3627">
        <v>8</v>
      </c>
      <c r="X3627" t="s">
        <v>13105</v>
      </c>
      <c r="Y3627">
        <v>0.54371330231370008</v>
      </c>
      <c r="Z3627" t="str">
        <f>HYPERLINK("Melting_Curves/meltCurve_sp_Q9UBS4_DJB11_HUMAN_.pdf", "Melting_Curves/meltCurve_sp_Q9UBS4_DJB11_HUMAN_.pdf")</f>
        <v>Melting_Curves/meltCurve_sp_Q9UBS4_DJB11_HUMAN_.pdf</v>
      </c>
      <c r="AA3627" t="s">
        <v>17789</v>
      </c>
      <c r="AB3627" t="s">
        <v>22460</v>
      </c>
    </row>
    <row r="3628" spans="1:28" x14ac:dyDescent="0.25">
      <c r="A3628" t="s">
        <v>3632</v>
      </c>
      <c r="B3628">
        <v>0.99904790336628502</v>
      </c>
      <c r="C3628">
        <v>0.98072179746194699</v>
      </c>
      <c r="D3628">
        <v>0.98765841140452804</v>
      </c>
      <c r="E3628">
        <v>0.88866761363816604</v>
      </c>
      <c r="F3628">
        <v>0.66265542917577003</v>
      </c>
      <c r="G3628">
        <v>0.27932995645889802</v>
      </c>
      <c r="H3628">
        <v>0.119506071415784</v>
      </c>
      <c r="I3628">
        <v>8.1523118130378699E-2</v>
      </c>
      <c r="J3628">
        <v>6.6995357809638598E-2</v>
      </c>
      <c r="K3628">
        <v>5.0965323541644701E-2</v>
      </c>
      <c r="L3628">
        <v>1292.22895704554</v>
      </c>
      <c r="M3628">
        <v>23.8059522386475</v>
      </c>
      <c r="N3628">
        <v>54.539614607386397</v>
      </c>
      <c r="O3628">
        <v>53.903078214452897</v>
      </c>
      <c r="P3628">
        <v>-0.104536084716483</v>
      </c>
      <c r="Q3628">
        <v>5.3224216558114698E-2</v>
      </c>
      <c r="R3628">
        <v>0.99974667266283301</v>
      </c>
      <c r="S3628" t="s">
        <v>8368</v>
      </c>
      <c r="T3628" t="s">
        <v>9478</v>
      </c>
      <c r="U3628" t="s">
        <v>9478</v>
      </c>
      <c r="V3628" t="s">
        <v>9478</v>
      </c>
      <c r="W3628">
        <v>11</v>
      </c>
      <c r="X3628" t="s">
        <v>13106</v>
      </c>
      <c r="Y3628">
        <v>0.51351024049599847</v>
      </c>
      <c r="Z3628" t="str">
        <f>HYPERLINK("Melting_Curves/meltCurve_sp_Q9UBS8_RNF14_HUMAN_.pdf", "Melting_Curves/meltCurve_sp_Q9UBS8_RNF14_HUMAN_.pdf")</f>
        <v>Melting_Curves/meltCurve_sp_Q9UBS8_RNF14_HUMAN_.pdf</v>
      </c>
      <c r="AA3628" t="s">
        <v>17790</v>
      </c>
      <c r="AB3628" t="s">
        <v>22461</v>
      </c>
    </row>
    <row r="3629" spans="1:28" x14ac:dyDescent="0.25">
      <c r="A3629" t="s">
        <v>3633</v>
      </c>
      <c r="B3629">
        <v>0.99904790336628502</v>
      </c>
      <c r="C3629">
        <v>0.92053187947574699</v>
      </c>
      <c r="D3629">
        <v>0.95657239776407399</v>
      </c>
      <c r="E3629">
        <v>0.81120113606918598</v>
      </c>
      <c r="F3629">
        <v>0.49883543592132901</v>
      </c>
      <c r="G3629">
        <v>0.23290852283205399</v>
      </c>
      <c r="H3629">
        <v>0.11459423456954899</v>
      </c>
      <c r="I3629">
        <v>7.8430042583343504E-2</v>
      </c>
      <c r="J3629">
        <v>5.6930092778511403E-2</v>
      </c>
      <c r="K3629">
        <v>5.3428276545615001E-2</v>
      </c>
      <c r="L3629">
        <v>1107.3592131856601</v>
      </c>
      <c r="M3629">
        <v>20.9176568661739</v>
      </c>
      <c r="N3629">
        <v>53.213912798436702</v>
      </c>
      <c r="O3629">
        <v>52.462252541808503</v>
      </c>
      <c r="P3629">
        <v>-9.4576852552809607E-2</v>
      </c>
      <c r="Q3629">
        <v>5.1216887125905101E-2</v>
      </c>
      <c r="R3629">
        <v>0.99569141483684598</v>
      </c>
      <c r="S3629" t="s">
        <v>8369</v>
      </c>
      <c r="T3629" t="s">
        <v>9478</v>
      </c>
      <c r="U3629" t="s">
        <v>9478</v>
      </c>
      <c r="V3629" t="s">
        <v>9478</v>
      </c>
      <c r="W3629">
        <v>19</v>
      </c>
      <c r="X3629" t="s">
        <v>13107</v>
      </c>
      <c r="Y3629">
        <v>0.47250594712492211</v>
      </c>
      <c r="Z3629" t="str">
        <f>HYPERLINK("Melting_Curves/meltCurve_sp_Q9UBT2_SAE2_HUMAN_.pdf", "Melting_Curves/meltCurve_sp_Q9UBT2_SAE2_HUMAN_.pdf")</f>
        <v>Melting_Curves/meltCurve_sp_Q9UBT2_SAE2_HUMAN_.pdf</v>
      </c>
      <c r="AA3629" t="s">
        <v>17791</v>
      </c>
      <c r="AB3629" t="s">
        <v>22462</v>
      </c>
    </row>
    <row r="3630" spans="1:28" x14ac:dyDescent="0.25">
      <c r="A3630" t="s">
        <v>3634</v>
      </c>
      <c r="B3630">
        <v>0.99904790336628502</v>
      </c>
      <c r="C3630">
        <v>1.1949993515288</v>
      </c>
      <c r="D3630">
        <v>0.97355391974914496</v>
      </c>
      <c r="E3630">
        <v>0.95735532542861201</v>
      </c>
      <c r="F3630">
        <v>0.96814911404996296</v>
      </c>
      <c r="G3630">
        <v>0.81287729680071197</v>
      </c>
      <c r="H3630">
        <v>0.73233458645444205</v>
      </c>
      <c r="I3630">
        <v>0.62997257582284605</v>
      </c>
      <c r="J3630">
        <v>0.69677986063941</v>
      </c>
      <c r="K3630">
        <v>0.70597034072224196</v>
      </c>
      <c r="L3630">
        <v>1662.90024444864</v>
      </c>
      <c r="M3630">
        <v>29.4743075700862</v>
      </c>
      <c r="O3630">
        <v>56.160838745234599</v>
      </c>
      <c r="P3630">
        <v>-4.2047160304040203E-2</v>
      </c>
      <c r="Q3630">
        <v>0.67953278928649696</v>
      </c>
      <c r="R3630">
        <v>0.84363509241654999</v>
      </c>
      <c r="S3630" t="s">
        <v>8370</v>
      </c>
      <c r="T3630" t="s">
        <v>9478</v>
      </c>
      <c r="U3630" t="s">
        <v>9478</v>
      </c>
      <c r="V3630" t="s">
        <v>9478</v>
      </c>
      <c r="W3630">
        <v>2</v>
      </c>
      <c r="X3630" t="s">
        <v>13108</v>
      </c>
      <c r="Y3630">
        <v>0.85712743936827662</v>
      </c>
      <c r="Z3630" t="str">
        <f>HYPERLINK("Melting_Curves/meltCurve_sp_Q9UBU6_FA8A1_HUMAN_.pdf", "Melting_Curves/meltCurve_sp_Q9UBU6_FA8A1_HUMAN_.pdf")</f>
        <v>Melting_Curves/meltCurve_sp_Q9UBU6_FA8A1_HUMAN_.pdf</v>
      </c>
      <c r="AA3630" t="s">
        <v>17792</v>
      </c>
      <c r="AB3630" t="s">
        <v>22463</v>
      </c>
    </row>
    <row r="3631" spans="1:28" x14ac:dyDescent="0.25">
      <c r="A3631" t="s">
        <v>3635</v>
      </c>
      <c r="B3631">
        <v>0.99904790336628502</v>
      </c>
      <c r="C3631">
        <v>1.0040153331682999</v>
      </c>
      <c r="D3631">
        <v>0.96138483368963801</v>
      </c>
      <c r="E3631">
        <v>0.87554493063914696</v>
      </c>
      <c r="F3631">
        <v>0.86011601001744697</v>
      </c>
      <c r="G3631">
        <v>0.358537890997014</v>
      </c>
      <c r="H3631">
        <v>0.128266635833472</v>
      </c>
      <c r="I3631">
        <v>7.8284690790911896E-2</v>
      </c>
      <c r="J3631">
        <v>7.1186413784819297E-2</v>
      </c>
      <c r="K3631">
        <v>5.3550474800853398E-2</v>
      </c>
      <c r="L3631">
        <v>1597.11934937458</v>
      </c>
      <c r="M3631">
        <v>28.698750250911601</v>
      </c>
      <c r="N3631">
        <v>55.881891131326803</v>
      </c>
      <c r="O3631">
        <v>55.383073860159698</v>
      </c>
      <c r="P3631">
        <v>-0.12231017510697299</v>
      </c>
      <c r="Q3631">
        <v>5.5866817294273702E-2</v>
      </c>
      <c r="R3631">
        <v>0.99331162199713297</v>
      </c>
      <c r="S3631" t="s">
        <v>8371</v>
      </c>
      <c r="T3631" t="s">
        <v>9478</v>
      </c>
      <c r="U3631" t="s">
        <v>9478</v>
      </c>
      <c r="V3631" t="s">
        <v>9478</v>
      </c>
      <c r="W3631">
        <v>3</v>
      </c>
      <c r="X3631" t="s">
        <v>13109</v>
      </c>
      <c r="Y3631">
        <v>0.55524907177453353</v>
      </c>
      <c r="Z3631" t="str">
        <f>HYPERLINK("Melting_Curves/meltCurve_sp_Q9UBV8_PEF1_HUMAN_.pdf", "Melting_Curves/meltCurve_sp_Q9UBV8_PEF1_HUMAN_.pdf")</f>
        <v>Melting_Curves/meltCurve_sp_Q9UBV8_PEF1_HUMAN_.pdf</v>
      </c>
      <c r="AA3631" t="s">
        <v>17793</v>
      </c>
      <c r="AB3631" t="s">
        <v>22464</v>
      </c>
    </row>
    <row r="3632" spans="1:28" x14ac:dyDescent="0.25">
      <c r="A3632" t="s">
        <v>3636</v>
      </c>
      <c r="B3632">
        <v>0.99904790336628502</v>
      </c>
      <c r="C3632">
        <v>1.0364973297093401</v>
      </c>
      <c r="D3632">
        <v>0.97344917335194503</v>
      </c>
      <c r="E3632">
        <v>0.77283841370908601</v>
      </c>
      <c r="F3632">
        <v>0.81042957390167603</v>
      </c>
      <c r="G3632">
        <v>0.55574796660317605</v>
      </c>
      <c r="H3632">
        <v>0.49120285013699599</v>
      </c>
      <c r="I3632">
        <v>0.52576568038037697</v>
      </c>
      <c r="J3632">
        <v>0.51182152368424405</v>
      </c>
      <c r="K3632">
        <v>0.61600179891649298</v>
      </c>
      <c r="L3632">
        <v>1011.86660610206</v>
      </c>
      <c r="M3632">
        <v>19.4966780120142</v>
      </c>
      <c r="O3632">
        <v>51.362711280941397</v>
      </c>
      <c r="P3632">
        <v>-4.5010032298104997E-2</v>
      </c>
      <c r="Q3632">
        <v>0.52571344573600298</v>
      </c>
      <c r="R3632">
        <v>0.92964155016819805</v>
      </c>
      <c r="S3632" t="s">
        <v>8372</v>
      </c>
      <c r="T3632" t="s">
        <v>9478</v>
      </c>
      <c r="U3632" t="s">
        <v>9478</v>
      </c>
      <c r="V3632" t="s">
        <v>9478</v>
      </c>
      <c r="W3632">
        <v>1</v>
      </c>
      <c r="X3632" t="s">
        <v>13110</v>
      </c>
      <c r="Y3632">
        <v>0.72071105163410587</v>
      </c>
      <c r="Z3632" t="str">
        <f>HYPERLINK("Melting_Curves/meltCurve_sp_Q9UBW7_2_ZMYM2_HUMAN_.pdf", "Melting_Curves/meltCurve_sp_Q9UBW7_2_ZMYM2_HUMAN_.pdf")</f>
        <v>Melting_Curves/meltCurve_sp_Q9UBW7_2_ZMYM2_HUMAN_.pdf</v>
      </c>
      <c r="AA3632" t="s">
        <v>17794</v>
      </c>
      <c r="AB3632" t="s">
        <v>22465</v>
      </c>
    </row>
    <row r="3633" spans="1:28" x14ac:dyDescent="0.25">
      <c r="A3633" t="s">
        <v>3637</v>
      </c>
      <c r="B3633">
        <v>0.99904790336628502</v>
      </c>
      <c r="C3633">
        <v>1.07167727386923</v>
      </c>
      <c r="D3633">
        <v>1.1320137571476101</v>
      </c>
      <c r="E3633">
        <v>1.02199032175183</v>
      </c>
      <c r="F3633">
        <v>0.87077782033056805</v>
      </c>
      <c r="G3633">
        <v>0.34085438385397698</v>
      </c>
      <c r="H3633">
        <v>9.93746548537493E-2</v>
      </c>
      <c r="I3633">
        <v>5.3689699896325098E-2</v>
      </c>
      <c r="J3633">
        <v>3.3853958879417202E-2</v>
      </c>
      <c r="K3633">
        <v>3.4385630412475499E-2</v>
      </c>
      <c r="L3633">
        <v>2023.36377035699</v>
      </c>
      <c r="M3633">
        <v>36.270420551625698</v>
      </c>
      <c r="N3633">
        <v>55.918353510825099</v>
      </c>
      <c r="O3633">
        <v>55.616741715422201</v>
      </c>
      <c r="P3633">
        <v>-0.156307562751967</v>
      </c>
      <c r="Q3633">
        <v>4.12804126506576E-2</v>
      </c>
      <c r="R3633">
        <v>0.98867639477083402</v>
      </c>
      <c r="S3633" t="s">
        <v>8373</v>
      </c>
      <c r="T3633" t="s">
        <v>9478</v>
      </c>
      <c r="U3633" t="s">
        <v>9478</v>
      </c>
      <c r="V3633" t="s">
        <v>9478</v>
      </c>
      <c r="W3633">
        <v>7</v>
      </c>
      <c r="X3633" t="s">
        <v>13111</v>
      </c>
      <c r="Y3633">
        <v>0.55019637486795514</v>
      </c>
      <c r="Z3633" t="str">
        <f>HYPERLINK("Melting_Curves/meltCurve_sp_Q9UBW8_CSN7A_HUMAN_.pdf", "Melting_Curves/meltCurve_sp_Q9UBW8_CSN7A_HUMAN_.pdf")</f>
        <v>Melting_Curves/meltCurve_sp_Q9UBW8_CSN7A_HUMAN_.pdf</v>
      </c>
      <c r="AA3633" t="s">
        <v>17795</v>
      </c>
      <c r="AB3633" t="s">
        <v>22466</v>
      </c>
    </row>
    <row r="3634" spans="1:28" x14ac:dyDescent="0.25">
      <c r="A3634" t="s">
        <v>3638</v>
      </c>
      <c r="B3634">
        <v>0.99904790336628502</v>
      </c>
      <c r="C3634">
        <v>0.91724670408602305</v>
      </c>
      <c r="D3634">
        <v>0.79169028696783195</v>
      </c>
      <c r="E3634">
        <v>0.71753565694584898</v>
      </c>
      <c r="F3634">
        <v>0.62575494212405403</v>
      </c>
      <c r="G3634">
        <v>0.43415989271076499</v>
      </c>
      <c r="H3634">
        <v>0.21539793983784</v>
      </c>
      <c r="I3634">
        <v>8.9827173927066004E-2</v>
      </c>
      <c r="J3634">
        <v>6.5468484889850201E-2</v>
      </c>
      <c r="K3634">
        <v>4.89942845500961E-2</v>
      </c>
      <c r="L3634">
        <v>613.26047061233601</v>
      </c>
      <c r="M3634">
        <v>11.287140349725901</v>
      </c>
      <c r="N3634">
        <v>54.332669778441598</v>
      </c>
      <c r="O3634">
        <v>52.711002968153601</v>
      </c>
      <c r="P3634">
        <v>-5.3549505823600498E-2</v>
      </c>
      <c r="Q3634">
        <v>0</v>
      </c>
      <c r="R3634">
        <v>0.98034061302401798</v>
      </c>
      <c r="S3634" t="s">
        <v>8374</v>
      </c>
      <c r="T3634" t="s">
        <v>9478</v>
      </c>
      <c r="U3634" t="s">
        <v>9478</v>
      </c>
      <c r="V3634" t="s">
        <v>9478</v>
      </c>
      <c r="W3634">
        <v>3</v>
      </c>
      <c r="X3634" t="s">
        <v>13112</v>
      </c>
      <c r="Y3634">
        <v>0.50430412019021209</v>
      </c>
      <c r="Z3634" t="str">
        <f>HYPERLINK("Melting_Curves/meltCurve_sp_Q9UBX1_CATF_HUMAN_.pdf", "Melting_Curves/meltCurve_sp_Q9UBX1_CATF_HUMAN_.pdf")</f>
        <v>Melting_Curves/meltCurve_sp_Q9UBX1_CATF_HUMAN_.pdf</v>
      </c>
      <c r="AA3634" t="s">
        <v>17796</v>
      </c>
      <c r="AB3634" t="s">
        <v>22467</v>
      </c>
    </row>
    <row r="3635" spans="1:28" x14ac:dyDescent="0.25">
      <c r="A3635" t="s">
        <v>3639</v>
      </c>
      <c r="B3635">
        <v>0.99904790336628502</v>
      </c>
      <c r="C3635">
        <v>1.03068077156715</v>
      </c>
      <c r="D3635">
        <v>1.0006787097433101</v>
      </c>
      <c r="E3635">
        <v>0.43029722429349798</v>
      </c>
      <c r="F3635">
        <v>0.12785664157495299</v>
      </c>
      <c r="G3635">
        <v>7.2845082391357702E-2</v>
      </c>
      <c r="H3635">
        <v>4.2739231592408097E-2</v>
      </c>
      <c r="I3635">
        <v>3.1235241775755498E-2</v>
      </c>
      <c r="J3635">
        <v>2.5570928500069E-2</v>
      </c>
      <c r="K3635">
        <v>2.09874508955562E-2</v>
      </c>
      <c r="L3635">
        <v>2115.4415950847902</v>
      </c>
      <c r="M3635">
        <v>42.641900983661998</v>
      </c>
      <c r="N3635">
        <v>49.711285361081103</v>
      </c>
      <c r="O3635">
        <v>49.5007390002393</v>
      </c>
      <c r="P3635">
        <v>-0.206354370494165</v>
      </c>
      <c r="Q3635">
        <v>4.1818095406655299E-2</v>
      </c>
      <c r="R3635">
        <v>0.99752646548759305</v>
      </c>
      <c r="S3635" t="s">
        <v>8375</v>
      </c>
      <c r="T3635" t="s">
        <v>9478</v>
      </c>
      <c r="U3635" t="s">
        <v>9478</v>
      </c>
      <c r="V3635" t="s">
        <v>9478</v>
      </c>
      <c r="W3635">
        <v>55</v>
      </c>
      <c r="X3635" t="s">
        <v>13113</v>
      </c>
      <c r="Y3635">
        <v>0.35162786069314828</v>
      </c>
      <c r="Z3635" t="str">
        <f>HYPERLINK("Melting_Curves/meltCurve_sp_Q9UDR5_AASS_HUMAN_.pdf", "Melting_Curves/meltCurve_sp_Q9UDR5_AASS_HUMAN_.pdf")</f>
        <v>Melting_Curves/meltCurve_sp_Q9UDR5_AASS_HUMAN_.pdf</v>
      </c>
      <c r="AA3635" t="s">
        <v>17797</v>
      </c>
      <c r="AB3635" t="s">
        <v>22468</v>
      </c>
    </row>
    <row r="3636" spans="1:28" x14ac:dyDescent="0.25">
      <c r="A3636" t="s">
        <v>3640</v>
      </c>
      <c r="B3636">
        <v>0.99904790336628502</v>
      </c>
      <c r="C3636">
        <v>0.97480480517901102</v>
      </c>
      <c r="D3636">
        <v>0.90848648052197001</v>
      </c>
      <c r="E3636">
        <v>0.89955769474553604</v>
      </c>
      <c r="F3636">
        <v>0.85920647465963296</v>
      </c>
      <c r="G3636">
        <v>0.249004479755113</v>
      </c>
      <c r="H3636">
        <v>8.9845088447733604E-2</v>
      </c>
      <c r="I3636">
        <v>6.1984458742863902E-2</v>
      </c>
      <c r="J3636">
        <v>5.22896800698507E-2</v>
      </c>
      <c r="K3636">
        <v>7.9202971648547393E-2</v>
      </c>
      <c r="L3636">
        <v>2202.37023237424</v>
      </c>
      <c r="M3636">
        <v>39.977890040130198</v>
      </c>
      <c r="N3636">
        <v>55.277845536036402</v>
      </c>
      <c r="O3636">
        <v>54.952402358635197</v>
      </c>
      <c r="P3636">
        <v>-0.17030675038241999</v>
      </c>
      <c r="Q3636">
        <v>6.36078461660399E-2</v>
      </c>
      <c r="R3636">
        <v>0.99013097538045403</v>
      </c>
      <c r="S3636" t="s">
        <v>8376</v>
      </c>
      <c r="T3636" t="s">
        <v>9478</v>
      </c>
      <c r="U3636" t="s">
        <v>9478</v>
      </c>
      <c r="V3636" t="s">
        <v>9478</v>
      </c>
      <c r="W3636">
        <v>7</v>
      </c>
      <c r="X3636" t="s">
        <v>13114</v>
      </c>
      <c r="Y3636">
        <v>0.53815980627642324</v>
      </c>
      <c r="Z3636" t="str">
        <f>HYPERLINK("Melting_Curves/meltCurve_sp_Q9UDX3_S14L4_HUMAN_.pdf", "Melting_Curves/meltCurve_sp_Q9UDX3_S14L4_HUMAN_.pdf")</f>
        <v>Melting_Curves/meltCurve_sp_Q9UDX3_S14L4_HUMAN_.pdf</v>
      </c>
      <c r="AA3636" t="s">
        <v>17798</v>
      </c>
      <c r="AB3636" t="s">
        <v>22469</v>
      </c>
    </row>
    <row r="3637" spans="1:28" x14ac:dyDescent="0.25">
      <c r="A3637" t="s">
        <v>3641</v>
      </c>
      <c r="B3637">
        <v>0.99904790336628502</v>
      </c>
      <c r="C3637">
        <v>0.99849147872901201</v>
      </c>
      <c r="D3637">
        <v>0.964457150613658</v>
      </c>
      <c r="E3637">
        <v>0.73967038726672096</v>
      </c>
      <c r="F3637">
        <v>0.47168216828463699</v>
      </c>
      <c r="G3637">
        <v>0.29173982171503199</v>
      </c>
      <c r="H3637">
        <v>0.23239802300288101</v>
      </c>
      <c r="I3637">
        <v>0.213561559405923</v>
      </c>
      <c r="J3637">
        <v>0.230767988418521</v>
      </c>
      <c r="K3637">
        <v>0.236780469449688</v>
      </c>
      <c r="L3637">
        <v>1284.0538238316699</v>
      </c>
      <c r="M3637">
        <v>24.9845386977163</v>
      </c>
      <c r="N3637">
        <v>52.645031457608297</v>
      </c>
      <c r="O3637">
        <v>51.068097931140201</v>
      </c>
      <c r="P3637">
        <v>-9.4929158570569605E-2</v>
      </c>
      <c r="Q3637">
        <v>0.22387442458509901</v>
      </c>
      <c r="R3637">
        <v>0.99951098145701101</v>
      </c>
      <c r="S3637" t="s">
        <v>8377</v>
      </c>
      <c r="T3637" t="s">
        <v>9478</v>
      </c>
      <c r="U3637" t="s">
        <v>9478</v>
      </c>
      <c r="V3637" t="s">
        <v>9478</v>
      </c>
      <c r="W3637">
        <v>37</v>
      </c>
      <c r="X3637" t="s">
        <v>13115</v>
      </c>
      <c r="Y3637">
        <v>0.52569518860009212</v>
      </c>
      <c r="Z3637" t="str">
        <f>HYPERLINK("Melting_Curves/meltCurve_sp_Q9UDY2_ZO2_HUMAN_.pdf", "Melting_Curves/meltCurve_sp_Q9UDY2_ZO2_HUMAN_.pdf")</f>
        <v>Melting_Curves/meltCurve_sp_Q9UDY2_ZO2_HUMAN_.pdf</v>
      </c>
      <c r="AA3637" t="s">
        <v>17799</v>
      </c>
      <c r="AB3637" t="s">
        <v>22470</v>
      </c>
    </row>
    <row r="3638" spans="1:28" x14ac:dyDescent="0.25">
      <c r="A3638" t="s">
        <v>3642</v>
      </c>
      <c r="B3638">
        <v>0.99904790336628502</v>
      </c>
      <c r="C3638">
        <v>0.92308088929195697</v>
      </c>
      <c r="D3638">
        <v>0.85260812791635998</v>
      </c>
      <c r="E3638">
        <v>0.914479416475797</v>
      </c>
      <c r="F3638">
        <v>0.78589008783221004</v>
      </c>
      <c r="G3638">
        <v>0.63372264124259103</v>
      </c>
      <c r="H3638">
        <v>0.55397489857668103</v>
      </c>
      <c r="I3638">
        <v>0.51467487015327795</v>
      </c>
      <c r="J3638">
        <v>0.487142038379277</v>
      </c>
      <c r="K3638">
        <v>0.43909772101321498</v>
      </c>
      <c r="L3638">
        <v>463.62221885462498</v>
      </c>
      <c r="M3638">
        <v>8.0654430894880207</v>
      </c>
      <c r="N3638">
        <v>65.0413423845187</v>
      </c>
      <c r="O3638">
        <v>54.272198386973798</v>
      </c>
      <c r="P3638">
        <v>-2.5880597938121599E-2</v>
      </c>
      <c r="Q3638">
        <v>0.30416336711049202</v>
      </c>
      <c r="R3638">
        <v>0.96573253322043795</v>
      </c>
      <c r="S3638" t="s">
        <v>8378</v>
      </c>
      <c r="T3638" t="s">
        <v>9478</v>
      </c>
      <c r="U3638" t="s">
        <v>9478</v>
      </c>
      <c r="V3638" t="s">
        <v>9478</v>
      </c>
      <c r="W3638">
        <v>3</v>
      </c>
      <c r="X3638" t="s">
        <v>13116</v>
      </c>
      <c r="Y3638">
        <v>0.71539770069280451</v>
      </c>
      <c r="Z3638" t="str">
        <f>HYPERLINK("Melting_Curves/meltCurve_sp_Q9UEU0_VTI1B_HUMAN_.pdf", "Melting_Curves/meltCurve_sp_Q9UEU0_VTI1B_HUMAN_.pdf")</f>
        <v>Melting_Curves/meltCurve_sp_Q9UEU0_VTI1B_HUMAN_.pdf</v>
      </c>
      <c r="AA3638" t="s">
        <v>17800</v>
      </c>
      <c r="AB3638" t="s">
        <v>22471</v>
      </c>
    </row>
    <row r="3639" spans="1:28" x14ac:dyDescent="0.25">
      <c r="A3639" t="s">
        <v>3643</v>
      </c>
      <c r="B3639">
        <v>0.99904790336628502</v>
      </c>
      <c r="C3639">
        <v>0.98058143879953297</v>
      </c>
      <c r="D3639">
        <v>0.77173876973580502</v>
      </c>
      <c r="E3639">
        <v>0.88976755350134096</v>
      </c>
      <c r="F3639">
        <v>0.80426712808331202</v>
      </c>
      <c r="G3639">
        <v>0.594084012185357</v>
      </c>
      <c r="H3639">
        <v>0.446612325750878</v>
      </c>
      <c r="I3639">
        <v>0.35297512097575001</v>
      </c>
      <c r="J3639">
        <v>0.28482839505843699</v>
      </c>
      <c r="K3639">
        <v>0.17825364762038301</v>
      </c>
      <c r="L3639">
        <v>529.65413441939995</v>
      </c>
      <c r="M3639">
        <v>8.8831452475725996</v>
      </c>
      <c r="N3639">
        <v>59.624615842378198</v>
      </c>
      <c r="O3639">
        <v>56.835043458641302</v>
      </c>
      <c r="P3639">
        <v>-3.9104057959799002E-2</v>
      </c>
      <c r="Q3639">
        <v>0</v>
      </c>
      <c r="R3639">
        <v>0.96052322450398897</v>
      </c>
      <c r="S3639" t="s">
        <v>8379</v>
      </c>
      <c r="T3639" t="s">
        <v>9478</v>
      </c>
      <c r="U3639" t="s">
        <v>9478</v>
      </c>
      <c r="V3639" t="s">
        <v>9478</v>
      </c>
      <c r="W3639">
        <v>10</v>
      </c>
      <c r="X3639" t="s">
        <v>13117</v>
      </c>
      <c r="Y3639">
        <v>0.64800003596135025</v>
      </c>
      <c r="Z3639" t="str">
        <f>HYPERLINK("Melting_Curves/meltCurve_sp_Q9UEY8_2_ADDG_HUMAN_.pdf", "Melting_Curves/meltCurve_sp_Q9UEY8_2_ADDG_HUMAN_.pdf")</f>
        <v>Melting_Curves/meltCurve_sp_Q9UEY8_2_ADDG_HUMAN_.pdf</v>
      </c>
      <c r="AA3639" t="s">
        <v>17801</v>
      </c>
      <c r="AB3639" t="s">
        <v>22472</v>
      </c>
    </row>
    <row r="3640" spans="1:28" x14ac:dyDescent="0.25">
      <c r="A3640" t="s">
        <v>3644</v>
      </c>
      <c r="B3640">
        <v>0.99904790336628502</v>
      </c>
      <c r="C3640">
        <v>0.86724745148928495</v>
      </c>
      <c r="D3640">
        <v>0.64024533994690902</v>
      </c>
      <c r="E3640">
        <v>0.79437598160032596</v>
      </c>
      <c r="F3640">
        <v>0.51394114724736395</v>
      </c>
      <c r="G3640">
        <v>0.29083059597902</v>
      </c>
      <c r="H3640">
        <v>4.7438779148756001E-2</v>
      </c>
      <c r="I3640">
        <v>9.5702834658151506E-2</v>
      </c>
      <c r="J3640">
        <v>4.1577795182746798E-2</v>
      </c>
      <c r="K3640">
        <v>0</v>
      </c>
      <c r="L3640">
        <v>625.18706267726895</v>
      </c>
      <c r="M3640">
        <v>11.926215901292499</v>
      </c>
      <c r="N3640">
        <v>52.4212602922155</v>
      </c>
      <c r="O3640">
        <v>51.012590475999801</v>
      </c>
      <c r="P3640">
        <v>-5.8461839622788503E-2</v>
      </c>
      <c r="Q3640">
        <v>0</v>
      </c>
      <c r="R3640">
        <v>0.93411657434460904</v>
      </c>
      <c r="S3640" t="s">
        <v>8380</v>
      </c>
      <c r="T3640" t="s">
        <v>9478</v>
      </c>
      <c r="U3640" t="s">
        <v>9478</v>
      </c>
      <c r="V3640" t="s">
        <v>9478</v>
      </c>
      <c r="W3640">
        <v>1</v>
      </c>
      <c r="X3640" t="s">
        <v>13118</v>
      </c>
      <c r="Y3640">
        <v>0.4439904458525884</v>
      </c>
      <c r="Z3640" t="str">
        <f>HYPERLINK("Melting_Curves/meltCurve_sp_Q9UFC0_LRWD1_HUMAN_.pdf", "Melting_Curves/meltCurve_sp_Q9UFC0_LRWD1_HUMAN_.pdf")</f>
        <v>Melting_Curves/meltCurve_sp_Q9UFC0_LRWD1_HUMAN_.pdf</v>
      </c>
      <c r="AA3640" t="s">
        <v>17802</v>
      </c>
      <c r="AB3640" t="s">
        <v>22473</v>
      </c>
    </row>
    <row r="3641" spans="1:28" x14ac:dyDescent="0.25">
      <c r="A3641" t="s">
        <v>3645</v>
      </c>
      <c r="B3641">
        <v>0.99904790336628502</v>
      </c>
      <c r="C3641">
        <v>0.86980073704111605</v>
      </c>
      <c r="D3641">
        <v>0.81374900246999604</v>
      </c>
      <c r="E3641">
        <v>0.69271608177886401</v>
      </c>
      <c r="F3641">
        <v>0.63570007563309705</v>
      </c>
      <c r="G3641">
        <v>0.50847589776555502</v>
      </c>
      <c r="H3641">
        <v>0.44048784134534402</v>
      </c>
      <c r="I3641">
        <v>0.49733976351335002</v>
      </c>
      <c r="J3641">
        <v>0.61996894181220397</v>
      </c>
      <c r="K3641">
        <v>0.26626952217535899</v>
      </c>
      <c r="L3641">
        <v>475.126759302734</v>
      </c>
      <c r="M3641">
        <v>9.4784871866766007</v>
      </c>
      <c r="N3641">
        <v>59.536745227768002</v>
      </c>
      <c r="O3641">
        <v>48.047704676856199</v>
      </c>
      <c r="P3641">
        <v>-3.0189741411662099E-2</v>
      </c>
      <c r="Q3641">
        <v>0.38822184174836699</v>
      </c>
      <c r="R3641">
        <v>0.84684559918588598</v>
      </c>
      <c r="S3641" t="s">
        <v>8381</v>
      </c>
      <c r="T3641" t="s">
        <v>9478</v>
      </c>
      <c r="U3641" t="s">
        <v>9478</v>
      </c>
      <c r="V3641" t="s">
        <v>9478</v>
      </c>
      <c r="W3641">
        <v>4</v>
      </c>
      <c r="X3641" t="s">
        <v>13119</v>
      </c>
      <c r="Y3641">
        <v>0.62411328487005746</v>
      </c>
      <c r="Z3641" t="str">
        <f>HYPERLINK("Melting_Curves/meltCurve_sp_Q9UFG5_CS025_HUMAN_.pdf", "Melting_Curves/meltCurve_sp_Q9UFG5_CS025_HUMAN_.pdf")</f>
        <v>Melting_Curves/meltCurve_sp_Q9UFG5_CS025_HUMAN_.pdf</v>
      </c>
      <c r="AA3641" t="s">
        <v>17803</v>
      </c>
      <c r="AB3641" t="s">
        <v>22474</v>
      </c>
    </row>
    <row r="3642" spans="1:28" x14ac:dyDescent="0.25">
      <c r="A3642" t="s">
        <v>3646</v>
      </c>
      <c r="B3642">
        <v>0.99904790336628502</v>
      </c>
      <c r="C3642">
        <v>1.12999514763866</v>
      </c>
      <c r="D3642">
        <v>1.2064985790484499</v>
      </c>
      <c r="E3642">
        <v>1.17308887294334</v>
      </c>
      <c r="F3642">
        <v>0.70467244150046704</v>
      </c>
      <c r="G3642">
        <v>0.72392977616321097</v>
      </c>
      <c r="H3642">
        <v>0.28207243719312097</v>
      </c>
      <c r="I3642">
        <v>0.221633247431782</v>
      </c>
      <c r="J3642">
        <v>0.219818472016654</v>
      </c>
      <c r="K3642">
        <v>0.17656647075315399</v>
      </c>
      <c r="L3642">
        <v>1326.7575557057201</v>
      </c>
      <c r="M3642">
        <v>23.049181023908499</v>
      </c>
      <c r="N3642">
        <v>58.537324326469999</v>
      </c>
      <c r="O3642">
        <v>57.1339908579533</v>
      </c>
      <c r="P3642">
        <v>-8.4776635584420695E-2</v>
      </c>
      <c r="Q3642">
        <v>0.159442997847414</v>
      </c>
      <c r="R3642">
        <v>0.90900848815416402</v>
      </c>
      <c r="S3642" t="s">
        <v>8382</v>
      </c>
      <c r="T3642" t="s">
        <v>9478</v>
      </c>
      <c r="U3642" t="s">
        <v>9478</v>
      </c>
      <c r="V3642" t="s">
        <v>9478</v>
      </c>
      <c r="W3642">
        <v>8</v>
      </c>
      <c r="X3642" t="s">
        <v>13120</v>
      </c>
      <c r="Y3642">
        <v>0.6598447146192602</v>
      </c>
      <c r="Z3642" t="str">
        <f>HYPERLINK("Melting_Curves/meltCurve_sp_Q9UFN0_NPS3A_HUMAN_.pdf", "Melting_Curves/meltCurve_sp_Q9UFN0_NPS3A_HUMAN_.pdf")</f>
        <v>Melting_Curves/meltCurve_sp_Q9UFN0_NPS3A_HUMAN_.pdf</v>
      </c>
      <c r="AA3642" t="s">
        <v>17804</v>
      </c>
      <c r="AB3642" t="s">
        <v>22475</v>
      </c>
    </row>
    <row r="3643" spans="1:28" x14ac:dyDescent="0.25">
      <c r="A3643" t="s">
        <v>3647</v>
      </c>
      <c r="B3643">
        <v>0.99904790336628502</v>
      </c>
      <c r="C3643">
        <v>1.1321814271663599</v>
      </c>
      <c r="D3643">
        <v>1.01890135529186</v>
      </c>
      <c r="E3643">
        <v>0.99566613395756598</v>
      </c>
      <c r="F3643">
        <v>0.806665139456202</v>
      </c>
      <c r="G3643">
        <v>0.66916380300054701</v>
      </c>
      <c r="H3643">
        <v>0.59696588437898601</v>
      </c>
      <c r="I3643">
        <v>0.58112443268282499</v>
      </c>
      <c r="J3643">
        <v>0.70023058851179198</v>
      </c>
      <c r="K3643">
        <v>0.54206322806108997</v>
      </c>
      <c r="L3643">
        <v>2006.9505145606399</v>
      </c>
      <c r="M3643">
        <v>37.684215125369597</v>
      </c>
      <c r="O3643">
        <v>53.1077523937915</v>
      </c>
      <c r="P3643">
        <v>-6.9259320987353101E-2</v>
      </c>
      <c r="Q3643">
        <v>0.60957688804514498</v>
      </c>
      <c r="R3643">
        <v>0.919888671227723</v>
      </c>
      <c r="S3643" t="s">
        <v>8383</v>
      </c>
      <c r="T3643" t="s">
        <v>9478</v>
      </c>
      <c r="U3643" t="s">
        <v>9478</v>
      </c>
      <c r="V3643" t="s">
        <v>9478</v>
      </c>
      <c r="W3643">
        <v>3</v>
      </c>
      <c r="X3643" t="s">
        <v>13121</v>
      </c>
      <c r="Y3643">
        <v>0.78372314262189102</v>
      </c>
      <c r="Z3643" t="str">
        <f>HYPERLINK("Melting_Curves/meltCurve_sp_Q9UFW8_CGBP1_HUMAN_.pdf", "Melting_Curves/meltCurve_sp_Q9UFW8_CGBP1_HUMAN_.pdf")</f>
        <v>Melting_Curves/meltCurve_sp_Q9UFW8_CGBP1_HUMAN_.pdf</v>
      </c>
      <c r="AA3643" t="s">
        <v>17805</v>
      </c>
      <c r="AB3643" t="s">
        <v>22476</v>
      </c>
    </row>
    <row r="3644" spans="1:28" x14ac:dyDescent="0.25">
      <c r="A3644" t="s">
        <v>3648</v>
      </c>
      <c r="B3644">
        <v>0.99904790336628502</v>
      </c>
      <c r="C3644">
        <v>1.05237864622806</v>
      </c>
      <c r="D3644">
        <v>0.959263884117185</v>
      </c>
      <c r="E3644">
        <v>0.78390596605041996</v>
      </c>
      <c r="F3644">
        <v>0.52455010224800203</v>
      </c>
      <c r="G3644">
        <v>0.32034157704646699</v>
      </c>
      <c r="H3644">
        <v>0.13093642247551501</v>
      </c>
      <c r="I3644">
        <v>0.102460417512434</v>
      </c>
      <c r="J3644">
        <v>9.1830517700427203E-2</v>
      </c>
      <c r="K3644">
        <v>8.2090229958042202E-2</v>
      </c>
      <c r="L3644">
        <v>979.79185578649799</v>
      </c>
      <c r="M3644">
        <v>18.4119552454512</v>
      </c>
      <c r="N3644">
        <v>53.646854169368503</v>
      </c>
      <c r="O3644">
        <v>52.599149168283198</v>
      </c>
      <c r="P3644">
        <v>-8.14866646452512E-2</v>
      </c>
      <c r="Q3644">
        <v>6.88797748206538E-2</v>
      </c>
      <c r="R3644">
        <v>0.99549362972247202</v>
      </c>
      <c r="S3644" t="s">
        <v>8384</v>
      </c>
      <c r="T3644" t="s">
        <v>9478</v>
      </c>
      <c r="U3644" t="s">
        <v>9478</v>
      </c>
      <c r="V3644" t="s">
        <v>9478</v>
      </c>
      <c r="W3644">
        <v>2</v>
      </c>
      <c r="X3644" t="s">
        <v>13122</v>
      </c>
      <c r="Y3644">
        <v>0.49368245302965102</v>
      </c>
      <c r="Z3644" t="str">
        <f>HYPERLINK("Melting_Curves/meltCurve_sp_Q9UGC7_RF1ML_HUMAN_.pdf", "Melting_Curves/meltCurve_sp_Q9UGC7_RF1ML_HUMAN_.pdf")</f>
        <v>Melting_Curves/meltCurve_sp_Q9UGC7_RF1ML_HUMAN_.pdf</v>
      </c>
      <c r="AA3644" t="s">
        <v>17806</v>
      </c>
      <c r="AB3644" t="s">
        <v>22477</v>
      </c>
    </row>
    <row r="3645" spans="1:28" x14ac:dyDescent="0.25">
      <c r="A3645" t="s">
        <v>3649</v>
      </c>
      <c r="B3645">
        <v>0.99904790336628502</v>
      </c>
      <c r="C3645">
        <v>1.0171807992091499</v>
      </c>
      <c r="D3645">
        <v>1.0356110107673699</v>
      </c>
      <c r="E3645">
        <v>0.98471947372152502</v>
      </c>
      <c r="F3645">
        <v>0.91926054250757105</v>
      </c>
      <c r="G3645">
        <v>0.60784967924285604</v>
      </c>
      <c r="H3645">
        <v>0.19521380268659999</v>
      </c>
      <c r="I3645">
        <v>0.11714414746643199</v>
      </c>
      <c r="J3645">
        <v>9.40929686321956E-2</v>
      </c>
      <c r="K3645">
        <v>9.2057539045441006E-2</v>
      </c>
      <c r="L3645">
        <v>1808.1782914062401</v>
      </c>
      <c r="M3645">
        <v>31.4800136124095</v>
      </c>
      <c r="N3645">
        <v>57.769338027007997</v>
      </c>
      <c r="O3645">
        <v>57.208632465975697</v>
      </c>
      <c r="P3645">
        <v>-0.12623456068835101</v>
      </c>
      <c r="Q3645">
        <v>8.2380596539130699E-2</v>
      </c>
      <c r="R3645">
        <v>0.99859741164996996</v>
      </c>
      <c r="S3645" t="s">
        <v>8385</v>
      </c>
      <c r="T3645" t="s">
        <v>9478</v>
      </c>
      <c r="U3645" t="s">
        <v>9478</v>
      </c>
      <c r="V3645" t="s">
        <v>9478</v>
      </c>
      <c r="W3645">
        <v>17</v>
      </c>
      <c r="X3645" t="s">
        <v>13123</v>
      </c>
      <c r="Y3645">
        <v>0.62139011846017256</v>
      </c>
      <c r="Z3645" t="str">
        <f>HYPERLINK("Melting_Curves/meltCurve_sp_Q9UGI8_TES_HUMAN_.pdf", "Melting_Curves/meltCurve_sp_Q9UGI8_TES_HUMAN_.pdf")</f>
        <v>Melting_Curves/meltCurve_sp_Q9UGI8_TES_HUMAN_.pdf</v>
      </c>
      <c r="AA3645" t="s">
        <v>17807</v>
      </c>
      <c r="AB3645" t="s">
        <v>22478</v>
      </c>
    </row>
    <row r="3646" spans="1:28" x14ac:dyDescent="0.25">
      <c r="A3646" t="s">
        <v>3650</v>
      </c>
      <c r="B3646">
        <v>0.99904790336628502</v>
      </c>
      <c r="C3646">
        <v>0.98178314153254098</v>
      </c>
      <c r="D3646">
        <v>0.95471420082039704</v>
      </c>
      <c r="E3646">
        <v>0.78174087852428698</v>
      </c>
      <c r="F3646">
        <v>0.44340327251517198</v>
      </c>
      <c r="G3646">
        <v>0.17024030188405001</v>
      </c>
      <c r="H3646">
        <v>8.3904118049944895E-2</v>
      </c>
      <c r="I3646">
        <v>6.1138482867800603E-2</v>
      </c>
      <c r="J3646">
        <v>3.9229287476216901E-2</v>
      </c>
      <c r="K3646">
        <v>3.1747270816142703E-2</v>
      </c>
      <c r="L3646">
        <v>1238.32416669084</v>
      </c>
      <c r="M3646">
        <v>23.630238301038801</v>
      </c>
      <c r="N3646">
        <v>52.591840323290697</v>
      </c>
      <c r="O3646">
        <v>52.033243215066399</v>
      </c>
      <c r="P3646">
        <v>-0.108946865685516</v>
      </c>
      <c r="Q3646">
        <v>4.04221314866028E-2</v>
      </c>
      <c r="R3646">
        <v>0.99936015121690902</v>
      </c>
      <c r="S3646" t="s">
        <v>8386</v>
      </c>
      <c r="T3646" t="s">
        <v>9478</v>
      </c>
      <c r="U3646" t="s">
        <v>9478</v>
      </c>
      <c r="V3646" t="s">
        <v>9478</v>
      </c>
      <c r="W3646">
        <v>3</v>
      </c>
      <c r="X3646" t="s">
        <v>13124</v>
      </c>
      <c r="Y3646">
        <v>0.4469646855700658</v>
      </c>
      <c r="Z3646" t="str">
        <f>HYPERLINK("Melting_Curves/meltCurve_sp_Q9UGJ0_2_AAKG2_HUMAN_.pdf", "Melting_Curves/meltCurve_sp_Q9UGJ0_2_AAKG2_HUMAN_.pdf")</f>
        <v>Melting_Curves/meltCurve_sp_Q9UGJ0_2_AAKG2_HUMAN_.pdf</v>
      </c>
      <c r="AA3646" t="s">
        <v>17808</v>
      </c>
      <c r="AB3646" t="s">
        <v>22479</v>
      </c>
    </row>
    <row r="3647" spans="1:28" x14ac:dyDescent="0.25">
      <c r="A3647" t="s">
        <v>3651</v>
      </c>
      <c r="B3647">
        <v>0.99904790336628502</v>
      </c>
      <c r="C3647">
        <v>1.0970142783543899</v>
      </c>
      <c r="D3647">
        <v>1.1319160945207001</v>
      </c>
      <c r="E3647">
        <v>1.0109730174332601</v>
      </c>
      <c r="F3647">
        <v>0.781336962591893</v>
      </c>
      <c r="G3647">
        <v>0.25555563443228502</v>
      </c>
      <c r="H3647">
        <v>9.4557895741176304E-2</v>
      </c>
      <c r="I3647">
        <v>5.8317257591429403E-2</v>
      </c>
      <c r="J3647">
        <v>4.6450290522252899E-2</v>
      </c>
      <c r="K3647">
        <v>1.95856332280488E-2</v>
      </c>
      <c r="L3647">
        <v>1930.0352317756301</v>
      </c>
      <c r="M3647">
        <v>35.127899947904098</v>
      </c>
      <c r="N3647">
        <v>55.091338094297001</v>
      </c>
      <c r="O3647">
        <v>54.7659409070965</v>
      </c>
      <c r="P3647">
        <v>-0.15312333575553899</v>
      </c>
      <c r="Q3647">
        <v>4.5099268474614498E-2</v>
      </c>
      <c r="R3647">
        <v>0.986218916929406</v>
      </c>
      <c r="S3647" t="s">
        <v>8387</v>
      </c>
      <c r="T3647" t="s">
        <v>9478</v>
      </c>
      <c r="U3647" t="s">
        <v>9478</v>
      </c>
      <c r="V3647" t="s">
        <v>9478</v>
      </c>
      <c r="W3647">
        <v>3</v>
      </c>
      <c r="X3647" t="s">
        <v>13125</v>
      </c>
      <c r="Y3647">
        <v>0.52540855737210967</v>
      </c>
      <c r="Z3647" t="str">
        <f>HYPERLINK("Melting_Curves/meltCurve_sp_Q9UGK3_STAP2_HUMAN_.pdf", "Melting_Curves/meltCurve_sp_Q9UGK3_STAP2_HUMAN_.pdf")</f>
        <v>Melting_Curves/meltCurve_sp_Q9UGK3_STAP2_HUMAN_.pdf</v>
      </c>
      <c r="AA3647" t="s">
        <v>17809</v>
      </c>
      <c r="AB3647" t="s">
        <v>22480</v>
      </c>
    </row>
    <row r="3648" spans="1:28" x14ac:dyDescent="0.25">
      <c r="A3648" t="s">
        <v>3652</v>
      </c>
      <c r="B3648">
        <v>0.99904790336628502</v>
      </c>
      <c r="C3648">
        <v>0.90395918600033698</v>
      </c>
      <c r="D3648">
        <v>0.82693739287599899</v>
      </c>
      <c r="E3648">
        <v>0.47281307870871198</v>
      </c>
      <c r="F3648">
        <v>0.27211298128633599</v>
      </c>
      <c r="G3648">
        <v>0.19558704683679501</v>
      </c>
      <c r="H3648">
        <v>0.122685195921156</v>
      </c>
      <c r="I3648">
        <v>9.2197115646271602E-2</v>
      </c>
      <c r="J3648">
        <v>6.9110031234747293E-2</v>
      </c>
      <c r="K3648">
        <v>6.2755347249107002E-2</v>
      </c>
      <c r="L3648">
        <v>848.024169867095</v>
      </c>
      <c r="M3648">
        <v>17.1768152879303</v>
      </c>
      <c r="N3648">
        <v>49.833212752700398</v>
      </c>
      <c r="O3648">
        <v>48.715690298365203</v>
      </c>
      <c r="P3648">
        <v>-8.1652762124215406E-2</v>
      </c>
      <c r="Q3648">
        <v>7.3743391069993294E-2</v>
      </c>
      <c r="R3648">
        <v>0.99604177685610396</v>
      </c>
      <c r="S3648" t="s">
        <v>8388</v>
      </c>
      <c r="T3648" t="s">
        <v>9478</v>
      </c>
      <c r="U3648" t="s">
        <v>9478</v>
      </c>
      <c r="V3648" t="s">
        <v>9478</v>
      </c>
      <c r="W3648">
        <v>1</v>
      </c>
      <c r="X3648" t="s">
        <v>13126</v>
      </c>
      <c r="Y3648">
        <v>0.380513781610893</v>
      </c>
      <c r="Z3648" t="str">
        <f>HYPERLINK("Melting_Curves/meltCurve_sp_Q9UGK8_SRGEF_HUMAN_.pdf", "Melting_Curves/meltCurve_sp_Q9UGK8_SRGEF_HUMAN_.pdf")</f>
        <v>Melting_Curves/meltCurve_sp_Q9UGK8_SRGEF_HUMAN_.pdf</v>
      </c>
      <c r="AA3648" t="s">
        <v>17810</v>
      </c>
      <c r="AB3648" t="s">
        <v>22481</v>
      </c>
    </row>
    <row r="3649" spans="1:28" x14ac:dyDescent="0.25">
      <c r="A3649" t="s">
        <v>3653</v>
      </c>
      <c r="B3649">
        <v>0.99904790336628502</v>
      </c>
      <c r="C3649">
        <v>0.98419987983502899</v>
      </c>
      <c r="D3649">
        <v>0.89011980154828496</v>
      </c>
      <c r="E3649">
        <v>0.71539161500710802</v>
      </c>
      <c r="F3649">
        <v>0.59004620449860201</v>
      </c>
      <c r="G3649">
        <v>0.321385028380062</v>
      </c>
      <c r="H3649">
        <v>0.25916185687779603</v>
      </c>
      <c r="I3649">
        <v>0.18315361116071299</v>
      </c>
      <c r="J3649">
        <v>0.221596143186539</v>
      </c>
      <c r="K3649">
        <v>0.206702713235355</v>
      </c>
      <c r="L3649">
        <v>816.20311402897096</v>
      </c>
      <c r="M3649">
        <v>15.600850608807001</v>
      </c>
      <c r="N3649">
        <v>53.791395236295102</v>
      </c>
      <c r="O3649">
        <v>51.480856173550102</v>
      </c>
      <c r="P3649">
        <v>-6.2592153542555498E-2</v>
      </c>
      <c r="Q3649">
        <v>0.173886352065733</v>
      </c>
      <c r="R3649">
        <v>0.99421660409073997</v>
      </c>
      <c r="S3649" t="s">
        <v>8389</v>
      </c>
      <c r="T3649" t="s">
        <v>9478</v>
      </c>
      <c r="U3649" t="s">
        <v>9478</v>
      </c>
      <c r="V3649" t="s">
        <v>9478</v>
      </c>
      <c r="W3649">
        <v>1</v>
      </c>
      <c r="X3649" t="s">
        <v>13127</v>
      </c>
      <c r="Y3649">
        <v>0.53029506662333836</v>
      </c>
      <c r="Z3649" t="str">
        <f>HYPERLINK("Melting_Curves/meltCurve_sp_Q9UGM6_SYWM_HUMAN_.pdf", "Melting_Curves/meltCurve_sp_Q9UGM6_SYWM_HUMAN_.pdf")</f>
        <v>Melting_Curves/meltCurve_sp_Q9UGM6_SYWM_HUMAN_.pdf</v>
      </c>
      <c r="AA3649" t="s">
        <v>17811</v>
      </c>
      <c r="AB3649" t="s">
        <v>22482</v>
      </c>
    </row>
    <row r="3650" spans="1:28" x14ac:dyDescent="0.25">
      <c r="A3650" t="s">
        <v>3654</v>
      </c>
      <c r="B3650">
        <v>0.99904790336628502</v>
      </c>
      <c r="C3650">
        <v>0.97773525926982097</v>
      </c>
      <c r="D3650">
        <v>0.95061729316042198</v>
      </c>
      <c r="E3650">
        <v>0.90880932871653197</v>
      </c>
      <c r="F3650">
        <v>0.80644406179924299</v>
      </c>
      <c r="G3650">
        <v>0.63728552438333197</v>
      </c>
      <c r="H3650">
        <v>0.56266466891422795</v>
      </c>
      <c r="I3650">
        <v>0.53923562141596504</v>
      </c>
      <c r="J3650">
        <v>0.51692800266544803</v>
      </c>
      <c r="K3650">
        <v>0.52452242675598004</v>
      </c>
      <c r="L3650">
        <v>945.59086282586895</v>
      </c>
      <c r="M3650">
        <v>17.501293873576</v>
      </c>
      <c r="O3650">
        <v>53.339160352048403</v>
      </c>
      <c r="P3650">
        <v>-4.0478096476607002E-2</v>
      </c>
      <c r="Q3650">
        <v>0.50656249431177702</v>
      </c>
      <c r="R3650">
        <v>0.99621000328395004</v>
      </c>
      <c r="S3650" t="s">
        <v>8390</v>
      </c>
      <c r="T3650" t="s">
        <v>9478</v>
      </c>
      <c r="U3650" t="s">
        <v>9478</v>
      </c>
      <c r="V3650" t="s">
        <v>9478</v>
      </c>
      <c r="W3650">
        <v>15</v>
      </c>
      <c r="X3650" t="s">
        <v>13128</v>
      </c>
      <c r="Y3650">
        <v>0.74554228633094655</v>
      </c>
      <c r="Z3650" t="str">
        <f>HYPERLINK("Melting_Curves/meltCurve_sp_Q9UGP4_LIMD1_HUMAN_.pdf", "Melting_Curves/meltCurve_sp_Q9UGP4_LIMD1_HUMAN_.pdf")</f>
        <v>Melting_Curves/meltCurve_sp_Q9UGP4_LIMD1_HUMAN_.pdf</v>
      </c>
      <c r="AA3650" t="s">
        <v>17812</v>
      </c>
      <c r="AB3650" t="s">
        <v>22483</v>
      </c>
    </row>
    <row r="3651" spans="1:28" x14ac:dyDescent="0.25">
      <c r="A3651" t="s">
        <v>3655</v>
      </c>
      <c r="B3651">
        <v>0.99904790336628502</v>
      </c>
      <c r="C3651">
        <v>1.29867947022946</v>
      </c>
      <c r="D3651">
        <v>0.85235863535205802</v>
      </c>
      <c r="E3651">
        <v>0.56898353301549198</v>
      </c>
      <c r="F3651">
        <v>0.20016333107746401</v>
      </c>
      <c r="G3651">
        <v>0.121684755600765</v>
      </c>
      <c r="H3651">
        <v>0</v>
      </c>
      <c r="I3651">
        <v>0</v>
      </c>
      <c r="J3651">
        <v>0</v>
      </c>
      <c r="K3651">
        <v>0</v>
      </c>
      <c r="L3651">
        <v>1313.87340854885</v>
      </c>
      <c r="M3651">
        <v>26.068306372395501</v>
      </c>
      <c r="N3651">
        <v>50.432942862975203</v>
      </c>
      <c r="O3651">
        <v>50.107392691456297</v>
      </c>
      <c r="P3651">
        <v>-0.12900473815855201</v>
      </c>
      <c r="Q3651">
        <v>8.1416624721863499E-3</v>
      </c>
      <c r="R3651">
        <v>0.95057973621133596</v>
      </c>
      <c r="S3651" t="s">
        <v>8391</v>
      </c>
      <c r="T3651" t="s">
        <v>9478</v>
      </c>
      <c r="U3651" t="s">
        <v>9478</v>
      </c>
      <c r="V3651" t="s">
        <v>9478</v>
      </c>
      <c r="W3651">
        <v>1</v>
      </c>
      <c r="X3651" t="s">
        <v>13129</v>
      </c>
      <c r="Y3651">
        <v>0.3602135108907934</v>
      </c>
      <c r="Z3651" t="str">
        <f>HYPERLINK("Melting_Curves/meltCurve_sp_Q9UGP8_SEC63_HUMAN_.pdf", "Melting_Curves/meltCurve_sp_Q9UGP8_SEC63_HUMAN_.pdf")</f>
        <v>Melting_Curves/meltCurve_sp_Q9UGP8_SEC63_HUMAN_.pdf</v>
      </c>
      <c r="AA3651" t="s">
        <v>17813</v>
      </c>
      <c r="AB3651" t="s">
        <v>22484</v>
      </c>
    </row>
    <row r="3652" spans="1:28" x14ac:dyDescent="0.25">
      <c r="A3652" t="s">
        <v>3656</v>
      </c>
      <c r="B3652">
        <v>0.99904790336628502</v>
      </c>
      <c r="C3652">
        <v>1.00235806101999</v>
      </c>
      <c r="D3652">
        <v>1.0180983122605001</v>
      </c>
      <c r="E3652">
        <v>0.76432407065057595</v>
      </c>
      <c r="F3652">
        <v>0.38151435172567</v>
      </c>
      <c r="G3652">
        <v>0.12033814796851</v>
      </c>
      <c r="H3652">
        <v>5.84197759162925E-2</v>
      </c>
      <c r="I3652">
        <v>3.6893994743175E-2</v>
      </c>
      <c r="J3652">
        <v>3.4964552221843803E-2</v>
      </c>
      <c r="K3652">
        <v>2.5929868699052401E-2</v>
      </c>
      <c r="L3652">
        <v>1517.96485459423</v>
      </c>
      <c r="M3652">
        <v>29.2055883222007</v>
      </c>
      <c r="N3652">
        <v>52.112728012089299</v>
      </c>
      <c r="O3652">
        <v>51.733300715297901</v>
      </c>
      <c r="P3652">
        <v>-0.135899034724349</v>
      </c>
      <c r="Q3652">
        <v>3.7108302830288202E-2</v>
      </c>
      <c r="R3652">
        <v>0.99885703648175195</v>
      </c>
      <c r="S3652" t="s">
        <v>8392</v>
      </c>
      <c r="T3652" t="s">
        <v>9478</v>
      </c>
      <c r="U3652" t="s">
        <v>9478</v>
      </c>
      <c r="V3652" t="s">
        <v>9478</v>
      </c>
      <c r="W3652">
        <v>6</v>
      </c>
      <c r="X3652" t="s">
        <v>13130</v>
      </c>
      <c r="Y3652">
        <v>0.42795292767323789</v>
      </c>
      <c r="Z3652" t="str">
        <f>HYPERLINK("Melting_Curves/meltCurve_sp_Q9UH62_ARMX3_HUMAN_.pdf", "Melting_Curves/meltCurve_sp_Q9UH62_ARMX3_HUMAN_.pdf")</f>
        <v>Melting_Curves/meltCurve_sp_Q9UH62_ARMX3_HUMAN_.pdf</v>
      </c>
      <c r="AA3652" t="s">
        <v>17814</v>
      </c>
      <c r="AB3652" t="s">
        <v>22485</v>
      </c>
    </row>
    <row r="3653" spans="1:28" x14ac:dyDescent="0.25">
      <c r="A3653" t="s">
        <v>3657</v>
      </c>
      <c r="B3653">
        <v>0.99904790336628502</v>
      </c>
      <c r="C3653">
        <v>0.94800174432141104</v>
      </c>
      <c r="D3653">
        <v>0.93809146282160105</v>
      </c>
      <c r="E3653">
        <v>0.82679681767427904</v>
      </c>
      <c r="F3653">
        <v>0.59754041078655595</v>
      </c>
      <c r="G3653">
        <v>0.22634158539751101</v>
      </c>
      <c r="H3653">
        <v>7.9114075406909096E-2</v>
      </c>
      <c r="I3653">
        <v>5.7421894052283297E-2</v>
      </c>
      <c r="J3653">
        <v>4.0442469466056799E-2</v>
      </c>
      <c r="K3653">
        <v>3.9369924214958198E-2</v>
      </c>
      <c r="L3653">
        <v>1150.5776865308601</v>
      </c>
      <c r="M3653">
        <v>21.439234490088001</v>
      </c>
      <c r="N3653">
        <v>53.787876703425297</v>
      </c>
      <c r="O3653">
        <v>53.206556023382298</v>
      </c>
      <c r="P3653">
        <v>-9.8367599531808195E-2</v>
      </c>
      <c r="Q3653">
        <v>2.3533956238392099E-2</v>
      </c>
      <c r="R3653">
        <v>0.99726808745732298</v>
      </c>
      <c r="S3653" t="s">
        <v>8393</v>
      </c>
      <c r="T3653" t="s">
        <v>9478</v>
      </c>
      <c r="U3653" t="s">
        <v>9478</v>
      </c>
      <c r="V3653" t="s">
        <v>9478</v>
      </c>
      <c r="W3653">
        <v>7</v>
      </c>
      <c r="X3653" t="s">
        <v>13131</v>
      </c>
      <c r="Y3653">
        <v>0.48024263790504051</v>
      </c>
      <c r="Z3653" t="str">
        <f>HYPERLINK("Melting_Curves/meltCurve_sp_Q9UH65_SWP70_HUMAN_.pdf", "Melting_Curves/meltCurve_sp_Q9UH65_SWP70_HUMAN_.pdf")</f>
        <v>Melting_Curves/meltCurve_sp_Q9UH65_SWP70_HUMAN_.pdf</v>
      </c>
      <c r="AA3653" t="s">
        <v>17815</v>
      </c>
      <c r="AB3653" t="s">
        <v>22486</v>
      </c>
    </row>
    <row r="3654" spans="1:28" x14ac:dyDescent="0.25">
      <c r="A3654" t="s">
        <v>3658</v>
      </c>
      <c r="B3654">
        <v>0.99904790336628502</v>
      </c>
      <c r="C3654">
        <v>0.96578331158721098</v>
      </c>
      <c r="D3654">
        <v>0.99000160578582797</v>
      </c>
      <c r="E3654">
        <v>0.93967911088267897</v>
      </c>
      <c r="F3654">
        <v>0.89424626203016899</v>
      </c>
      <c r="G3654">
        <v>0.66093646402988604</v>
      </c>
      <c r="H3654">
        <v>0.42037611319784701</v>
      </c>
      <c r="I3654">
        <v>0.25894130932773901</v>
      </c>
      <c r="J3654">
        <v>0.101223501681017</v>
      </c>
      <c r="K3654">
        <v>3.9876682562077402E-2</v>
      </c>
      <c r="L3654">
        <v>1006.90866195636</v>
      </c>
      <c r="M3654">
        <v>16.919533028410999</v>
      </c>
      <c r="N3654">
        <v>59.511610877705799</v>
      </c>
      <c r="O3654">
        <v>58.698925608267999</v>
      </c>
      <c r="P3654">
        <v>-7.2065194298851498E-2</v>
      </c>
      <c r="Q3654">
        <v>0</v>
      </c>
      <c r="R3654">
        <v>0.99628723609903902</v>
      </c>
      <c r="S3654" t="s">
        <v>8394</v>
      </c>
      <c r="T3654" t="s">
        <v>9478</v>
      </c>
      <c r="U3654" t="s">
        <v>9478</v>
      </c>
      <c r="V3654" t="s">
        <v>9478</v>
      </c>
      <c r="W3654">
        <v>2</v>
      </c>
      <c r="X3654" t="s">
        <v>13132</v>
      </c>
      <c r="Y3654">
        <v>0.65978787206350442</v>
      </c>
      <c r="Z3654" t="str">
        <f>HYPERLINK("Melting_Curves/meltCurve_sp_Q9UHA4_LTOR3_HUMAN_.pdf", "Melting_Curves/meltCurve_sp_Q9UHA4_LTOR3_HUMAN_.pdf")</f>
        <v>Melting_Curves/meltCurve_sp_Q9UHA4_LTOR3_HUMAN_.pdf</v>
      </c>
      <c r="AA3654" t="s">
        <v>17816</v>
      </c>
      <c r="AB3654" t="s">
        <v>22487</v>
      </c>
    </row>
    <row r="3655" spans="1:28" x14ac:dyDescent="0.25">
      <c r="A3655" t="s">
        <v>3659</v>
      </c>
      <c r="B3655">
        <v>0.99904790336628502</v>
      </c>
      <c r="C3655">
        <v>1.36858303547989</v>
      </c>
      <c r="D3655">
        <v>0.97291263109439696</v>
      </c>
      <c r="E3655">
        <v>0.92357006294668997</v>
      </c>
      <c r="F3655">
        <v>0.998346269443109</v>
      </c>
      <c r="G3655">
        <v>0.50688128491586504</v>
      </c>
      <c r="H3655">
        <v>0.90991194351971205</v>
      </c>
      <c r="I3655">
        <v>0.87284419419891301</v>
      </c>
      <c r="J3655">
        <v>0.90309804727980503</v>
      </c>
      <c r="K3655">
        <v>0.82587219161979497</v>
      </c>
      <c r="L3655">
        <v>13500.7222924203</v>
      </c>
      <c r="M3655">
        <v>250</v>
      </c>
      <c r="O3655">
        <v>53.999433301798803</v>
      </c>
      <c r="P3655">
        <v>-0.227176364734339</v>
      </c>
      <c r="Q3655">
        <v>0.80372168079694895</v>
      </c>
      <c r="R3655">
        <v>0.35420917644654398</v>
      </c>
      <c r="S3655" t="s">
        <v>8395</v>
      </c>
      <c r="T3655" t="s">
        <v>9478</v>
      </c>
      <c r="U3655" t="s">
        <v>9478</v>
      </c>
      <c r="V3655" t="s">
        <v>9478</v>
      </c>
      <c r="W3655">
        <v>24</v>
      </c>
      <c r="X3655" t="s">
        <v>13133</v>
      </c>
      <c r="Y3655">
        <v>0.89535573459724216</v>
      </c>
      <c r="Z3655" t="str">
        <f>HYPERLINK("Melting_Curves/meltCurve_sp_Q9UHB6_4_LIMA1_HUMAN_.pdf", "Melting_Curves/meltCurve_sp_Q9UHB6_4_LIMA1_HUMAN_.pdf")</f>
        <v>Melting_Curves/meltCurve_sp_Q9UHB6_4_LIMA1_HUMAN_.pdf</v>
      </c>
      <c r="AA3655" t="s">
        <v>17817</v>
      </c>
      <c r="AB3655" t="s">
        <v>22488</v>
      </c>
    </row>
    <row r="3656" spans="1:28" x14ac:dyDescent="0.25">
      <c r="A3656" t="s">
        <v>3660</v>
      </c>
      <c r="B3656">
        <v>0.99904790336628502</v>
      </c>
      <c r="C3656">
        <v>0.95412812514992196</v>
      </c>
      <c r="D3656">
        <v>0.913877009089611</v>
      </c>
      <c r="E3656">
        <v>0.88254588811311097</v>
      </c>
      <c r="F3656">
        <v>0.89181270410915703</v>
      </c>
      <c r="G3656">
        <v>0.66969749931362599</v>
      </c>
      <c r="H3656">
        <v>0.60023647533865299</v>
      </c>
      <c r="I3656">
        <v>0.58309660843125199</v>
      </c>
      <c r="J3656">
        <v>0.62745464218259195</v>
      </c>
      <c r="K3656">
        <v>0.63819580775874896</v>
      </c>
      <c r="L3656">
        <v>910.63006437185095</v>
      </c>
      <c r="M3656">
        <v>16.972589370103901</v>
      </c>
      <c r="O3656">
        <v>52.924757727342097</v>
      </c>
      <c r="P3656">
        <v>-3.2833878657738402E-2</v>
      </c>
      <c r="Q3656">
        <v>0.59048850730806501</v>
      </c>
      <c r="R3656">
        <v>0.92893310342507596</v>
      </c>
      <c r="S3656" t="s">
        <v>8396</v>
      </c>
      <c r="T3656" t="s">
        <v>9478</v>
      </c>
      <c r="U3656" t="s">
        <v>9478</v>
      </c>
      <c r="V3656" t="s">
        <v>9478</v>
      </c>
      <c r="W3656">
        <v>24</v>
      </c>
      <c r="X3656" t="s">
        <v>13134</v>
      </c>
      <c r="Y3656">
        <v>0.78407391730374654</v>
      </c>
      <c r="Z3656" t="str">
        <f>HYPERLINK("Melting_Curves/meltCurve_sp_Q9UHB6_LIMA1_HUMAN_.pdf", "Melting_Curves/meltCurve_sp_Q9UHB6_LIMA1_HUMAN_.pdf")</f>
        <v>Melting_Curves/meltCurve_sp_Q9UHB6_LIMA1_HUMAN_.pdf</v>
      </c>
      <c r="AA3656" t="s">
        <v>17817</v>
      </c>
      <c r="AB3656" t="s">
        <v>22489</v>
      </c>
    </row>
    <row r="3657" spans="1:28" x14ac:dyDescent="0.25">
      <c r="A3657" t="s">
        <v>3661</v>
      </c>
      <c r="B3657">
        <v>0.99904790336628502</v>
      </c>
      <c r="C3657">
        <v>1.0606760673545601</v>
      </c>
      <c r="D3657">
        <v>1.0370890652752101</v>
      </c>
      <c r="E3657">
        <v>1.02428237125803</v>
      </c>
      <c r="F3657">
        <v>0.93249416674382302</v>
      </c>
      <c r="G3657">
        <v>0.84752987336845698</v>
      </c>
      <c r="H3657">
        <v>0.64927083121270801</v>
      </c>
      <c r="I3657">
        <v>0.53926876133036805</v>
      </c>
      <c r="J3657">
        <v>0.65666168142890202</v>
      </c>
      <c r="K3657">
        <v>0.55889433984275805</v>
      </c>
      <c r="L3657">
        <v>1773.78786119956</v>
      </c>
      <c r="M3657">
        <v>30.701640668954202</v>
      </c>
      <c r="O3657">
        <v>57.531565746313902</v>
      </c>
      <c r="P3657">
        <v>-5.6315216339304502E-2</v>
      </c>
      <c r="Q3657">
        <v>0.57788794239917396</v>
      </c>
      <c r="R3657">
        <v>0.95664204624836502</v>
      </c>
      <c r="S3657" t="s">
        <v>8397</v>
      </c>
      <c r="T3657" t="s">
        <v>9478</v>
      </c>
      <c r="U3657" t="s">
        <v>9478</v>
      </c>
      <c r="V3657" t="s">
        <v>9478</v>
      </c>
      <c r="W3657">
        <v>2</v>
      </c>
      <c r="X3657" t="s">
        <v>13135</v>
      </c>
      <c r="Y3657">
        <v>0.83067157012322312</v>
      </c>
      <c r="Z3657" t="str">
        <f>HYPERLINK("Melting_Curves/meltCurve_sp_Q9UHB7_2_AFF4_HUMAN_.pdf", "Melting_Curves/meltCurve_sp_Q9UHB7_2_AFF4_HUMAN_.pdf")</f>
        <v>Melting_Curves/meltCurve_sp_Q9UHB7_2_AFF4_HUMAN_.pdf</v>
      </c>
      <c r="AA3657" t="s">
        <v>17818</v>
      </c>
      <c r="AB3657" t="s">
        <v>22490</v>
      </c>
    </row>
    <row r="3658" spans="1:28" x14ac:dyDescent="0.25">
      <c r="A3658" t="s">
        <v>3662</v>
      </c>
      <c r="B3658">
        <v>0.99904790336628502</v>
      </c>
      <c r="C3658">
        <v>1.05032338493808</v>
      </c>
      <c r="D3658">
        <v>0.90863276977350305</v>
      </c>
      <c r="E3658">
        <v>0.49791789885492599</v>
      </c>
      <c r="F3658">
        <v>0.279358047508727</v>
      </c>
      <c r="G3658">
        <v>0.122126553961924</v>
      </c>
      <c r="H3658">
        <v>6.7197689786081594E-2</v>
      </c>
      <c r="I3658">
        <v>5.1053437037908003E-2</v>
      </c>
      <c r="J3658">
        <v>3.6871028577703101E-2</v>
      </c>
      <c r="K3658">
        <v>3.2784494081082499E-2</v>
      </c>
      <c r="L3658">
        <v>1162.7126958614399</v>
      </c>
      <c r="M3658">
        <v>23.220392085858599</v>
      </c>
      <c r="N3658">
        <v>50.288622458820797</v>
      </c>
      <c r="O3658">
        <v>49.705972285202002</v>
      </c>
      <c r="P3658">
        <v>-0.111254835169179</v>
      </c>
      <c r="Q3658">
        <v>4.7401079632808901E-2</v>
      </c>
      <c r="R3658">
        <v>0.99524248416675098</v>
      </c>
      <c r="S3658" t="s">
        <v>8398</v>
      </c>
      <c r="T3658" t="s">
        <v>9478</v>
      </c>
      <c r="U3658" t="s">
        <v>9478</v>
      </c>
      <c r="V3658" t="s">
        <v>9478</v>
      </c>
      <c r="W3658">
        <v>22</v>
      </c>
      <c r="X3658" t="s">
        <v>13136</v>
      </c>
      <c r="Y3658">
        <v>0.3771265041297896</v>
      </c>
      <c r="Z3658" t="str">
        <f>HYPERLINK("Melting_Curves/meltCurve_sp_Q9UHB9_SRP68_HUMAN_.pdf", "Melting_Curves/meltCurve_sp_Q9UHB9_SRP68_HUMAN_.pdf")</f>
        <v>Melting_Curves/meltCurve_sp_Q9UHB9_SRP68_HUMAN_.pdf</v>
      </c>
      <c r="AA3658" t="s">
        <v>17819</v>
      </c>
      <c r="AB3658" t="s">
        <v>22491</v>
      </c>
    </row>
    <row r="3659" spans="1:28" x14ac:dyDescent="0.25">
      <c r="A3659" t="s">
        <v>3663</v>
      </c>
      <c r="B3659">
        <v>0.99904790336628502</v>
      </c>
      <c r="C3659">
        <v>1.0528812028835699</v>
      </c>
      <c r="D3659">
        <v>1.02696125336012</v>
      </c>
      <c r="E3659">
        <v>0.95134127107741095</v>
      </c>
      <c r="F3659">
        <v>0.80113328505258097</v>
      </c>
      <c r="G3659">
        <v>0.271632035897512</v>
      </c>
      <c r="H3659">
        <v>9.9269937083505705E-2</v>
      </c>
      <c r="I3659">
        <v>5.9664777820181203E-2</v>
      </c>
      <c r="J3659">
        <v>4.25125964969831E-2</v>
      </c>
      <c r="K3659">
        <v>4.0331357263953101E-2</v>
      </c>
      <c r="L3659">
        <v>1822.90394820963</v>
      </c>
      <c r="M3659">
        <v>33.110973380805298</v>
      </c>
      <c r="N3659">
        <v>55.218451433991902</v>
      </c>
      <c r="O3659">
        <v>54.854721589288701</v>
      </c>
      <c r="P3659">
        <v>-0.14383377135025699</v>
      </c>
      <c r="Q3659">
        <v>4.6850522719341099E-2</v>
      </c>
      <c r="R3659">
        <v>0.99774844039708399</v>
      </c>
      <c r="S3659" t="s">
        <v>8399</v>
      </c>
      <c r="T3659" t="s">
        <v>9478</v>
      </c>
      <c r="U3659" t="s">
        <v>9478</v>
      </c>
      <c r="V3659" t="s">
        <v>9478</v>
      </c>
      <c r="W3659">
        <v>7</v>
      </c>
      <c r="X3659" t="s">
        <v>13137</v>
      </c>
      <c r="Y3659">
        <v>0.53039100580069198</v>
      </c>
      <c r="Z3659" t="str">
        <f>HYPERLINK("Melting_Curves/meltCurve_sp_Q9UHD1_CHRD1_HUMAN_.pdf", "Melting_Curves/meltCurve_sp_Q9UHD1_CHRD1_HUMAN_.pdf")</f>
        <v>Melting_Curves/meltCurve_sp_Q9UHD1_CHRD1_HUMAN_.pdf</v>
      </c>
      <c r="AA3659" t="s">
        <v>17820</v>
      </c>
      <c r="AB3659" t="s">
        <v>22492</v>
      </c>
    </row>
    <row r="3660" spans="1:28" x14ac:dyDescent="0.25">
      <c r="A3660" t="s">
        <v>3664</v>
      </c>
      <c r="B3660">
        <v>0.99904790336628502</v>
      </c>
      <c r="C3660">
        <v>0.96853933136860004</v>
      </c>
      <c r="D3660">
        <v>0.83609014665269599</v>
      </c>
      <c r="E3660">
        <v>0.46702866344965399</v>
      </c>
      <c r="F3660">
        <v>0.30585307599987499</v>
      </c>
      <c r="G3660">
        <v>0.180780434830424</v>
      </c>
      <c r="H3660">
        <v>0.100404572533525</v>
      </c>
      <c r="I3660">
        <v>8.6438598119174606E-2</v>
      </c>
      <c r="J3660">
        <v>4.2880586123907299E-2</v>
      </c>
      <c r="K3660">
        <v>6.3795487096962894E-2</v>
      </c>
      <c r="L3660">
        <v>893.58655987786403</v>
      </c>
      <c r="M3660">
        <v>17.995866007608399</v>
      </c>
      <c r="N3660">
        <v>50.038159857530502</v>
      </c>
      <c r="O3660">
        <v>49.054147042512497</v>
      </c>
      <c r="P3660">
        <v>-8.5816951328357302E-2</v>
      </c>
      <c r="Q3660">
        <v>6.4347826017958104E-2</v>
      </c>
      <c r="R3660">
        <v>0.99677740097031098</v>
      </c>
      <c r="S3660" t="s">
        <v>8400</v>
      </c>
      <c r="T3660" t="s">
        <v>9478</v>
      </c>
      <c r="U3660" t="s">
        <v>9478</v>
      </c>
      <c r="V3660" t="s">
        <v>9478</v>
      </c>
      <c r="W3660">
        <v>2</v>
      </c>
      <c r="X3660" t="s">
        <v>13138</v>
      </c>
      <c r="Y3660">
        <v>0.3815142014389809</v>
      </c>
      <c r="Z3660" t="str">
        <f>HYPERLINK("Melting_Curves/meltCurve_sp_Q9UHD2_TBK1_HUMAN_.pdf", "Melting_Curves/meltCurve_sp_Q9UHD2_TBK1_HUMAN_.pdf")</f>
        <v>Melting_Curves/meltCurve_sp_Q9UHD2_TBK1_HUMAN_.pdf</v>
      </c>
      <c r="AA3660" t="s">
        <v>17821</v>
      </c>
      <c r="AB3660" t="s">
        <v>22493</v>
      </c>
    </row>
    <row r="3661" spans="1:28" x14ac:dyDescent="0.25">
      <c r="A3661" t="s">
        <v>3665</v>
      </c>
      <c r="B3661">
        <v>0.99904790336628502</v>
      </c>
      <c r="C3661">
        <v>1.03076397974652</v>
      </c>
      <c r="D3661">
        <v>1.1328727916119099</v>
      </c>
      <c r="E3661">
        <v>1.0222912676939</v>
      </c>
      <c r="F3661">
        <v>0.81930582625731696</v>
      </c>
      <c r="G3661">
        <v>0.30190592767762198</v>
      </c>
      <c r="H3661">
        <v>0.18234009204937199</v>
      </c>
      <c r="I3661">
        <v>0.15896274187291001</v>
      </c>
      <c r="J3661">
        <v>0.16146166447350499</v>
      </c>
      <c r="K3661">
        <v>0.169054496777191</v>
      </c>
      <c r="L3661">
        <v>2283.4005303962999</v>
      </c>
      <c r="M3661">
        <v>41.732633862475602</v>
      </c>
      <c r="N3661">
        <v>55.246180236961202</v>
      </c>
      <c r="O3661">
        <v>54.5898029371048</v>
      </c>
      <c r="P3661">
        <v>-0.159533553921822</v>
      </c>
      <c r="Q3661">
        <v>0.16526814255533401</v>
      </c>
      <c r="R3661">
        <v>0.98794381403374298</v>
      </c>
      <c r="S3661" t="s">
        <v>8401</v>
      </c>
      <c r="T3661" t="s">
        <v>9478</v>
      </c>
      <c r="U3661" t="s">
        <v>9478</v>
      </c>
      <c r="V3661" t="s">
        <v>9478</v>
      </c>
      <c r="W3661">
        <v>21</v>
      </c>
      <c r="X3661" t="s">
        <v>13139</v>
      </c>
      <c r="Y3661">
        <v>0.57759577927562267</v>
      </c>
      <c r="Z3661" t="str">
        <f>HYPERLINK("Melting_Curves/meltCurve_sp_Q9UHD8_SEPT9_HUMAN_.pdf", "Melting_Curves/meltCurve_sp_Q9UHD8_SEPT9_HUMAN_.pdf")</f>
        <v>Melting_Curves/meltCurve_sp_Q9UHD8_SEPT9_HUMAN_.pdf</v>
      </c>
      <c r="AA3661" t="s">
        <v>17822</v>
      </c>
      <c r="AB3661" t="s">
        <v>22494</v>
      </c>
    </row>
    <row r="3662" spans="1:28" x14ac:dyDescent="0.25">
      <c r="A3662" t="s">
        <v>3666</v>
      </c>
      <c r="B3662">
        <v>0.99904790336628502</v>
      </c>
      <c r="C3662">
        <v>0.91741076631289498</v>
      </c>
      <c r="D3662">
        <v>0.90552236689340504</v>
      </c>
      <c r="E3662">
        <v>0.92709388141826898</v>
      </c>
      <c r="F3662">
        <v>0.86525578074413201</v>
      </c>
      <c r="G3662">
        <v>0.74624587070809201</v>
      </c>
      <c r="H3662">
        <v>0.62566482482164498</v>
      </c>
      <c r="I3662">
        <v>0.64130891291054704</v>
      </c>
      <c r="J3662">
        <v>0.57771183925229297</v>
      </c>
      <c r="K3662">
        <v>0.65681113716467598</v>
      </c>
      <c r="L3662">
        <v>607.98578240127495</v>
      </c>
      <c r="M3662">
        <v>11.023632045198401</v>
      </c>
      <c r="O3662">
        <v>53.4312152714161</v>
      </c>
      <c r="P3662">
        <v>-2.26241905932845E-2</v>
      </c>
      <c r="Q3662">
        <v>0.56151161743470002</v>
      </c>
      <c r="R3662">
        <v>0.92289620885608203</v>
      </c>
      <c r="S3662" t="s">
        <v>8402</v>
      </c>
      <c r="T3662" t="s">
        <v>9478</v>
      </c>
      <c r="U3662" t="s">
        <v>9478</v>
      </c>
      <c r="V3662" t="s">
        <v>9478</v>
      </c>
      <c r="W3662">
        <v>6</v>
      </c>
      <c r="X3662" t="s">
        <v>13140</v>
      </c>
      <c r="Y3662">
        <v>0.79358638127004888</v>
      </c>
      <c r="Z3662" t="str">
        <f>HYPERLINK("Melting_Curves/meltCurve_sp_Q9UHD9_UBQL2_HUMAN_.pdf", "Melting_Curves/meltCurve_sp_Q9UHD9_UBQL2_HUMAN_.pdf")</f>
        <v>Melting_Curves/meltCurve_sp_Q9UHD9_UBQL2_HUMAN_.pdf</v>
      </c>
      <c r="AA3662" t="s">
        <v>17823</v>
      </c>
      <c r="AB3662" t="s">
        <v>22495</v>
      </c>
    </row>
    <row r="3663" spans="1:28" x14ac:dyDescent="0.25">
      <c r="A3663" t="s">
        <v>3667</v>
      </c>
      <c r="B3663">
        <v>0.99904790336628502</v>
      </c>
      <c r="C3663">
        <v>0.82199915125473999</v>
      </c>
      <c r="D3663">
        <v>0.88407296028455695</v>
      </c>
      <c r="E3663">
        <v>0.58504680762376604</v>
      </c>
      <c r="F3663">
        <v>0.21089354638603799</v>
      </c>
      <c r="G3663">
        <v>0.101890918748725</v>
      </c>
      <c r="H3663">
        <v>6.4168560479147901E-2</v>
      </c>
      <c r="I3663">
        <v>4.1260819055470799E-2</v>
      </c>
      <c r="J3663">
        <v>3.7460086742513499E-2</v>
      </c>
      <c r="K3663">
        <v>2.9624378049710499E-2</v>
      </c>
      <c r="L3663">
        <v>1034.6872587400501</v>
      </c>
      <c r="M3663">
        <v>20.619974653682299</v>
      </c>
      <c r="N3663">
        <v>50.312235283512202</v>
      </c>
      <c r="O3663">
        <v>49.7140835083908</v>
      </c>
      <c r="P3663">
        <v>-0.100938170856314</v>
      </c>
      <c r="Q3663">
        <v>2.65935835104045E-2</v>
      </c>
      <c r="R3663">
        <v>0.97968751454962399</v>
      </c>
      <c r="S3663" t="s">
        <v>8403</v>
      </c>
      <c r="T3663" t="s">
        <v>9478</v>
      </c>
      <c r="U3663" t="s">
        <v>9478</v>
      </c>
      <c r="V3663" t="s">
        <v>9478</v>
      </c>
      <c r="W3663">
        <v>12</v>
      </c>
      <c r="X3663" t="s">
        <v>13141</v>
      </c>
      <c r="Y3663">
        <v>0.36962904232381433</v>
      </c>
      <c r="Z3663" t="str">
        <f>HYPERLINK("Melting_Curves/meltCurve_sp_Q9UHJ6_SHPK_HUMAN_.pdf", "Melting_Curves/meltCurve_sp_Q9UHJ6_SHPK_HUMAN_.pdf")</f>
        <v>Melting_Curves/meltCurve_sp_Q9UHJ6_SHPK_HUMAN_.pdf</v>
      </c>
      <c r="AA3663" t="s">
        <v>17824</v>
      </c>
      <c r="AB3663" t="s">
        <v>22496</v>
      </c>
    </row>
    <row r="3664" spans="1:28" x14ac:dyDescent="0.25">
      <c r="A3664" t="s">
        <v>3668</v>
      </c>
      <c r="B3664">
        <v>0.99904790336628502</v>
      </c>
      <c r="C3664">
        <v>1.00477132552819</v>
      </c>
      <c r="D3664">
        <v>1.0261046078958</v>
      </c>
      <c r="E3664">
        <v>0.97797332546334304</v>
      </c>
      <c r="F3664">
        <v>0.961653333569219</v>
      </c>
      <c r="G3664">
        <v>0.74051673609923496</v>
      </c>
      <c r="H3664">
        <v>0.33206227057043503</v>
      </c>
      <c r="I3664">
        <v>0.12770246811899</v>
      </c>
      <c r="J3664">
        <v>7.1945898581093098E-2</v>
      </c>
      <c r="K3664">
        <v>6.0854487733755E-2</v>
      </c>
      <c r="L3664">
        <v>1632.3256527825099</v>
      </c>
      <c r="M3664">
        <v>27.628238647751399</v>
      </c>
      <c r="N3664">
        <v>59.255600502601503</v>
      </c>
      <c r="O3664">
        <v>58.774844749061202</v>
      </c>
      <c r="P3664">
        <v>-0.11294376735056499</v>
      </c>
      <c r="Q3664">
        <v>3.89262358001988E-2</v>
      </c>
      <c r="R3664">
        <v>0.999185537574932</v>
      </c>
      <c r="S3664" t="s">
        <v>8404</v>
      </c>
      <c r="T3664" t="s">
        <v>9478</v>
      </c>
      <c r="U3664" t="s">
        <v>9478</v>
      </c>
      <c r="V3664" t="s">
        <v>9478</v>
      </c>
      <c r="W3664">
        <v>11</v>
      </c>
      <c r="X3664" t="s">
        <v>13142</v>
      </c>
      <c r="Y3664">
        <v>0.65712611611920801</v>
      </c>
      <c r="Z3664" t="str">
        <f>HYPERLINK("Melting_Curves/meltCurve_sp_Q9UHL4_DPP2_HUMAN_.pdf", "Melting_Curves/meltCurve_sp_Q9UHL4_DPP2_HUMAN_.pdf")</f>
        <v>Melting_Curves/meltCurve_sp_Q9UHL4_DPP2_HUMAN_.pdf</v>
      </c>
      <c r="AA3664" t="s">
        <v>17825</v>
      </c>
      <c r="AB3664" t="s">
        <v>22497</v>
      </c>
    </row>
    <row r="3665" spans="1:28" x14ac:dyDescent="0.25">
      <c r="A3665" t="s">
        <v>3669</v>
      </c>
      <c r="B3665">
        <v>0.99904790336628502</v>
      </c>
      <c r="C3665">
        <v>1.1068020200963999</v>
      </c>
      <c r="D3665">
        <v>1.1513033109820101</v>
      </c>
      <c r="E3665">
        <v>1.0770130184406499</v>
      </c>
      <c r="F3665">
        <v>0.85382329628122899</v>
      </c>
      <c r="G3665">
        <v>0.51262025198385097</v>
      </c>
      <c r="H3665">
        <v>0.29397873530560897</v>
      </c>
      <c r="I3665">
        <v>0.215582362418659</v>
      </c>
      <c r="J3665">
        <v>0.125468551406832</v>
      </c>
      <c r="K3665">
        <v>9.7398636646309905E-2</v>
      </c>
      <c r="L3665">
        <v>1407.39810487044</v>
      </c>
      <c r="M3665">
        <v>24.779828035855498</v>
      </c>
      <c r="N3665">
        <v>57.460278107239198</v>
      </c>
      <c r="O3665">
        <v>56.430104821633201</v>
      </c>
      <c r="P3665">
        <v>-9.6112193222822606E-2</v>
      </c>
      <c r="Q3665">
        <v>0.124522479339907</v>
      </c>
      <c r="R3665">
        <v>0.96967192600385099</v>
      </c>
      <c r="S3665" t="s">
        <v>8405</v>
      </c>
      <c r="T3665" t="s">
        <v>9478</v>
      </c>
      <c r="U3665" t="s">
        <v>9478</v>
      </c>
      <c r="V3665" t="s">
        <v>9478</v>
      </c>
      <c r="W3665">
        <v>4</v>
      </c>
      <c r="X3665" t="s">
        <v>13143</v>
      </c>
      <c r="Y3665">
        <v>0.62271306055093378</v>
      </c>
      <c r="Z3665" t="str">
        <f>HYPERLINK("Melting_Curves/meltCurve_sp_Q9UHP3_UBP25_HUMAN_.pdf", "Melting_Curves/meltCurve_sp_Q9UHP3_UBP25_HUMAN_.pdf")</f>
        <v>Melting_Curves/meltCurve_sp_Q9UHP3_UBP25_HUMAN_.pdf</v>
      </c>
      <c r="AA3665" t="s">
        <v>17826</v>
      </c>
      <c r="AB3665" t="s">
        <v>22498</v>
      </c>
    </row>
    <row r="3666" spans="1:28" x14ac:dyDescent="0.25">
      <c r="A3666" t="s">
        <v>3670</v>
      </c>
      <c r="B3666">
        <v>0.99904790336628502</v>
      </c>
      <c r="C3666">
        <v>1.13041720229922</v>
      </c>
      <c r="D3666">
        <v>1.02279977011415</v>
      </c>
      <c r="E3666">
        <v>0.99785180263056406</v>
      </c>
      <c r="F3666">
        <v>0.95075185900203196</v>
      </c>
      <c r="G3666">
        <v>0.55151963999155196</v>
      </c>
      <c r="H3666">
        <v>0.41321387500128498</v>
      </c>
      <c r="I3666">
        <v>0.349806428750569</v>
      </c>
      <c r="J3666">
        <v>0.26289224137530998</v>
      </c>
      <c r="K3666">
        <v>0.277938297496437</v>
      </c>
      <c r="L3666">
        <v>1800.6775471449801</v>
      </c>
      <c r="M3666">
        <v>31.9705030726976</v>
      </c>
      <c r="N3666">
        <v>58.002100934781097</v>
      </c>
      <c r="O3666">
        <v>56.104099532267</v>
      </c>
      <c r="P3666">
        <v>-9.9462825514912895E-2</v>
      </c>
      <c r="Q3666">
        <v>0.301825933238897</v>
      </c>
      <c r="R3666">
        <v>0.97631272047054196</v>
      </c>
      <c r="S3666" t="s">
        <v>8406</v>
      </c>
      <c r="T3666" t="s">
        <v>9478</v>
      </c>
      <c r="U3666" t="s">
        <v>9478</v>
      </c>
      <c r="V3666" t="s">
        <v>9478</v>
      </c>
      <c r="W3666">
        <v>4</v>
      </c>
      <c r="X3666" t="s">
        <v>13144</v>
      </c>
      <c r="Y3666">
        <v>0.68584904938001301</v>
      </c>
      <c r="Z3666" t="str">
        <f>HYPERLINK("Melting_Curves/meltCurve_sp_Q9UHR4_BI2L1_HUMAN_.pdf", "Melting_Curves/meltCurve_sp_Q9UHR4_BI2L1_HUMAN_.pdf")</f>
        <v>Melting_Curves/meltCurve_sp_Q9UHR4_BI2L1_HUMAN_.pdf</v>
      </c>
      <c r="AA3666" t="s">
        <v>17827</v>
      </c>
      <c r="AB3666" t="s">
        <v>22499</v>
      </c>
    </row>
    <row r="3667" spans="1:28" x14ac:dyDescent="0.25">
      <c r="A3667" t="s">
        <v>3671</v>
      </c>
      <c r="B3667">
        <v>0.99904790336628502</v>
      </c>
      <c r="C3667">
        <v>0.92847544241837399</v>
      </c>
      <c r="D3667">
        <v>0.89183725503339695</v>
      </c>
      <c r="E3667">
        <v>0.84998980815529601</v>
      </c>
      <c r="F3667">
        <v>0.71900131360966202</v>
      </c>
      <c r="G3667">
        <v>0.65447954972509204</v>
      </c>
      <c r="H3667">
        <v>0.46534949021640598</v>
      </c>
      <c r="I3667">
        <v>0.41521975645977799</v>
      </c>
      <c r="J3667">
        <v>0.44396961670678098</v>
      </c>
      <c r="K3667">
        <v>0.38897379724156</v>
      </c>
      <c r="L3667">
        <v>526.67313442503701</v>
      </c>
      <c r="M3667">
        <v>9.4439244382885601</v>
      </c>
      <c r="N3667">
        <v>61.403195024148999</v>
      </c>
      <c r="O3667">
        <v>53.4395018958949</v>
      </c>
      <c r="P3667">
        <v>-3.13951632048068E-2</v>
      </c>
      <c r="Q3667">
        <v>0.28981747491683202</v>
      </c>
      <c r="R3667">
        <v>0.98122454755381905</v>
      </c>
      <c r="S3667" t="s">
        <v>8407</v>
      </c>
      <c r="T3667" t="s">
        <v>9478</v>
      </c>
      <c r="U3667" t="s">
        <v>9478</v>
      </c>
      <c r="V3667" t="s">
        <v>9478</v>
      </c>
      <c r="W3667">
        <v>4</v>
      </c>
      <c r="X3667" t="s">
        <v>13145</v>
      </c>
      <c r="Y3667">
        <v>0.67893058390896632</v>
      </c>
      <c r="Z3667" t="str">
        <f>HYPERLINK("Melting_Curves/meltCurve_sp_Q9UHR5_2_S30BP_HUMAN_.pdf", "Melting_Curves/meltCurve_sp_Q9UHR5_2_S30BP_HUMAN_.pdf")</f>
        <v>Melting_Curves/meltCurve_sp_Q9UHR5_2_S30BP_HUMAN_.pdf</v>
      </c>
      <c r="AA3667" t="s">
        <v>17828</v>
      </c>
      <c r="AB3667" t="s">
        <v>22500</v>
      </c>
    </row>
    <row r="3668" spans="1:28" x14ac:dyDescent="0.25">
      <c r="A3668" t="s">
        <v>3672</v>
      </c>
      <c r="B3668">
        <v>0.99904790336628502</v>
      </c>
      <c r="C3668">
        <v>0.99530339588081296</v>
      </c>
      <c r="D3668">
        <v>1.0386059420442899</v>
      </c>
      <c r="E3668">
        <v>0.989877625362233</v>
      </c>
      <c r="F3668">
        <v>0.97938786929303301</v>
      </c>
      <c r="G3668">
        <v>0.69993937465970701</v>
      </c>
      <c r="H3668">
        <v>0.59898740926300398</v>
      </c>
      <c r="I3668">
        <v>0.54820176907338003</v>
      </c>
      <c r="J3668">
        <v>0.59615235206019701</v>
      </c>
      <c r="K3668">
        <v>0.52318263578717705</v>
      </c>
      <c r="L3668">
        <v>2538.32351597148</v>
      </c>
      <c r="M3668">
        <v>45.260288675512001</v>
      </c>
      <c r="O3668">
        <v>55.973644514163503</v>
      </c>
      <c r="P3668">
        <v>-8.8437774266759098E-2</v>
      </c>
      <c r="Q3668">
        <v>0.56251468577972996</v>
      </c>
      <c r="R3668">
        <v>0.98793121558053398</v>
      </c>
      <c r="S3668" t="s">
        <v>8408</v>
      </c>
      <c r="T3668" t="s">
        <v>9478</v>
      </c>
      <c r="U3668" t="s">
        <v>9478</v>
      </c>
      <c r="V3668" t="s">
        <v>9478</v>
      </c>
      <c r="W3668">
        <v>10</v>
      </c>
      <c r="X3668" t="s">
        <v>13146</v>
      </c>
      <c r="Y3668">
        <v>0.79836634748700896</v>
      </c>
      <c r="Z3668" t="str">
        <f>HYPERLINK("Melting_Curves/meltCurve_sp_Q9UHV9_PFD2_HUMAN_.pdf", "Melting_Curves/meltCurve_sp_Q9UHV9_PFD2_HUMAN_.pdf")</f>
        <v>Melting_Curves/meltCurve_sp_Q9UHV9_PFD2_HUMAN_.pdf</v>
      </c>
      <c r="AA3668" t="s">
        <v>17829</v>
      </c>
      <c r="AB3668" t="s">
        <v>22501</v>
      </c>
    </row>
    <row r="3669" spans="1:28" x14ac:dyDescent="0.25">
      <c r="A3669" t="s">
        <v>3673</v>
      </c>
      <c r="B3669">
        <v>0.99904790336628502</v>
      </c>
      <c r="C3669">
        <v>0.94332474993821402</v>
      </c>
      <c r="D3669">
        <v>0.94306170717721705</v>
      </c>
      <c r="E3669">
        <v>0.92473884178647503</v>
      </c>
      <c r="F3669">
        <v>0.783930847860696</v>
      </c>
      <c r="G3669">
        <v>0.420281643901325</v>
      </c>
      <c r="H3669">
        <v>0.22696620772731599</v>
      </c>
      <c r="I3669">
        <v>0.165051062085388</v>
      </c>
      <c r="J3669">
        <v>0.11916912723905</v>
      </c>
      <c r="K3669">
        <v>9.4847164766754005E-2</v>
      </c>
      <c r="L3669">
        <v>1162.94078266624</v>
      </c>
      <c r="M3669">
        <v>20.888031756404398</v>
      </c>
      <c r="N3669">
        <v>56.236501220093899</v>
      </c>
      <c r="O3669">
        <v>55.172227739154998</v>
      </c>
      <c r="P3669">
        <v>-8.5742572421947105E-2</v>
      </c>
      <c r="Q3669">
        <v>9.4126394401343794E-2</v>
      </c>
      <c r="R3669">
        <v>0.99545747134144902</v>
      </c>
      <c r="S3669" t="s">
        <v>8409</v>
      </c>
      <c r="T3669" t="s">
        <v>9478</v>
      </c>
      <c r="U3669" t="s">
        <v>9478</v>
      </c>
      <c r="V3669" t="s">
        <v>9478</v>
      </c>
      <c r="W3669">
        <v>20</v>
      </c>
      <c r="X3669" t="s">
        <v>13147</v>
      </c>
      <c r="Y3669">
        <v>0.57854358562958486</v>
      </c>
      <c r="Z3669" t="str">
        <f>HYPERLINK("Melting_Curves/meltCurve_sp_Q9UHX1_4_PUF60_HUMAN_.pdf", "Melting_Curves/meltCurve_sp_Q9UHX1_4_PUF60_HUMAN_.pdf")</f>
        <v>Melting_Curves/meltCurve_sp_Q9UHX1_4_PUF60_HUMAN_.pdf</v>
      </c>
      <c r="AA3669" t="s">
        <v>17830</v>
      </c>
      <c r="AB3669" t="s">
        <v>22502</v>
      </c>
    </row>
    <row r="3670" spans="1:28" x14ac:dyDescent="0.25">
      <c r="A3670" t="s">
        <v>3674</v>
      </c>
      <c r="B3670">
        <v>0.99904790336628502</v>
      </c>
      <c r="C3670">
        <v>0.94793560975921698</v>
      </c>
      <c r="D3670">
        <v>0.99514361485109304</v>
      </c>
      <c r="E3670">
        <v>0.83446082347094797</v>
      </c>
      <c r="F3670">
        <v>0.58029716037345902</v>
      </c>
      <c r="G3670">
        <v>0.38109461516356502</v>
      </c>
      <c r="H3670">
        <v>0.20657976115354101</v>
      </c>
      <c r="I3670">
        <v>9.3134772482861006E-2</v>
      </c>
      <c r="J3670">
        <v>5.95333116676676E-2</v>
      </c>
      <c r="K3670">
        <v>2.8884315618715201E-2</v>
      </c>
      <c r="L3670">
        <v>821.76210646649304</v>
      </c>
      <c r="M3670">
        <v>14.9760235276055</v>
      </c>
      <c r="N3670">
        <v>54.871871141441403</v>
      </c>
      <c r="O3670">
        <v>53.921348497048903</v>
      </c>
      <c r="P3670">
        <v>-6.9441628811694606E-2</v>
      </c>
      <c r="Q3670">
        <v>0</v>
      </c>
      <c r="R3670">
        <v>0.99480664290130805</v>
      </c>
      <c r="S3670" t="s">
        <v>8410</v>
      </c>
      <c r="T3670" t="s">
        <v>9478</v>
      </c>
      <c r="U3670" t="s">
        <v>9478</v>
      </c>
      <c r="V3670" t="s">
        <v>9478</v>
      </c>
      <c r="W3670">
        <v>7</v>
      </c>
      <c r="X3670" t="s">
        <v>13148</v>
      </c>
      <c r="Y3670">
        <v>0.51521852469683382</v>
      </c>
      <c r="Z3670" t="str">
        <f>HYPERLINK("Melting_Curves/meltCurve_sp_Q9UHY7_ENOPH_HUMAN_.pdf", "Melting_Curves/meltCurve_sp_Q9UHY7_ENOPH_HUMAN_.pdf")</f>
        <v>Melting_Curves/meltCurve_sp_Q9UHY7_ENOPH_HUMAN_.pdf</v>
      </c>
      <c r="AA3670" t="s">
        <v>17831</v>
      </c>
      <c r="AB3670" t="s">
        <v>22503</v>
      </c>
    </row>
    <row r="3671" spans="1:28" x14ac:dyDescent="0.25">
      <c r="A3671" t="s">
        <v>3675</v>
      </c>
      <c r="B3671">
        <v>0.99904790336628502</v>
      </c>
      <c r="C3671">
        <v>1.00335510732247</v>
      </c>
      <c r="D3671">
        <v>0.98132660966304996</v>
      </c>
      <c r="E3671">
        <v>0.956240237896816</v>
      </c>
      <c r="F3671">
        <v>0.84859073664999696</v>
      </c>
      <c r="G3671">
        <v>0.642214331208661</v>
      </c>
      <c r="H3671">
        <v>0.46945806407832702</v>
      </c>
      <c r="I3671">
        <v>0.39949078056952703</v>
      </c>
      <c r="J3671">
        <v>0.36462981926518301</v>
      </c>
      <c r="K3671">
        <v>0.28928898179238</v>
      </c>
      <c r="L3671">
        <v>944.90024965069495</v>
      </c>
      <c r="M3671">
        <v>16.509885992026302</v>
      </c>
      <c r="N3671">
        <v>60.259152095222603</v>
      </c>
      <c r="O3671">
        <v>56.412497515802897</v>
      </c>
      <c r="P3671">
        <v>-5.2550117166680198E-2</v>
      </c>
      <c r="Q3671">
        <v>0.28181749496253</v>
      </c>
      <c r="R3671">
        <v>0.99763543882661199</v>
      </c>
      <c r="S3671" t="s">
        <v>8411</v>
      </c>
      <c r="T3671" t="s">
        <v>9478</v>
      </c>
      <c r="U3671" t="s">
        <v>9478</v>
      </c>
      <c r="V3671" t="s">
        <v>9478</v>
      </c>
      <c r="W3671">
        <v>11</v>
      </c>
      <c r="X3671" t="s">
        <v>13149</v>
      </c>
      <c r="Y3671">
        <v>0.7047192727897299</v>
      </c>
      <c r="Z3671" t="str">
        <f>HYPERLINK("Melting_Curves/meltCurve_sp_Q9UI08_EVL_HUMAN_.pdf", "Melting_Curves/meltCurve_sp_Q9UI08_EVL_HUMAN_.pdf")</f>
        <v>Melting_Curves/meltCurve_sp_Q9UI08_EVL_HUMAN_.pdf</v>
      </c>
      <c r="AA3671" t="s">
        <v>17832</v>
      </c>
      <c r="AB3671" t="s">
        <v>22504</v>
      </c>
    </row>
    <row r="3672" spans="1:28" x14ac:dyDescent="0.25">
      <c r="A3672" t="s">
        <v>3676</v>
      </c>
      <c r="B3672">
        <v>0.99904790336628502</v>
      </c>
      <c r="C3672">
        <v>0.88113870473035305</v>
      </c>
      <c r="D3672">
        <v>0.87963680365430197</v>
      </c>
      <c r="E3672">
        <v>0.92210984783362104</v>
      </c>
      <c r="F3672">
        <v>0.91441028590640405</v>
      </c>
      <c r="G3672">
        <v>0.66788018138681704</v>
      </c>
      <c r="H3672">
        <v>0.60630881080173504</v>
      </c>
      <c r="I3672">
        <v>0.65220784967943202</v>
      </c>
      <c r="J3672">
        <v>0.69722138787632104</v>
      </c>
      <c r="K3672">
        <v>0.62029669958491396</v>
      </c>
      <c r="L3672">
        <v>493.380636758072</v>
      </c>
      <c r="M3672">
        <v>9.0681397616029304</v>
      </c>
      <c r="O3672">
        <v>51.957879474021802</v>
      </c>
      <c r="P3672">
        <v>-1.8875878836874301E-2</v>
      </c>
      <c r="Q3672">
        <v>0.56769123928574405</v>
      </c>
      <c r="R3672">
        <v>0.80031706895550103</v>
      </c>
      <c r="S3672" t="s">
        <v>8412</v>
      </c>
      <c r="T3672" t="s">
        <v>9478</v>
      </c>
      <c r="U3672" t="s">
        <v>9478</v>
      </c>
      <c r="V3672" t="s">
        <v>9478</v>
      </c>
      <c r="W3672">
        <v>11</v>
      </c>
      <c r="X3672" t="s">
        <v>13150</v>
      </c>
      <c r="Y3672">
        <v>0.78825383948484906</v>
      </c>
      <c r="Z3672" t="str">
        <f>HYPERLINK("Melting_Curves/meltCurve_sp_Q9UI10_3_EI2BD_HUMAN_.pdf", "Melting_Curves/meltCurve_sp_Q9UI10_3_EI2BD_HUMAN_.pdf")</f>
        <v>Melting_Curves/meltCurve_sp_Q9UI10_3_EI2BD_HUMAN_.pdf</v>
      </c>
      <c r="AA3672" t="s">
        <v>17833</v>
      </c>
      <c r="AB3672" t="s">
        <v>22505</v>
      </c>
    </row>
    <row r="3673" spans="1:28" x14ac:dyDescent="0.25">
      <c r="A3673" t="s">
        <v>3677</v>
      </c>
      <c r="B3673">
        <v>0.99904790336628502</v>
      </c>
      <c r="C3673">
        <v>1.0013627769732201</v>
      </c>
      <c r="D3673">
        <v>0.86952064823532005</v>
      </c>
      <c r="E3673">
        <v>0.458794303223094</v>
      </c>
      <c r="F3673">
        <v>0.26119030375086499</v>
      </c>
      <c r="G3673">
        <v>0.17834245741542301</v>
      </c>
      <c r="H3673">
        <v>0.13752294151254699</v>
      </c>
      <c r="I3673">
        <v>0.13331862674453701</v>
      </c>
      <c r="J3673">
        <v>0.131646537043284</v>
      </c>
      <c r="K3673">
        <v>0.125606124502183</v>
      </c>
      <c r="L3673">
        <v>1244.6827484840401</v>
      </c>
      <c r="M3673">
        <v>25.3532202667012</v>
      </c>
      <c r="N3673">
        <v>49.710273761867597</v>
      </c>
      <c r="O3673">
        <v>48.791300222612001</v>
      </c>
      <c r="P3673">
        <v>-0.11238179045338099</v>
      </c>
      <c r="Q3673">
        <v>0.13491321683271201</v>
      </c>
      <c r="R3673">
        <v>0.999026546758225</v>
      </c>
      <c r="S3673" t="s">
        <v>8413</v>
      </c>
      <c r="T3673" t="s">
        <v>9478</v>
      </c>
      <c r="U3673" t="s">
        <v>9478</v>
      </c>
      <c r="V3673" t="s">
        <v>9478</v>
      </c>
      <c r="W3673">
        <v>11</v>
      </c>
      <c r="X3673" t="s">
        <v>13151</v>
      </c>
      <c r="Y3673">
        <v>0.40459310783028812</v>
      </c>
      <c r="Z3673" t="str">
        <f>HYPERLINK("Melting_Curves/meltCurve_sp_Q9UI10_EI2BD_HUMAN_.pdf", "Melting_Curves/meltCurve_sp_Q9UI10_EI2BD_HUMAN_.pdf")</f>
        <v>Melting_Curves/meltCurve_sp_Q9UI10_EI2BD_HUMAN_.pdf</v>
      </c>
      <c r="AA3673" t="s">
        <v>17833</v>
      </c>
      <c r="AB3673" t="s">
        <v>22506</v>
      </c>
    </row>
    <row r="3674" spans="1:28" x14ac:dyDescent="0.25">
      <c r="A3674" t="s">
        <v>3678</v>
      </c>
      <c r="B3674">
        <v>0.99904790336628502</v>
      </c>
      <c r="C3674">
        <v>1.03562831517841</v>
      </c>
      <c r="D3674">
        <v>1.0650295513364501</v>
      </c>
      <c r="E3674">
        <v>0.99913333479732902</v>
      </c>
      <c r="F3674">
        <v>0.68342152741830098</v>
      </c>
      <c r="G3674">
        <v>0.17826729421200799</v>
      </c>
      <c r="H3674">
        <v>8.54534093028846E-2</v>
      </c>
      <c r="I3674">
        <v>5.4933898544498698E-2</v>
      </c>
      <c r="J3674">
        <v>5.3437698116751899E-2</v>
      </c>
      <c r="K3674">
        <v>4.5114862084735703E-2</v>
      </c>
      <c r="L3674">
        <v>2104.4665874440698</v>
      </c>
      <c r="M3674">
        <v>38.960544890715902</v>
      </c>
      <c r="N3674">
        <v>54.187499730306001</v>
      </c>
      <c r="O3674">
        <v>53.873609455730801</v>
      </c>
      <c r="P3674">
        <v>-0.17027075474853201</v>
      </c>
      <c r="Q3674">
        <v>5.8218609768021602E-2</v>
      </c>
      <c r="R3674">
        <v>0.99604670570730103</v>
      </c>
      <c r="S3674" t="s">
        <v>8414</v>
      </c>
      <c r="T3674" t="s">
        <v>9478</v>
      </c>
      <c r="U3674" t="s">
        <v>9478</v>
      </c>
      <c r="V3674" t="s">
        <v>9478</v>
      </c>
      <c r="W3674">
        <v>13</v>
      </c>
      <c r="X3674" t="s">
        <v>13152</v>
      </c>
      <c r="Y3674">
        <v>0.5018963569609205</v>
      </c>
      <c r="Z3674" t="str">
        <f>HYPERLINK("Melting_Curves/meltCurve_sp_Q9UI12_2_VATH_HUMAN_.pdf", "Melting_Curves/meltCurve_sp_Q9UI12_2_VATH_HUMAN_.pdf")</f>
        <v>Melting_Curves/meltCurve_sp_Q9UI12_2_VATH_HUMAN_.pdf</v>
      </c>
      <c r="AA3674" t="s">
        <v>17834</v>
      </c>
      <c r="AB3674" t="s">
        <v>22507</v>
      </c>
    </row>
    <row r="3675" spans="1:28" x14ac:dyDescent="0.25">
      <c r="A3675" t="s">
        <v>3679</v>
      </c>
      <c r="B3675">
        <v>0.99904790336628502</v>
      </c>
      <c r="C3675">
        <v>1.0162077144692201</v>
      </c>
      <c r="D3675">
        <v>1.0693581740867399</v>
      </c>
      <c r="E3675">
        <v>0.98641741297472296</v>
      </c>
      <c r="F3675">
        <v>0.29000432857681702</v>
      </c>
      <c r="G3675">
        <v>0.13150183978444499</v>
      </c>
      <c r="H3675">
        <v>6.7946004122059298E-2</v>
      </c>
      <c r="I3675">
        <v>4.6942491896792601E-2</v>
      </c>
      <c r="J3675">
        <v>3.94548447721439E-2</v>
      </c>
      <c r="K3675">
        <v>3.2460325261778701E-2</v>
      </c>
      <c r="L3675">
        <v>4529.5651494167996</v>
      </c>
      <c r="M3675">
        <v>86.601972903867207</v>
      </c>
      <c r="N3675">
        <v>52.385307322193597</v>
      </c>
      <c r="O3675">
        <v>52.2754021781099</v>
      </c>
      <c r="P3675">
        <v>-0.38789697524841699</v>
      </c>
      <c r="Q3675">
        <v>6.3418016333158106E-2</v>
      </c>
      <c r="R3675">
        <v>0.99446641623528198</v>
      </c>
      <c r="S3675" t="s">
        <v>8415</v>
      </c>
      <c r="T3675" t="s">
        <v>9478</v>
      </c>
      <c r="U3675" t="s">
        <v>9478</v>
      </c>
      <c r="V3675" t="s">
        <v>9478</v>
      </c>
      <c r="W3675">
        <v>56</v>
      </c>
      <c r="X3675" t="s">
        <v>13153</v>
      </c>
      <c r="Y3675">
        <v>0.44823587078088079</v>
      </c>
      <c r="Z3675" t="str">
        <f>HYPERLINK("Melting_Curves/meltCurve_sp_Q9UI17_M2GD_HUMAN_.pdf", "Melting_Curves/meltCurve_sp_Q9UI17_M2GD_HUMAN_.pdf")</f>
        <v>Melting_Curves/meltCurve_sp_Q9UI17_M2GD_HUMAN_.pdf</v>
      </c>
      <c r="AA3675" t="s">
        <v>17835</v>
      </c>
      <c r="AB3675" t="s">
        <v>22508</v>
      </c>
    </row>
    <row r="3676" spans="1:28" x14ac:dyDescent="0.25">
      <c r="A3676" t="s">
        <v>3680</v>
      </c>
      <c r="B3676">
        <v>0.99904790336628502</v>
      </c>
      <c r="C3676">
        <v>0.83227410817645997</v>
      </c>
      <c r="D3676">
        <v>0.578043782918501</v>
      </c>
      <c r="E3676">
        <v>0.197738190090818</v>
      </c>
      <c r="F3676">
        <v>9.4698020415790493E-2</v>
      </c>
      <c r="G3676">
        <v>4.6306346535565E-2</v>
      </c>
      <c r="H3676">
        <v>2.8209199134573398E-2</v>
      </c>
      <c r="I3676">
        <v>2.11107667554945E-2</v>
      </c>
      <c r="J3676">
        <v>1.7388355083295701E-2</v>
      </c>
      <c r="K3676">
        <v>1.42149995684144E-2</v>
      </c>
      <c r="L3676">
        <v>961.97361807777395</v>
      </c>
      <c r="M3676">
        <v>20.676253807158801</v>
      </c>
      <c r="N3676">
        <v>46.609210681174901</v>
      </c>
      <c r="O3676">
        <v>46.096878408621301</v>
      </c>
      <c r="P3676">
        <v>-0.110094721053679</v>
      </c>
      <c r="Q3676">
        <v>1.8220983304415801E-2</v>
      </c>
      <c r="R3676">
        <v>0.99859878380492295</v>
      </c>
      <c r="S3676" t="s">
        <v>8416</v>
      </c>
      <c r="T3676" t="s">
        <v>9478</v>
      </c>
      <c r="U3676" t="s">
        <v>9478</v>
      </c>
      <c r="V3676" t="s">
        <v>9478</v>
      </c>
      <c r="W3676">
        <v>21</v>
      </c>
      <c r="X3676" t="s">
        <v>13154</v>
      </c>
      <c r="Y3676">
        <v>0.24540730520402679</v>
      </c>
      <c r="Z3676" t="str">
        <f>HYPERLINK("Melting_Curves/meltCurve_sp_Q9UI32_GLSL_HUMAN_.pdf", "Melting_Curves/meltCurve_sp_Q9UI32_GLSL_HUMAN_.pdf")</f>
        <v>Melting_Curves/meltCurve_sp_Q9UI32_GLSL_HUMAN_.pdf</v>
      </c>
      <c r="AA3676" t="s">
        <v>17836</v>
      </c>
      <c r="AB3676" t="s">
        <v>22509</v>
      </c>
    </row>
    <row r="3677" spans="1:28" x14ac:dyDescent="0.25">
      <c r="A3677" t="s">
        <v>3681</v>
      </c>
      <c r="B3677">
        <v>0.99904790336628502</v>
      </c>
      <c r="C3677">
        <v>1.0072164029124</v>
      </c>
      <c r="D3677">
        <v>1.09828861716579</v>
      </c>
      <c r="E3677">
        <v>1.0244723855062401</v>
      </c>
      <c r="F3677">
        <v>0.81255920871240095</v>
      </c>
      <c r="G3677">
        <v>0.17910551707109501</v>
      </c>
      <c r="H3677">
        <v>0.10711468614873899</v>
      </c>
      <c r="I3677">
        <v>8.2311577675553901E-2</v>
      </c>
      <c r="J3677">
        <v>6.4946498010703693E-2</v>
      </c>
      <c r="K3677">
        <v>5.9366949397184697E-2</v>
      </c>
      <c r="L3677">
        <v>2640.95564878391</v>
      </c>
      <c r="M3677">
        <v>48.431639998752303</v>
      </c>
      <c r="N3677">
        <v>54.718567383121197</v>
      </c>
      <c r="O3677">
        <v>54.436841316806102</v>
      </c>
      <c r="P3677">
        <v>-0.205290573244542</v>
      </c>
      <c r="Q3677">
        <v>7.7020187638164594E-2</v>
      </c>
      <c r="R3677">
        <v>0.99403312461311399</v>
      </c>
      <c r="S3677" t="s">
        <v>8417</v>
      </c>
      <c r="T3677" t="s">
        <v>9478</v>
      </c>
      <c r="U3677" t="s">
        <v>9478</v>
      </c>
      <c r="V3677" t="s">
        <v>9478</v>
      </c>
      <c r="W3677">
        <v>27</v>
      </c>
      <c r="X3677" t="s">
        <v>13155</v>
      </c>
      <c r="Y3677">
        <v>0.52640200460056297</v>
      </c>
      <c r="Z3677" t="str">
        <f>HYPERLINK("Melting_Curves/meltCurve_sp_Q9UIA9_XPO7_HUMAN_.pdf", "Melting_Curves/meltCurve_sp_Q9UIA9_XPO7_HUMAN_.pdf")</f>
        <v>Melting_Curves/meltCurve_sp_Q9UIA9_XPO7_HUMAN_.pdf</v>
      </c>
      <c r="AA3677" t="s">
        <v>17837</v>
      </c>
      <c r="AB3677" t="s">
        <v>22510</v>
      </c>
    </row>
    <row r="3678" spans="1:28" x14ac:dyDescent="0.25">
      <c r="A3678" t="s">
        <v>3682</v>
      </c>
      <c r="B3678">
        <v>0.99904790336628502</v>
      </c>
      <c r="C3678">
        <v>1.09055396214472</v>
      </c>
      <c r="D3678">
        <v>1.0565517314423301</v>
      </c>
      <c r="E3678">
        <v>0.78053832413050095</v>
      </c>
      <c r="F3678">
        <v>0.30904203668146601</v>
      </c>
      <c r="G3678">
        <v>0.177008998394422</v>
      </c>
      <c r="H3678">
        <v>0.126911301633858</v>
      </c>
      <c r="I3678">
        <v>0.109162269087033</v>
      </c>
      <c r="J3678">
        <v>8.6071218112769396E-2</v>
      </c>
      <c r="K3678">
        <v>5.4766431568986501E-2</v>
      </c>
      <c r="L3678">
        <v>2036.55216141507</v>
      </c>
      <c r="M3678">
        <v>39.597012543937304</v>
      </c>
      <c r="N3678">
        <v>51.740867184894697</v>
      </c>
      <c r="O3678">
        <v>51.301311104379302</v>
      </c>
      <c r="P3678">
        <v>-0.172649101085148</v>
      </c>
      <c r="Q3678">
        <v>0.10527533852948499</v>
      </c>
      <c r="R3678">
        <v>0.98951097366126906</v>
      </c>
      <c r="S3678" t="s">
        <v>8418</v>
      </c>
      <c r="T3678" t="s">
        <v>9478</v>
      </c>
      <c r="U3678" t="s">
        <v>9478</v>
      </c>
      <c r="V3678" t="s">
        <v>9478</v>
      </c>
      <c r="W3678">
        <v>7</v>
      </c>
      <c r="X3678" t="s">
        <v>13156</v>
      </c>
      <c r="Y3678">
        <v>0.44946965147543411</v>
      </c>
      <c r="Z3678" t="str">
        <f>HYPERLINK("Melting_Curves/meltCurve_sp_Q9UID3_VPS51_HUMAN_.pdf", "Melting_Curves/meltCurve_sp_Q9UID3_VPS51_HUMAN_.pdf")</f>
        <v>Melting_Curves/meltCurve_sp_Q9UID3_VPS51_HUMAN_.pdf</v>
      </c>
      <c r="AA3678" t="s">
        <v>17838</v>
      </c>
      <c r="AB3678" t="s">
        <v>22511</v>
      </c>
    </row>
    <row r="3679" spans="1:28" x14ac:dyDescent="0.25">
      <c r="A3679" t="s">
        <v>3683</v>
      </c>
      <c r="B3679">
        <v>0.99904790336628502</v>
      </c>
      <c r="C3679">
        <v>0.91858683073865199</v>
      </c>
      <c r="D3679">
        <v>0.78126609520609902</v>
      </c>
      <c r="E3679">
        <v>0.59260184893101697</v>
      </c>
      <c r="F3679">
        <v>0.33657711317377798</v>
      </c>
      <c r="G3679">
        <v>0.191088053598365</v>
      </c>
      <c r="H3679">
        <v>0.145178906230812</v>
      </c>
      <c r="I3679">
        <v>0.13307393879340601</v>
      </c>
      <c r="J3679">
        <v>0.14300252003899999</v>
      </c>
      <c r="K3679">
        <v>0.106559550427761</v>
      </c>
      <c r="L3679">
        <v>776.37213177316005</v>
      </c>
      <c r="M3679">
        <v>15.5608068697926</v>
      </c>
      <c r="N3679">
        <v>50.629055992699797</v>
      </c>
      <c r="O3679">
        <v>49.0905879954475</v>
      </c>
      <c r="P3679">
        <v>-7.1227503087317096E-2</v>
      </c>
      <c r="Q3679">
        <v>0.101256336210359</v>
      </c>
      <c r="R3679">
        <v>0.99509476802046104</v>
      </c>
      <c r="S3679" t="s">
        <v>8419</v>
      </c>
      <c r="T3679" t="s">
        <v>9478</v>
      </c>
      <c r="U3679" t="s">
        <v>9478</v>
      </c>
      <c r="V3679" t="s">
        <v>9478</v>
      </c>
      <c r="W3679">
        <v>1</v>
      </c>
      <c r="X3679" t="s">
        <v>13157</v>
      </c>
      <c r="Y3679">
        <v>0.41775862365731758</v>
      </c>
      <c r="Z3679" t="str">
        <f>HYPERLINK("Melting_Curves/meltCurve_sp_Q9UIG0_2_BAZ1B_HUMAN_.pdf", "Melting_Curves/meltCurve_sp_Q9UIG0_2_BAZ1B_HUMAN_.pdf")</f>
        <v>Melting_Curves/meltCurve_sp_Q9UIG0_2_BAZ1B_HUMAN_.pdf</v>
      </c>
      <c r="AA3679" t="s">
        <v>17839</v>
      </c>
      <c r="AB3679" t="s">
        <v>22512</v>
      </c>
    </row>
    <row r="3680" spans="1:28" x14ac:dyDescent="0.25">
      <c r="A3680" t="s">
        <v>3684</v>
      </c>
      <c r="B3680">
        <v>0.99904790336628502</v>
      </c>
      <c r="C3680">
        <v>1.0486953514531401</v>
      </c>
      <c r="D3680">
        <v>0.96697017310580402</v>
      </c>
      <c r="E3680">
        <v>0.99463202634778702</v>
      </c>
      <c r="F3680">
        <v>1.02901928609954</v>
      </c>
      <c r="G3680">
        <v>0.78298664136763196</v>
      </c>
      <c r="H3680">
        <v>0.88065837234675404</v>
      </c>
      <c r="I3680">
        <v>1.07441289128218</v>
      </c>
      <c r="J3680">
        <v>1.2429810164330299</v>
      </c>
      <c r="K3680">
        <v>1.28630750958427</v>
      </c>
      <c r="L3680">
        <v>5073.5396777109099</v>
      </c>
      <c r="M3680">
        <v>78.095659198939302</v>
      </c>
      <c r="O3680">
        <v>64.923144820026394</v>
      </c>
      <c r="P3680">
        <v>8.36532284264941E-2</v>
      </c>
      <c r="Q3680">
        <v>1.27817320287984</v>
      </c>
      <c r="R3680">
        <v>0.67279019028589204</v>
      </c>
      <c r="S3680" t="s">
        <v>8420</v>
      </c>
      <c r="T3680" t="s">
        <v>9478</v>
      </c>
      <c r="U3680" t="s">
        <v>9478</v>
      </c>
      <c r="V3680" t="s">
        <v>9478</v>
      </c>
      <c r="W3680">
        <v>9</v>
      </c>
      <c r="X3680" t="s">
        <v>13158</v>
      </c>
      <c r="Y3680">
        <v>1.046387955843378</v>
      </c>
      <c r="Z3680" t="str">
        <f>HYPERLINK("Melting_Curves/meltCurve_sp_Q9UII2_ATIF1_HUMAN_.pdf", "Melting_Curves/meltCurve_sp_Q9UII2_ATIF1_HUMAN_.pdf")</f>
        <v>Melting_Curves/meltCurve_sp_Q9UII2_ATIF1_HUMAN_.pdf</v>
      </c>
      <c r="AA3680" t="s">
        <v>17840</v>
      </c>
      <c r="AB3680" t="s">
        <v>22513</v>
      </c>
    </row>
    <row r="3681" spans="1:28" x14ac:dyDescent="0.25">
      <c r="A3681" t="s">
        <v>3685</v>
      </c>
      <c r="B3681">
        <v>0.99904790336628502</v>
      </c>
      <c r="C3681">
        <v>0.99255006601842799</v>
      </c>
      <c r="D3681">
        <v>0.93306386331334601</v>
      </c>
      <c r="E3681">
        <v>0.91213263097660102</v>
      </c>
      <c r="F3681">
        <v>0.77989334352398898</v>
      </c>
      <c r="G3681">
        <v>0.273145920837853</v>
      </c>
      <c r="H3681">
        <v>6.2119053613037101E-2</v>
      </c>
      <c r="I3681">
        <v>3.6297659096872499E-2</v>
      </c>
      <c r="J3681">
        <v>2.7134210754318801E-2</v>
      </c>
      <c r="K3681">
        <v>2.3771098449774999E-2</v>
      </c>
      <c r="L3681">
        <v>1612.3502282076099</v>
      </c>
      <c r="M3681">
        <v>29.296327829924302</v>
      </c>
      <c r="N3681">
        <v>55.104319045005198</v>
      </c>
      <c r="O3681">
        <v>54.781394751383502</v>
      </c>
      <c r="P3681">
        <v>-0.13130992898079299</v>
      </c>
      <c r="Q3681">
        <v>1.7857855638217599E-2</v>
      </c>
      <c r="R3681">
        <v>0.99660184649417205</v>
      </c>
      <c r="S3681" t="s">
        <v>8421</v>
      </c>
      <c r="T3681" t="s">
        <v>9478</v>
      </c>
      <c r="U3681" t="s">
        <v>9478</v>
      </c>
      <c r="V3681" t="s">
        <v>9478</v>
      </c>
      <c r="W3681">
        <v>20</v>
      </c>
      <c r="X3681" t="s">
        <v>13159</v>
      </c>
      <c r="Y3681">
        <v>0.51691863802268878</v>
      </c>
      <c r="Z3681" t="str">
        <f>HYPERLINK("Melting_Curves/meltCurve_sp_Q9UIJ7_KAD3_HUMAN_.pdf", "Melting_Curves/meltCurve_sp_Q9UIJ7_KAD3_HUMAN_.pdf")</f>
        <v>Melting_Curves/meltCurve_sp_Q9UIJ7_KAD3_HUMAN_.pdf</v>
      </c>
      <c r="AA3681" t="s">
        <v>17841</v>
      </c>
      <c r="AB3681" t="s">
        <v>22514</v>
      </c>
    </row>
    <row r="3682" spans="1:28" x14ac:dyDescent="0.25">
      <c r="A3682" t="s">
        <v>3686</v>
      </c>
      <c r="B3682">
        <v>0.99904790336628502</v>
      </c>
      <c r="C3682">
        <v>1.0368541990114599</v>
      </c>
      <c r="D3682">
        <v>1.1473430030324501</v>
      </c>
      <c r="E3682">
        <v>1.0744188268013199</v>
      </c>
      <c r="F3682">
        <v>0.53017083151954503</v>
      </c>
      <c r="G3682">
        <v>0.317019947176023</v>
      </c>
      <c r="H3682">
        <v>0.335536374148941</v>
      </c>
      <c r="I3682">
        <v>0</v>
      </c>
      <c r="J3682">
        <v>0</v>
      </c>
      <c r="K3682">
        <v>0</v>
      </c>
      <c r="L3682">
        <v>1161.81761842481</v>
      </c>
      <c r="M3682">
        <v>21.181584580452402</v>
      </c>
      <c r="N3682">
        <v>54.991701559317796</v>
      </c>
      <c r="O3682">
        <v>54.368477552649203</v>
      </c>
      <c r="P3682">
        <v>-9.4820395676436506E-2</v>
      </c>
      <c r="Q3682">
        <v>2.6492428326456301E-2</v>
      </c>
      <c r="R3682">
        <v>0.93364258610793305</v>
      </c>
      <c r="S3682" t="s">
        <v>8422</v>
      </c>
      <c r="T3682" t="s">
        <v>9478</v>
      </c>
      <c r="U3682" t="s">
        <v>9478</v>
      </c>
      <c r="V3682" t="s">
        <v>9478</v>
      </c>
      <c r="W3682">
        <v>1</v>
      </c>
      <c r="X3682" t="s">
        <v>13160</v>
      </c>
      <c r="Y3682">
        <v>0.52029257372741766</v>
      </c>
      <c r="Z3682" t="str">
        <f>HYPERLINK("Melting_Curves/meltCurve_sp_Q9UIL1_3_SCOC_HUMAN_.pdf", "Melting_Curves/meltCurve_sp_Q9UIL1_3_SCOC_HUMAN_.pdf")</f>
        <v>Melting_Curves/meltCurve_sp_Q9UIL1_3_SCOC_HUMAN_.pdf</v>
      </c>
      <c r="AA3682" t="s">
        <v>17842</v>
      </c>
      <c r="AB3682" t="s">
        <v>22515</v>
      </c>
    </row>
    <row r="3683" spans="1:28" x14ac:dyDescent="0.25">
      <c r="A3683" t="s">
        <v>3687</v>
      </c>
      <c r="B3683">
        <v>0.99904790336628502</v>
      </c>
      <c r="C3683">
        <v>1.01535065789024</v>
      </c>
      <c r="D3683">
        <v>0.95681307949787897</v>
      </c>
      <c r="E3683">
        <v>0.83302597831379999</v>
      </c>
      <c r="F3683">
        <v>0.74672238106944899</v>
      </c>
      <c r="G3683">
        <v>0.29501886092235102</v>
      </c>
      <c r="H3683">
        <v>0.20393850838704</v>
      </c>
      <c r="I3683">
        <v>0.17706294448832699</v>
      </c>
      <c r="J3683">
        <v>0.187473987044912</v>
      </c>
      <c r="K3683">
        <v>0.13131767501389299</v>
      </c>
      <c r="L3683">
        <v>1323.95622827293</v>
      </c>
      <c r="M3683">
        <v>24.459506761478998</v>
      </c>
      <c r="N3683">
        <v>54.925779705628699</v>
      </c>
      <c r="O3683">
        <v>53.770589480107603</v>
      </c>
      <c r="P3683">
        <v>-9.6729446695815E-2</v>
      </c>
      <c r="Q3683">
        <v>0.14943150580550699</v>
      </c>
      <c r="R3683">
        <v>0.989852900387302</v>
      </c>
      <c r="S3683" t="s">
        <v>8423</v>
      </c>
      <c r="T3683" t="s">
        <v>9478</v>
      </c>
      <c r="U3683" t="s">
        <v>9478</v>
      </c>
      <c r="V3683" t="s">
        <v>9478</v>
      </c>
      <c r="W3683">
        <v>2</v>
      </c>
      <c r="X3683" t="s">
        <v>13161</v>
      </c>
      <c r="Y3683">
        <v>0.55819660135694527</v>
      </c>
      <c r="Z3683" t="str">
        <f>HYPERLINK("Melting_Curves/meltCurve_sp_Q9UIM3_FKBPL_HUMAN_.pdf", "Melting_Curves/meltCurve_sp_Q9UIM3_FKBPL_HUMAN_.pdf")</f>
        <v>Melting_Curves/meltCurve_sp_Q9UIM3_FKBPL_HUMAN_.pdf</v>
      </c>
      <c r="AA3683" t="s">
        <v>17843</v>
      </c>
      <c r="AB3683" t="s">
        <v>22516</v>
      </c>
    </row>
    <row r="3684" spans="1:28" x14ac:dyDescent="0.25">
      <c r="A3684" t="s">
        <v>3688</v>
      </c>
      <c r="B3684">
        <v>0.99904790336628502</v>
      </c>
      <c r="C3684">
        <v>1.09711522329766</v>
      </c>
      <c r="D3684">
        <v>1.11251936502447</v>
      </c>
      <c r="E3684">
        <v>0.81850272821436698</v>
      </c>
      <c r="F3684">
        <v>0.53235344731640699</v>
      </c>
      <c r="G3684">
        <v>0.16179167361883401</v>
      </c>
      <c r="H3684">
        <v>6.0507970357532602E-2</v>
      </c>
      <c r="I3684">
        <v>5.1945343370006801E-2</v>
      </c>
      <c r="J3684">
        <v>0</v>
      </c>
      <c r="K3684">
        <v>1.7121613356355599E-2</v>
      </c>
      <c r="L3684">
        <v>1435.4909899550501</v>
      </c>
      <c r="M3684">
        <v>27.013858390224101</v>
      </c>
      <c r="N3684">
        <v>53.227982389284897</v>
      </c>
      <c r="O3684">
        <v>52.850435821267801</v>
      </c>
      <c r="P3684">
        <v>-0.124966364268702</v>
      </c>
      <c r="Q3684">
        <v>2.2063532285416999E-2</v>
      </c>
      <c r="R3684">
        <v>0.98648875288016102</v>
      </c>
      <c r="S3684" t="s">
        <v>8424</v>
      </c>
      <c r="T3684" t="s">
        <v>9478</v>
      </c>
      <c r="U3684" t="s">
        <v>9478</v>
      </c>
      <c r="V3684" t="s">
        <v>9478</v>
      </c>
      <c r="W3684">
        <v>2</v>
      </c>
      <c r="X3684" t="s">
        <v>13162</v>
      </c>
      <c r="Y3684">
        <v>0.45815259741078668</v>
      </c>
      <c r="Z3684" t="str">
        <f>HYPERLINK("Melting_Curves/meltCurve_sp_Q9UIV1_2_CNOT7_HUMAN_.pdf", "Melting_Curves/meltCurve_sp_Q9UIV1_2_CNOT7_HUMAN_.pdf")</f>
        <v>Melting_Curves/meltCurve_sp_Q9UIV1_2_CNOT7_HUMAN_.pdf</v>
      </c>
      <c r="AA3684" t="s">
        <v>17844</v>
      </c>
      <c r="AB3684" t="s">
        <v>22517</v>
      </c>
    </row>
    <row r="3685" spans="1:28" x14ac:dyDescent="0.25">
      <c r="A3685" t="s">
        <v>3689</v>
      </c>
      <c r="B3685">
        <v>0.99904790336628502</v>
      </c>
      <c r="C3685">
        <v>1.03073059213483</v>
      </c>
      <c r="D3685">
        <v>1.0194932838358499</v>
      </c>
      <c r="E3685">
        <v>0.90590705697252505</v>
      </c>
      <c r="F3685">
        <v>0.80502075706407905</v>
      </c>
      <c r="G3685">
        <v>0.47694063343759602</v>
      </c>
      <c r="H3685">
        <v>0.16706458758064399</v>
      </c>
      <c r="I3685">
        <v>0.124735909557478</v>
      </c>
      <c r="J3685">
        <v>9.4666798434032307E-2</v>
      </c>
      <c r="K3685">
        <v>7.2530580071618195E-2</v>
      </c>
      <c r="L3685">
        <v>1232.19783147049</v>
      </c>
      <c r="M3685">
        <v>21.925637276769599</v>
      </c>
      <c r="N3685">
        <v>56.515625010917503</v>
      </c>
      <c r="O3685">
        <v>55.737724609142496</v>
      </c>
      <c r="P3685">
        <v>-9.2660347685326203E-2</v>
      </c>
      <c r="Q3685">
        <v>5.78043362670215E-2</v>
      </c>
      <c r="R3685">
        <v>0.99710365411816104</v>
      </c>
      <c r="S3685" t="s">
        <v>8425</v>
      </c>
      <c r="T3685" t="s">
        <v>9478</v>
      </c>
      <c r="U3685" t="s">
        <v>9478</v>
      </c>
      <c r="V3685" t="s">
        <v>9478</v>
      </c>
      <c r="W3685">
        <v>6</v>
      </c>
      <c r="X3685" t="s">
        <v>13163</v>
      </c>
      <c r="Y3685">
        <v>0.5771385419306152</v>
      </c>
      <c r="Z3685" t="str">
        <f>HYPERLINK("Melting_Curves/meltCurve_sp_Q9UJ41_2_RABX5_HUMAN_.pdf", "Melting_Curves/meltCurve_sp_Q9UJ41_2_RABX5_HUMAN_.pdf")</f>
        <v>Melting_Curves/meltCurve_sp_Q9UJ41_2_RABX5_HUMAN_.pdf</v>
      </c>
      <c r="AA3685" t="s">
        <v>17845</v>
      </c>
      <c r="AB3685" t="s">
        <v>22518</v>
      </c>
    </row>
    <row r="3686" spans="1:28" x14ac:dyDescent="0.25">
      <c r="A3686" t="s">
        <v>3690</v>
      </c>
      <c r="B3686">
        <v>0.99904790336628502</v>
      </c>
      <c r="C3686">
        <v>0.78661882018351603</v>
      </c>
      <c r="D3686">
        <v>0.70382423032976404</v>
      </c>
      <c r="E3686">
        <v>0.48485501308495299</v>
      </c>
      <c r="F3686">
        <v>0.268199820912839</v>
      </c>
      <c r="G3686">
        <v>0.14260560364640501</v>
      </c>
      <c r="H3686">
        <v>7.7493604640834796E-2</v>
      </c>
      <c r="I3686">
        <v>6.3762711659773E-2</v>
      </c>
      <c r="J3686">
        <v>5.8573637444998897E-2</v>
      </c>
      <c r="K3686">
        <v>5.4799132102043097E-2</v>
      </c>
      <c r="L3686">
        <v>613.53912345627396</v>
      </c>
      <c r="M3686">
        <v>12.5394816755161</v>
      </c>
      <c r="N3686">
        <v>49.0621600892907</v>
      </c>
      <c r="O3686">
        <v>47.734213595841197</v>
      </c>
      <c r="P3686">
        <v>-6.4584479596685201E-2</v>
      </c>
      <c r="Q3686">
        <v>1.6781414406912401E-2</v>
      </c>
      <c r="R3686">
        <v>0.99028046368272404</v>
      </c>
      <c r="S3686" t="s">
        <v>8426</v>
      </c>
      <c r="T3686" t="s">
        <v>9478</v>
      </c>
      <c r="U3686" t="s">
        <v>9478</v>
      </c>
      <c r="V3686" t="s">
        <v>9478</v>
      </c>
      <c r="W3686">
        <v>11</v>
      </c>
      <c r="X3686" t="s">
        <v>13164</v>
      </c>
      <c r="Y3686">
        <v>0.34306575985167742</v>
      </c>
      <c r="Z3686" t="str">
        <f>HYPERLINK("Melting_Curves/meltCurve_sp_Q9UJ68_5_MSRA_HUMAN_.pdf", "Melting_Curves/meltCurve_sp_Q9UJ68_5_MSRA_HUMAN_.pdf")</f>
        <v>Melting_Curves/meltCurve_sp_Q9UJ68_5_MSRA_HUMAN_.pdf</v>
      </c>
      <c r="AA3686" t="s">
        <v>17846</v>
      </c>
      <c r="AB3686" t="s">
        <v>22519</v>
      </c>
    </row>
    <row r="3687" spans="1:28" x14ac:dyDescent="0.25">
      <c r="A3687" t="s">
        <v>3691</v>
      </c>
      <c r="B3687">
        <v>0.99904790336628502</v>
      </c>
      <c r="C3687">
        <v>0.96514777282145903</v>
      </c>
      <c r="D3687">
        <v>0.98015393095601899</v>
      </c>
      <c r="E3687">
        <v>0.91529700850148699</v>
      </c>
      <c r="F3687">
        <v>0.83880185854008404</v>
      </c>
      <c r="G3687">
        <v>0.52528565820657902</v>
      </c>
      <c r="H3687">
        <v>0.191404742359019</v>
      </c>
      <c r="I3687">
        <v>8.4754124913079806E-2</v>
      </c>
      <c r="J3687">
        <v>4.9713173253480299E-2</v>
      </c>
      <c r="K3687">
        <v>4.08615833051134E-2</v>
      </c>
      <c r="L3687">
        <v>1204.1913621348699</v>
      </c>
      <c r="M3687">
        <v>21.110020323305701</v>
      </c>
      <c r="N3687">
        <v>57.077917379313497</v>
      </c>
      <c r="O3687">
        <v>56.5390813131242</v>
      </c>
      <c r="P3687">
        <v>-9.2755960259347001E-2</v>
      </c>
      <c r="Q3687">
        <v>6.3106749416742599E-3</v>
      </c>
      <c r="R3687">
        <v>0.99775413923961098</v>
      </c>
      <c r="S3687" t="s">
        <v>8427</v>
      </c>
      <c r="T3687" t="s">
        <v>9478</v>
      </c>
      <c r="U3687" t="s">
        <v>9478</v>
      </c>
      <c r="V3687" t="s">
        <v>9478</v>
      </c>
      <c r="W3687">
        <v>12</v>
      </c>
      <c r="X3687" t="s">
        <v>13165</v>
      </c>
      <c r="Y3687">
        <v>0.58219840788258559</v>
      </c>
      <c r="Z3687" t="str">
        <f>HYPERLINK("Melting_Curves/meltCurve_sp_Q9UJ70_NAGK_HUMAN_.pdf", "Melting_Curves/meltCurve_sp_Q9UJ70_NAGK_HUMAN_.pdf")</f>
        <v>Melting_Curves/meltCurve_sp_Q9UJ70_NAGK_HUMAN_.pdf</v>
      </c>
      <c r="AA3687" t="s">
        <v>17847</v>
      </c>
      <c r="AB3687" t="s">
        <v>22520</v>
      </c>
    </row>
    <row r="3688" spans="1:28" x14ac:dyDescent="0.25">
      <c r="A3688" t="s">
        <v>3692</v>
      </c>
      <c r="B3688">
        <v>0.99904790336628502</v>
      </c>
      <c r="C3688">
        <v>0.95156484037033295</v>
      </c>
      <c r="D3688">
        <v>1.07823842073944</v>
      </c>
      <c r="E3688">
        <v>0.951588220545597</v>
      </c>
      <c r="F3688">
        <v>0.87543498274567499</v>
      </c>
      <c r="G3688">
        <v>0.583710120325869</v>
      </c>
      <c r="H3688">
        <v>0.170821589767679</v>
      </c>
      <c r="I3688">
        <v>0.107342775311131</v>
      </c>
      <c r="J3688">
        <v>7.8256035332989096E-2</v>
      </c>
      <c r="K3688">
        <v>8.21621846743954E-2</v>
      </c>
      <c r="L3688">
        <v>1574.49500565842</v>
      </c>
      <c r="M3688">
        <v>27.519270780111398</v>
      </c>
      <c r="N3688">
        <v>57.479935726843799</v>
      </c>
      <c r="O3688">
        <v>56.914710416983901</v>
      </c>
      <c r="P3688">
        <v>-0.113661731851897</v>
      </c>
      <c r="Q3688">
        <v>5.97185794006658E-2</v>
      </c>
      <c r="R3688">
        <v>0.99240882837175504</v>
      </c>
      <c r="S3688" t="s">
        <v>8428</v>
      </c>
      <c r="T3688" t="s">
        <v>9478</v>
      </c>
      <c r="U3688" t="s">
        <v>9478</v>
      </c>
      <c r="V3688" t="s">
        <v>9478</v>
      </c>
      <c r="W3688">
        <v>6</v>
      </c>
      <c r="X3688" t="s">
        <v>13166</v>
      </c>
      <c r="Y3688">
        <v>0.60649526484586902</v>
      </c>
      <c r="Z3688" t="str">
        <f>HYPERLINK("Melting_Curves/meltCurve_sp_Q9UJA5_TRM6_HUMAN_.pdf", "Melting_Curves/meltCurve_sp_Q9UJA5_TRM6_HUMAN_.pdf")</f>
        <v>Melting_Curves/meltCurve_sp_Q9UJA5_TRM6_HUMAN_.pdf</v>
      </c>
      <c r="AA3688" t="s">
        <v>17848</v>
      </c>
      <c r="AB3688" t="s">
        <v>22521</v>
      </c>
    </row>
    <row r="3689" spans="1:28" x14ac:dyDescent="0.25">
      <c r="A3689" t="s">
        <v>3693</v>
      </c>
      <c r="B3689">
        <v>0.99904790336628502</v>
      </c>
      <c r="C3689">
        <v>0.73141934688143295</v>
      </c>
      <c r="D3689">
        <v>0.78505240217398298</v>
      </c>
      <c r="E3689">
        <v>0.85978597278636104</v>
      </c>
      <c r="F3689">
        <v>0.82503639938017204</v>
      </c>
      <c r="G3689">
        <v>0.78697967017695003</v>
      </c>
      <c r="H3689">
        <v>0.45963498563898197</v>
      </c>
      <c r="I3689">
        <v>0.20741114435692101</v>
      </c>
      <c r="J3689">
        <v>7.2143713806961302E-2</v>
      </c>
      <c r="K3689">
        <v>3.8257033119398903E-2</v>
      </c>
      <c r="L3689">
        <v>1086.4705904898201</v>
      </c>
      <c r="M3689">
        <v>18.139772771477698</v>
      </c>
      <c r="N3689">
        <v>59.894388138024802</v>
      </c>
      <c r="O3689">
        <v>59.180717407573802</v>
      </c>
      <c r="P3689">
        <v>-7.6632396471479403E-2</v>
      </c>
      <c r="Q3689">
        <v>0</v>
      </c>
      <c r="R3689">
        <v>0.86808609867976305</v>
      </c>
      <c r="S3689" t="s">
        <v>8429</v>
      </c>
      <c r="T3689" t="s">
        <v>9478</v>
      </c>
      <c r="U3689" t="s">
        <v>9478</v>
      </c>
      <c r="V3689" t="s">
        <v>9478</v>
      </c>
      <c r="W3689">
        <v>2</v>
      </c>
      <c r="X3689" t="s">
        <v>13167</v>
      </c>
      <c r="Y3689">
        <v>0.67170497946008767</v>
      </c>
      <c r="Z3689" t="str">
        <f>HYPERLINK("Melting_Curves/meltCurve_sp_Q9UJC5_SH3L2_HUMAN_.pdf", "Melting_Curves/meltCurve_sp_Q9UJC5_SH3L2_HUMAN_.pdf")</f>
        <v>Melting_Curves/meltCurve_sp_Q9UJC5_SH3L2_HUMAN_.pdf</v>
      </c>
      <c r="AA3689" t="s">
        <v>17849</v>
      </c>
      <c r="AB3689" t="s">
        <v>22522</v>
      </c>
    </row>
    <row r="3690" spans="1:28" x14ac:dyDescent="0.25">
      <c r="A3690" t="s">
        <v>3694</v>
      </c>
      <c r="B3690">
        <v>0.99904790336628502</v>
      </c>
      <c r="C3690">
        <v>1.2041613367894599</v>
      </c>
      <c r="D3690">
        <v>1.08834721727302</v>
      </c>
      <c r="E3690">
        <v>1.1235570307707801</v>
      </c>
      <c r="F3690">
        <v>1.17231511324417</v>
      </c>
      <c r="G3690">
        <v>0.80331209348463095</v>
      </c>
      <c r="H3690">
        <v>0.73789526823667495</v>
      </c>
      <c r="I3690">
        <v>0.92515575204486</v>
      </c>
      <c r="J3690">
        <v>1.0978671018404</v>
      </c>
      <c r="K3690">
        <v>1.0518465815206199</v>
      </c>
      <c r="S3690" t="s">
        <v>8430</v>
      </c>
      <c r="T3690" t="s">
        <v>9478</v>
      </c>
      <c r="U3690" t="s">
        <v>9479</v>
      </c>
      <c r="V3690" t="s">
        <v>9478</v>
      </c>
      <c r="W3690">
        <v>3</v>
      </c>
      <c r="X3690" t="s">
        <v>13168</v>
      </c>
      <c r="Z3690" t="str">
        <f>HYPERLINK("Melting_Curves/meltCurve_sp_Q9UJM3_ERRFI_HUMAN_.pdf", "Melting_Curves/meltCurve_sp_Q9UJM3_ERRFI_HUMAN_.pdf")</f>
        <v>Melting_Curves/meltCurve_sp_Q9UJM3_ERRFI_HUMAN_.pdf</v>
      </c>
      <c r="AA3690" t="s">
        <v>17850</v>
      </c>
      <c r="AB3690" t="s">
        <v>22523</v>
      </c>
    </row>
    <row r="3691" spans="1:28" x14ac:dyDescent="0.25">
      <c r="A3691" t="s">
        <v>3695</v>
      </c>
      <c r="B3691">
        <v>0.99904790336628502</v>
      </c>
      <c r="C3691">
        <v>0.95950209025544797</v>
      </c>
      <c r="D3691">
        <v>1.1454338148026699</v>
      </c>
      <c r="E3691">
        <v>0.979147708473042</v>
      </c>
      <c r="F3691">
        <v>0.39101646647799398</v>
      </c>
      <c r="G3691">
        <v>0.140700717433177</v>
      </c>
      <c r="H3691">
        <v>6.6891360424541996E-2</v>
      </c>
      <c r="I3691">
        <v>4.0840721818945297E-2</v>
      </c>
      <c r="J3691">
        <v>2.85738619041335E-2</v>
      </c>
      <c r="K3691">
        <v>2.4941055964310399E-2</v>
      </c>
      <c r="L3691">
        <v>3386.8848192568098</v>
      </c>
      <c r="M3691">
        <v>64.488743126287901</v>
      </c>
      <c r="N3691">
        <v>52.620799938973697</v>
      </c>
      <c r="O3691">
        <v>52.468581645346298</v>
      </c>
      <c r="P3691">
        <v>-0.28925443325657502</v>
      </c>
      <c r="Q3691">
        <v>5.8641084459943101E-2</v>
      </c>
      <c r="R3691">
        <v>0.98502760365324904</v>
      </c>
      <c r="S3691" t="s">
        <v>8431</v>
      </c>
      <c r="T3691" t="s">
        <v>9478</v>
      </c>
      <c r="U3691" t="s">
        <v>9478</v>
      </c>
      <c r="V3691" t="s">
        <v>9478</v>
      </c>
      <c r="W3691">
        <v>28</v>
      </c>
      <c r="X3691" t="s">
        <v>13169</v>
      </c>
      <c r="Y3691">
        <v>0.4527784224376859</v>
      </c>
      <c r="Z3691" t="str">
        <f>HYPERLINK("Melting_Curves/meltCurve_sp_Q9UJM8_HAOX1_HUMAN_.pdf", "Melting_Curves/meltCurve_sp_Q9UJM8_HAOX1_HUMAN_.pdf")</f>
        <v>Melting_Curves/meltCurve_sp_Q9UJM8_HAOX1_HUMAN_.pdf</v>
      </c>
      <c r="AA3691" t="s">
        <v>17851</v>
      </c>
      <c r="AB3691" t="s">
        <v>22524</v>
      </c>
    </row>
    <row r="3692" spans="1:28" x14ac:dyDescent="0.25">
      <c r="A3692" t="s">
        <v>3696</v>
      </c>
      <c r="B3692">
        <v>0.99904790336628502</v>
      </c>
      <c r="C3692">
        <v>1.27896993012188</v>
      </c>
      <c r="D3692">
        <v>1.07178191617296</v>
      </c>
      <c r="E3692">
        <v>0.40551267321725598</v>
      </c>
      <c r="F3692">
        <v>0.190438200470849</v>
      </c>
      <c r="G3692">
        <v>0.19468105086251</v>
      </c>
      <c r="H3692">
        <v>8.1203594186940203E-2</v>
      </c>
      <c r="I3692">
        <v>3.67916675012879E-2</v>
      </c>
      <c r="J3692">
        <v>3.9293860366727398E-2</v>
      </c>
      <c r="K3692">
        <v>0</v>
      </c>
      <c r="L3692">
        <v>2653.2668699298501</v>
      </c>
      <c r="M3692">
        <v>53.602953087014797</v>
      </c>
      <c r="N3692">
        <v>49.669185136831402</v>
      </c>
      <c r="O3692">
        <v>49.429772175954596</v>
      </c>
      <c r="P3692">
        <v>-0.24830476574222601</v>
      </c>
      <c r="Q3692">
        <v>8.4107190031305901E-2</v>
      </c>
      <c r="R3692">
        <v>0.94702674713019996</v>
      </c>
      <c r="S3692" t="s">
        <v>8432</v>
      </c>
      <c r="T3692" t="s">
        <v>9478</v>
      </c>
      <c r="U3692" t="s">
        <v>9478</v>
      </c>
      <c r="V3692" t="s">
        <v>9478</v>
      </c>
      <c r="W3692">
        <v>2</v>
      </c>
      <c r="X3692" t="s">
        <v>13170</v>
      </c>
      <c r="Y3692">
        <v>0.37583348124975208</v>
      </c>
      <c r="Z3692" t="str">
        <f>HYPERLINK("Melting_Curves/meltCurve_sp_Q9UJS0_CMC2_HUMAN_.pdf", "Melting_Curves/meltCurve_sp_Q9UJS0_CMC2_HUMAN_.pdf")</f>
        <v>Melting_Curves/meltCurve_sp_Q9UJS0_CMC2_HUMAN_.pdf</v>
      </c>
      <c r="AA3692" t="s">
        <v>17852</v>
      </c>
      <c r="AB3692" t="s">
        <v>22525</v>
      </c>
    </row>
    <row r="3693" spans="1:28" x14ac:dyDescent="0.25">
      <c r="A3693" t="s">
        <v>3697</v>
      </c>
      <c r="B3693">
        <v>0.99904790336628502</v>
      </c>
      <c r="C3693">
        <v>1.6832076597749901</v>
      </c>
      <c r="D3693">
        <v>1.7775307684931401</v>
      </c>
      <c r="E3693">
        <v>1.20282701444608</v>
      </c>
      <c r="F3693">
        <v>1.8573318886254999</v>
      </c>
      <c r="G3693">
        <v>0.83354983071639299</v>
      </c>
      <c r="H3693">
        <v>0.79928534982793698</v>
      </c>
      <c r="I3693">
        <v>1.05042365027944</v>
      </c>
      <c r="J3693">
        <v>1.7407906086037299</v>
      </c>
      <c r="K3693">
        <v>1.6392706400714701</v>
      </c>
      <c r="L3693">
        <v>10246.265862657199</v>
      </c>
      <c r="M3693">
        <v>250</v>
      </c>
      <c r="O3693">
        <v>40.982419382293102</v>
      </c>
      <c r="P3693">
        <v>0.60734263372764696</v>
      </c>
      <c r="Q3693">
        <v>1.3982461365463901</v>
      </c>
      <c r="R3693">
        <v>9.0115638461729305E-2</v>
      </c>
      <c r="S3693" t="s">
        <v>8433</v>
      </c>
      <c r="T3693" t="s">
        <v>9478</v>
      </c>
      <c r="U3693" t="s">
        <v>9478</v>
      </c>
      <c r="V3693" t="s">
        <v>9478</v>
      </c>
      <c r="W3693">
        <v>18</v>
      </c>
      <c r="X3693" t="s">
        <v>13171</v>
      </c>
      <c r="Y3693">
        <v>1.3851365462654499</v>
      </c>
      <c r="Z3693" t="str">
        <f>HYPERLINK("Melting_Curves/meltCurve_sp_Q9UJU6_2_DBNL_HUMAN_.pdf", "Melting_Curves/meltCurve_sp_Q9UJU6_2_DBNL_HUMAN_.pdf")</f>
        <v>Melting_Curves/meltCurve_sp_Q9UJU6_2_DBNL_HUMAN_.pdf</v>
      </c>
      <c r="AA3693" t="s">
        <v>17853</v>
      </c>
      <c r="AB3693" t="s">
        <v>22526</v>
      </c>
    </row>
    <row r="3694" spans="1:28" x14ac:dyDescent="0.25">
      <c r="A3694" t="s">
        <v>3698</v>
      </c>
      <c r="B3694">
        <v>0.99904790336628502</v>
      </c>
      <c r="C3694">
        <v>1.0155829343359799</v>
      </c>
      <c r="D3694">
        <v>0.97767794418395404</v>
      </c>
      <c r="E3694">
        <v>0.95606225281466295</v>
      </c>
      <c r="F3694">
        <v>0.94874067579753096</v>
      </c>
      <c r="G3694">
        <v>0.70381407597444501</v>
      </c>
      <c r="H3694">
        <v>0.63937564684021297</v>
      </c>
      <c r="I3694">
        <v>0.62858019555126998</v>
      </c>
      <c r="J3694">
        <v>0.70953544128037305</v>
      </c>
      <c r="K3694">
        <v>0.67286318389790301</v>
      </c>
      <c r="L3694">
        <v>2720.0540792616998</v>
      </c>
      <c r="M3694">
        <v>49.685182801642704</v>
      </c>
      <c r="O3694">
        <v>54.657305601694198</v>
      </c>
      <c r="P3694">
        <v>-7.6782298159937007E-2</v>
      </c>
      <c r="Q3694">
        <v>0.66213586250809797</v>
      </c>
      <c r="R3694">
        <v>0.97344616901063996</v>
      </c>
      <c r="S3694" t="s">
        <v>8434</v>
      </c>
      <c r="T3694" t="s">
        <v>9478</v>
      </c>
      <c r="U3694" t="s">
        <v>9478</v>
      </c>
      <c r="V3694" t="s">
        <v>9478</v>
      </c>
      <c r="W3694">
        <v>19</v>
      </c>
      <c r="X3694" t="s">
        <v>13172</v>
      </c>
      <c r="Y3694">
        <v>0.82903076992369018</v>
      </c>
      <c r="Z3694" t="str">
        <f>HYPERLINK("Melting_Curves/meltCurve_sp_Q9UJU6_DBNL_HUMAN_.pdf", "Melting_Curves/meltCurve_sp_Q9UJU6_DBNL_HUMAN_.pdf")</f>
        <v>Melting_Curves/meltCurve_sp_Q9UJU6_DBNL_HUMAN_.pdf</v>
      </c>
      <c r="AA3694" t="s">
        <v>17853</v>
      </c>
      <c r="AB3694" t="s">
        <v>22527</v>
      </c>
    </row>
    <row r="3695" spans="1:28" x14ac:dyDescent="0.25">
      <c r="A3695" t="s">
        <v>3699</v>
      </c>
      <c r="B3695">
        <v>0.99904790336628502</v>
      </c>
      <c r="C3695">
        <v>1.1174537858126401</v>
      </c>
      <c r="D3695">
        <v>1.12021330700911</v>
      </c>
      <c r="E3695">
        <v>1.0379941599818701</v>
      </c>
      <c r="F3695">
        <v>0.84537266168032998</v>
      </c>
      <c r="G3695">
        <v>0.70699593734308896</v>
      </c>
      <c r="H3695">
        <v>0.53717558892208805</v>
      </c>
      <c r="I3695">
        <v>0.370270371890358</v>
      </c>
      <c r="J3695">
        <v>0.110001829119435</v>
      </c>
      <c r="K3695">
        <v>6.6088327695475096E-2</v>
      </c>
      <c r="L3695">
        <v>999.79441778386695</v>
      </c>
      <c r="M3695">
        <v>16.433374373995399</v>
      </c>
      <c r="N3695">
        <v>60.839265005819598</v>
      </c>
      <c r="O3695">
        <v>59.959780187771301</v>
      </c>
      <c r="P3695">
        <v>-6.8523184068234905E-2</v>
      </c>
      <c r="Q3695">
        <v>0</v>
      </c>
      <c r="R3695">
        <v>0.962919331458015</v>
      </c>
      <c r="S3695" t="s">
        <v>8435</v>
      </c>
      <c r="T3695" t="s">
        <v>9478</v>
      </c>
      <c r="U3695" t="s">
        <v>9478</v>
      </c>
      <c r="V3695" t="s">
        <v>9478</v>
      </c>
      <c r="W3695">
        <v>7</v>
      </c>
      <c r="X3695" t="s">
        <v>13173</v>
      </c>
      <c r="Y3695">
        <v>0.69942284028425561</v>
      </c>
      <c r="Z3695" t="str">
        <f>HYPERLINK("Melting_Curves/meltCurve_sp_Q9UJW0_DCTN4_HUMAN_.pdf", "Melting_Curves/meltCurve_sp_Q9UJW0_DCTN4_HUMAN_.pdf")</f>
        <v>Melting_Curves/meltCurve_sp_Q9UJW0_DCTN4_HUMAN_.pdf</v>
      </c>
      <c r="AA3695" t="s">
        <v>17854</v>
      </c>
      <c r="AB3695" t="s">
        <v>22528</v>
      </c>
    </row>
    <row r="3696" spans="1:28" x14ac:dyDescent="0.25">
      <c r="A3696" t="s">
        <v>3700</v>
      </c>
      <c r="B3696">
        <v>0.99904790336628502</v>
      </c>
      <c r="C3696">
        <v>1.1107721247298701</v>
      </c>
      <c r="D3696">
        <v>1.27527586246108</v>
      </c>
      <c r="E3696">
        <v>0.81200032956032198</v>
      </c>
      <c r="F3696">
        <v>0.62980240391701403</v>
      </c>
      <c r="G3696">
        <v>0.21787238034737699</v>
      </c>
      <c r="H3696">
        <v>0.20590851281259201</v>
      </c>
      <c r="I3696">
        <v>8.5427722747563301E-2</v>
      </c>
      <c r="J3696">
        <v>9.64663214017598E-2</v>
      </c>
      <c r="K3696">
        <v>0.169497261132697</v>
      </c>
      <c r="L3696">
        <v>1558.28599108717</v>
      </c>
      <c r="M3696">
        <v>29.238207747177299</v>
      </c>
      <c r="N3696">
        <v>53.840759465077497</v>
      </c>
      <c r="O3696">
        <v>53.048769428991598</v>
      </c>
      <c r="P3696">
        <v>-0.12015333500695199</v>
      </c>
      <c r="Q3696">
        <v>0.12799840500009599</v>
      </c>
      <c r="R3696">
        <v>0.94310164271562202</v>
      </c>
      <c r="S3696" t="s">
        <v>8436</v>
      </c>
      <c r="T3696" t="s">
        <v>9478</v>
      </c>
      <c r="U3696" t="s">
        <v>9478</v>
      </c>
      <c r="V3696" t="s">
        <v>9478</v>
      </c>
      <c r="W3696">
        <v>3</v>
      </c>
      <c r="X3696" t="s">
        <v>13174</v>
      </c>
      <c r="Y3696">
        <v>0.52044530176994941</v>
      </c>
      <c r="Z3696" t="str">
        <f>HYPERLINK("Melting_Curves/meltCurve_sp_Q9UJY4_GGA2_HUMAN_.pdf", "Melting_Curves/meltCurve_sp_Q9UJY4_GGA2_HUMAN_.pdf")</f>
        <v>Melting_Curves/meltCurve_sp_Q9UJY4_GGA2_HUMAN_.pdf</v>
      </c>
      <c r="AA3696" t="s">
        <v>17855</v>
      </c>
      <c r="AB3696" t="s">
        <v>22529</v>
      </c>
    </row>
    <row r="3697" spans="1:28" x14ac:dyDescent="0.25">
      <c r="A3697" t="s">
        <v>3701</v>
      </c>
      <c r="B3697">
        <v>0.99904790336628502</v>
      </c>
      <c r="C3697">
        <v>1.01253184487082</v>
      </c>
      <c r="D3697">
        <v>0.963096460497329</v>
      </c>
      <c r="E3697">
        <v>0.89527991115738903</v>
      </c>
      <c r="F3697">
        <v>0.839587610410372</v>
      </c>
      <c r="G3697">
        <v>0.56353382336409996</v>
      </c>
      <c r="H3697">
        <v>0.40642083317549099</v>
      </c>
      <c r="I3697">
        <v>0.347891109345695</v>
      </c>
      <c r="J3697">
        <v>0.31226897368974199</v>
      </c>
      <c r="K3697">
        <v>0.237105132895679</v>
      </c>
      <c r="L3697">
        <v>909.44645088696996</v>
      </c>
      <c r="M3697">
        <v>16.095351149781699</v>
      </c>
      <c r="N3697">
        <v>58.7673140519545</v>
      </c>
      <c r="O3697">
        <v>55.653028540288801</v>
      </c>
      <c r="P3697">
        <v>-5.5603107401756599E-2</v>
      </c>
      <c r="Q3697">
        <v>0.23102149133694</v>
      </c>
      <c r="R3697">
        <v>0.99484604391051401</v>
      </c>
      <c r="S3697" t="s">
        <v>8437</v>
      </c>
      <c r="T3697" t="s">
        <v>9478</v>
      </c>
      <c r="U3697" t="s">
        <v>9478</v>
      </c>
      <c r="V3697" t="s">
        <v>9478</v>
      </c>
      <c r="W3697">
        <v>7</v>
      </c>
      <c r="X3697" t="s">
        <v>13175</v>
      </c>
      <c r="Y3697">
        <v>0.66628952981043033</v>
      </c>
      <c r="Z3697" t="str">
        <f>HYPERLINK("Melting_Curves/meltCurve_sp_Q9UJY5_4_GGA1_HUMAN_.pdf", "Melting_Curves/meltCurve_sp_Q9UJY5_4_GGA1_HUMAN_.pdf")</f>
        <v>Melting_Curves/meltCurve_sp_Q9UJY5_4_GGA1_HUMAN_.pdf</v>
      </c>
      <c r="AA3697" t="s">
        <v>17856</v>
      </c>
      <c r="AB3697" t="s">
        <v>22530</v>
      </c>
    </row>
    <row r="3698" spans="1:28" x14ac:dyDescent="0.25">
      <c r="A3698" t="s">
        <v>3702</v>
      </c>
      <c r="B3698">
        <v>0.99904790336628502</v>
      </c>
      <c r="C3698">
        <v>0.95268930315496303</v>
      </c>
      <c r="D3698">
        <v>0.92725599778143797</v>
      </c>
      <c r="E3698">
        <v>0.68063735384682</v>
      </c>
      <c r="F3698">
        <v>0.39891722611293301</v>
      </c>
      <c r="G3698">
        <v>0.191937139136684</v>
      </c>
      <c r="H3698">
        <v>9.0884331983238198E-2</v>
      </c>
      <c r="I3698">
        <v>5.4025331977750002E-2</v>
      </c>
      <c r="J3698">
        <v>3.7163479234164402E-2</v>
      </c>
      <c r="K3698">
        <v>1.9343718048666299E-2</v>
      </c>
      <c r="L3698">
        <v>947.67303257411697</v>
      </c>
      <c r="M3698">
        <v>18.269287338872498</v>
      </c>
      <c r="N3698">
        <v>52.002584142984098</v>
      </c>
      <c r="O3698">
        <v>51.2629456325296</v>
      </c>
      <c r="P3698">
        <v>-8.7109506781728005E-2</v>
      </c>
      <c r="Q3698">
        <v>2.2341257837185598E-2</v>
      </c>
      <c r="R3698">
        <v>0.99893168519604703</v>
      </c>
      <c r="S3698" t="s">
        <v>8438</v>
      </c>
      <c r="T3698" t="s">
        <v>9478</v>
      </c>
      <c r="U3698" t="s">
        <v>9478</v>
      </c>
      <c r="V3698" t="s">
        <v>9478</v>
      </c>
      <c r="W3698">
        <v>3</v>
      </c>
      <c r="X3698" t="s">
        <v>13176</v>
      </c>
      <c r="Y3698">
        <v>0.42513379420697262</v>
      </c>
      <c r="Z3698" t="str">
        <f>HYPERLINK("Melting_Curves/meltCurve_sp_Q9UK22_FBX2_HUMAN_.pdf", "Melting_Curves/meltCurve_sp_Q9UK22_FBX2_HUMAN_.pdf")</f>
        <v>Melting_Curves/meltCurve_sp_Q9UK22_FBX2_HUMAN_.pdf</v>
      </c>
      <c r="AA3698" t="s">
        <v>17857</v>
      </c>
      <c r="AB3698" t="s">
        <v>22531</v>
      </c>
    </row>
    <row r="3699" spans="1:28" x14ac:dyDescent="0.25">
      <c r="A3699" t="s">
        <v>3703</v>
      </c>
      <c r="B3699">
        <v>0.99904790336628502</v>
      </c>
      <c r="C3699">
        <v>1.0026479901246901</v>
      </c>
      <c r="D3699">
        <v>0.84987115574149596</v>
      </c>
      <c r="E3699">
        <v>0.99044806288248299</v>
      </c>
      <c r="F3699">
        <v>0.91745360060543002</v>
      </c>
      <c r="G3699">
        <v>0.73228139736582498</v>
      </c>
      <c r="H3699">
        <v>0.70580526980212799</v>
      </c>
      <c r="I3699">
        <v>0.62927082395184497</v>
      </c>
      <c r="J3699">
        <v>0.82362567576016699</v>
      </c>
      <c r="K3699">
        <v>0.65804219552243004</v>
      </c>
      <c r="L3699">
        <v>2376.63112852117</v>
      </c>
      <c r="M3699">
        <v>43.907407608176797</v>
      </c>
      <c r="O3699">
        <v>54.016332939908303</v>
      </c>
      <c r="P3699">
        <v>-6.0250710276037601E-2</v>
      </c>
      <c r="Q3699">
        <v>0.70351084389535901</v>
      </c>
      <c r="R3699">
        <v>0.76178136442724098</v>
      </c>
      <c r="S3699" t="s">
        <v>8439</v>
      </c>
      <c r="T3699" t="s">
        <v>9478</v>
      </c>
      <c r="U3699" t="s">
        <v>9478</v>
      </c>
      <c r="V3699" t="s">
        <v>9478</v>
      </c>
      <c r="W3699">
        <v>1</v>
      </c>
      <c r="X3699" t="s">
        <v>13177</v>
      </c>
      <c r="Y3699">
        <v>0.84405844457831614</v>
      </c>
      <c r="Z3699" t="str">
        <f>HYPERLINK("Melting_Curves/meltCurve_sp_Q9UK45_LSM7_HUMAN_.pdf", "Melting_Curves/meltCurve_sp_Q9UK45_LSM7_HUMAN_.pdf")</f>
        <v>Melting_Curves/meltCurve_sp_Q9UK45_LSM7_HUMAN_.pdf</v>
      </c>
      <c r="AA3699" t="s">
        <v>17858</v>
      </c>
      <c r="AB3699" t="s">
        <v>22532</v>
      </c>
    </row>
    <row r="3700" spans="1:28" x14ac:dyDescent="0.25">
      <c r="A3700" t="s">
        <v>3704</v>
      </c>
      <c r="B3700">
        <v>0.99904790336628502</v>
      </c>
      <c r="C3700">
        <v>1.0207846080241201</v>
      </c>
      <c r="D3700">
        <v>1.02740117108055</v>
      </c>
      <c r="E3700">
        <v>0.89184594739032097</v>
      </c>
      <c r="F3700">
        <v>0.884666471258438</v>
      </c>
      <c r="G3700">
        <v>0.46290424874764502</v>
      </c>
      <c r="H3700">
        <v>0.22000411028439801</v>
      </c>
      <c r="I3700">
        <v>0.16491573555881001</v>
      </c>
      <c r="J3700">
        <v>0.174486448019716</v>
      </c>
      <c r="K3700">
        <v>0.12730325102562601</v>
      </c>
      <c r="L3700">
        <v>1541.22788791575</v>
      </c>
      <c r="M3700">
        <v>27.509375529298101</v>
      </c>
      <c r="N3700">
        <v>56.706211421111</v>
      </c>
      <c r="O3700">
        <v>55.732000310647599</v>
      </c>
      <c r="P3700">
        <v>-0.106049905053391</v>
      </c>
      <c r="Q3700">
        <v>0.140610220624349</v>
      </c>
      <c r="R3700">
        <v>0.99345929221417595</v>
      </c>
      <c r="S3700" t="s">
        <v>8440</v>
      </c>
      <c r="T3700" t="s">
        <v>9478</v>
      </c>
      <c r="U3700" t="s">
        <v>9478</v>
      </c>
      <c r="V3700" t="s">
        <v>9478</v>
      </c>
      <c r="W3700">
        <v>1</v>
      </c>
      <c r="X3700" t="s">
        <v>13178</v>
      </c>
      <c r="Y3700">
        <v>0.60637966634947438</v>
      </c>
      <c r="Z3700" t="str">
        <f>HYPERLINK("Melting_Curves/meltCurve_sp_Q9UK55_ZPI_HUMAN_.pdf", "Melting_Curves/meltCurve_sp_Q9UK55_ZPI_HUMAN_.pdf")</f>
        <v>Melting_Curves/meltCurve_sp_Q9UK55_ZPI_HUMAN_.pdf</v>
      </c>
      <c r="AA3700" t="s">
        <v>17859</v>
      </c>
      <c r="AB3700" t="s">
        <v>22533</v>
      </c>
    </row>
    <row r="3701" spans="1:28" x14ac:dyDescent="0.25">
      <c r="A3701" t="s">
        <v>3705</v>
      </c>
      <c r="B3701">
        <v>0.99904790336628502</v>
      </c>
      <c r="C3701">
        <v>0.89321930682161199</v>
      </c>
      <c r="D3701">
        <v>0.89457521718042399</v>
      </c>
      <c r="E3701">
        <v>0.82020349921976199</v>
      </c>
      <c r="F3701">
        <v>0.67794572799479602</v>
      </c>
      <c r="G3701">
        <v>0.36067835713610302</v>
      </c>
      <c r="H3701">
        <v>0.121189317819079</v>
      </c>
      <c r="I3701">
        <v>5.9824364454044598E-2</v>
      </c>
      <c r="J3701">
        <v>4.62378230700091E-2</v>
      </c>
      <c r="K3701">
        <v>3.2412372225645601E-2</v>
      </c>
      <c r="L3701">
        <v>911.64352153471805</v>
      </c>
      <c r="M3701">
        <v>16.6250181159172</v>
      </c>
      <c r="N3701">
        <v>54.835620171010099</v>
      </c>
      <c r="O3701">
        <v>54.0606710458053</v>
      </c>
      <c r="P3701">
        <v>-7.6886483693234101E-2</v>
      </c>
      <c r="Q3701">
        <v>0</v>
      </c>
      <c r="R3701">
        <v>0.98812487836563401</v>
      </c>
      <c r="S3701" t="s">
        <v>8441</v>
      </c>
      <c r="T3701" t="s">
        <v>9478</v>
      </c>
      <c r="U3701" t="s">
        <v>9478</v>
      </c>
      <c r="V3701" t="s">
        <v>9478</v>
      </c>
      <c r="W3701">
        <v>6</v>
      </c>
      <c r="X3701" t="s">
        <v>13179</v>
      </c>
      <c r="Y3701">
        <v>0.51180537357181344</v>
      </c>
      <c r="Z3701" t="str">
        <f>HYPERLINK("Melting_Curves/meltCurve_sp_Q9UK59_DBR1_HUMAN_.pdf", "Melting_Curves/meltCurve_sp_Q9UK59_DBR1_HUMAN_.pdf")</f>
        <v>Melting_Curves/meltCurve_sp_Q9UK59_DBR1_HUMAN_.pdf</v>
      </c>
      <c r="AA3701" t="s">
        <v>17860</v>
      </c>
      <c r="AB3701" t="s">
        <v>22534</v>
      </c>
    </row>
    <row r="3702" spans="1:28" x14ac:dyDescent="0.25">
      <c r="A3702" t="s">
        <v>3706</v>
      </c>
      <c r="B3702">
        <v>0.99904790336628502</v>
      </c>
      <c r="C3702">
        <v>0.907203468954623</v>
      </c>
      <c r="D3702">
        <v>0.88641056221565695</v>
      </c>
      <c r="E3702">
        <v>0.79186629903249295</v>
      </c>
      <c r="F3702">
        <v>0.60482934061171101</v>
      </c>
      <c r="G3702">
        <v>0.31236810044062202</v>
      </c>
      <c r="H3702">
        <v>0.109784298166168</v>
      </c>
      <c r="I3702">
        <v>6.2907008910475307E-2</v>
      </c>
      <c r="J3702">
        <v>4.6001709363897199E-2</v>
      </c>
      <c r="K3702">
        <v>4.0852239883710999E-2</v>
      </c>
      <c r="L3702">
        <v>846.30016717523802</v>
      </c>
      <c r="M3702">
        <v>15.6557456735359</v>
      </c>
      <c r="N3702">
        <v>54.056842134552397</v>
      </c>
      <c r="O3702">
        <v>53.197917414213798</v>
      </c>
      <c r="P3702">
        <v>-7.3579398471065899E-2</v>
      </c>
      <c r="Q3702">
        <v>0</v>
      </c>
      <c r="R3702">
        <v>0.99229870749163096</v>
      </c>
      <c r="S3702" t="s">
        <v>8442</v>
      </c>
      <c r="T3702" t="s">
        <v>9478</v>
      </c>
      <c r="U3702" t="s">
        <v>9478</v>
      </c>
      <c r="V3702" t="s">
        <v>9478</v>
      </c>
      <c r="W3702">
        <v>9</v>
      </c>
      <c r="X3702" t="s">
        <v>13180</v>
      </c>
      <c r="Y3702">
        <v>0.48794179095192891</v>
      </c>
      <c r="Z3702" t="str">
        <f>HYPERLINK("Melting_Curves/meltCurve_sp_Q9UK99_FBX3_HUMAN_.pdf", "Melting_Curves/meltCurve_sp_Q9UK99_FBX3_HUMAN_.pdf")</f>
        <v>Melting_Curves/meltCurve_sp_Q9UK99_FBX3_HUMAN_.pdf</v>
      </c>
      <c r="AA3702" t="s">
        <v>17861</v>
      </c>
      <c r="AB3702" t="s">
        <v>22535</v>
      </c>
    </row>
    <row r="3703" spans="1:28" x14ac:dyDescent="0.25">
      <c r="A3703" t="s">
        <v>3707</v>
      </c>
      <c r="B3703">
        <v>0.99904790336628502</v>
      </c>
      <c r="C3703">
        <v>0.76278039408368503</v>
      </c>
      <c r="D3703">
        <v>0.67734525362294196</v>
      </c>
      <c r="E3703">
        <v>1.08372238423824</v>
      </c>
      <c r="F3703">
        <v>0.69511295272125295</v>
      </c>
      <c r="G3703">
        <v>0.55193906986683305</v>
      </c>
      <c r="H3703">
        <v>0.41992214357270202</v>
      </c>
      <c r="I3703">
        <v>0.309255159360803</v>
      </c>
      <c r="J3703">
        <v>0.13461599089585799</v>
      </c>
      <c r="K3703">
        <v>0</v>
      </c>
      <c r="L3703">
        <v>678.88090550032405</v>
      </c>
      <c r="M3703">
        <v>11.676764915290899</v>
      </c>
      <c r="N3703">
        <v>58.139493454774197</v>
      </c>
      <c r="O3703">
        <v>56.512799868096103</v>
      </c>
      <c r="P3703">
        <v>-5.1669240078908302E-2</v>
      </c>
      <c r="Q3703">
        <v>0</v>
      </c>
      <c r="R3703">
        <v>0.82228537690621595</v>
      </c>
      <c r="S3703" t="s">
        <v>8443</v>
      </c>
      <c r="T3703" t="s">
        <v>9478</v>
      </c>
      <c r="U3703" t="s">
        <v>9478</v>
      </c>
      <c r="V3703" t="s">
        <v>9478</v>
      </c>
      <c r="W3703">
        <v>1</v>
      </c>
      <c r="X3703" t="s">
        <v>13181</v>
      </c>
      <c r="Y3703">
        <v>0.61640796052243474</v>
      </c>
      <c r="Z3703" t="str">
        <f>HYPERLINK("Melting_Curves/meltCurve_sp_Q9UKA4_AKA11_HUMAN_.pdf", "Melting_Curves/meltCurve_sp_Q9UKA4_AKA11_HUMAN_.pdf")</f>
        <v>Melting_Curves/meltCurve_sp_Q9UKA4_AKA11_HUMAN_.pdf</v>
      </c>
      <c r="AA3703" t="s">
        <v>17862</v>
      </c>
      <c r="AB3703" t="s">
        <v>22536</v>
      </c>
    </row>
    <row r="3704" spans="1:28" x14ac:dyDescent="0.25">
      <c r="A3704" t="s">
        <v>3708</v>
      </c>
      <c r="B3704">
        <v>0.99904790336628502</v>
      </c>
      <c r="C3704">
        <v>1.04895075741012</v>
      </c>
      <c r="D3704">
        <v>0.99040320500832602</v>
      </c>
      <c r="E3704">
        <v>0.87134066756010697</v>
      </c>
      <c r="F3704">
        <v>0.75550796078663396</v>
      </c>
      <c r="G3704">
        <v>0.45586146433681801</v>
      </c>
      <c r="H3704">
        <v>0.44301771024530401</v>
      </c>
      <c r="I3704">
        <v>0.386361024541928</v>
      </c>
      <c r="J3704">
        <v>0.50391571003428304</v>
      </c>
      <c r="K3704">
        <v>0.52018821226938405</v>
      </c>
      <c r="L3704">
        <v>1635.93665674773</v>
      </c>
      <c r="M3704">
        <v>30.968428632929001</v>
      </c>
      <c r="N3704">
        <v>57.205693935930903</v>
      </c>
      <c r="O3704">
        <v>52.607119097463297</v>
      </c>
      <c r="P3704">
        <v>-8.0456643959885901E-2</v>
      </c>
      <c r="Q3704">
        <v>0.45330519514671003</v>
      </c>
      <c r="R3704">
        <v>0.96623710876741797</v>
      </c>
      <c r="S3704" t="s">
        <v>8444</v>
      </c>
      <c r="T3704" t="s">
        <v>9478</v>
      </c>
      <c r="U3704" t="s">
        <v>9478</v>
      </c>
      <c r="V3704" t="s">
        <v>9478</v>
      </c>
      <c r="W3704">
        <v>5</v>
      </c>
      <c r="X3704" t="s">
        <v>13182</v>
      </c>
      <c r="Y3704">
        <v>0.69035677205712398</v>
      </c>
      <c r="Z3704" t="str">
        <f>HYPERLINK("Melting_Curves/meltCurve_sp_Q9UKB3_DJC12_HUMAN_.pdf", "Melting_Curves/meltCurve_sp_Q9UKB3_DJC12_HUMAN_.pdf")</f>
        <v>Melting_Curves/meltCurve_sp_Q9UKB3_DJC12_HUMAN_.pdf</v>
      </c>
      <c r="AA3704" t="s">
        <v>17863</v>
      </c>
      <c r="AB3704" t="s">
        <v>22537</v>
      </c>
    </row>
    <row r="3705" spans="1:28" x14ac:dyDescent="0.25">
      <c r="A3705" t="s">
        <v>3709</v>
      </c>
      <c r="B3705">
        <v>0.99904790336628502</v>
      </c>
      <c r="C3705">
        <v>0.91967521983987999</v>
      </c>
      <c r="D3705">
        <v>0.78071359741297197</v>
      </c>
      <c r="E3705">
        <v>0.83011393483235096</v>
      </c>
      <c r="F3705">
        <v>0.76523858862237404</v>
      </c>
      <c r="G3705">
        <v>0.62239174361262095</v>
      </c>
      <c r="H3705">
        <v>0.58432548771355097</v>
      </c>
      <c r="I3705">
        <v>0.64518323369936204</v>
      </c>
      <c r="J3705">
        <v>0.457329845719953</v>
      </c>
      <c r="K3705">
        <v>0.67188854004128595</v>
      </c>
      <c r="L3705">
        <v>454.77314735532599</v>
      </c>
      <c r="M3705">
        <v>9.0279936803333705</v>
      </c>
      <c r="O3705">
        <v>48.086378039108403</v>
      </c>
      <c r="P3705">
        <v>-2.1686132621553299E-2</v>
      </c>
      <c r="Q3705">
        <v>0.53829846451531105</v>
      </c>
      <c r="R3705">
        <v>0.81821308377909596</v>
      </c>
      <c r="S3705" t="s">
        <v>8445</v>
      </c>
      <c r="T3705" t="s">
        <v>9478</v>
      </c>
      <c r="U3705" t="s">
        <v>9478</v>
      </c>
      <c r="V3705" t="s">
        <v>9478</v>
      </c>
      <c r="W3705">
        <v>2</v>
      </c>
      <c r="X3705" t="s">
        <v>13183</v>
      </c>
      <c r="Y3705">
        <v>0.72098683186266621</v>
      </c>
      <c r="Z3705" t="str">
        <f>HYPERLINK("Melting_Curves/meltCurve_sp_Q9UKE5_8_TNIK_HUMAN_.pdf", "Melting_Curves/meltCurve_sp_Q9UKE5_8_TNIK_HUMAN_.pdf")</f>
        <v>Melting_Curves/meltCurve_sp_Q9UKE5_8_TNIK_HUMAN_.pdf</v>
      </c>
      <c r="AA3705" t="s">
        <v>17864</v>
      </c>
      <c r="AB3705" t="s">
        <v>22538</v>
      </c>
    </row>
    <row r="3706" spans="1:28" x14ac:dyDescent="0.25">
      <c r="A3706" t="s">
        <v>3710</v>
      </c>
      <c r="B3706">
        <v>0.99904790336628502</v>
      </c>
      <c r="C3706">
        <v>1.0344242231210701</v>
      </c>
      <c r="D3706">
        <v>1.0999494799415099</v>
      </c>
      <c r="E3706">
        <v>0.95971462939063701</v>
      </c>
      <c r="F3706">
        <v>0.87153752487717695</v>
      </c>
      <c r="G3706">
        <v>0.62590078586461395</v>
      </c>
      <c r="H3706">
        <v>0.35783792951037602</v>
      </c>
      <c r="I3706">
        <v>0.14847307807982399</v>
      </c>
      <c r="J3706">
        <v>4.3198736564243403E-2</v>
      </c>
      <c r="K3706">
        <v>3.52148776896863E-2</v>
      </c>
      <c r="L3706">
        <v>1151.8130121235099</v>
      </c>
      <c r="M3706">
        <v>19.644903479562601</v>
      </c>
      <c r="N3706">
        <v>58.631646486665801</v>
      </c>
      <c r="O3706">
        <v>58.034247555629896</v>
      </c>
      <c r="P3706">
        <v>-8.4629314426715396E-2</v>
      </c>
      <c r="Q3706">
        <v>0</v>
      </c>
      <c r="R3706">
        <v>0.99069586476189098</v>
      </c>
      <c r="S3706" t="s">
        <v>8446</v>
      </c>
      <c r="T3706" t="s">
        <v>9478</v>
      </c>
      <c r="U3706" t="s">
        <v>9478</v>
      </c>
      <c r="V3706" t="s">
        <v>9478</v>
      </c>
      <c r="W3706">
        <v>4</v>
      </c>
      <c r="X3706" t="s">
        <v>13184</v>
      </c>
      <c r="Y3706">
        <v>0.63177705765906922</v>
      </c>
      <c r="Z3706" t="str">
        <f>HYPERLINK("Melting_Curves/meltCurve_sp_Q9UKF6_CPSF3_HUMAN_.pdf", "Melting_Curves/meltCurve_sp_Q9UKF6_CPSF3_HUMAN_.pdf")</f>
        <v>Melting_Curves/meltCurve_sp_Q9UKF6_CPSF3_HUMAN_.pdf</v>
      </c>
      <c r="AA3706" t="s">
        <v>17865</v>
      </c>
      <c r="AB3706" t="s">
        <v>22539</v>
      </c>
    </row>
    <row r="3707" spans="1:28" x14ac:dyDescent="0.25">
      <c r="A3707" t="s">
        <v>3711</v>
      </c>
      <c r="B3707">
        <v>0.99904790336628502</v>
      </c>
      <c r="C3707">
        <v>0.98066985346665203</v>
      </c>
      <c r="D3707">
        <v>1.0297232154673699</v>
      </c>
      <c r="E3707">
        <v>0.94694402022574298</v>
      </c>
      <c r="F3707">
        <v>0.81112544049712298</v>
      </c>
      <c r="G3707">
        <v>0.45037822352811002</v>
      </c>
      <c r="H3707">
        <v>0.18949534074221899</v>
      </c>
      <c r="I3707">
        <v>0.125454545865262</v>
      </c>
      <c r="J3707">
        <v>9.0815103932736299E-2</v>
      </c>
      <c r="K3707">
        <v>6.7469047131126406E-2</v>
      </c>
      <c r="L3707">
        <v>1308.91709894682</v>
      </c>
      <c r="M3707">
        <v>23.321930642272999</v>
      </c>
      <c r="N3707">
        <v>56.4720036868367</v>
      </c>
      <c r="O3707">
        <v>55.716103177882502</v>
      </c>
      <c r="P3707">
        <v>-9.76407445180804E-2</v>
      </c>
      <c r="Q3707">
        <v>6.6961098763308996E-2</v>
      </c>
      <c r="R3707">
        <v>0.99890588124360102</v>
      </c>
      <c r="S3707" t="s">
        <v>8447</v>
      </c>
      <c r="T3707" t="s">
        <v>9478</v>
      </c>
      <c r="U3707" t="s">
        <v>9478</v>
      </c>
      <c r="V3707" t="s">
        <v>9478</v>
      </c>
      <c r="W3707">
        <v>21</v>
      </c>
      <c r="X3707" t="s">
        <v>13185</v>
      </c>
      <c r="Y3707">
        <v>0.57799532438421819</v>
      </c>
      <c r="Z3707" t="str">
        <f>HYPERLINK("Melting_Curves/meltCurve_sp_Q9UKG1_DP13A_HUMAN_.pdf", "Melting_Curves/meltCurve_sp_Q9UKG1_DP13A_HUMAN_.pdf")</f>
        <v>Melting_Curves/meltCurve_sp_Q9UKG1_DP13A_HUMAN_.pdf</v>
      </c>
      <c r="AA3707" t="s">
        <v>17866</v>
      </c>
      <c r="AB3707" t="s">
        <v>22540</v>
      </c>
    </row>
    <row r="3708" spans="1:28" x14ac:dyDescent="0.25">
      <c r="A3708" t="s">
        <v>3712</v>
      </c>
      <c r="B3708">
        <v>0.99904790336628502</v>
      </c>
      <c r="C3708">
        <v>0.97392893729222296</v>
      </c>
      <c r="D3708">
        <v>0.97143939714426697</v>
      </c>
      <c r="E3708">
        <v>0.58108469396734197</v>
      </c>
      <c r="F3708">
        <v>0.26536538496752499</v>
      </c>
      <c r="G3708">
        <v>0.108362287557093</v>
      </c>
      <c r="H3708">
        <v>4.7643705422179099E-2</v>
      </c>
      <c r="I3708">
        <v>3.0299327954904899E-2</v>
      </c>
      <c r="J3708">
        <v>2.0193609441945901E-2</v>
      </c>
      <c r="K3708">
        <v>1.6691057193434701E-2</v>
      </c>
      <c r="L3708">
        <v>1309.8065504961401</v>
      </c>
      <c r="M3708">
        <v>25.855253083425499</v>
      </c>
      <c r="N3708">
        <v>50.778805691765797</v>
      </c>
      <c r="O3708">
        <v>50.3590594542801</v>
      </c>
      <c r="P3708">
        <v>-0.12456437236224201</v>
      </c>
      <c r="Q3708">
        <v>2.9540037267079398E-2</v>
      </c>
      <c r="R3708">
        <v>0.99822311579775602</v>
      </c>
      <c r="S3708" t="s">
        <v>8448</v>
      </c>
      <c r="T3708" t="s">
        <v>9478</v>
      </c>
      <c r="U3708" t="s">
        <v>9478</v>
      </c>
      <c r="V3708" t="s">
        <v>9478</v>
      </c>
      <c r="W3708">
        <v>22</v>
      </c>
      <c r="X3708" t="s">
        <v>13186</v>
      </c>
      <c r="Y3708">
        <v>0.38252122983657388</v>
      </c>
      <c r="Z3708" t="str">
        <f>HYPERLINK("Melting_Curves/meltCurve_sp_Q9UKG9_OCTC_HUMAN_.pdf", "Melting_Curves/meltCurve_sp_Q9UKG9_OCTC_HUMAN_.pdf")</f>
        <v>Melting_Curves/meltCurve_sp_Q9UKG9_OCTC_HUMAN_.pdf</v>
      </c>
      <c r="AA3708" t="s">
        <v>17867</v>
      </c>
      <c r="AB3708" t="s">
        <v>22541</v>
      </c>
    </row>
    <row r="3709" spans="1:28" x14ac:dyDescent="0.25">
      <c r="A3709" t="s">
        <v>3713</v>
      </c>
      <c r="B3709">
        <v>0.99904790336628502</v>
      </c>
      <c r="C3709">
        <v>1.0257603555011401</v>
      </c>
      <c r="D3709">
        <v>0.98705923934693196</v>
      </c>
      <c r="E3709">
        <v>1.0778215957464701</v>
      </c>
      <c r="F3709">
        <v>1.0802516427792199</v>
      </c>
      <c r="G3709">
        <v>0.86780459000730503</v>
      </c>
      <c r="H3709">
        <v>0.73447762073834899</v>
      </c>
      <c r="I3709">
        <v>0.76029304519090801</v>
      </c>
      <c r="J3709">
        <v>0.87551713759647598</v>
      </c>
      <c r="K3709">
        <v>1.0360022145996799</v>
      </c>
      <c r="L3709">
        <v>14130.454587781</v>
      </c>
      <c r="M3709">
        <v>250</v>
      </c>
      <c r="O3709">
        <v>56.518201354508498</v>
      </c>
      <c r="P3709">
        <v>-0.16413684042091201</v>
      </c>
      <c r="Q3709">
        <v>0.85157249629362797</v>
      </c>
      <c r="R3709">
        <v>0.51634839819257405</v>
      </c>
      <c r="S3709" t="s">
        <v>8449</v>
      </c>
      <c r="T3709" t="s">
        <v>9478</v>
      </c>
      <c r="U3709" t="s">
        <v>9478</v>
      </c>
      <c r="V3709" t="s">
        <v>9478</v>
      </c>
      <c r="W3709">
        <v>4</v>
      </c>
      <c r="X3709" t="s">
        <v>13187</v>
      </c>
      <c r="Y3709">
        <v>0.93333029469830942</v>
      </c>
      <c r="Z3709" t="str">
        <f>HYPERLINK("Melting_Curves/meltCurve_sp_Q9UKJ3_GPTC8_HUMAN_.pdf", "Melting_Curves/meltCurve_sp_Q9UKJ3_GPTC8_HUMAN_.pdf")</f>
        <v>Melting_Curves/meltCurve_sp_Q9UKJ3_GPTC8_HUMAN_.pdf</v>
      </c>
      <c r="AA3709" t="s">
        <v>17868</v>
      </c>
      <c r="AB3709" t="s">
        <v>22542</v>
      </c>
    </row>
    <row r="3710" spans="1:28" x14ac:dyDescent="0.25">
      <c r="A3710" t="s">
        <v>3714</v>
      </c>
      <c r="B3710">
        <v>0.99904790336628502</v>
      </c>
      <c r="C3710">
        <v>1.0530577260043299</v>
      </c>
      <c r="D3710">
        <v>1.03269809874642</v>
      </c>
      <c r="E3710">
        <v>1.0691370447721</v>
      </c>
      <c r="F3710">
        <v>1.0913238025004</v>
      </c>
      <c r="G3710">
        <v>0.92758338633568604</v>
      </c>
      <c r="H3710">
        <v>0.813060655116286</v>
      </c>
      <c r="I3710">
        <v>0.84531434700406505</v>
      </c>
      <c r="J3710">
        <v>0.84305111846265701</v>
      </c>
      <c r="K3710">
        <v>0.75039513847597805</v>
      </c>
      <c r="L3710">
        <v>14276.1776529484</v>
      </c>
      <c r="M3710">
        <v>250</v>
      </c>
      <c r="O3710">
        <v>57.101057781905297</v>
      </c>
      <c r="P3710">
        <v>-0.20472989383186499</v>
      </c>
      <c r="Q3710">
        <v>0.81295530914925795</v>
      </c>
      <c r="R3710">
        <v>0.8305267927926</v>
      </c>
      <c r="S3710" t="s">
        <v>8450</v>
      </c>
      <c r="T3710" t="s">
        <v>9478</v>
      </c>
      <c r="U3710" t="s">
        <v>9478</v>
      </c>
      <c r="V3710" t="s">
        <v>9478</v>
      </c>
      <c r="W3710">
        <v>14</v>
      </c>
      <c r="X3710" t="s">
        <v>13188</v>
      </c>
      <c r="Y3710">
        <v>0.91961889798714813</v>
      </c>
      <c r="Z3710" t="str">
        <f>HYPERLINK("Melting_Curves/meltCurve_sp_Q9UKK9_NUDT5_HUMAN_.pdf", "Melting_Curves/meltCurve_sp_Q9UKK9_NUDT5_HUMAN_.pdf")</f>
        <v>Melting_Curves/meltCurve_sp_Q9UKK9_NUDT5_HUMAN_.pdf</v>
      </c>
      <c r="AA3710" t="s">
        <v>17869</v>
      </c>
      <c r="AB3710" t="s">
        <v>22543</v>
      </c>
    </row>
    <row r="3711" spans="1:28" x14ac:dyDescent="0.25">
      <c r="A3711" t="s">
        <v>3715</v>
      </c>
      <c r="B3711">
        <v>0.99904790336628502</v>
      </c>
      <c r="C3711">
        <v>1.14640450068435</v>
      </c>
      <c r="D3711">
        <v>1.0536915470842401</v>
      </c>
      <c r="E3711">
        <v>0.74391624558567504</v>
      </c>
      <c r="F3711">
        <v>0.401759575743038</v>
      </c>
      <c r="G3711">
        <v>0.17819718900642101</v>
      </c>
      <c r="H3711">
        <v>0.12646479106233599</v>
      </c>
      <c r="I3711">
        <v>6.6855786084321994E-2</v>
      </c>
      <c r="J3711">
        <v>5.2408709182363601E-2</v>
      </c>
      <c r="K3711">
        <v>2.9430457117412701E-2</v>
      </c>
      <c r="L3711">
        <v>1415.1933952438201</v>
      </c>
      <c r="M3711">
        <v>27.236308244416701</v>
      </c>
      <c r="N3711">
        <v>52.240259905847701</v>
      </c>
      <c r="O3711">
        <v>51.6821480250034</v>
      </c>
      <c r="P3711">
        <v>-0.122789595208465</v>
      </c>
      <c r="Q3711">
        <v>6.8013691734971196E-2</v>
      </c>
      <c r="R3711">
        <v>0.98203340148324803</v>
      </c>
      <c r="S3711" t="s">
        <v>8451</v>
      </c>
      <c r="T3711" t="s">
        <v>9478</v>
      </c>
      <c r="U3711" t="s">
        <v>9478</v>
      </c>
      <c r="V3711" t="s">
        <v>9478</v>
      </c>
      <c r="W3711">
        <v>5</v>
      </c>
      <c r="X3711" t="s">
        <v>13189</v>
      </c>
      <c r="Y3711">
        <v>0.44676005599374857</v>
      </c>
      <c r="Z3711" t="str">
        <f>HYPERLINK("Melting_Curves/meltCurve_sp_Q9UKL0_RCOR1_HUMAN_.pdf", "Melting_Curves/meltCurve_sp_Q9UKL0_RCOR1_HUMAN_.pdf")</f>
        <v>Melting_Curves/meltCurve_sp_Q9UKL0_RCOR1_HUMAN_.pdf</v>
      </c>
      <c r="AA3711" t="s">
        <v>17870</v>
      </c>
      <c r="AB3711" t="s">
        <v>22544</v>
      </c>
    </row>
    <row r="3712" spans="1:28" x14ac:dyDescent="0.25">
      <c r="A3712" t="s">
        <v>3716</v>
      </c>
      <c r="B3712">
        <v>0.99904790336628502</v>
      </c>
      <c r="C3712">
        <v>0.94828823880893998</v>
      </c>
      <c r="D3712">
        <v>0.81260584178231998</v>
      </c>
      <c r="E3712">
        <v>0.98699054069590697</v>
      </c>
      <c r="F3712">
        <v>0.92341331494192402</v>
      </c>
      <c r="G3712">
        <v>0.76662134166900997</v>
      </c>
      <c r="H3712">
        <v>0.39868468391103401</v>
      </c>
      <c r="I3712">
        <v>0.14957019446033601</v>
      </c>
      <c r="J3712">
        <v>3.9850417204625302E-2</v>
      </c>
      <c r="K3712">
        <v>4.4516232581917801E-2</v>
      </c>
      <c r="L3712">
        <v>1446.7588706289901</v>
      </c>
      <c r="M3712">
        <v>24.212017441944401</v>
      </c>
      <c r="N3712">
        <v>59.753770872241802</v>
      </c>
      <c r="O3712">
        <v>59.350592097192703</v>
      </c>
      <c r="P3712">
        <v>-0.101988793107267</v>
      </c>
      <c r="Q3712">
        <v>0</v>
      </c>
      <c r="R3712">
        <v>0.97258339073914302</v>
      </c>
      <c r="S3712" t="s">
        <v>8452</v>
      </c>
      <c r="T3712" t="s">
        <v>9478</v>
      </c>
      <c r="U3712" t="s">
        <v>9478</v>
      </c>
      <c r="V3712" t="s">
        <v>9478</v>
      </c>
      <c r="W3712">
        <v>15</v>
      </c>
      <c r="X3712" t="s">
        <v>13190</v>
      </c>
      <c r="Y3712">
        <v>0.66632850472611482</v>
      </c>
      <c r="Z3712" t="str">
        <f>HYPERLINK("Melting_Curves/meltCurve_sp_Q9UKL6_PPCT_HUMAN_.pdf", "Melting_Curves/meltCurve_sp_Q9UKL6_PPCT_HUMAN_.pdf")</f>
        <v>Melting_Curves/meltCurve_sp_Q9UKL6_PPCT_HUMAN_.pdf</v>
      </c>
      <c r="AA3712" t="s">
        <v>17871</v>
      </c>
      <c r="AB3712" t="s">
        <v>22545</v>
      </c>
    </row>
    <row r="3713" spans="1:28" x14ac:dyDescent="0.25">
      <c r="A3713" t="s">
        <v>3717</v>
      </c>
      <c r="B3713">
        <v>0.99904790336628502</v>
      </c>
      <c r="C3713">
        <v>0.92301491807740899</v>
      </c>
      <c r="D3713">
        <v>0.776867283891718</v>
      </c>
      <c r="E3713">
        <v>0.81384915786907597</v>
      </c>
      <c r="F3713">
        <v>0.55759962296669596</v>
      </c>
      <c r="G3713">
        <v>0.56948654266401499</v>
      </c>
      <c r="H3713">
        <v>0.243718556766647</v>
      </c>
      <c r="I3713">
        <v>0.10652904187536701</v>
      </c>
      <c r="J3713">
        <v>0.16302365002656299</v>
      </c>
      <c r="K3713">
        <v>0</v>
      </c>
      <c r="L3713">
        <v>596.38003841880402</v>
      </c>
      <c r="M3713">
        <v>10.787539140816801</v>
      </c>
      <c r="N3713">
        <v>55.284159861185302</v>
      </c>
      <c r="O3713">
        <v>53.486044899950002</v>
      </c>
      <c r="P3713">
        <v>-5.04405581617677E-2</v>
      </c>
      <c r="Q3713">
        <v>0</v>
      </c>
      <c r="R3713">
        <v>0.94821195545206005</v>
      </c>
      <c r="S3713" t="s">
        <v>8453</v>
      </c>
      <c r="T3713" t="s">
        <v>9478</v>
      </c>
      <c r="U3713" t="s">
        <v>9478</v>
      </c>
      <c r="V3713" t="s">
        <v>9478</v>
      </c>
      <c r="W3713">
        <v>2</v>
      </c>
      <c r="X3713" t="s">
        <v>13191</v>
      </c>
      <c r="Y3713">
        <v>0.53337984513917636</v>
      </c>
      <c r="Z3713" t="str">
        <f>HYPERLINK("Melting_Curves/meltCurve_sp_Q9UKN8_TF3C4_HUMAN_.pdf", "Melting_Curves/meltCurve_sp_Q9UKN8_TF3C4_HUMAN_.pdf")</f>
        <v>Melting_Curves/meltCurve_sp_Q9UKN8_TF3C4_HUMAN_.pdf</v>
      </c>
      <c r="AA3713" t="s">
        <v>17872</v>
      </c>
      <c r="AB3713" t="s">
        <v>22546</v>
      </c>
    </row>
    <row r="3714" spans="1:28" x14ac:dyDescent="0.25">
      <c r="A3714" t="s">
        <v>3718</v>
      </c>
      <c r="B3714">
        <v>0.99904790336628502</v>
      </c>
      <c r="C3714">
        <v>0.92206457810765796</v>
      </c>
      <c r="D3714">
        <v>0.759148021651191</v>
      </c>
      <c r="E3714">
        <v>0.52882471900175498</v>
      </c>
      <c r="F3714">
        <v>0.40122135679299498</v>
      </c>
      <c r="G3714">
        <v>0.28345055390705498</v>
      </c>
      <c r="H3714">
        <v>0.22608205890999999</v>
      </c>
      <c r="I3714">
        <v>0.212259049754014</v>
      </c>
      <c r="J3714">
        <v>0.21015831049561401</v>
      </c>
      <c r="K3714">
        <v>0.224914000013125</v>
      </c>
      <c r="L3714">
        <v>745.05219342019495</v>
      </c>
      <c r="M3714">
        <v>15.256333322113701</v>
      </c>
      <c r="N3714">
        <v>50.542323017394502</v>
      </c>
      <c r="O3714">
        <v>48.019610347198302</v>
      </c>
      <c r="P3714">
        <v>-6.3444602376834996E-2</v>
      </c>
      <c r="Q3714">
        <v>0.20130290914803201</v>
      </c>
      <c r="R3714">
        <v>0.99800689575446</v>
      </c>
      <c r="S3714" t="s">
        <v>8454</v>
      </c>
      <c r="T3714" t="s">
        <v>9478</v>
      </c>
      <c r="U3714" t="s">
        <v>9478</v>
      </c>
      <c r="V3714" t="s">
        <v>9478</v>
      </c>
      <c r="W3714">
        <v>12</v>
      </c>
      <c r="X3714" t="s">
        <v>13192</v>
      </c>
      <c r="Y3714">
        <v>0.45574072085392431</v>
      </c>
      <c r="Z3714" t="str">
        <f>HYPERLINK("Melting_Curves/meltCurve_sp_Q9UKS6_PACN3_HUMAN_.pdf", "Melting_Curves/meltCurve_sp_Q9UKS6_PACN3_HUMAN_.pdf")</f>
        <v>Melting_Curves/meltCurve_sp_Q9UKS6_PACN3_HUMAN_.pdf</v>
      </c>
      <c r="AA3714" t="s">
        <v>17873</v>
      </c>
      <c r="AB3714" t="s">
        <v>22547</v>
      </c>
    </row>
    <row r="3715" spans="1:28" x14ac:dyDescent="0.25">
      <c r="A3715" t="s">
        <v>3719</v>
      </c>
      <c r="B3715">
        <v>0.99904790336628502</v>
      </c>
      <c r="C3715">
        <v>0.93138913550417801</v>
      </c>
      <c r="D3715">
        <v>0.80009230835312395</v>
      </c>
      <c r="E3715">
        <v>0.57762584498935099</v>
      </c>
      <c r="F3715">
        <v>0.29549780852738999</v>
      </c>
      <c r="G3715">
        <v>0.15050785614901899</v>
      </c>
      <c r="H3715">
        <v>0.102328681328219</v>
      </c>
      <c r="I3715">
        <v>8.5118965068737507E-2</v>
      </c>
      <c r="J3715">
        <v>6.7937131640378998E-2</v>
      </c>
      <c r="K3715">
        <v>3.1859516293833497E-2</v>
      </c>
      <c r="L3715">
        <v>815.04682043845196</v>
      </c>
      <c r="M3715">
        <v>16.239263816886702</v>
      </c>
      <c r="N3715">
        <v>50.458962862556497</v>
      </c>
      <c r="O3715">
        <v>49.447310476991802</v>
      </c>
      <c r="P3715">
        <v>-7.87043074986047E-2</v>
      </c>
      <c r="Q3715">
        <v>4.1476649387778702E-2</v>
      </c>
      <c r="R3715">
        <v>0.99664957484370897</v>
      </c>
      <c r="S3715" t="s">
        <v>8455</v>
      </c>
      <c r="T3715" t="s">
        <v>9478</v>
      </c>
      <c r="U3715" t="s">
        <v>9478</v>
      </c>
      <c r="V3715" t="s">
        <v>9478</v>
      </c>
      <c r="W3715">
        <v>5</v>
      </c>
      <c r="X3715" t="s">
        <v>13193</v>
      </c>
      <c r="Y3715">
        <v>0.3867741927839019</v>
      </c>
      <c r="Z3715" t="str">
        <f>HYPERLINK("Melting_Curves/meltCurve_sp_Q9UKT5_FBX4_HUMAN_.pdf", "Melting_Curves/meltCurve_sp_Q9UKT5_FBX4_HUMAN_.pdf")</f>
        <v>Melting_Curves/meltCurve_sp_Q9UKT5_FBX4_HUMAN_.pdf</v>
      </c>
      <c r="AA3715" t="s">
        <v>17874</v>
      </c>
      <c r="AB3715" t="s">
        <v>22548</v>
      </c>
    </row>
    <row r="3716" spans="1:28" x14ac:dyDescent="0.25">
      <c r="A3716" t="s">
        <v>3720</v>
      </c>
      <c r="B3716">
        <v>0.99904790336628502</v>
      </c>
      <c r="C3716">
        <v>0.98171405376118503</v>
      </c>
      <c r="D3716">
        <v>1.00159241555395</v>
      </c>
      <c r="E3716">
        <v>0.94219433666076502</v>
      </c>
      <c r="F3716">
        <v>0.78417703821232898</v>
      </c>
      <c r="G3716">
        <v>0.42100014407637298</v>
      </c>
      <c r="H3716">
        <v>0.132851396771755</v>
      </c>
      <c r="I3716">
        <v>7.7428682815155594E-2</v>
      </c>
      <c r="J3716">
        <v>4.6725379634395797E-2</v>
      </c>
      <c r="K3716">
        <v>3.9257326207967597E-2</v>
      </c>
      <c r="L3716">
        <v>1306.5431153219699</v>
      </c>
      <c r="M3716">
        <v>23.3522238115088</v>
      </c>
      <c r="N3716">
        <v>56.075296586135998</v>
      </c>
      <c r="O3716">
        <v>55.543965173722498</v>
      </c>
      <c r="P3716">
        <v>-0.102424587295269</v>
      </c>
      <c r="Q3716">
        <v>2.5537373066939699E-2</v>
      </c>
      <c r="R3716">
        <v>0.99951833334595996</v>
      </c>
      <c r="S3716" t="s">
        <v>8456</v>
      </c>
      <c r="T3716" t="s">
        <v>9478</v>
      </c>
      <c r="U3716" t="s">
        <v>9478</v>
      </c>
      <c r="V3716" t="s">
        <v>9478</v>
      </c>
      <c r="W3716">
        <v>22</v>
      </c>
      <c r="X3716" t="s">
        <v>13194</v>
      </c>
      <c r="Y3716">
        <v>0.55360829192920125</v>
      </c>
      <c r="Z3716" t="str">
        <f>HYPERLINK("Melting_Curves/meltCurve_sp_Q9UKU7_ACAD8_HUMAN_.pdf", "Melting_Curves/meltCurve_sp_Q9UKU7_ACAD8_HUMAN_.pdf")</f>
        <v>Melting_Curves/meltCurve_sp_Q9UKU7_ACAD8_HUMAN_.pdf</v>
      </c>
      <c r="AA3716" t="s">
        <v>17875</v>
      </c>
      <c r="AB3716" t="s">
        <v>22549</v>
      </c>
    </row>
    <row r="3717" spans="1:28" x14ac:dyDescent="0.25">
      <c r="A3717" t="s">
        <v>3721</v>
      </c>
      <c r="B3717">
        <v>0.99904790336628502</v>
      </c>
      <c r="C3717">
        <v>0.97349206095655205</v>
      </c>
      <c r="D3717">
        <v>1.0368552758145999</v>
      </c>
      <c r="E3717">
        <v>0.93577765480872899</v>
      </c>
      <c r="F3717">
        <v>0.83625707065430199</v>
      </c>
      <c r="G3717">
        <v>0.70053497353533201</v>
      </c>
      <c r="H3717">
        <v>0.53725016435141204</v>
      </c>
      <c r="I3717">
        <v>0.49110392131854902</v>
      </c>
      <c r="J3717">
        <v>0.37232486841354201</v>
      </c>
      <c r="K3717">
        <v>0.18329696846476301</v>
      </c>
      <c r="L3717">
        <v>635.10846410645604</v>
      </c>
      <c r="M3717">
        <v>10.1795064307031</v>
      </c>
      <c r="N3717">
        <v>62.390903079167202</v>
      </c>
      <c r="O3717">
        <v>60.126798589701998</v>
      </c>
      <c r="P3717">
        <v>-4.2344395547470201E-2</v>
      </c>
      <c r="Q3717">
        <v>0</v>
      </c>
      <c r="R3717">
        <v>0.98155602621100302</v>
      </c>
      <c r="S3717" t="s">
        <v>8457</v>
      </c>
      <c r="T3717" t="s">
        <v>9478</v>
      </c>
      <c r="U3717" t="s">
        <v>9478</v>
      </c>
      <c r="V3717" t="s">
        <v>9478</v>
      </c>
      <c r="W3717">
        <v>17</v>
      </c>
      <c r="X3717" t="s">
        <v>13195</v>
      </c>
      <c r="Y3717">
        <v>0.72249696903037541</v>
      </c>
      <c r="Z3717" t="str">
        <f>HYPERLINK("Melting_Curves/meltCurve_sp_Q9UKV8_AGO2_HUMAN_.pdf", "Melting_Curves/meltCurve_sp_Q9UKV8_AGO2_HUMAN_.pdf")</f>
        <v>Melting_Curves/meltCurve_sp_Q9UKV8_AGO2_HUMAN_.pdf</v>
      </c>
      <c r="AA3717" t="s">
        <v>17876</v>
      </c>
      <c r="AB3717" t="s">
        <v>22550</v>
      </c>
    </row>
    <row r="3718" spans="1:28" x14ac:dyDescent="0.25">
      <c r="A3718" t="s">
        <v>3722</v>
      </c>
      <c r="B3718">
        <v>0.99904790336628502</v>
      </c>
      <c r="C3718">
        <v>0.96994483681698396</v>
      </c>
      <c r="D3718">
        <v>0.91834087265932995</v>
      </c>
      <c r="E3718">
        <v>0.92102982645555498</v>
      </c>
      <c r="F3718">
        <v>0.82949446381634395</v>
      </c>
      <c r="G3718">
        <v>0.56973974912452696</v>
      </c>
      <c r="H3718">
        <v>0.45635617352308</v>
      </c>
      <c r="I3718">
        <v>0.42283635127369001</v>
      </c>
      <c r="J3718">
        <v>0.43226776558733399</v>
      </c>
      <c r="K3718">
        <v>0.376833214280196</v>
      </c>
      <c r="L3718">
        <v>1096.17835544534</v>
      </c>
      <c r="M3718">
        <v>19.946161830910501</v>
      </c>
      <c r="N3718">
        <v>59.390340845251004</v>
      </c>
      <c r="O3718">
        <v>54.413376801902899</v>
      </c>
      <c r="P3718">
        <v>-5.6160052940153901E-2</v>
      </c>
      <c r="Q3718">
        <v>0.38719860622122598</v>
      </c>
      <c r="R3718">
        <v>0.986879081518518</v>
      </c>
      <c r="S3718" t="s">
        <v>8458</v>
      </c>
      <c r="T3718" t="s">
        <v>9478</v>
      </c>
      <c r="U3718" t="s">
        <v>9478</v>
      </c>
      <c r="V3718" t="s">
        <v>9478</v>
      </c>
      <c r="W3718">
        <v>13</v>
      </c>
      <c r="X3718" t="s">
        <v>13196</v>
      </c>
      <c r="Y3718">
        <v>0.70091944507393056</v>
      </c>
      <c r="Z3718" t="str">
        <f>HYPERLINK("Melting_Curves/meltCurve_sp_Q9UKX7_NUP50_HUMAN_.pdf", "Melting_Curves/meltCurve_sp_Q9UKX7_NUP50_HUMAN_.pdf")</f>
        <v>Melting_Curves/meltCurve_sp_Q9UKX7_NUP50_HUMAN_.pdf</v>
      </c>
      <c r="AA3718" t="s">
        <v>17877</v>
      </c>
      <c r="AB3718" t="s">
        <v>22551</v>
      </c>
    </row>
    <row r="3719" spans="1:28" x14ac:dyDescent="0.25">
      <c r="A3719" t="s">
        <v>3723</v>
      </c>
      <c r="B3719">
        <v>0.99904790336628502</v>
      </c>
      <c r="C3719">
        <v>1.1323036292536299</v>
      </c>
      <c r="D3719">
        <v>1.11003384347874</v>
      </c>
      <c r="E3719">
        <v>1.11810808867958</v>
      </c>
      <c r="F3719">
        <v>0.95142866549014304</v>
      </c>
      <c r="G3719">
        <v>0.753530214122343</v>
      </c>
      <c r="H3719">
        <v>0.65914409541742103</v>
      </c>
      <c r="I3719">
        <v>0.63163112534725196</v>
      </c>
      <c r="J3719">
        <v>0.57252808237812103</v>
      </c>
      <c r="K3719">
        <v>0.76396320549659902</v>
      </c>
      <c r="L3719">
        <v>2517.92372955878</v>
      </c>
      <c r="M3719">
        <v>45.166961620876698</v>
      </c>
      <c r="O3719">
        <v>55.6380751577138</v>
      </c>
      <c r="P3719">
        <v>-6.9918977933737594E-2</v>
      </c>
      <c r="Q3719">
        <v>0.65548690597775605</v>
      </c>
      <c r="R3719">
        <v>0.85045467773522498</v>
      </c>
      <c r="S3719" t="s">
        <v>8459</v>
      </c>
      <c r="T3719" t="s">
        <v>9478</v>
      </c>
      <c r="U3719" t="s">
        <v>9478</v>
      </c>
      <c r="V3719" t="s">
        <v>9478</v>
      </c>
      <c r="W3719">
        <v>1</v>
      </c>
      <c r="X3719" t="s">
        <v>13197</v>
      </c>
      <c r="Y3719">
        <v>0.83735920102737826</v>
      </c>
      <c r="Z3719" t="str">
        <f>HYPERLINK("Melting_Curves/meltCurve_sp_Q9UKY1_ZHX1_HUMAN_.pdf", "Melting_Curves/meltCurve_sp_Q9UKY1_ZHX1_HUMAN_.pdf")</f>
        <v>Melting_Curves/meltCurve_sp_Q9UKY1_ZHX1_HUMAN_.pdf</v>
      </c>
      <c r="AA3719" t="s">
        <v>17878</v>
      </c>
      <c r="AB3719" t="s">
        <v>22552</v>
      </c>
    </row>
    <row r="3720" spans="1:28" x14ac:dyDescent="0.25">
      <c r="A3720" t="s">
        <v>3724</v>
      </c>
      <c r="B3720">
        <v>0.99904790336628502</v>
      </c>
      <c r="C3720">
        <v>1.03944795664175</v>
      </c>
      <c r="D3720">
        <v>0.95939331817964602</v>
      </c>
      <c r="E3720">
        <v>0.93040122571844697</v>
      </c>
      <c r="F3720">
        <v>0.90422001246359596</v>
      </c>
      <c r="G3720">
        <v>0.76871041974145105</v>
      </c>
      <c r="H3720">
        <v>0.71911192077674901</v>
      </c>
      <c r="I3720">
        <v>0.76665207474511099</v>
      </c>
      <c r="J3720">
        <v>0.84634073393478904</v>
      </c>
      <c r="K3720">
        <v>0.87892826046466099</v>
      </c>
      <c r="L3720">
        <v>1513.21781646927</v>
      </c>
      <c r="M3720">
        <v>29.144898623599801</v>
      </c>
      <c r="O3720">
        <v>51.677912190439201</v>
      </c>
      <c r="P3720">
        <v>-2.8680526650558699E-2</v>
      </c>
      <c r="Q3720">
        <v>0.79658343482014105</v>
      </c>
      <c r="R3720">
        <v>0.77443598109060496</v>
      </c>
      <c r="S3720" t="s">
        <v>8460</v>
      </c>
      <c r="T3720" t="s">
        <v>9478</v>
      </c>
      <c r="U3720" t="s">
        <v>9478</v>
      </c>
      <c r="V3720" t="s">
        <v>9478</v>
      </c>
      <c r="W3720">
        <v>11</v>
      </c>
      <c r="X3720" t="s">
        <v>13198</v>
      </c>
      <c r="Y3720">
        <v>0.87878565448734602</v>
      </c>
      <c r="Z3720" t="str">
        <f>HYPERLINK("Melting_Curves/meltCurve_sp_Q9UKY7_2_CDV3_HUMAN_.pdf", "Melting_Curves/meltCurve_sp_Q9UKY7_2_CDV3_HUMAN_.pdf")</f>
        <v>Melting_Curves/meltCurve_sp_Q9UKY7_2_CDV3_HUMAN_.pdf</v>
      </c>
      <c r="AA3720" t="s">
        <v>17879</v>
      </c>
      <c r="AB3720" t="s">
        <v>22553</v>
      </c>
    </row>
    <row r="3721" spans="1:28" x14ac:dyDescent="0.25">
      <c r="A3721" t="s">
        <v>3725</v>
      </c>
      <c r="B3721">
        <v>0.99904790336628502</v>
      </c>
      <c r="C3721">
        <v>1.0963177119882701</v>
      </c>
      <c r="D3721">
        <v>1.1202401308669101</v>
      </c>
      <c r="E3721">
        <v>0.91949192859152196</v>
      </c>
      <c r="F3721">
        <v>0.39215232549344697</v>
      </c>
      <c r="G3721">
        <v>0.166274721907617</v>
      </c>
      <c r="H3721">
        <v>9.6162037776425097E-2</v>
      </c>
      <c r="I3721">
        <v>8.0140317317017498E-2</v>
      </c>
      <c r="J3721">
        <v>7.0703910041986895E-2</v>
      </c>
      <c r="K3721">
        <v>9.5816395218252207E-2</v>
      </c>
      <c r="L3721">
        <v>2578.6361975837599</v>
      </c>
      <c r="M3721">
        <v>49.341914079254401</v>
      </c>
      <c r="N3721">
        <v>52.491928309558403</v>
      </c>
      <c r="O3721">
        <v>52.174935028912699</v>
      </c>
      <c r="P3721">
        <v>-0.21332004377291</v>
      </c>
      <c r="Q3721">
        <v>9.7728603830944796E-2</v>
      </c>
      <c r="R3721">
        <v>0.98579304128405099</v>
      </c>
      <c r="S3721" t="s">
        <v>8461</v>
      </c>
      <c r="T3721" t="s">
        <v>9478</v>
      </c>
      <c r="U3721" t="s">
        <v>9478</v>
      </c>
      <c r="V3721" t="s">
        <v>9478</v>
      </c>
      <c r="W3721">
        <v>2</v>
      </c>
      <c r="X3721" t="s">
        <v>13199</v>
      </c>
      <c r="Y3721">
        <v>0.46860967783352958</v>
      </c>
      <c r="Z3721" t="str">
        <f>HYPERLINK("Melting_Curves/meltCurve_sp_Q9UKZ1_CNO11_HUMAN_.pdf", "Melting_Curves/meltCurve_sp_Q9UKZ1_CNO11_HUMAN_.pdf")</f>
        <v>Melting_Curves/meltCurve_sp_Q9UKZ1_CNO11_HUMAN_.pdf</v>
      </c>
      <c r="AA3721" t="s">
        <v>17880</v>
      </c>
      <c r="AB3721" t="s">
        <v>22554</v>
      </c>
    </row>
    <row r="3722" spans="1:28" x14ac:dyDescent="0.25">
      <c r="A3722" t="s">
        <v>3726</v>
      </c>
      <c r="B3722">
        <v>0.99904790336628502</v>
      </c>
      <c r="C3722">
        <v>0.94024927604994202</v>
      </c>
      <c r="D3722">
        <v>0.88398395363750804</v>
      </c>
      <c r="E3722">
        <v>0.45421781908345599</v>
      </c>
      <c r="F3722">
        <v>0.16555779108503599</v>
      </c>
      <c r="G3722">
        <v>0.104058679417464</v>
      </c>
      <c r="H3722">
        <v>6.3101901921102599E-2</v>
      </c>
      <c r="I3722">
        <v>4.6363008775940101E-2</v>
      </c>
      <c r="J3722">
        <v>3.6646212144597602E-2</v>
      </c>
      <c r="K3722">
        <v>2.7773673512098099E-2</v>
      </c>
      <c r="L3722">
        <v>1261.35228149573</v>
      </c>
      <c r="M3722">
        <v>25.5369316411754</v>
      </c>
      <c r="N3722">
        <v>49.572078223928997</v>
      </c>
      <c r="O3722">
        <v>49.093358670606698</v>
      </c>
      <c r="P3722">
        <v>-0.12432220538627101</v>
      </c>
      <c r="Q3722">
        <v>4.4001207096012199E-2</v>
      </c>
      <c r="R3722">
        <v>0.99767341841163804</v>
      </c>
      <c r="S3722" t="s">
        <v>8462</v>
      </c>
      <c r="T3722" t="s">
        <v>9478</v>
      </c>
      <c r="U3722" t="s">
        <v>9478</v>
      </c>
      <c r="V3722" t="s">
        <v>9478</v>
      </c>
      <c r="W3722">
        <v>44</v>
      </c>
      <c r="X3722" t="s">
        <v>13200</v>
      </c>
      <c r="Y3722">
        <v>0.35146844598338339</v>
      </c>
      <c r="Z3722" t="str">
        <f>HYPERLINK("Melting_Curves/meltCurve_sp_Q9UL12_SARDH_HUMAN_.pdf", "Melting_Curves/meltCurve_sp_Q9UL12_SARDH_HUMAN_.pdf")</f>
        <v>Melting_Curves/meltCurve_sp_Q9UL12_SARDH_HUMAN_.pdf</v>
      </c>
      <c r="AA3722" t="s">
        <v>17881</v>
      </c>
      <c r="AB3722" t="s">
        <v>22555</v>
      </c>
    </row>
    <row r="3723" spans="1:28" x14ac:dyDescent="0.25">
      <c r="A3723" t="s">
        <v>3727</v>
      </c>
      <c r="B3723">
        <v>0.99904790336628502</v>
      </c>
      <c r="C3723">
        <v>0.95768853329715997</v>
      </c>
      <c r="D3723">
        <v>0.89521241119121697</v>
      </c>
      <c r="E3723">
        <v>0.69461167419650705</v>
      </c>
      <c r="F3723">
        <v>0.39900061831093098</v>
      </c>
      <c r="G3723">
        <v>0.172173849165142</v>
      </c>
      <c r="H3723">
        <v>0.114846816697477</v>
      </c>
      <c r="I3723">
        <v>7.14558167520674E-2</v>
      </c>
      <c r="J3723">
        <v>5.7532204909334798E-2</v>
      </c>
      <c r="K3723">
        <v>3.8377212865683699E-2</v>
      </c>
      <c r="L3723">
        <v>967.25558357829505</v>
      </c>
      <c r="M3723">
        <v>18.710012092163002</v>
      </c>
      <c r="N3723">
        <v>51.943988662074297</v>
      </c>
      <c r="O3723">
        <v>51.117510487340503</v>
      </c>
      <c r="P3723">
        <v>-8.7617389984600599E-2</v>
      </c>
      <c r="Q3723">
        <v>4.2524796364002297E-2</v>
      </c>
      <c r="R3723">
        <v>0.99832946977940396</v>
      </c>
      <c r="S3723" t="s">
        <v>8463</v>
      </c>
      <c r="T3723" t="s">
        <v>9478</v>
      </c>
      <c r="U3723" t="s">
        <v>9478</v>
      </c>
      <c r="V3723" t="s">
        <v>9478</v>
      </c>
      <c r="W3723">
        <v>6</v>
      </c>
      <c r="X3723" t="s">
        <v>13201</v>
      </c>
      <c r="Y3723">
        <v>0.43080053561004628</v>
      </c>
      <c r="Z3723" t="str">
        <f>HYPERLINK("Melting_Curves/meltCurve_sp_Q9UL25_RAB21_HUMAN_.pdf", "Melting_Curves/meltCurve_sp_Q9UL25_RAB21_HUMAN_.pdf")</f>
        <v>Melting_Curves/meltCurve_sp_Q9UL25_RAB21_HUMAN_.pdf</v>
      </c>
      <c r="AA3723" t="s">
        <v>17882</v>
      </c>
      <c r="AB3723" t="s">
        <v>22556</v>
      </c>
    </row>
    <row r="3724" spans="1:28" x14ac:dyDescent="0.25">
      <c r="A3724" t="s">
        <v>3728</v>
      </c>
      <c r="B3724">
        <v>0.99904790336628502</v>
      </c>
      <c r="C3724">
        <v>0.97915254793776096</v>
      </c>
      <c r="D3724">
        <v>1.0131923642751699</v>
      </c>
      <c r="E3724">
        <v>0.85631423238850701</v>
      </c>
      <c r="F3724">
        <v>0.70568132796740302</v>
      </c>
      <c r="G3724">
        <v>0.39985939571217799</v>
      </c>
      <c r="H3724">
        <v>0.14576700575763701</v>
      </c>
      <c r="I3724">
        <v>8.8719807595074293E-2</v>
      </c>
      <c r="J3724">
        <v>6.9553180928278405E-2</v>
      </c>
      <c r="K3724">
        <v>5.14271453109802E-2</v>
      </c>
      <c r="L3724">
        <v>1036.20587131957</v>
      </c>
      <c r="M3724">
        <v>18.731215105610801</v>
      </c>
      <c r="N3724">
        <v>55.469556590464201</v>
      </c>
      <c r="O3724">
        <v>54.700782084307399</v>
      </c>
      <c r="P3724">
        <v>-8.3499455955641205E-2</v>
      </c>
      <c r="Q3724">
        <v>2.4666983662711198E-2</v>
      </c>
      <c r="R3724">
        <v>0.997909542661224</v>
      </c>
      <c r="S3724" t="s">
        <v>8464</v>
      </c>
      <c r="T3724" t="s">
        <v>9478</v>
      </c>
      <c r="U3724" t="s">
        <v>9478</v>
      </c>
      <c r="V3724" t="s">
        <v>9478</v>
      </c>
      <c r="W3724">
        <v>1</v>
      </c>
      <c r="X3724" t="s">
        <v>13202</v>
      </c>
      <c r="Y3724">
        <v>0.53684335550401741</v>
      </c>
      <c r="Z3724" t="str">
        <f>HYPERLINK("Melting_Curves/meltCurve_sp_Q9UL33_2_TPC2L_HUMAN_.pdf", "Melting_Curves/meltCurve_sp_Q9UL33_2_TPC2L_HUMAN_.pdf")</f>
        <v>Melting_Curves/meltCurve_sp_Q9UL33_2_TPC2L_HUMAN_.pdf</v>
      </c>
      <c r="AA3724" t="s">
        <v>17883</v>
      </c>
      <c r="AB3724" t="s">
        <v>22557</v>
      </c>
    </row>
    <row r="3725" spans="1:28" x14ac:dyDescent="0.25">
      <c r="A3725" t="s">
        <v>3729</v>
      </c>
      <c r="B3725">
        <v>0.99904790336628502</v>
      </c>
      <c r="C3725">
        <v>0.95522613025283898</v>
      </c>
      <c r="D3725">
        <v>0.82746333442976405</v>
      </c>
      <c r="E3725">
        <v>0.84980785391232705</v>
      </c>
      <c r="F3725">
        <v>0.45766833501173498</v>
      </c>
      <c r="G3725">
        <v>0.13192794906003</v>
      </c>
      <c r="H3725">
        <v>4.51003828507483E-2</v>
      </c>
      <c r="I3725">
        <v>2.42161348949789E-2</v>
      </c>
      <c r="J3725">
        <v>2.0058329104782301E-2</v>
      </c>
      <c r="K3725">
        <v>2.27017950218356E-2</v>
      </c>
      <c r="L3725">
        <v>1323.1618594389599</v>
      </c>
      <c r="M3725">
        <v>25.1061005886902</v>
      </c>
      <c r="N3725">
        <v>52.758710069300101</v>
      </c>
      <c r="O3725">
        <v>52.371867964649901</v>
      </c>
      <c r="P3725">
        <v>-0.118273774772618</v>
      </c>
      <c r="Q3725">
        <v>1.3126903118923301E-2</v>
      </c>
      <c r="R3725">
        <v>0.98406280380761002</v>
      </c>
      <c r="S3725" t="s">
        <v>8465</v>
      </c>
      <c r="T3725" t="s">
        <v>9478</v>
      </c>
      <c r="U3725" t="s">
        <v>9478</v>
      </c>
      <c r="V3725" t="s">
        <v>9478</v>
      </c>
      <c r="W3725">
        <v>1</v>
      </c>
      <c r="X3725" t="s">
        <v>13203</v>
      </c>
      <c r="Y3725">
        <v>0.43998895242281522</v>
      </c>
      <c r="Z3725" t="str">
        <f>HYPERLINK("Melting_Curves/meltCurve_sp_Q9UL42_PNMA2_HUMAN_.pdf", "Melting_Curves/meltCurve_sp_Q9UL42_PNMA2_HUMAN_.pdf")</f>
        <v>Melting_Curves/meltCurve_sp_Q9UL42_PNMA2_HUMAN_.pdf</v>
      </c>
      <c r="AA3725" t="s">
        <v>17884</v>
      </c>
      <c r="AB3725" t="s">
        <v>22558</v>
      </c>
    </row>
    <row r="3726" spans="1:28" x14ac:dyDescent="0.25">
      <c r="A3726" t="s">
        <v>3730</v>
      </c>
      <c r="B3726">
        <v>0.99904790336628502</v>
      </c>
      <c r="C3726">
        <v>0.99620417191226895</v>
      </c>
      <c r="D3726">
        <v>1.0882287307810601</v>
      </c>
      <c r="E3726">
        <v>1.02448244883324</v>
      </c>
      <c r="F3726">
        <v>1.0664808681073801</v>
      </c>
      <c r="G3726">
        <v>0.77117126254419199</v>
      </c>
      <c r="H3726">
        <v>0.57743399886617197</v>
      </c>
      <c r="I3726">
        <v>0.38665784353190003</v>
      </c>
      <c r="J3726">
        <v>0.20013658754014599</v>
      </c>
      <c r="K3726">
        <v>9.87759262037744E-2</v>
      </c>
      <c r="L3726">
        <v>1151.0399809662399</v>
      </c>
      <c r="M3726">
        <v>18.553310945833399</v>
      </c>
      <c r="N3726">
        <v>62.039601809447298</v>
      </c>
      <c r="O3726">
        <v>61.332326861496199</v>
      </c>
      <c r="P3726">
        <v>-7.5629446287817301E-2</v>
      </c>
      <c r="Q3726">
        <v>0</v>
      </c>
      <c r="R3726">
        <v>0.97993624720087802</v>
      </c>
      <c r="S3726" t="s">
        <v>8466</v>
      </c>
      <c r="T3726" t="s">
        <v>9478</v>
      </c>
      <c r="U3726" t="s">
        <v>9478</v>
      </c>
      <c r="V3726" t="s">
        <v>9478</v>
      </c>
      <c r="W3726">
        <v>14</v>
      </c>
      <c r="X3726" t="s">
        <v>13204</v>
      </c>
      <c r="Y3726">
        <v>0.7365126800021411</v>
      </c>
      <c r="Z3726" t="str">
        <f>HYPERLINK("Melting_Curves/meltCurve_sp_Q9UL46_PSME2_HUMAN_.pdf", "Melting_Curves/meltCurve_sp_Q9UL46_PSME2_HUMAN_.pdf")</f>
        <v>Melting_Curves/meltCurve_sp_Q9UL46_PSME2_HUMAN_.pdf</v>
      </c>
      <c r="AA3726" t="s">
        <v>17885</v>
      </c>
      <c r="AB3726" t="s">
        <v>22559</v>
      </c>
    </row>
    <row r="3727" spans="1:28" x14ac:dyDescent="0.25">
      <c r="A3727" t="s">
        <v>3731</v>
      </c>
      <c r="B3727">
        <v>0.99904790336628502</v>
      </c>
      <c r="C3727">
        <v>1.0112541866011999</v>
      </c>
      <c r="D3727">
        <v>1.0514014624347401</v>
      </c>
      <c r="E3727">
        <v>1.0061918849003999</v>
      </c>
      <c r="F3727">
        <v>0.86971522869244</v>
      </c>
      <c r="G3727">
        <v>0.71434724161730501</v>
      </c>
      <c r="H3727">
        <v>0.590025408261589</v>
      </c>
      <c r="I3727">
        <v>0.57976052252324595</v>
      </c>
      <c r="J3727">
        <v>0.526842110948194</v>
      </c>
      <c r="K3727">
        <v>0.35695102125653899</v>
      </c>
      <c r="L3727">
        <v>793.841607888716</v>
      </c>
      <c r="M3727">
        <v>13.435563752358499</v>
      </c>
      <c r="N3727">
        <v>65.177442602242607</v>
      </c>
      <c r="O3727">
        <v>57.822222985134502</v>
      </c>
      <c r="P3727">
        <v>-3.7323644246302003E-2</v>
      </c>
      <c r="Q3727">
        <v>0.35758533754356903</v>
      </c>
      <c r="R3727">
        <v>0.96077693328258795</v>
      </c>
      <c r="S3727" t="s">
        <v>8467</v>
      </c>
      <c r="T3727" t="s">
        <v>9478</v>
      </c>
      <c r="U3727" t="s">
        <v>9478</v>
      </c>
      <c r="V3727" t="s">
        <v>9478</v>
      </c>
      <c r="W3727">
        <v>18</v>
      </c>
      <c r="X3727" t="s">
        <v>13205</v>
      </c>
      <c r="Y3727">
        <v>0.77220948078161511</v>
      </c>
      <c r="Z3727" t="str">
        <f>HYPERLINK("Melting_Curves/meltCurve_sp_Q9ULA0_DNPEP_HUMAN_.pdf", "Melting_Curves/meltCurve_sp_Q9ULA0_DNPEP_HUMAN_.pdf")</f>
        <v>Melting_Curves/meltCurve_sp_Q9ULA0_DNPEP_HUMAN_.pdf</v>
      </c>
      <c r="AA3727" t="s">
        <v>17886</v>
      </c>
      <c r="AB3727" t="s">
        <v>22560</v>
      </c>
    </row>
    <row r="3728" spans="1:28" x14ac:dyDescent="0.25">
      <c r="A3728" t="s">
        <v>3732</v>
      </c>
      <c r="B3728">
        <v>0.99904790336628502</v>
      </c>
      <c r="C3728">
        <v>0.94975058343560703</v>
      </c>
      <c r="D3728">
        <v>0.93482893196773897</v>
      </c>
      <c r="E3728">
        <v>0.77910986571740104</v>
      </c>
      <c r="F3728">
        <v>0.61133156227038998</v>
      </c>
      <c r="G3728">
        <v>0.25386293793659298</v>
      </c>
      <c r="H3728">
        <v>6.4282870049684998E-2</v>
      </c>
      <c r="I3728">
        <v>3.6728441185998197E-2</v>
      </c>
      <c r="J3728">
        <v>2.9511350242130599E-2</v>
      </c>
      <c r="K3728">
        <v>2.5748897484592199E-2</v>
      </c>
      <c r="L3728">
        <v>1010.17029930391</v>
      </c>
      <c r="M3728">
        <v>18.773806832176501</v>
      </c>
      <c r="N3728">
        <v>53.807430517837197</v>
      </c>
      <c r="O3728">
        <v>53.208078707393298</v>
      </c>
      <c r="P3728">
        <v>-8.8213070091915702E-2</v>
      </c>
      <c r="Q3728">
        <v>0</v>
      </c>
      <c r="R3728">
        <v>0.99613052755716502</v>
      </c>
      <c r="S3728" t="s">
        <v>8468</v>
      </c>
      <c r="T3728" t="s">
        <v>9478</v>
      </c>
      <c r="U3728" t="s">
        <v>9478</v>
      </c>
      <c r="V3728" t="s">
        <v>9478</v>
      </c>
      <c r="W3728">
        <v>6</v>
      </c>
      <c r="X3728" t="s">
        <v>13206</v>
      </c>
      <c r="Y3728">
        <v>0.47532498161408288</v>
      </c>
      <c r="Z3728" t="str">
        <f>HYPERLINK("Melting_Curves/meltCurve_sp_Q9ULC4_MCTS1_HUMAN_.pdf", "Melting_Curves/meltCurve_sp_Q9ULC4_MCTS1_HUMAN_.pdf")</f>
        <v>Melting_Curves/meltCurve_sp_Q9ULC4_MCTS1_HUMAN_.pdf</v>
      </c>
      <c r="AA3728" t="s">
        <v>17887</v>
      </c>
      <c r="AB3728" t="s">
        <v>22561</v>
      </c>
    </row>
    <row r="3729" spans="1:28" x14ac:dyDescent="0.25">
      <c r="A3729" t="s">
        <v>3733</v>
      </c>
      <c r="B3729">
        <v>0.99904790336628502</v>
      </c>
      <c r="C3729">
        <v>0.91734884518511794</v>
      </c>
      <c r="D3729">
        <v>0.69913740567087002</v>
      </c>
      <c r="E3729">
        <v>0.37223845669797301</v>
      </c>
      <c r="F3729">
        <v>0.22957224038532301</v>
      </c>
      <c r="G3729">
        <v>0.128793093834906</v>
      </c>
      <c r="H3729">
        <v>7.7527651178389695E-2</v>
      </c>
      <c r="I3729">
        <v>5.7115447096815902E-2</v>
      </c>
      <c r="J3729">
        <v>4.9600988078364598E-2</v>
      </c>
      <c r="K3729">
        <v>4.0448461995015297E-2</v>
      </c>
      <c r="L3729">
        <v>828.29040630480597</v>
      </c>
      <c r="M3729">
        <v>17.1711132624927</v>
      </c>
      <c r="N3729">
        <v>48.522674195228298</v>
      </c>
      <c r="O3729">
        <v>47.597447442804601</v>
      </c>
      <c r="P3729">
        <v>-8.5864880232126004E-2</v>
      </c>
      <c r="Q3729">
        <v>4.8004339505079902E-2</v>
      </c>
      <c r="R3729">
        <v>0.998415802721205</v>
      </c>
      <c r="S3729" t="s">
        <v>8469</v>
      </c>
      <c r="T3729" t="s">
        <v>9478</v>
      </c>
      <c r="U3729" t="s">
        <v>9478</v>
      </c>
      <c r="V3729" t="s">
        <v>9478</v>
      </c>
      <c r="W3729">
        <v>20</v>
      </c>
      <c r="X3729" t="s">
        <v>13207</v>
      </c>
      <c r="Y3729">
        <v>0.3278878721911373</v>
      </c>
      <c r="Z3729" t="str">
        <f>HYPERLINK("Melting_Curves/meltCurve_sp_Q9ULC5_ACSL5_HUMAN_.pdf", "Melting_Curves/meltCurve_sp_Q9ULC5_ACSL5_HUMAN_.pdf")</f>
        <v>Melting_Curves/meltCurve_sp_Q9ULC5_ACSL5_HUMAN_.pdf</v>
      </c>
      <c r="AA3729" t="s">
        <v>17888</v>
      </c>
      <c r="AB3729" t="s">
        <v>22562</v>
      </c>
    </row>
    <row r="3730" spans="1:28" x14ac:dyDescent="0.25">
      <c r="A3730" t="s">
        <v>3734</v>
      </c>
      <c r="B3730">
        <v>0.99904790336628502</v>
      </c>
      <c r="C3730">
        <v>0.94945778086244803</v>
      </c>
      <c r="D3730">
        <v>0.61204306301991296</v>
      </c>
      <c r="E3730">
        <v>0.22813493832027501</v>
      </c>
      <c r="F3730">
        <v>0.10387699708921801</v>
      </c>
      <c r="G3730">
        <v>7.4616984088934205E-2</v>
      </c>
      <c r="H3730">
        <v>3.6290399513294297E-2</v>
      </c>
      <c r="I3730">
        <v>3.0402609322562401E-2</v>
      </c>
      <c r="J3730">
        <v>2.6355678700318401E-2</v>
      </c>
      <c r="K3730">
        <v>2.2983465561538598E-2</v>
      </c>
      <c r="L3730">
        <v>1134.2016052910501</v>
      </c>
      <c r="M3730">
        <v>24.151832109705801</v>
      </c>
      <c r="N3730">
        <v>47.109398397775699</v>
      </c>
      <c r="O3730">
        <v>46.642915963147999</v>
      </c>
      <c r="P3730">
        <v>-0.12472043273686099</v>
      </c>
      <c r="Q3730">
        <v>3.6556095750208899E-2</v>
      </c>
      <c r="R3730">
        <v>0.99749882826843606</v>
      </c>
      <c r="S3730" t="s">
        <v>8470</v>
      </c>
      <c r="T3730" t="s">
        <v>9478</v>
      </c>
      <c r="U3730" t="s">
        <v>9478</v>
      </c>
      <c r="V3730" t="s">
        <v>9478</v>
      </c>
      <c r="W3730">
        <v>13</v>
      </c>
      <c r="X3730" t="s">
        <v>13208</v>
      </c>
      <c r="Y3730">
        <v>0.26940902367564418</v>
      </c>
      <c r="Z3730" t="str">
        <f>HYPERLINK("Melting_Curves/meltCurve_sp_Q9ULD0_OGDHL_HUMAN_.pdf", "Melting_Curves/meltCurve_sp_Q9ULD0_OGDHL_HUMAN_.pdf")</f>
        <v>Melting_Curves/meltCurve_sp_Q9ULD0_OGDHL_HUMAN_.pdf</v>
      </c>
      <c r="AA3730" t="s">
        <v>17889</v>
      </c>
      <c r="AB3730" t="s">
        <v>22563</v>
      </c>
    </row>
    <row r="3731" spans="1:28" x14ac:dyDescent="0.25">
      <c r="A3731" t="s">
        <v>3735</v>
      </c>
      <c r="B3731">
        <v>0.99904790336628502</v>
      </c>
      <c r="C3731">
        <v>1.03189874061443</v>
      </c>
      <c r="D3731">
        <v>1.0703949713032099</v>
      </c>
      <c r="E3731">
        <v>0.93093418962444396</v>
      </c>
      <c r="F3731">
        <v>0.83573562862248096</v>
      </c>
      <c r="G3731">
        <v>0.554959857828352</v>
      </c>
      <c r="H3731">
        <v>0.42151071346032898</v>
      </c>
      <c r="I3731">
        <v>0.36674324660067698</v>
      </c>
      <c r="J3731">
        <v>0.334121480044481</v>
      </c>
      <c r="K3731">
        <v>0.26920441054447503</v>
      </c>
      <c r="L3731">
        <v>1148.7017270317101</v>
      </c>
      <c r="M3731">
        <v>20.560882349940002</v>
      </c>
      <c r="N3731">
        <v>58.433717714675097</v>
      </c>
      <c r="O3731">
        <v>55.347877213560601</v>
      </c>
      <c r="P3731">
        <v>-6.5266201722596104E-2</v>
      </c>
      <c r="Q3731">
        <v>0.29725965284407102</v>
      </c>
      <c r="R3731">
        <v>0.98865811410264404</v>
      </c>
      <c r="S3731" t="s">
        <v>8471</v>
      </c>
      <c r="T3731" t="s">
        <v>9478</v>
      </c>
      <c r="U3731" t="s">
        <v>9478</v>
      </c>
      <c r="V3731" t="s">
        <v>9478</v>
      </c>
      <c r="W3731">
        <v>8</v>
      </c>
      <c r="X3731" t="s">
        <v>13209</v>
      </c>
      <c r="Y3731">
        <v>0.67772400246704312</v>
      </c>
      <c r="Z3731" t="str">
        <f>HYPERLINK("Melting_Curves/meltCurve_sp_Q9ULD2_2_MTUS1_HUMAN_.pdf", "Melting_Curves/meltCurve_sp_Q9ULD2_2_MTUS1_HUMAN_.pdf")</f>
        <v>Melting_Curves/meltCurve_sp_Q9ULD2_2_MTUS1_HUMAN_.pdf</v>
      </c>
      <c r="AA3731" t="s">
        <v>17890</v>
      </c>
      <c r="AB3731" t="s">
        <v>22564</v>
      </c>
    </row>
    <row r="3732" spans="1:28" x14ac:dyDescent="0.25">
      <c r="A3732" t="s">
        <v>3736</v>
      </c>
      <c r="B3732">
        <v>0.99904790336628502</v>
      </c>
      <c r="C3732">
        <v>1.0079734034919801</v>
      </c>
      <c r="D3732">
        <v>0.89000834534116002</v>
      </c>
      <c r="E3732">
        <v>0.85444565377932802</v>
      </c>
      <c r="F3732">
        <v>0.91895878886947702</v>
      </c>
      <c r="G3732">
        <v>0.63390560132493701</v>
      </c>
      <c r="H3732">
        <v>0.57442387858256005</v>
      </c>
      <c r="I3732">
        <v>0.57779101472529704</v>
      </c>
      <c r="J3732">
        <v>0.64086642222329004</v>
      </c>
      <c r="K3732">
        <v>0.64616787369458994</v>
      </c>
      <c r="L3732">
        <v>965.21029425110999</v>
      </c>
      <c r="M3732">
        <v>18.102961325604898</v>
      </c>
      <c r="O3732">
        <v>52.679954198885603</v>
      </c>
      <c r="P3732">
        <v>-3.5074415905456902E-2</v>
      </c>
      <c r="Q3732">
        <v>0.59175076244675795</v>
      </c>
      <c r="R3732">
        <v>0.87720165979799603</v>
      </c>
      <c r="S3732" t="s">
        <v>8472</v>
      </c>
      <c r="T3732" t="s">
        <v>9478</v>
      </c>
      <c r="U3732" t="s">
        <v>9478</v>
      </c>
      <c r="V3732" t="s">
        <v>9478</v>
      </c>
      <c r="W3732">
        <v>8</v>
      </c>
      <c r="X3732" t="s">
        <v>13210</v>
      </c>
      <c r="Y3732">
        <v>0.77956627044627802</v>
      </c>
      <c r="Z3732" t="str">
        <f>HYPERLINK("Melting_Curves/meltCurve_sp_Q9ULH7_4_MKL2_HUMAN_.pdf", "Melting_Curves/meltCurve_sp_Q9ULH7_4_MKL2_HUMAN_.pdf")</f>
        <v>Melting_Curves/meltCurve_sp_Q9ULH7_4_MKL2_HUMAN_.pdf</v>
      </c>
      <c r="AA3732" t="s">
        <v>17891</v>
      </c>
      <c r="AB3732" t="s">
        <v>22565</v>
      </c>
    </row>
    <row r="3733" spans="1:28" x14ac:dyDescent="0.25">
      <c r="A3733" t="s">
        <v>3737</v>
      </c>
      <c r="B3733">
        <v>0.99904790336628502</v>
      </c>
      <c r="C3733">
        <v>0.99142847189234196</v>
      </c>
      <c r="D3733">
        <v>0.90457893432047898</v>
      </c>
      <c r="E3733">
        <v>0.85931287189601202</v>
      </c>
      <c r="F3733">
        <v>0.77757719837096095</v>
      </c>
      <c r="G3733">
        <v>0.54957586046081097</v>
      </c>
      <c r="H3733">
        <v>0.31989700810085803</v>
      </c>
      <c r="I3733">
        <v>0.159133436262199</v>
      </c>
      <c r="J3733">
        <v>3.17701173026326E-2</v>
      </c>
      <c r="K3733">
        <v>5.0954816392248803E-2</v>
      </c>
      <c r="L3733">
        <v>861.58613368300405</v>
      </c>
      <c r="M3733">
        <v>15.0302258630038</v>
      </c>
      <c r="N3733">
        <v>57.323565366252801</v>
      </c>
      <c r="O3733">
        <v>56.337544548300201</v>
      </c>
      <c r="P3733">
        <v>-6.6703885038973995E-2</v>
      </c>
      <c r="Q3733">
        <v>0</v>
      </c>
      <c r="R3733">
        <v>0.99000390903424595</v>
      </c>
      <c r="S3733" t="s">
        <v>8473</v>
      </c>
      <c r="T3733" t="s">
        <v>9478</v>
      </c>
      <c r="U3733" t="s">
        <v>9478</v>
      </c>
      <c r="V3733" t="s">
        <v>9478</v>
      </c>
      <c r="W3733">
        <v>2</v>
      </c>
      <c r="X3733" t="s">
        <v>13211</v>
      </c>
      <c r="Y3733">
        <v>0.59254040977459033</v>
      </c>
      <c r="Z3733" t="str">
        <f>HYPERLINK("Melting_Curves/meltCurve_sp_Q9ULJ6_ZMIZ1_HUMAN_.pdf", "Melting_Curves/meltCurve_sp_Q9ULJ6_ZMIZ1_HUMAN_.pdf")</f>
        <v>Melting_Curves/meltCurve_sp_Q9ULJ6_ZMIZ1_HUMAN_.pdf</v>
      </c>
      <c r="AA3733" t="s">
        <v>17892</v>
      </c>
      <c r="AB3733" t="s">
        <v>22566</v>
      </c>
    </row>
    <row r="3734" spans="1:28" x14ac:dyDescent="0.25">
      <c r="A3734" t="s">
        <v>3738</v>
      </c>
      <c r="B3734">
        <v>0.99904790336628502</v>
      </c>
      <c r="C3734">
        <v>0.97504665420026304</v>
      </c>
      <c r="D3734">
        <v>0.89182156790408895</v>
      </c>
      <c r="E3734">
        <v>0.38139669647798902</v>
      </c>
      <c r="F3734">
        <v>0.13720880187218101</v>
      </c>
      <c r="G3734">
        <v>7.7388694542832107E-2</v>
      </c>
      <c r="H3734">
        <v>4.9914609341394099E-2</v>
      </c>
      <c r="I3734">
        <v>4.2747648536607299E-2</v>
      </c>
      <c r="J3734">
        <v>4.2069343307355997E-2</v>
      </c>
      <c r="K3734">
        <v>3.1491577568906401E-2</v>
      </c>
      <c r="L3734">
        <v>1478.08101207498</v>
      </c>
      <c r="M3734">
        <v>30.149689759008499</v>
      </c>
      <c r="N3734">
        <v>49.178790932390001</v>
      </c>
      <c r="O3734">
        <v>48.8105896563494</v>
      </c>
      <c r="P3734">
        <v>-0.14746507587640301</v>
      </c>
      <c r="Q3734">
        <v>4.5056663544033301E-2</v>
      </c>
      <c r="R3734">
        <v>0.99951117904303499</v>
      </c>
      <c r="S3734" t="s">
        <v>8474</v>
      </c>
      <c r="T3734" t="s">
        <v>9478</v>
      </c>
      <c r="U3734" t="s">
        <v>9478</v>
      </c>
      <c r="V3734" t="s">
        <v>9478</v>
      </c>
      <c r="W3734">
        <v>14</v>
      </c>
      <c r="X3734" t="s">
        <v>13212</v>
      </c>
      <c r="Y3734">
        <v>0.3380867344555642</v>
      </c>
      <c r="Z3734" t="str">
        <f>HYPERLINK("Melting_Curves/meltCurve_sp_Q9ULP9_2_TBC24_HUMAN_.pdf", "Melting_Curves/meltCurve_sp_Q9ULP9_2_TBC24_HUMAN_.pdf")</f>
        <v>Melting_Curves/meltCurve_sp_Q9ULP9_2_TBC24_HUMAN_.pdf</v>
      </c>
      <c r="AA3734" t="s">
        <v>17893</v>
      </c>
      <c r="AB3734" t="s">
        <v>22567</v>
      </c>
    </row>
    <row r="3735" spans="1:28" x14ac:dyDescent="0.25">
      <c r="A3735" t="s">
        <v>3739</v>
      </c>
      <c r="B3735">
        <v>0.99904790336628502</v>
      </c>
      <c r="C3735">
        <v>0.99037019638536306</v>
      </c>
      <c r="D3735">
        <v>0.95803323783924899</v>
      </c>
      <c r="E3735">
        <v>0.91687448319071396</v>
      </c>
      <c r="F3735">
        <v>0.82496073148709004</v>
      </c>
      <c r="G3735">
        <v>0.665474018565132</v>
      </c>
      <c r="H3735">
        <v>0.62975148707303796</v>
      </c>
      <c r="I3735">
        <v>0.57991760460450303</v>
      </c>
      <c r="J3735">
        <v>0.64659837419570898</v>
      </c>
      <c r="K3735">
        <v>0.65330644286296302</v>
      </c>
      <c r="L3735">
        <v>1272.2653157157599</v>
      </c>
      <c r="M3735">
        <v>24.039007065719399</v>
      </c>
      <c r="O3735">
        <v>52.562878339148298</v>
      </c>
      <c r="P3735">
        <v>-4.3399201610367803E-2</v>
      </c>
      <c r="Q3735">
        <v>0.62042517277571596</v>
      </c>
      <c r="R3735">
        <v>0.97869631038821603</v>
      </c>
      <c r="S3735" t="s">
        <v>8475</v>
      </c>
      <c r="T3735" t="s">
        <v>9478</v>
      </c>
      <c r="U3735" t="s">
        <v>9478</v>
      </c>
      <c r="V3735" t="s">
        <v>9478</v>
      </c>
      <c r="W3735">
        <v>2</v>
      </c>
      <c r="X3735" t="s">
        <v>13213</v>
      </c>
      <c r="Y3735">
        <v>0.78771764126909816</v>
      </c>
      <c r="Z3735" t="str">
        <f>HYPERLINK("Melting_Curves/meltCurve_sp_Q9ULR5_PAI2B_HUMAN_.pdf", "Melting_Curves/meltCurve_sp_Q9ULR5_PAI2B_HUMAN_.pdf")</f>
        <v>Melting_Curves/meltCurve_sp_Q9ULR5_PAI2B_HUMAN_.pdf</v>
      </c>
      <c r="AA3735" t="s">
        <v>17894</v>
      </c>
      <c r="AB3735" t="s">
        <v>22568</v>
      </c>
    </row>
    <row r="3736" spans="1:28" x14ac:dyDescent="0.25">
      <c r="A3736" t="s">
        <v>3740</v>
      </c>
      <c r="B3736">
        <v>0.99904790336628502</v>
      </c>
      <c r="C3736">
        <v>1.03603689452303</v>
      </c>
      <c r="D3736">
        <v>1.0385986280589199</v>
      </c>
      <c r="E3736">
        <v>0.73603752918376497</v>
      </c>
      <c r="F3736">
        <v>0.41855311459774402</v>
      </c>
      <c r="G3736">
        <v>0.21418661007991099</v>
      </c>
      <c r="H3736">
        <v>0.138303207317996</v>
      </c>
      <c r="I3736">
        <v>0.120443817376261</v>
      </c>
      <c r="J3736">
        <v>0.11302387852734699</v>
      </c>
      <c r="K3736">
        <v>9.5943115390549602E-2</v>
      </c>
      <c r="L3736">
        <v>1398.25872284556</v>
      </c>
      <c r="M3736">
        <v>27.016851729586399</v>
      </c>
      <c r="N3736">
        <v>52.270090111068399</v>
      </c>
      <c r="O3736">
        <v>51.474017739064301</v>
      </c>
      <c r="P3736">
        <v>-0.11588339762396099</v>
      </c>
      <c r="Q3736">
        <v>0.11685894431932201</v>
      </c>
      <c r="R3736">
        <v>0.99494618395902601</v>
      </c>
      <c r="S3736" t="s">
        <v>8476</v>
      </c>
      <c r="T3736" t="s">
        <v>9478</v>
      </c>
      <c r="U3736" t="s">
        <v>9478</v>
      </c>
      <c r="V3736" t="s">
        <v>9478</v>
      </c>
      <c r="W3736">
        <v>21</v>
      </c>
      <c r="X3736" t="s">
        <v>13214</v>
      </c>
      <c r="Y3736">
        <v>0.46981827918766572</v>
      </c>
      <c r="Z3736" t="str">
        <f>HYPERLINK("Melting_Curves/meltCurve_sp_Q9ULT8_HECD1_HUMAN_.pdf", "Melting_Curves/meltCurve_sp_Q9ULT8_HECD1_HUMAN_.pdf")</f>
        <v>Melting_Curves/meltCurve_sp_Q9ULT8_HECD1_HUMAN_.pdf</v>
      </c>
      <c r="AA3736" t="s">
        <v>17895</v>
      </c>
      <c r="AB3736" t="s">
        <v>22569</v>
      </c>
    </row>
    <row r="3737" spans="1:28" x14ac:dyDescent="0.25">
      <c r="A3737" t="s">
        <v>3741</v>
      </c>
      <c r="B3737">
        <v>0.99904790336628502</v>
      </c>
      <c r="C3737">
        <v>1.2095405877943199</v>
      </c>
      <c r="D3737">
        <v>1.04822758742222</v>
      </c>
      <c r="E3737">
        <v>0.97429335801638495</v>
      </c>
      <c r="F3737">
        <v>1.0025029864770001</v>
      </c>
      <c r="G3737">
        <v>0.72460189599017599</v>
      </c>
      <c r="H3737">
        <v>0.67258470914813695</v>
      </c>
      <c r="I3737">
        <v>0.61463934680085197</v>
      </c>
      <c r="J3737">
        <v>0.74397938293830701</v>
      </c>
      <c r="K3737">
        <v>0.63643104674617001</v>
      </c>
      <c r="L3737">
        <v>14160.9039335405</v>
      </c>
      <c r="M3737">
        <v>250</v>
      </c>
      <c r="O3737">
        <v>56.639991096125698</v>
      </c>
      <c r="P3737">
        <v>-0.367553224452001</v>
      </c>
      <c r="Q3737">
        <v>0.66690861967016701</v>
      </c>
      <c r="R3737">
        <v>0.85404818711648001</v>
      </c>
      <c r="S3737" t="s">
        <v>8477</v>
      </c>
      <c r="T3737" t="s">
        <v>9478</v>
      </c>
      <c r="U3737" t="s">
        <v>9478</v>
      </c>
      <c r="V3737" t="s">
        <v>9478</v>
      </c>
      <c r="W3737">
        <v>2</v>
      </c>
      <c r="X3737" t="s">
        <v>13215</v>
      </c>
      <c r="Y3737">
        <v>0.85173656312500179</v>
      </c>
      <c r="Z3737" t="str">
        <f>HYPERLINK("Melting_Curves/meltCurve_sp_Q9ULU4_4_PKCB1_HUMAN_.pdf", "Melting_Curves/meltCurve_sp_Q9ULU4_4_PKCB1_HUMAN_.pdf")</f>
        <v>Melting_Curves/meltCurve_sp_Q9ULU4_4_PKCB1_HUMAN_.pdf</v>
      </c>
      <c r="AA3737" t="s">
        <v>17896</v>
      </c>
      <c r="AB3737" t="s">
        <v>22570</v>
      </c>
    </row>
    <row r="3738" spans="1:28" x14ac:dyDescent="0.25">
      <c r="A3738" t="s">
        <v>3742</v>
      </c>
      <c r="B3738">
        <v>0.99904790336628502</v>
      </c>
      <c r="C3738">
        <v>1.0961573826447499</v>
      </c>
      <c r="D3738">
        <v>1.13943229326678</v>
      </c>
      <c r="E3738">
        <v>1.0518140147027599</v>
      </c>
      <c r="F3738">
        <v>0.87130712117315501</v>
      </c>
      <c r="G3738">
        <v>0.42618970557653402</v>
      </c>
      <c r="H3738">
        <v>0.138205527151017</v>
      </c>
      <c r="I3738">
        <v>0.121616076100193</v>
      </c>
      <c r="J3738">
        <v>0.11847046501992201</v>
      </c>
      <c r="K3738">
        <v>0.13144321278643001</v>
      </c>
      <c r="L3738">
        <v>2023.81835865998</v>
      </c>
      <c r="M3738">
        <v>36.1753492747142</v>
      </c>
      <c r="N3738">
        <v>56.353895125606201</v>
      </c>
      <c r="O3738">
        <v>55.7745490676676</v>
      </c>
      <c r="P3738">
        <v>-0.14342056584107599</v>
      </c>
      <c r="Q3738">
        <v>0.115509028340849</v>
      </c>
      <c r="R3738">
        <v>0.98198732937266298</v>
      </c>
      <c r="S3738" t="s">
        <v>8478</v>
      </c>
      <c r="T3738" t="s">
        <v>9478</v>
      </c>
      <c r="U3738" t="s">
        <v>9478</v>
      </c>
      <c r="V3738" t="s">
        <v>9478</v>
      </c>
      <c r="W3738">
        <v>20</v>
      </c>
      <c r="X3738" t="s">
        <v>13216</v>
      </c>
      <c r="Y3738">
        <v>0.58974410199133886</v>
      </c>
      <c r="Z3738" t="str">
        <f>HYPERLINK("Melting_Curves/meltCurve_sp_Q9ULV4_COR1C_HUMAN_.pdf", "Melting_Curves/meltCurve_sp_Q9ULV4_COR1C_HUMAN_.pdf")</f>
        <v>Melting_Curves/meltCurve_sp_Q9ULV4_COR1C_HUMAN_.pdf</v>
      </c>
      <c r="AA3738" t="s">
        <v>17897</v>
      </c>
      <c r="AB3738" t="s">
        <v>22571</v>
      </c>
    </row>
    <row r="3739" spans="1:28" x14ac:dyDescent="0.25">
      <c r="A3739" t="s">
        <v>3743</v>
      </c>
      <c r="B3739">
        <v>0.99904790336628502</v>
      </c>
      <c r="C3739">
        <v>1.1889018783799601</v>
      </c>
      <c r="D3739">
        <v>0.97969360106611603</v>
      </c>
      <c r="E3739">
        <v>0.81331560638541001</v>
      </c>
      <c r="F3739">
        <v>1.01860241957033</v>
      </c>
      <c r="G3739">
        <v>0.75430579305140599</v>
      </c>
      <c r="H3739">
        <v>0.81473192443123998</v>
      </c>
      <c r="I3739">
        <v>1.07884036463162</v>
      </c>
      <c r="J3739">
        <v>1.2654018916737499</v>
      </c>
      <c r="K3739">
        <v>1.05615447012011</v>
      </c>
      <c r="L3739">
        <v>15000</v>
      </c>
      <c r="M3739">
        <v>234.33660501034899</v>
      </c>
      <c r="O3739">
        <v>64.005824062530493</v>
      </c>
      <c r="P3739">
        <v>0.14715812660557501</v>
      </c>
      <c r="Q3739">
        <v>1.1607768814692101</v>
      </c>
      <c r="R3739">
        <v>0.23532146175614899</v>
      </c>
      <c r="S3739" t="s">
        <v>8479</v>
      </c>
      <c r="T3739" t="s">
        <v>9478</v>
      </c>
      <c r="U3739" t="s">
        <v>9478</v>
      </c>
      <c r="V3739" t="s">
        <v>9478</v>
      </c>
      <c r="W3739">
        <v>1</v>
      </c>
      <c r="X3739" t="s">
        <v>13217</v>
      </c>
      <c r="Y3739">
        <v>1.0320786217694919</v>
      </c>
      <c r="Z3739" t="str">
        <f>HYPERLINK("Melting_Curves/meltCurve_sp_Q9ULW0_TPX2_HUMAN_.pdf", "Melting_Curves/meltCurve_sp_Q9ULW0_TPX2_HUMAN_.pdf")</f>
        <v>Melting_Curves/meltCurve_sp_Q9ULW0_TPX2_HUMAN_.pdf</v>
      </c>
      <c r="AA3739" t="s">
        <v>17898</v>
      </c>
      <c r="AB3739" t="s">
        <v>22572</v>
      </c>
    </row>
    <row r="3740" spans="1:28" x14ac:dyDescent="0.25">
      <c r="A3740" t="s">
        <v>3744</v>
      </c>
      <c r="B3740">
        <v>0.99904790336628502</v>
      </c>
      <c r="C3740">
        <v>0.50251954410611699</v>
      </c>
      <c r="D3740">
        <v>0.51881852859585798</v>
      </c>
      <c r="E3740">
        <v>0.61316712857854805</v>
      </c>
      <c r="F3740">
        <v>0.54873449487207204</v>
      </c>
      <c r="G3740">
        <v>0.47070231238159799</v>
      </c>
      <c r="H3740">
        <v>0.25866650890020199</v>
      </c>
      <c r="I3740">
        <v>0.14603065717518199</v>
      </c>
      <c r="J3740">
        <v>2.41107507755659E-2</v>
      </c>
      <c r="K3740">
        <v>0</v>
      </c>
      <c r="L3740">
        <v>325.18435004633898</v>
      </c>
      <c r="M3740">
        <v>6.4827641981971498</v>
      </c>
      <c r="N3740">
        <v>50.161372674321697</v>
      </c>
      <c r="O3740">
        <v>46.028544920223503</v>
      </c>
      <c r="P3740">
        <v>-3.5296922483340903E-2</v>
      </c>
      <c r="Q3740">
        <v>0</v>
      </c>
      <c r="R3740">
        <v>0.76492579024540897</v>
      </c>
      <c r="S3740" t="s">
        <v>8480</v>
      </c>
      <c r="T3740" t="s">
        <v>9478</v>
      </c>
      <c r="U3740" t="s">
        <v>9478</v>
      </c>
      <c r="V3740" t="s">
        <v>9478</v>
      </c>
      <c r="W3740">
        <v>3</v>
      </c>
      <c r="X3740" t="s">
        <v>13218</v>
      </c>
      <c r="Y3740">
        <v>0.41100135243078512</v>
      </c>
      <c r="Z3740" t="str">
        <f>HYPERLINK("Melting_Curves/meltCurve_sp_Q9ULZ3_2_ASC_HUMAN_.pdf", "Melting_Curves/meltCurve_sp_Q9ULZ3_2_ASC_HUMAN_.pdf")</f>
        <v>Melting_Curves/meltCurve_sp_Q9ULZ3_2_ASC_HUMAN_.pdf</v>
      </c>
      <c r="AA3740" t="s">
        <v>17899</v>
      </c>
      <c r="AB3740" t="s">
        <v>22573</v>
      </c>
    </row>
    <row r="3741" spans="1:28" x14ac:dyDescent="0.25">
      <c r="A3741" t="s">
        <v>3745</v>
      </c>
      <c r="B3741">
        <v>0.99904790336628502</v>
      </c>
      <c r="C3741">
        <v>1.0612868899953001</v>
      </c>
      <c r="D3741">
        <v>0.81276105183370295</v>
      </c>
      <c r="E3741">
        <v>0.845337065801125</v>
      </c>
      <c r="F3741">
        <v>0.87500943858807101</v>
      </c>
      <c r="G3741">
        <v>0.35273410430360602</v>
      </c>
      <c r="H3741">
        <v>0.20024821296610201</v>
      </c>
      <c r="I3741">
        <v>0.13988846814137501</v>
      </c>
      <c r="J3741">
        <v>0.37848458230941101</v>
      </c>
      <c r="K3741">
        <v>0</v>
      </c>
      <c r="L3741">
        <v>1790.78182191578</v>
      </c>
      <c r="M3741">
        <v>32.4896034200721</v>
      </c>
      <c r="N3741">
        <v>55.805611502769203</v>
      </c>
      <c r="O3741">
        <v>54.911054224897299</v>
      </c>
      <c r="P3741">
        <v>-0.123538379328757</v>
      </c>
      <c r="Q3741">
        <v>0.164829392979219</v>
      </c>
      <c r="R3741">
        <v>0.905452796544302</v>
      </c>
      <c r="S3741" t="s">
        <v>8481</v>
      </c>
      <c r="T3741" t="s">
        <v>9478</v>
      </c>
      <c r="U3741" t="s">
        <v>9478</v>
      </c>
      <c r="V3741" t="s">
        <v>9478</v>
      </c>
      <c r="W3741">
        <v>2</v>
      </c>
      <c r="X3741" t="s">
        <v>13219</v>
      </c>
      <c r="Y3741">
        <v>0.5904807589561355</v>
      </c>
      <c r="Z3741" t="str">
        <f>HYPERLINK("Melting_Curves/meltCurve_sp_Q9UMN6_MLL4_HUMAN_.pdf", "Melting_Curves/meltCurve_sp_Q9UMN6_MLL4_HUMAN_.pdf")</f>
        <v>Melting_Curves/meltCurve_sp_Q9UMN6_MLL4_HUMAN_.pdf</v>
      </c>
      <c r="AA3741" t="s">
        <v>17900</v>
      </c>
      <c r="AB3741" t="s">
        <v>22574</v>
      </c>
    </row>
    <row r="3742" spans="1:28" x14ac:dyDescent="0.25">
      <c r="A3742" t="s">
        <v>3746</v>
      </c>
      <c r="B3742">
        <v>0.99904790336628502</v>
      </c>
      <c r="C3742">
        <v>0.92808005247944503</v>
      </c>
      <c r="D3742">
        <v>0.90570194110385704</v>
      </c>
      <c r="E3742">
        <v>0.97033489160689002</v>
      </c>
      <c r="F3742">
        <v>1.0081679320169901</v>
      </c>
      <c r="G3742">
        <v>0.87169499729531097</v>
      </c>
      <c r="H3742">
        <v>0.76102469872231904</v>
      </c>
      <c r="I3742">
        <v>0.71430727800293004</v>
      </c>
      <c r="J3742">
        <v>0.68745404999591797</v>
      </c>
      <c r="K3742">
        <v>0.58946707924075104</v>
      </c>
      <c r="L3742">
        <v>650.31035641554399</v>
      </c>
      <c r="M3742">
        <v>10.119269512927699</v>
      </c>
      <c r="O3742">
        <v>61.906289898661903</v>
      </c>
      <c r="P3742">
        <v>-2.3342838912694602E-2</v>
      </c>
      <c r="Q3742">
        <v>0.42905075873790599</v>
      </c>
      <c r="R3742">
        <v>0.90411738907115902</v>
      </c>
      <c r="S3742" t="s">
        <v>8482</v>
      </c>
      <c r="T3742" t="s">
        <v>9478</v>
      </c>
      <c r="U3742" t="s">
        <v>9478</v>
      </c>
      <c r="V3742" t="s">
        <v>9478</v>
      </c>
      <c r="W3742">
        <v>7</v>
      </c>
      <c r="X3742" t="s">
        <v>13220</v>
      </c>
      <c r="Y3742">
        <v>0.8654827608329817</v>
      </c>
      <c r="Z3742" t="str">
        <f>HYPERLINK("Melting_Curves/meltCurve_sp_Q9UMS0_3_NFU1_HUMAN_.pdf", "Melting_Curves/meltCurve_sp_Q9UMS0_3_NFU1_HUMAN_.pdf")</f>
        <v>Melting_Curves/meltCurve_sp_Q9UMS0_3_NFU1_HUMAN_.pdf</v>
      </c>
      <c r="AA3742" t="s">
        <v>17901</v>
      </c>
      <c r="AB3742" t="s">
        <v>22575</v>
      </c>
    </row>
    <row r="3743" spans="1:28" x14ac:dyDescent="0.25">
      <c r="A3743" t="s">
        <v>3747</v>
      </c>
      <c r="B3743">
        <v>0.99904790336628502</v>
      </c>
      <c r="C3743">
        <v>1.05427565619882</v>
      </c>
      <c r="D3743">
        <v>1.07452575305906</v>
      </c>
      <c r="E3743">
        <v>0.99671587456132504</v>
      </c>
      <c r="F3743">
        <v>0.81283569595106198</v>
      </c>
      <c r="G3743">
        <v>0.53304475996328105</v>
      </c>
      <c r="H3743">
        <v>0.19764083091427301</v>
      </c>
      <c r="I3743">
        <v>9.5191217696535796E-2</v>
      </c>
      <c r="J3743">
        <v>4.5366007831725501E-2</v>
      </c>
      <c r="K3743">
        <v>3.9586286124794097E-2</v>
      </c>
      <c r="L3743">
        <v>1281.57681666075</v>
      </c>
      <c r="M3743">
        <v>22.454911446387602</v>
      </c>
      <c r="N3743">
        <v>57.160714967730698</v>
      </c>
      <c r="O3743">
        <v>56.626484768984596</v>
      </c>
      <c r="P3743">
        <v>-9.7465892480264299E-2</v>
      </c>
      <c r="Q3743">
        <v>1.6867857797209999E-2</v>
      </c>
      <c r="R3743">
        <v>0.99320054802582203</v>
      </c>
      <c r="S3743" t="s">
        <v>8483</v>
      </c>
      <c r="T3743" t="s">
        <v>9478</v>
      </c>
      <c r="U3743" t="s">
        <v>9478</v>
      </c>
      <c r="V3743" t="s">
        <v>9478</v>
      </c>
      <c r="W3743">
        <v>13</v>
      </c>
      <c r="X3743" t="s">
        <v>13221</v>
      </c>
      <c r="Y3743">
        <v>0.58671515550055398</v>
      </c>
      <c r="Z3743" t="str">
        <f>HYPERLINK("Melting_Curves/meltCurve_sp_Q9UMS4_PRP19_HUMAN_.pdf", "Melting_Curves/meltCurve_sp_Q9UMS4_PRP19_HUMAN_.pdf")</f>
        <v>Melting_Curves/meltCurve_sp_Q9UMS4_PRP19_HUMAN_.pdf</v>
      </c>
      <c r="AA3743" t="s">
        <v>17902</v>
      </c>
      <c r="AB3743" t="s">
        <v>22576</v>
      </c>
    </row>
    <row r="3744" spans="1:28" x14ac:dyDescent="0.25">
      <c r="A3744" t="s">
        <v>3748</v>
      </c>
      <c r="B3744">
        <v>0.99904790336628502</v>
      </c>
      <c r="C3744">
        <v>1.0098532183151601</v>
      </c>
      <c r="D3744">
        <v>0.97477960824652299</v>
      </c>
      <c r="E3744">
        <v>0.94028144427828297</v>
      </c>
      <c r="F3744">
        <v>0.80641631155689297</v>
      </c>
      <c r="G3744">
        <v>0.548575085014535</v>
      </c>
      <c r="H3744">
        <v>0.46482589199584501</v>
      </c>
      <c r="I3744">
        <v>0.45039441438684602</v>
      </c>
      <c r="J3744">
        <v>0.46259377196333001</v>
      </c>
      <c r="K3744">
        <v>0.43443260860465899</v>
      </c>
      <c r="L3744">
        <v>1491.37994512972</v>
      </c>
      <c r="M3744">
        <v>27.566545541352301</v>
      </c>
      <c r="N3744">
        <v>58.756774556166398</v>
      </c>
      <c r="O3744">
        <v>53.818794416532803</v>
      </c>
      <c r="P3744">
        <v>-7.12336782908293E-2</v>
      </c>
      <c r="Q3744">
        <v>0.44372068628102401</v>
      </c>
      <c r="R3744">
        <v>0.99824892539696397</v>
      </c>
      <c r="S3744" t="s">
        <v>8484</v>
      </c>
      <c r="T3744" t="s">
        <v>9478</v>
      </c>
      <c r="U3744" t="s">
        <v>9478</v>
      </c>
      <c r="V3744" t="s">
        <v>9478</v>
      </c>
      <c r="W3744">
        <v>8</v>
      </c>
      <c r="X3744" t="s">
        <v>13222</v>
      </c>
      <c r="Y3744">
        <v>0.70948964008880067</v>
      </c>
      <c r="Z3744" t="str">
        <f>HYPERLINK("Melting_Curves/meltCurve_sp_Q9UMX0_2_UBQL1_HUMAN_.pdf", "Melting_Curves/meltCurve_sp_Q9UMX0_2_UBQL1_HUMAN_.pdf")</f>
        <v>Melting_Curves/meltCurve_sp_Q9UMX0_2_UBQL1_HUMAN_.pdf</v>
      </c>
      <c r="AA3744" t="s">
        <v>17903</v>
      </c>
      <c r="AB3744" t="s">
        <v>22577</v>
      </c>
    </row>
    <row r="3745" spans="1:28" x14ac:dyDescent="0.25">
      <c r="A3745" t="s">
        <v>3749</v>
      </c>
      <c r="B3745">
        <v>0.99904790336628502</v>
      </c>
      <c r="C3745">
        <v>0.88984805660639799</v>
      </c>
      <c r="D3745">
        <v>0.87410244258838699</v>
      </c>
      <c r="E3745">
        <v>0.88291323598777904</v>
      </c>
      <c r="F3745">
        <v>0.88757590116740603</v>
      </c>
      <c r="G3745">
        <v>0.75629334773946599</v>
      </c>
      <c r="H3745">
        <v>0.64376627699823796</v>
      </c>
      <c r="I3745">
        <v>0.590975484097783</v>
      </c>
      <c r="J3745">
        <v>0.53144693909716101</v>
      </c>
      <c r="K3745">
        <v>0.52849425152702101</v>
      </c>
      <c r="L3745">
        <v>327.946178339357</v>
      </c>
      <c r="M3745">
        <v>4.67867705890834</v>
      </c>
      <c r="O3745">
        <v>60.1877837371865</v>
      </c>
      <c r="P3745">
        <v>-1.9582872677871101E-2</v>
      </c>
      <c r="Q3745">
        <v>0</v>
      </c>
      <c r="R3745">
        <v>0.94788167641644805</v>
      </c>
      <c r="S3745" t="s">
        <v>8485</v>
      </c>
      <c r="T3745" t="s">
        <v>9478</v>
      </c>
      <c r="U3745" t="s">
        <v>9478</v>
      </c>
      <c r="V3745" t="s">
        <v>9478</v>
      </c>
      <c r="W3745">
        <v>9</v>
      </c>
      <c r="X3745" t="s">
        <v>13223</v>
      </c>
      <c r="Y3745">
        <v>0.76684500001423428</v>
      </c>
      <c r="Z3745" t="str">
        <f>HYPERLINK("Melting_Curves/meltCurve_sp_Q9UMX5_NENF_HUMAN_.pdf", "Melting_Curves/meltCurve_sp_Q9UMX5_NENF_HUMAN_.pdf")</f>
        <v>Melting_Curves/meltCurve_sp_Q9UMX5_NENF_HUMAN_.pdf</v>
      </c>
      <c r="AA3745" t="s">
        <v>17904</v>
      </c>
      <c r="AB3745" t="s">
        <v>22578</v>
      </c>
    </row>
    <row r="3746" spans="1:28" x14ac:dyDescent="0.25">
      <c r="A3746" t="s">
        <v>3750</v>
      </c>
      <c r="B3746">
        <v>0.99904790336628502</v>
      </c>
      <c r="C3746">
        <v>0.94544694502536497</v>
      </c>
      <c r="D3746">
        <v>0.88970798945807605</v>
      </c>
      <c r="E3746">
        <v>0.87598975491922404</v>
      </c>
      <c r="F3746">
        <v>0.78406544940201095</v>
      </c>
      <c r="G3746">
        <v>0.39418268691728198</v>
      </c>
      <c r="H3746">
        <v>0.16006779835552601</v>
      </c>
      <c r="I3746">
        <v>0.11949937274691699</v>
      </c>
      <c r="J3746">
        <v>0.110527260453036</v>
      </c>
      <c r="K3746">
        <v>0.10235019598451101</v>
      </c>
      <c r="L3746">
        <v>1189.57085595689</v>
      </c>
      <c r="M3746">
        <v>21.4969679921515</v>
      </c>
      <c r="N3746">
        <v>55.773530635994703</v>
      </c>
      <c r="O3746">
        <v>54.864496823319698</v>
      </c>
      <c r="P3746">
        <v>-9.0367285379841997E-2</v>
      </c>
      <c r="Q3746">
        <v>7.7482123891565197E-2</v>
      </c>
      <c r="R3746">
        <v>0.98774996475749899</v>
      </c>
      <c r="S3746" t="s">
        <v>8486</v>
      </c>
      <c r="T3746" t="s">
        <v>9478</v>
      </c>
      <c r="U3746" t="s">
        <v>9478</v>
      </c>
      <c r="V3746" t="s">
        <v>9478</v>
      </c>
      <c r="W3746">
        <v>8</v>
      </c>
      <c r="X3746" t="s">
        <v>13224</v>
      </c>
      <c r="Y3746">
        <v>0.56001004493113771</v>
      </c>
      <c r="Z3746" t="str">
        <f>HYPERLINK("Melting_Curves/meltCurve_sp_Q9UMY4_2_SNX12_HUMAN_.pdf", "Melting_Curves/meltCurve_sp_Q9UMY4_2_SNX12_HUMAN_.pdf")</f>
        <v>Melting_Curves/meltCurve_sp_Q9UMY4_2_SNX12_HUMAN_.pdf</v>
      </c>
      <c r="AA3746" t="s">
        <v>17905</v>
      </c>
      <c r="AB3746" t="s">
        <v>22579</v>
      </c>
    </row>
    <row r="3747" spans="1:28" x14ac:dyDescent="0.25">
      <c r="A3747" t="s">
        <v>3751</v>
      </c>
      <c r="B3747">
        <v>0.99904790336628502</v>
      </c>
      <c r="C3747">
        <v>0.94588063523322596</v>
      </c>
      <c r="D3747">
        <v>0.91550275452642305</v>
      </c>
      <c r="E3747">
        <v>0.83574413516137103</v>
      </c>
      <c r="F3747">
        <v>0.66501645353019301</v>
      </c>
      <c r="G3747">
        <v>0.45499167283318098</v>
      </c>
      <c r="H3747">
        <v>0.38989987094851097</v>
      </c>
      <c r="I3747">
        <v>0.43336392232138699</v>
      </c>
      <c r="J3747">
        <v>0.40784091404691297</v>
      </c>
      <c r="K3747">
        <v>0.42837993256637802</v>
      </c>
      <c r="L3747">
        <v>1082.2710120867901</v>
      </c>
      <c r="M3747">
        <v>20.7910243796101</v>
      </c>
      <c r="N3747">
        <v>56.421451470938798</v>
      </c>
      <c r="O3747">
        <v>51.580331421635002</v>
      </c>
      <c r="P3747">
        <v>-6.0466935902144602E-2</v>
      </c>
      <c r="Q3747">
        <v>0.39996847579070699</v>
      </c>
      <c r="R3747">
        <v>0.98516984229683902</v>
      </c>
      <c r="S3747" t="s">
        <v>8487</v>
      </c>
      <c r="T3747" t="s">
        <v>9478</v>
      </c>
      <c r="U3747" t="s">
        <v>9478</v>
      </c>
      <c r="V3747" t="s">
        <v>9478</v>
      </c>
      <c r="W3747">
        <v>9</v>
      </c>
      <c r="X3747" t="s">
        <v>13225</v>
      </c>
      <c r="Y3747">
        <v>0.64881687604637706</v>
      </c>
      <c r="Z3747" t="str">
        <f>HYPERLINK("Melting_Curves/meltCurve_sp_Q9UMZ2_6_SYNRG_HUMAN_.pdf", "Melting_Curves/meltCurve_sp_Q9UMZ2_6_SYNRG_HUMAN_.pdf")</f>
        <v>Melting_Curves/meltCurve_sp_Q9UMZ2_6_SYNRG_HUMAN_.pdf</v>
      </c>
      <c r="AA3747" t="s">
        <v>17906</v>
      </c>
      <c r="AB3747" t="s">
        <v>22580</v>
      </c>
    </row>
    <row r="3748" spans="1:28" x14ac:dyDescent="0.25">
      <c r="A3748" t="s">
        <v>3752</v>
      </c>
      <c r="B3748">
        <v>0.99904790336628502</v>
      </c>
      <c r="C3748">
        <v>0.93798055581280004</v>
      </c>
      <c r="D3748">
        <v>0.948735552617886</v>
      </c>
      <c r="E3748">
        <v>0.92070063670540603</v>
      </c>
      <c r="F3748">
        <v>0.95642378614405998</v>
      </c>
      <c r="G3748">
        <v>0.49206075915291497</v>
      </c>
      <c r="H3748">
        <v>0.12087077133806599</v>
      </c>
      <c r="I3748">
        <v>6.2571383679589504E-2</v>
      </c>
      <c r="J3748">
        <v>4.7777895805112602E-2</v>
      </c>
      <c r="K3748">
        <v>3.6690928327064803E-2</v>
      </c>
      <c r="L3748">
        <v>2066.2128085375598</v>
      </c>
      <c r="M3748">
        <v>36.352887208910197</v>
      </c>
      <c r="N3748">
        <v>56.977838477957597</v>
      </c>
      <c r="O3748">
        <v>56.666484117644202</v>
      </c>
      <c r="P3748">
        <v>-0.15352102823743599</v>
      </c>
      <c r="Q3748">
        <v>4.2775340115200899E-2</v>
      </c>
      <c r="R3748">
        <v>0.99300531289621197</v>
      </c>
      <c r="S3748" t="s">
        <v>8488</v>
      </c>
      <c r="T3748" t="s">
        <v>9478</v>
      </c>
      <c r="U3748" t="s">
        <v>9478</v>
      </c>
      <c r="V3748" t="s">
        <v>9478</v>
      </c>
      <c r="W3748">
        <v>11</v>
      </c>
      <c r="X3748" t="s">
        <v>13226</v>
      </c>
      <c r="Y3748">
        <v>0.58449821031939042</v>
      </c>
      <c r="Z3748" t="str">
        <f>HYPERLINK("Melting_Curves/meltCurve_sp_Q9UN36_NDRG2_HUMAN_.pdf", "Melting_Curves/meltCurve_sp_Q9UN36_NDRG2_HUMAN_.pdf")</f>
        <v>Melting_Curves/meltCurve_sp_Q9UN36_NDRG2_HUMAN_.pdf</v>
      </c>
      <c r="AA3748" t="s">
        <v>17907</v>
      </c>
      <c r="AB3748" t="s">
        <v>22581</v>
      </c>
    </row>
    <row r="3749" spans="1:28" x14ac:dyDescent="0.25">
      <c r="A3749" t="s">
        <v>3753</v>
      </c>
      <c r="B3749">
        <v>0.99904790336628502</v>
      </c>
      <c r="C3749">
        <v>0.94570408707724396</v>
      </c>
      <c r="D3749">
        <v>0.89081444579579705</v>
      </c>
      <c r="E3749">
        <v>0.84580450237867699</v>
      </c>
      <c r="F3749">
        <v>0.67472123240430704</v>
      </c>
      <c r="G3749">
        <v>0.42972129856183899</v>
      </c>
      <c r="H3749">
        <v>0.28936767290632498</v>
      </c>
      <c r="I3749">
        <v>0.246412626931582</v>
      </c>
      <c r="J3749">
        <v>0.26795129284876801</v>
      </c>
      <c r="K3749">
        <v>0.28377872950897098</v>
      </c>
      <c r="L3749">
        <v>925.38107805207005</v>
      </c>
      <c r="M3749">
        <v>17.267166477318298</v>
      </c>
      <c r="N3749">
        <v>55.615340933063599</v>
      </c>
      <c r="O3749">
        <v>52.888639690966997</v>
      </c>
      <c r="P3749">
        <v>-6.2587889236606603E-2</v>
      </c>
      <c r="Q3749">
        <v>0.23322776781468699</v>
      </c>
      <c r="R3749">
        <v>0.98820502728663895</v>
      </c>
      <c r="S3749" t="s">
        <v>8489</v>
      </c>
      <c r="T3749" t="s">
        <v>9478</v>
      </c>
      <c r="U3749" t="s">
        <v>9478</v>
      </c>
      <c r="V3749" t="s">
        <v>9478</v>
      </c>
      <c r="W3749">
        <v>9</v>
      </c>
      <c r="X3749" t="s">
        <v>13227</v>
      </c>
      <c r="Y3749">
        <v>0.59382539733948059</v>
      </c>
      <c r="Z3749" t="str">
        <f>HYPERLINK("Melting_Curves/meltCurve_sp_Q9UN86_2_G3BP2_HUMAN_.pdf", "Melting_Curves/meltCurve_sp_Q9UN86_2_G3BP2_HUMAN_.pdf")</f>
        <v>Melting_Curves/meltCurve_sp_Q9UN86_2_G3BP2_HUMAN_.pdf</v>
      </c>
      <c r="AA3749" t="s">
        <v>17908</v>
      </c>
      <c r="AB3749" t="s">
        <v>22582</v>
      </c>
    </row>
    <row r="3750" spans="1:28" x14ac:dyDescent="0.25">
      <c r="A3750" t="s">
        <v>3754</v>
      </c>
      <c r="B3750">
        <v>0.99904790336628502</v>
      </c>
      <c r="C3750">
        <v>0.91410050393575204</v>
      </c>
      <c r="D3750">
        <v>0.77052543827665099</v>
      </c>
      <c r="E3750">
        <v>0.51092574694598303</v>
      </c>
      <c r="F3750">
        <v>0.36167987652739803</v>
      </c>
      <c r="G3750">
        <v>0.21416043391615</v>
      </c>
      <c r="H3750">
        <v>0.14015749353581899</v>
      </c>
      <c r="I3750">
        <v>0.110364657803008</v>
      </c>
      <c r="J3750">
        <v>9.2697152259043694E-2</v>
      </c>
      <c r="K3750">
        <v>8.5607853225482894E-2</v>
      </c>
      <c r="L3750">
        <v>692.52629816735896</v>
      </c>
      <c r="M3750">
        <v>13.9062002191127</v>
      </c>
      <c r="N3750">
        <v>50.357518272998099</v>
      </c>
      <c r="O3750">
        <v>48.803901590881203</v>
      </c>
      <c r="P3750">
        <v>-6.6160226692427396E-2</v>
      </c>
      <c r="Q3750">
        <v>7.1367164871070907E-2</v>
      </c>
      <c r="R3750">
        <v>0.99896483043006001</v>
      </c>
      <c r="S3750" t="s">
        <v>8490</v>
      </c>
      <c r="T3750" t="s">
        <v>9478</v>
      </c>
      <c r="U3750" t="s">
        <v>9478</v>
      </c>
      <c r="V3750" t="s">
        <v>9478</v>
      </c>
      <c r="W3750">
        <v>12</v>
      </c>
      <c r="X3750" t="s">
        <v>13228</v>
      </c>
      <c r="Y3750">
        <v>0.40018551381618789</v>
      </c>
      <c r="Z3750" t="str">
        <f>HYPERLINK("Melting_Curves/meltCurve_sp_Q9UNE7_CHIP_HUMAN_.pdf", "Melting_Curves/meltCurve_sp_Q9UNE7_CHIP_HUMAN_.pdf")</f>
        <v>Melting_Curves/meltCurve_sp_Q9UNE7_CHIP_HUMAN_.pdf</v>
      </c>
      <c r="AA3750" t="s">
        <v>17909</v>
      </c>
      <c r="AB3750" t="s">
        <v>22583</v>
      </c>
    </row>
    <row r="3751" spans="1:28" x14ac:dyDescent="0.25">
      <c r="A3751" t="s">
        <v>3755</v>
      </c>
      <c r="B3751">
        <v>0.99904790336628502</v>
      </c>
      <c r="C3751">
        <v>0.95116308040528696</v>
      </c>
      <c r="D3751">
        <v>0.94868785788162502</v>
      </c>
      <c r="E3751">
        <v>0.62566352520265001</v>
      </c>
      <c r="F3751">
        <v>0.477730050007725</v>
      </c>
      <c r="G3751">
        <v>0.289173594651295</v>
      </c>
      <c r="H3751">
        <v>0.21295686646940601</v>
      </c>
      <c r="I3751">
        <v>0.179314202137004</v>
      </c>
      <c r="J3751">
        <v>0.161703200701729</v>
      </c>
      <c r="K3751">
        <v>0.16857089811356901</v>
      </c>
      <c r="L3751">
        <v>897.38990563336802</v>
      </c>
      <c r="M3751">
        <v>17.522626252917298</v>
      </c>
      <c r="N3751">
        <v>52.359817594157597</v>
      </c>
      <c r="O3751">
        <v>50.560146068024899</v>
      </c>
      <c r="P3751">
        <v>-7.2841050421212999E-2</v>
      </c>
      <c r="Q3751">
        <v>0.15933761443151001</v>
      </c>
      <c r="R3751">
        <v>0.99521771039654905</v>
      </c>
      <c r="S3751" t="s">
        <v>8491</v>
      </c>
      <c r="T3751" t="s">
        <v>9478</v>
      </c>
      <c r="U3751" t="s">
        <v>9478</v>
      </c>
      <c r="V3751" t="s">
        <v>9478</v>
      </c>
      <c r="W3751">
        <v>17</v>
      </c>
      <c r="X3751" t="s">
        <v>13229</v>
      </c>
      <c r="Y3751">
        <v>0.48837384175812448</v>
      </c>
      <c r="Z3751" t="str">
        <f>HYPERLINK("Melting_Curves/meltCurve_sp_Q9UNF0_PACN2_HUMAN_.pdf", "Melting_Curves/meltCurve_sp_Q9UNF0_PACN2_HUMAN_.pdf")</f>
        <v>Melting_Curves/meltCurve_sp_Q9UNF0_PACN2_HUMAN_.pdf</v>
      </c>
      <c r="AA3751" t="s">
        <v>17910</v>
      </c>
      <c r="AB3751" t="s">
        <v>22584</v>
      </c>
    </row>
    <row r="3752" spans="1:28" x14ac:dyDescent="0.25">
      <c r="A3752" t="s">
        <v>3756</v>
      </c>
      <c r="B3752">
        <v>0.99904790336628502</v>
      </c>
      <c r="C3752">
        <v>0.91818849273567005</v>
      </c>
      <c r="D3752">
        <v>0.93214000714171497</v>
      </c>
      <c r="E3752">
        <v>0.84824375158232701</v>
      </c>
      <c r="F3752">
        <v>0.84512054575355899</v>
      </c>
      <c r="G3752">
        <v>0.614033167931891</v>
      </c>
      <c r="H3752">
        <v>0.49905892547425801</v>
      </c>
      <c r="I3752">
        <v>0.56866316212411905</v>
      </c>
      <c r="J3752">
        <v>0.60231018777671796</v>
      </c>
      <c r="K3752">
        <v>0.59589674914480895</v>
      </c>
      <c r="L3752">
        <v>922.49326942769903</v>
      </c>
      <c r="M3752">
        <v>17.498315877627999</v>
      </c>
      <c r="O3752">
        <v>52.044896509186202</v>
      </c>
      <c r="P3752">
        <v>-3.77558022994227E-2</v>
      </c>
      <c r="Q3752">
        <v>0.55083941490438904</v>
      </c>
      <c r="R3752">
        <v>0.91322665866430097</v>
      </c>
      <c r="S3752" t="s">
        <v>8492</v>
      </c>
      <c r="T3752" t="s">
        <v>9478</v>
      </c>
      <c r="U3752" t="s">
        <v>9478</v>
      </c>
      <c r="V3752" t="s">
        <v>9478</v>
      </c>
      <c r="W3752">
        <v>3</v>
      </c>
      <c r="X3752" t="s">
        <v>13230</v>
      </c>
      <c r="Y3752">
        <v>0.74900601636517017</v>
      </c>
      <c r="Z3752" t="str">
        <f>HYPERLINK("Melting_Curves/meltCurve_sp_Q9UNF1_MAGD2_HUMAN_.pdf", "Melting_Curves/meltCurve_sp_Q9UNF1_MAGD2_HUMAN_.pdf")</f>
        <v>Melting_Curves/meltCurve_sp_Q9UNF1_MAGD2_HUMAN_.pdf</v>
      </c>
      <c r="AA3752" t="s">
        <v>17911</v>
      </c>
      <c r="AB3752" t="s">
        <v>22585</v>
      </c>
    </row>
    <row r="3753" spans="1:28" x14ac:dyDescent="0.25">
      <c r="A3753" t="s">
        <v>3757</v>
      </c>
      <c r="B3753">
        <v>0.99904790336628502</v>
      </c>
      <c r="C3753">
        <v>0.85168127650056202</v>
      </c>
      <c r="D3753">
        <v>0.66355355293247598</v>
      </c>
      <c r="E3753">
        <v>0.45047191805528503</v>
      </c>
      <c r="F3753">
        <v>0.379987976702027</v>
      </c>
      <c r="G3753">
        <v>0.14619794155437299</v>
      </c>
      <c r="H3753">
        <v>0.121370782919868</v>
      </c>
      <c r="I3753">
        <v>7.9755248880408594E-2</v>
      </c>
      <c r="J3753">
        <v>6.0727277480847199E-2</v>
      </c>
      <c r="K3753">
        <v>5.58509565052231E-2</v>
      </c>
      <c r="L3753">
        <v>579.88207739685799</v>
      </c>
      <c r="M3753">
        <v>11.787272731347899</v>
      </c>
      <c r="N3753">
        <v>49.394955465312599</v>
      </c>
      <c r="O3753">
        <v>47.843707959588599</v>
      </c>
      <c r="P3753">
        <v>-6.0177467624478703E-2</v>
      </c>
      <c r="Q3753">
        <v>2.3228003158433E-2</v>
      </c>
      <c r="R3753">
        <v>0.99017738561608204</v>
      </c>
      <c r="S3753" t="s">
        <v>8493</v>
      </c>
      <c r="T3753" t="s">
        <v>9478</v>
      </c>
      <c r="U3753" t="s">
        <v>9478</v>
      </c>
      <c r="V3753" t="s">
        <v>9478</v>
      </c>
      <c r="W3753">
        <v>3</v>
      </c>
      <c r="X3753" t="s">
        <v>13231</v>
      </c>
      <c r="Y3753">
        <v>0.35915008279691368</v>
      </c>
      <c r="Z3753" t="str">
        <f>HYPERLINK("Melting_Curves/meltCurve_sp_Q9UNH6_SNX7_HUMAN_.pdf", "Melting_Curves/meltCurve_sp_Q9UNH6_SNX7_HUMAN_.pdf")</f>
        <v>Melting_Curves/meltCurve_sp_Q9UNH6_SNX7_HUMAN_.pdf</v>
      </c>
      <c r="AA3753" t="s">
        <v>17912</v>
      </c>
      <c r="AB3753" t="s">
        <v>22586</v>
      </c>
    </row>
    <row r="3754" spans="1:28" x14ac:dyDescent="0.25">
      <c r="A3754" t="s">
        <v>3758</v>
      </c>
      <c r="B3754">
        <v>0.99904790336628502</v>
      </c>
      <c r="C3754">
        <v>0.86238841568190105</v>
      </c>
      <c r="D3754">
        <v>0.66630521187225999</v>
      </c>
      <c r="E3754">
        <v>0.310728961164847</v>
      </c>
      <c r="F3754">
        <v>0.10226451658140601</v>
      </c>
      <c r="G3754">
        <v>4.7501171764344201E-2</v>
      </c>
      <c r="H3754">
        <v>2.6622332446650999E-2</v>
      </c>
      <c r="I3754">
        <v>1.6891559033875601E-2</v>
      </c>
      <c r="J3754">
        <v>1.5065464355868899E-2</v>
      </c>
      <c r="K3754">
        <v>1.04276010682704E-2</v>
      </c>
      <c r="L3754">
        <v>902.24099689478999</v>
      </c>
      <c r="M3754">
        <v>18.956833757884699</v>
      </c>
      <c r="N3754">
        <v>47.627767267076599</v>
      </c>
      <c r="O3754">
        <v>47.074369974120103</v>
      </c>
      <c r="P3754">
        <v>-0.100016857685455</v>
      </c>
      <c r="Q3754">
        <v>6.57680694437748E-3</v>
      </c>
      <c r="R3754">
        <v>0.99800455518204501</v>
      </c>
      <c r="S3754" t="s">
        <v>8494</v>
      </c>
      <c r="T3754" t="s">
        <v>9478</v>
      </c>
      <c r="U3754" t="s">
        <v>9478</v>
      </c>
      <c r="V3754" t="s">
        <v>9478</v>
      </c>
      <c r="W3754">
        <v>12</v>
      </c>
      <c r="X3754" t="s">
        <v>13232</v>
      </c>
      <c r="Y3754">
        <v>0.27405863074227998</v>
      </c>
      <c r="Z3754" t="str">
        <f>HYPERLINK("Melting_Curves/meltCurve_sp_Q9UNH7_SNX6_HUMAN_.pdf", "Melting_Curves/meltCurve_sp_Q9UNH7_SNX6_HUMAN_.pdf")</f>
        <v>Melting_Curves/meltCurve_sp_Q9UNH7_SNX6_HUMAN_.pdf</v>
      </c>
      <c r="AA3754" t="s">
        <v>17913</v>
      </c>
      <c r="AB3754" t="s">
        <v>22587</v>
      </c>
    </row>
    <row r="3755" spans="1:28" x14ac:dyDescent="0.25">
      <c r="A3755" t="s">
        <v>3759</v>
      </c>
      <c r="B3755">
        <v>0.99904790336628502</v>
      </c>
      <c r="C3755">
        <v>1.03591349932181</v>
      </c>
      <c r="D3755">
        <v>0.90375983332063403</v>
      </c>
      <c r="E3755">
        <v>0.64743231482897101</v>
      </c>
      <c r="F3755">
        <v>0.31723302159580102</v>
      </c>
      <c r="G3755">
        <v>0.117585738198004</v>
      </c>
      <c r="H3755">
        <v>6.4088886102483894E-2</v>
      </c>
      <c r="I3755">
        <v>4.3189710502930398E-2</v>
      </c>
      <c r="J3755">
        <v>3.6213587776134502E-2</v>
      </c>
      <c r="K3755">
        <v>3.1455305887958203E-2</v>
      </c>
      <c r="L3755">
        <v>1179.15265329166</v>
      </c>
      <c r="M3755">
        <v>23.082578478374</v>
      </c>
      <c r="N3755">
        <v>51.241455094587799</v>
      </c>
      <c r="O3755">
        <v>50.705296626277701</v>
      </c>
      <c r="P3755">
        <v>-0.109915637889758</v>
      </c>
      <c r="Q3755">
        <v>3.4214601181620702E-2</v>
      </c>
      <c r="R3755">
        <v>0.99803341970022796</v>
      </c>
      <c r="S3755" t="s">
        <v>8495</v>
      </c>
      <c r="T3755" t="s">
        <v>9478</v>
      </c>
      <c r="U3755" t="s">
        <v>9478</v>
      </c>
      <c r="V3755" t="s">
        <v>9478</v>
      </c>
      <c r="W3755">
        <v>17</v>
      </c>
      <c r="X3755" t="s">
        <v>13233</v>
      </c>
      <c r="Y3755">
        <v>0.40124695345378991</v>
      </c>
      <c r="Z3755" t="str">
        <f>HYPERLINK("Melting_Curves/meltCurve_sp_Q9UNM6_PSD13_HUMAN_.pdf", "Melting_Curves/meltCurve_sp_Q9UNM6_PSD13_HUMAN_.pdf")</f>
        <v>Melting_Curves/meltCurve_sp_Q9UNM6_PSD13_HUMAN_.pdf</v>
      </c>
      <c r="AA3755" t="s">
        <v>17914</v>
      </c>
      <c r="AB3755" t="s">
        <v>22588</v>
      </c>
    </row>
    <row r="3756" spans="1:28" x14ac:dyDescent="0.25">
      <c r="A3756" t="s">
        <v>3760</v>
      </c>
      <c r="B3756">
        <v>0.99904790336628502</v>
      </c>
      <c r="C3756">
        <v>0.99852401547025604</v>
      </c>
      <c r="D3756">
        <v>0.96550396791348203</v>
      </c>
      <c r="E3756">
        <v>0.95663814728594798</v>
      </c>
      <c r="F3756">
        <v>0.95797820107309295</v>
      </c>
      <c r="G3756">
        <v>0.79288627733110995</v>
      </c>
      <c r="H3756">
        <v>0.402216388923962</v>
      </c>
      <c r="I3756">
        <v>0.115576314718133</v>
      </c>
      <c r="J3756">
        <v>7.74200075866361E-2</v>
      </c>
      <c r="K3756">
        <v>7.7444477762647193E-2</v>
      </c>
      <c r="L3756">
        <v>1709.5232308979901</v>
      </c>
      <c r="M3756">
        <v>28.651683113280999</v>
      </c>
      <c r="N3756">
        <v>59.836194143600203</v>
      </c>
      <c r="O3756">
        <v>59.377330256951701</v>
      </c>
      <c r="P3756">
        <v>-0.115906823720148</v>
      </c>
      <c r="Q3756">
        <v>3.9193072739431303E-2</v>
      </c>
      <c r="R3756">
        <v>0.99584283039349497</v>
      </c>
      <c r="S3756" t="s">
        <v>8496</v>
      </c>
      <c r="T3756" t="s">
        <v>9478</v>
      </c>
      <c r="U3756" t="s">
        <v>9478</v>
      </c>
      <c r="V3756" t="s">
        <v>9478</v>
      </c>
      <c r="W3756">
        <v>15</v>
      </c>
      <c r="X3756" t="s">
        <v>13234</v>
      </c>
      <c r="Y3756">
        <v>0.6753656403957683</v>
      </c>
      <c r="Z3756" t="str">
        <f>HYPERLINK("Melting_Curves/meltCurve_sp_Q9UNN5_FAF1_HUMAN_.pdf", "Melting_Curves/meltCurve_sp_Q9UNN5_FAF1_HUMAN_.pdf")</f>
        <v>Melting_Curves/meltCurve_sp_Q9UNN5_FAF1_HUMAN_.pdf</v>
      </c>
      <c r="AA3756" t="s">
        <v>17915</v>
      </c>
      <c r="AB3756" t="s">
        <v>22589</v>
      </c>
    </row>
    <row r="3757" spans="1:28" x14ac:dyDescent="0.25">
      <c r="A3757" t="s">
        <v>3761</v>
      </c>
      <c r="B3757">
        <v>0.99904790336628502</v>
      </c>
      <c r="C3757">
        <v>0.96102889047187001</v>
      </c>
      <c r="D3757">
        <v>0.98395232508933905</v>
      </c>
      <c r="E3757">
        <v>0.96186598716428895</v>
      </c>
      <c r="F3757">
        <v>0.81367108984494096</v>
      </c>
      <c r="G3757">
        <v>0.42743817516159699</v>
      </c>
      <c r="H3757">
        <v>0.39684024227779202</v>
      </c>
      <c r="I3757">
        <v>0.20004962375746399</v>
      </c>
      <c r="J3757">
        <v>5.0917023659883501E-2</v>
      </c>
      <c r="K3757">
        <v>3.4942893923722899E-2</v>
      </c>
      <c r="L3757">
        <v>887.52728332558195</v>
      </c>
      <c r="M3757">
        <v>15.4250301642686</v>
      </c>
      <c r="N3757">
        <v>57.538123182945398</v>
      </c>
      <c r="O3757">
        <v>56.597075056964101</v>
      </c>
      <c r="P3757">
        <v>-6.8141449215799399E-2</v>
      </c>
      <c r="Q3757">
        <v>0</v>
      </c>
      <c r="R3757">
        <v>0.97903757279721404</v>
      </c>
      <c r="S3757" t="s">
        <v>8497</v>
      </c>
      <c r="T3757" t="s">
        <v>9478</v>
      </c>
      <c r="U3757" t="s">
        <v>9478</v>
      </c>
      <c r="V3757" t="s">
        <v>9478</v>
      </c>
      <c r="W3757">
        <v>14</v>
      </c>
      <c r="X3757" t="s">
        <v>13235</v>
      </c>
      <c r="Y3757">
        <v>0.59903316116241312</v>
      </c>
      <c r="Z3757" t="str">
        <f>HYPERLINK("Melting_Curves/meltCurve_sp_Q9UNS2_CSN3_HUMAN_.pdf", "Melting_Curves/meltCurve_sp_Q9UNS2_CSN3_HUMAN_.pdf")</f>
        <v>Melting_Curves/meltCurve_sp_Q9UNS2_CSN3_HUMAN_.pdf</v>
      </c>
      <c r="AA3757" t="s">
        <v>17916</v>
      </c>
      <c r="AB3757" t="s">
        <v>22590</v>
      </c>
    </row>
    <row r="3758" spans="1:28" x14ac:dyDescent="0.25">
      <c r="A3758" t="s">
        <v>3762</v>
      </c>
      <c r="B3758">
        <v>0.99904790336628502</v>
      </c>
      <c r="C3758">
        <v>1.0119240636337199</v>
      </c>
      <c r="D3758">
        <v>0.93493151595499202</v>
      </c>
      <c r="E3758">
        <v>0.90512097875923403</v>
      </c>
      <c r="F3758">
        <v>0.91745834990781905</v>
      </c>
      <c r="G3758">
        <v>0.763585119787202</v>
      </c>
      <c r="H3758">
        <v>0.53363750786491504</v>
      </c>
      <c r="I3758">
        <v>0.28616173756941199</v>
      </c>
      <c r="J3758">
        <v>9.6171467559003104E-2</v>
      </c>
      <c r="K3758">
        <v>6.6384067541040898E-2</v>
      </c>
      <c r="L3758">
        <v>1138.6791818588299</v>
      </c>
      <c r="M3758">
        <v>18.726400398937201</v>
      </c>
      <c r="N3758">
        <v>60.806091592515699</v>
      </c>
      <c r="O3758">
        <v>60.125410046275697</v>
      </c>
      <c r="P3758">
        <v>-7.7867206492466104E-2</v>
      </c>
      <c r="Q3758">
        <v>0</v>
      </c>
      <c r="R3758">
        <v>0.987232370063306</v>
      </c>
      <c r="S3758" t="s">
        <v>8498</v>
      </c>
      <c r="T3758" t="s">
        <v>9478</v>
      </c>
      <c r="U3758" t="s">
        <v>9478</v>
      </c>
      <c r="V3758" t="s">
        <v>9478</v>
      </c>
      <c r="W3758">
        <v>4</v>
      </c>
      <c r="X3758" t="s">
        <v>13236</v>
      </c>
      <c r="Y3758">
        <v>0.69976517989981535</v>
      </c>
      <c r="Z3758" t="str">
        <f>HYPERLINK("Melting_Curves/meltCurve_sp_Q9UNW1_MINP1_HUMAN_.pdf", "Melting_Curves/meltCurve_sp_Q9UNW1_MINP1_HUMAN_.pdf")</f>
        <v>Melting_Curves/meltCurve_sp_Q9UNW1_MINP1_HUMAN_.pdf</v>
      </c>
      <c r="AA3758" t="s">
        <v>17917</v>
      </c>
      <c r="AB3758" t="s">
        <v>22591</v>
      </c>
    </row>
    <row r="3759" spans="1:28" x14ac:dyDescent="0.25">
      <c r="A3759" t="s">
        <v>3763</v>
      </c>
      <c r="B3759">
        <v>0.99904790336628502</v>
      </c>
      <c r="C3759">
        <v>0.98914857303508497</v>
      </c>
      <c r="D3759">
        <v>0.93426655103771905</v>
      </c>
      <c r="E3759">
        <v>0.95835841969410096</v>
      </c>
      <c r="F3759">
        <v>0.902434991842054</v>
      </c>
      <c r="G3759">
        <v>0.75654610145072099</v>
      </c>
      <c r="H3759">
        <v>0.63132467357369004</v>
      </c>
      <c r="I3759">
        <v>0.55966191996244796</v>
      </c>
      <c r="J3759">
        <v>0.54040520167149897</v>
      </c>
      <c r="K3759">
        <v>0.50385621957427495</v>
      </c>
      <c r="L3759">
        <v>861.016979494878</v>
      </c>
      <c r="M3759">
        <v>14.9198081819747</v>
      </c>
      <c r="O3759">
        <v>56.702691989919899</v>
      </c>
      <c r="P3759">
        <v>-3.4887967921023298E-2</v>
      </c>
      <c r="Q3759">
        <v>0.46968838695031301</v>
      </c>
      <c r="R3759">
        <v>0.99059437098820102</v>
      </c>
      <c r="S3759" t="s">
        <v>8499</v>
      </c>
      <c r="T3759" t="s">
        <v>9478</v>
      </c>
      <c r="U3759" t="s">
        <v>9478</v>
      </c>
      <c r="V3759" t="s">
        <v>9478</v>
      </c>
      <c r="W3759">
        <v>23</v>
      </c>
      <c r="X3759" t="s">
        <v>13237</v>
      </c>
      <c r="Y3759">
        <v>0.7902738288859894</v>
      </c>
      <c r="Z3759" t="str">
        <f>HYPERLINK("Melting_Curves/meltCurve_sp_Q9UNZ2_NSF1C_HUMAN_.pdf", "Melting_Curves/meltCurve_sp_Q9UNZ2_NSF1C_HUMAN_.pdf")</f>
        <v>Melting_Curves/meltCurve_sp_Q9UNZ2_NSF1C_HUMAN_.pdf</v>
      </c>
      <c r="AA3759" t="s">
        <v>17918</v>
      </c>
      <c r="AB3759" t="s">
        <v>22592</v>
      </c>
    </row>
    <row r="3760" spans="1:28" x14ac:dyDescent="0.25">
      <c r="A3760" t="s">
        <v>3764</v>
      </c>
      <c r="B3760">
        <v>0.99904790336628502</v>
      </c>
      <c r="C3760">
        <v>0.96477633713383004</v>
      </c>
      <c r="D3760">
        <v>0.84113266129842701</v>
      </c>
      <c r="E3760">
        <v>0.34708310728206598</v>
      </c>
      <c r="F3760">
        <v>0.168858958281765</v>
      </c>
      <c r="G3760">
        <v>0.123285984212353</v>
      </c>
      <c r="H3760">
        <v>7.7432041028350801E-2</v>
      </c>
      <c r="I3760">
        <v>4.7680386582171198E-2</v>
      </c>
      <c r="J3760">
        <v>5.1810911457414101E-2</v>
      </c>
      <c r="K3760">
        <v>3.0331582600591E-2</v>
      </c>
      <c r="L3760">
        <v>1271.4935054657601</v>
      </c>
      <c r="M3760">
        <v>26.161464439209901</v>
      </c>
      <c r="N3760">
        <v>48.843445855335901</v>
      </c>
      <c r="O3760">
        <v>48.320455849014898</v>
      </c>
      <c r="P3760">
        <v>-0.12713823297984</v>
      </c>
      <c r="Q3760">
        <v>6.0708677993762797E-2</v>
      </c>
      <c r="R3760">
        <v>0.997266606673053</v>
      </c>
      <c r="S3760" t="s">
        <v>8500</v>
      </c>
      <c r="T3760" t="s">
        <v>9478</v>
      </c>
      <c r="U3760" t="s">
        <v>9478</v>
      </c>
      <c r="V3760" t="s">
        <v>9478</v>
      </c>
      <c r="W3760">
        <v>5</v>
      </c>
      <c r="X3760" t="s">
        <v>13238</v>
      </c>
      <c r="Y3760">
        <v>0.33758473436214981</v>
      </c>
      <c r="Z3760" t="str">
        <f>HYPERLINK("Melting_Curves/meltCurve_sp_Q9UP83_COG5_HUMAN_.pdf", "Melting_Curves/meltCurve_sp_Q9UP83_COG5_HUMAN_.pdf")</f>
        <v>Melting_Curves/meltCurve_sp_Q9UP83_COG5_HUMAN_.pdf</v>
      </c>
      <c r="AA3760" t="s">
        <v>17919</v>
      </c>
      <c r="AB3760" t="s">
        <v>22593</v>
      </c>
    </row>
    <row r="3761" spans="1:28" x14ac:dyDescent="0.25">
      <c r="A3761" t="s">
        <v>3765</v>
      </c>
      <c r="B3761">
        <v>0.99904790336628502</v>
      </c>
      <c r="C3761">
        <v>1.1703084506439401</v>
      </c>
      <c r="D3761">
        <v>1.1180649121942099</v>
      </c>
      <c r="E3761">
        <v>0.99241976836339796</v>
      </c>
      <c r="F3761">
        <v>1.2402941918027399</v>
      </c>
      <c r="G3761">
        <v>0.690292582760902</v>
      </c>
      <c r="H3761">
        <v>0.770818354308757</v>
      </c>
      <c r="I3761">
        <v>0.75988400444661997</v>
      </c>
      <c r="J3761">
        <v>0.96651289600054802</v>
      </c>
      <c r="K3761">
        <v>1.0237165595680799</v>
      </c>
      <c r="L3761">
        <v>3793.8771482296702</v>
      </c>
      <c r="M3761">
        <v>68.817318281737002</v>
      </c>
      <c r="O3761">
        <v>55.0831866852958</v>
      </c>
      <c r="P3761">
        <v>-4.8289619902522202E-2</v>
      </c>
      <c r="Q3761">
        <v>0.84539092070867805</v>
      </c>
      <c r="R3761">
        <v>0.35809703699826001</v>
      </c>
      <c r="S3761" t="s">
        <v>8501</v>
      </c>
      <c r="T3761" t="s">
        <v>9478</v>
      </c>
      <c r="U3761" t="s">
        <v>9478</v>
      </c>
      <c r="V3761" t="s">
        <v>9478</v>
      </c>
      <c r="W3761">
        <v>9</v>
      </c>
      <c r="X3761" t="s">
        <v>13239</v>
      </c>
      <c r="Y3761">
        <v>0.9235617619000368</v>
      </c>
      <c r="Z3761" t="str">
        <f>HYPERLINK("Melting_Curves/meltCurve_sp_Q9UPN6_SCAF8_HUMAN_.pdf", "Melting_Curves/meltCurve_sp_Q9UPN6_SCAF8_HUMAN_.pdf")</f>
        <v>Melting_Curves/meltCurve_sp_Q9UPN6_SCAF8_HUMAN_.pdf</v>
      </c>
      <c r="AA3761" t="s">
        <v>17920</v>
      </c>
      <c r="AB3761" t="s">
        <v>22594</v>
      </c>
    </row>
    <row r="3762" spans="1:28" x14ac:dyDescent="0.25">
      <c r="A3762" t="s">
        <v>3766</v>
      </c>
      <c r="B3762">
        <v>0.99904790336628502</v>
      </c>
      <c r="C3762">
        <v>1.04744163856146</v>
      </c>
      <c r="D3762">
        <v>1.0237562964136999</v>
      </c>
      <c r="E3762">
        <v>0.84447698047060005</v>
      </c>
      <c r="F3762">
        <v>0.65881491802997505</v>
      </c>
      <c r="G3762">
        <v>0.39232636322255099</v>
      </c>
      <c r="H3762">
        <v>0.16508474283896399</v>
      </c>
      <c r="I3762">
        <v>9.3156636886986305E-2</v>
      </c>
      <c r="J3762">
        <v>8.7097768050799301E-2</v>
      </c>
      <c r="K3762">
        <v>8.43440407547002E-2</v>
      </c>
      <c r="L3762">
        <v>1022.44608983912</v>
      </c>
      <c r="M3762">
        <v>18.655444675568699</v>
      </c>
      <c r="N3762">
        <v>55.141350771698797</v>
      </c>
      <c r="O3762">
        <v>54.188734581235202</v>
      </c>
      <c r="P3762">
        <v>-8.1465861708256607E-2</v>
      </c>
      <c r="Q3762">
        <v>5.3500370779723097E-2</v>
      </c>
      <c r="R3762">
        <v>0.99527868711924605</v>
      </c>
      <c r="S3762" t="s">
        <v>8502</v>
      </c>
      <c r="T3762" t="s">
        <v>9478</v>
      </c>
      <c r="U3762" t="s">
        <v>9478</v>
      </c>
      <c r="V3762" t="s">
        <v>9478</v>
      </c>
      <c r="W3762">
        <v>3</v>
      </c>
      <c r="X3762" t="s">
        <v>13240</v>
      </c>
      <c r="Y3762">
        <v>0.53468764991566176</v>
      </c>
      <c r="Z3762" t="str">
        <f>HYPERLINK("Melting_Curves/meltCurve_sp_Q9UPN7_PP6R1_HUMAN_.pdf", "Melting_Curves/meltCurve_sp_Q9UPN7_PP6R1_HUMAN_.pdf")</f>
        <v>Melting_Curves/meltCurve_sp_Q9UPN7_PP6R1_HUMAN_.pdf</v>
      </c>
      <c r="AA3762" t="s">
        <v>17921</v>
      </c>
      <c r="AB3762" t="s">
        <v>22595</v>
      </c>
    </row>
    <row r="3763" spans="1:28" x14ac:dyDescent="0.25">
      <c r="A3763" t="s">
        <v>3767</v>
      </c>
      <c r="B3763">
        <v>0.99904790336628502</v>
      </c>
      <c r="C3763">
        <v>0.89965207392051605</v>
      </c>
      <c r="D3763">
        <v>0.96856006909363102</v>
      </c>
      <c r="E3763">
        <v>0.57030667045808003</v>
      </c>
      <c r="F3763">
        <v>0.687403084475531</v>
      </c>
      <c r="G3763">
        <v>0.46388562790993099</v>
      </c>
      <c r="H3763">
        <v>0.32978027884914302</v>
      </c>
      <c r="I3763">
        <v>0.28118608952127999</v>
      </c>
      <c r="J3763">
        <v>0.311451616380857</v>
      </c>
      <c r="K3763">
        <v>0.204840823948849</v>
      </c>
      <c r="L3763">
        <v>541.908818539354</v>
      </c>
      <c r="M3763">
        <v>10.1468068862858</v>
      </c>
      <c r="N3763">
        <v>55.627642662087503</v>
      </c>
      <c r="O3763">
        <v>51.456998037231401</v>
      </c>
      <c r="P3763">
        <v>-4.1106347057927498E-2</v>
      </c>
      <c r="Q3763">
        <v>0.16654108826856401</v>
      </c>
      <c r="R3763">
        <v>0.94141968583203794</v>
      </c>
      <c r="S3763" t="s">
        <v>8503</v>
      </c>
      <c r="T3763" t="s">
        <v>9478</v>
      </c>
      <c r="U3763" t="s">
        <v>9478</v>
      </c>
      <c r="V3763" t="s">
        <v>9478</v>
      </c>
      <c r="W3763">
        <v>3</v>
      </c>
      <c r="X3763" t="s">
        <v>13241</v>
      </c>
      <c r="Y3763">
        <v>0.5658701654349324</v>
      </c>
      <c r="Z3763" t="str">
        <f>HYPERLINK("Melting_Curves/meltCurve_sp_Q9UPP1_4_PHF8_HUMAN_.pdf", "Melting_Curves/meltCurve_sp_Q9UPP1_4_PHF8_HUMAN_.pdf")</f>
        <v>Melting_Curves/meltCurve_sp_Q9UPP1_4_PHF8_HUMAN_.pdf</v>
      </c>
      <c r="AA3763" t="s">
        <v>17922</v>
      </c>
      <c r="AB3763" t="s">
        <v>22596</v>
      </c>
    </row>
    <row r="3764" spans="1:28" x14ac:dyDescent="0.25">
      <c r="A3764" t="s">
        <v>3768</v>
      </c>
      <c r="B3764">
        <v>0.99904790336628502</v>
      </c>
      <c r="C3764">
        <v>0.80137711951804802</v>
      </c>
      <c r="D3764">
        <v>0.94428073503709997</v>
      </c>
      <c r="E3764">
        <v>0.80535718938334699</v>
      </c>
      <c r="F3764">
        <v>0.90719776510948402</v>
      </c>
      <c r="G3764">
        <v>0.451329758792265</v>
      </c>
      <c r="H3764">
        <v>0.33359953768046802</v>
      </c>
      <c r="I3764">
        <v>0.30599770064121701</v>
      </c>
      <c r="J3764">
        <v>0.205561605780858</v>
      </c>
      <c r="K3764">
        <v>7.5758062566786494E-2</v>
      </c>
      <c r="L3764">
        <v>660.204700732893</v>
      </c>
      <c r="M3764">
        <v>11.3929606719897</v>
      </c>
      <c r="N3764">
        <v>57.948463949982099</v>
      </c>
      <c r="O3764">
        <v>56.249307153314902</v>
      </c>
      <c r="P3764">
        <v>-5.0650925420034097E-2</v>
      </c>
      <c r="Q3764">
        <v>0</v>
      </c>
      <c r="R3764">
        <v>0.92635961416525703</v>
      </c>
      <c r="S3764" t="s">
        <v>8504</v>
      </c>
      <c r="T3764" t="s">
        <v>9478</v>
      </c>
      <c r="U3764" t="s">
        <v>9478</v>
      </c>
      <c r="V3764" t="s">
        <v>9478</v>
      </c>
      <c r="W3764">
        <v>2</v>
      </c>
      <c r="X3764" t="s">
        <v>13242</v>
      </c>
      <c r="Y3764">
        <v>0.61066055051627477</v>
      </c>
      <c r="Z3764" t="str">
        <f>HYPERLINK("Melting_Curves/meltCurve_sp_Q9UPQ3_2_AGAP1_HUMAN_.pdf", "Melting_Curves/meltCurve_sp_Q9UPQ3_2_AGAP1_HUMAN_.pdf")</f>
        <v>Melting_Curves/meltCurve_sp_Q9UPQ3_2_AGAP1_HUMAN_.pdf</v>
      </c>
      <c r="AA3764" t="s">
        <v>17923</v>
      </c>
      <c r="AB3764" t="s">
        <v>22597</v>
      </c>
    </row>
    <row r="3765" spans="1:28" x14ac:dyDescent="0.25">
      <c r="A3765" t="s">
        <v>3769</v>
      </c>
      <c r="B3765">
        <v>0.99904790336628502</v>
      </c>
      <c r="C3765">
        <v>0.95566512257560599</v>
      </c>
      <c r="D3765">
        <v>0.95376485377210696</v>
      </c>
      <c r="E3765">
        <v>0.97028862455039</v>
      </c>
      <c r="F3765">
        <v>0.91799460513769005</v>
      </c>
      <c r="G3765">
        <v>0.74606422398402095</v>
      </c>
      <c r="H3765">
        <v>0.63061511042242402</v>
      </c>
      <c r="I3765">
        <v>0.592590119743725</v>
      </c>
      <c r="J3765">
        <v>0.58264704521003596</v>
      </c>
      <c r="K3765">
        <v>0.59248683449876305</v>
      </c>
      <c r="L3765">
        <v>1313.7907693177399</v>
      </c>
      <c r="M3765">
        <v>23.460438736671399</v>
      </c>
      <c r="O3765">
        <v>55.598142113766599</v>
      </c>
      <c r="P3765">
        <v>-4.4526428781982499E-2</v>
      </c>
      <c r="Q3765">
        <v>0.57792027878205698</v>
      </c>
      <c r="R3765">
        <v>0.98610705076440996</v>
      </c>
      <c r="S3765" t="s">
        <v>8505</v>
      </c>
      <c r="T3765" t="s">
        <v>9478</v>
      </c>
      <c r="U3765" t="s">
        <v>9478</v>
      </c>
      <c r="V3765" t="s">
        <v>9478</v>
      </c>
      <c r="W3765">
        <v>7</v>
      </c>
      <c r="X3765" t="s">
        <v>13243</v>
      </c>
      <c r="Y3765">
        <v>0.80732905883718487</v>
      </c>
      <c r="Z3765" t="str">
        <f>HYPERLINK("Melting_Curves/meltCurve_sp_Q9UPQ9_1_TNR6B_HUMAN_.pdf", "Melting_Curves/meltCurve_sp_Q9UPQ9_1_TNR6B_HUMAN_.pdf")</f>
        <v>Melting_Curves/meltCurve_sp_Q9UPQ9_1_TNR6B_HUMAN_.pdf</v>
      </c>
      <c r="AA3765" t="s">
        <v>17924</v>
      </c>
      <c r="AB3765" t="s">
        <v>22598</v>
      </c>
    </row>
    <row r="3766" spans="1:28" x14ac:dyDescent="0.25">
      <c r="A3766" t="s">
        <v>3770</v>
      </c>
      <c r="B3766">
        <v>0.99904790336628502</v>
      </c>
      <c r="C3766">
        <v>0.95647929667661202</v>
      </c>
      <c r="D3766">
        <v>1.0092803770210701</v>
      </c>
      <c r="E3766">
        <v>0.62983266413198902</v>
      </c>
      <c r="F3766">
        <v>0.44470782303866302</v>
      </c>
      <c r="G3766">
        <v>0.33809032131625699</v>
      </c>
      <c r="H3766">
        <v>0.20933792079669</v>
      </c>
      <c r="I3766">
        <v>0.163033290470465</v>
      </c>
      <c r="J3766">
        <v>0.14892175380338801</v>
      </c>
      <c r="K3766">
        <v>0.160510921819499</v>
      </c>
      <c r="L3766">
        <v>970.205076726274</v>
      </c>
      <c r="M3766">
        <v>18.910673929683199</v>
      </c>
      <c r="N3766">
        <v>52.386354443371999</v>
      </c>
      <c r="O3766">
        <v>50.7412446523008</v>
      </c>
      <c r="P3766">
        <v>-7.8115272324948096E-2</v>
      </c>
      <c r="Q3766">
        <v>0.16163639082797099</v>
      </c>
      <c r="R3766">
        <v>0.98522562203449204</v>
      </c>
      <c r="S3766" t="s">
        <v>8506</v>
      </c>
      <c r="T3766" t="s">
        <v>9478</v>
      </c>
      <c r="U3766" t="s">
        <v>9478</v>
      </c>
      <c r="V3766" t="s">
        <v>9478</v>
      </c>
      <c r="W3766">
        <v>2</v>
      </c>
      <c r="X3766" t="s">
        <v>13244</v>
      </c>
      <c r="Y3766">
        <v>0.49043278483229091</v>
      </c>
      <c r="Z3766" t="str">
        <f>HYPERLINK("Melting_Curves/meltCurve_sp_Q9UPR0_PLCL2_HUMAN_.pdf", "Melting_Curves/meltCurve_sp_Q9UPR0_PLCL2_HUMAN_.pdf")</f>
        <v>Melting_Curves/meltCurve_sp_Q9UPR0_PLCL2_HUMAN_.pdf</v>
      </c>
      <c r="AA3766" t="s">
        <v>17925</v>
      </c>
      <c r="AB3766" t="s">
        <v>22599</v>
      </c>
    </row>
    <row r="3767" spans="1:28" x14ac:dyDescent="0.25">
      <c r="A3767" t="s">
        <v>3771</v>
      </c>
      <c r="B3767">
        <v>0.99904790336628502</v>
      </c>
      <c r="C3767">
        <v>1.0112890628825899</v>
      </c>
      <c r="D3767">
        <v>0.92080067581166303</v>
      </c>
      <c r="E3767">
        <v>0.46993244350497299</v>
      </c>
      <c r="F3767">
        <v>0.20197065008732601</v>
      </c>
      <c r="G3767">
        <v>9.7717425994743604E-2</v>
      </c>
      <c r="H3767">
        <v>5.4300685431377498E-2</v>
      </c>
      <c r="I3767">
        <v>4.2759519783656302E-2</v>
      </c>
      <c r="J3767">
        <v>3.0329578446777701E-2</v>
      </c>
      <c r="K3767">
        <v>4.6160092421102097E-2</v>
      </c>
      <c r="L3767">
        <v>1377.5094262699999</v>
      </c>
      <c r="M3767">
        <v>27.7189615422628</v>
      </c>
      <c r="N3767">
        <v>49.876101169031003</v>
      </c>
      <c r="O3767">
        <v>49.439070491817802</v>
      </c>
      <c r="P3767">
        <v>-0.133477931183068</v>
      </c>
      <c r="Q3767">
        <v>4.7732587637043501E-2</v>
      </c>
      <c r="R3767">
        <v>0.99881875775004503</v>
      </c>
      <c r="S3767" t="s">
        <v>8507</v>
      </c>
      <c r="T3767" t="s">
        <v>9478</v>
      </c>
      <c r="U3767" t="s">
        <v>9478</v>
      </c>
      <c r="V3767" t="s">
        <v>9478</v>
      </c>
      <c r="W3767">
        <v>7</v>
      </c>
      <c r="X3767" t="s">
        <v>13245</v>
      </c>
      <c r="Y3767">
        <v>0.36237401619038961</v>
      </c>
      <c r="Z3767" t="str">
        <f>HYPERLINK("Melting_Curves/meltCurve_sp_Q9UPT5_2_EXOC7_HUMAN_.pdf", "Melting_Curves/meltCurve_sp_Q9UPT5_2_EXOC7_HUMAN_.pdf")</f>
        <v>Melting_Curves/meltCurve_sp_Q9UPT5_2_EXOC7_HUMAN_.pdf</v>
      </c>
      <c r="AA3767" t="s">
        <v>17926</v>
      </c>
      <c r="AB3767" t="s">
        <v>22600</v>
      </c>
    </row>
    <row r="3768" spans="1:28" x14ac:dyDescent="0.25">
      <c r="A3768" t="s">
        <v>3772</v>
      </c>
      <c r="B3768">
        <v>0.99904790336628502</v>
      </c>
      <c r="C3768">
        <v>1.0759714011441801</v>
      </c>
      <c r="D3768">
        <v>1.0407095664485599</v>
      </c>
      <c r="E3768">
        <v>1.0060108018840801</v>
      </c>
      <c r="F3768">
        <v>1.31424345741188</v>
      </c>
      <c r="G3768">
        <v>0.92430089076023303</v>
      </c>
      <c r="H3768">
        <v>0.95211430478604397</v>
      </c>
      <c r="I3768">
        <v>0.92355504928888699</v>
      </c>
      <c r="J3768">
        <v>1.0573901374674499</v>
      </c>
      <c r="K3768">
        <v>1.0809872617131699</v>
      </c>
      <c r="L3768">
        <v>15000</v>
      </c>
      <c r="M3768">
        <v>224.76723481020099</v>
      </c>
      <c r="O3768">
        <v>66.730428396589005</v>
      </c>
      <c r="P3768">
        <v>6.8209502999172597E-2</v>
      </c>
      <c r="Q3768">
        <v>1.0810020008494801</v>
      </c>
      <c r="R3768">
        <v>-3.5891453131143801E-2</v>
      </c>
      <c r="S3768" t="s">
        <v>8508</v>
      </c>
      <c r="T3768" t="s">
        <v>9478</v>
      </c>
      <c r="U3768" t="s">
        <v>9478</v>
      </c>
      <c r="V3768" t="s">
        <v>9478</v>
      </c>
      <c r="W3768">
        <v>8</v>
      </c>
      <c r="X3768" t="s">
        <v>13246</v>
      </c>
      <c r="Y3768">
        <v>1.008802100508353</v>
      </c>
      <c r="Z3768" t="str">
        <f>HYPERLINK("Melting_Curves/meltCurve_sp_Q9UPT8_ZC3H4_HUMAN_.pdf", "Melting_Curves/meltCurve_sp_Q9UPT8_ZC3H4_HUMAN_.pdf")</f>
        <v>Melting_Curves/meltCurve_sp_Q9UPT8_ZC3H4_HUMAN_.pdf</v>
      </c>
      <c r="AA3768" t="s">
        <v>17927</v>
      </c>
      <c r="AB3768" t="s">
        <v>22601</v>
      </c>
    </row>
    <row r="3769" spans="1:28" x14ac:dyDescent="0.25">
      <c r="A3769" t="s">
        <v>3773</v>
      </c>
      <c r="B3769">
        <v>0.99904790336628502</v>
      </c>
      <c r="C3769">
        <v>1.0086738988974799</v>
      </c>
      <c r="D3769">
        <v>0.99819626061668598</v>
      </c>
      <c r="E3769">
        <v>0.56893997011375497</v>
      </c>
      <c r="F3769">
        <v>0.27341645121186597</v>
      </c>
      <c r="G3769">
        <v>0.141843823376995</v>
      </c>
      <c r="H3769">
        <v>8.9315489080191393E-2</v>
      </c>
      <c r="I3769">
        <v>6.9127028409929403E-2</v>
      </c>
      <c r="J3769">
        <v>5.2970679702025097E-2</v>
      </c>
      <c r="K3769">
        <v>4.4109064931693101E-2</v>
      </c>
      <c r="L3769">
        <v>1428.82347973793</v>
      </c>
      <c r="M3769">
        <v>28.3148391465907</v>
      </c>
      <c r="N3769">
        <v>50.734226102687899</v>
      </c>
      <c r="O3769">
        <v>50.212310524975202</v>
      </c>
      <c r="P3769">
        <v>-0.131041390962503</v>
      </c>
      <c r="Q3769">
        <v>7.0475092295041605E-2</v>
      </c>
      <c r="R3769">
        <v>0.99600042071753703</v>
      </c>
      <c r="S3769" t="s">
        <v>8509</v>
      </c>
      <c r="T3769" t="s">
        <v>9478</v>
      </c>
      <c r="U3769" t="s">
        <v>9478</v>
      </c>
      <c r="V3769" t="s">
        <v>9478</v>
      </c>
      <c r="W3769">
        <v>13</v>
      </c>
      <c r="X3769" t="s">
        <v>13247</v>
      </c>
      <c r="Y3769">
        <v>0.4011387250517624</v>
      </c>
      <c r="Z3769" t="str">
        <f>HYPERLINK("Melting_Curves/meltCurve_sp_Q9UPU5_UBP24_HUMAN_.pdf", "Melting_Curves/meltCurve_sp_Q9UPU5_UBP24_HUMAN_.pdf")</f>
        <v>Melting_Curves/meltCurve_sp_Q9UPU5_UBP24_HUMAN_.pdf</v>
      </c>
      <c r="AA3769" t="s">
        <v>17928</v>
      </c>
      <c r="AB3769" t="s">
        <v>22602</v>
      </c>
    </row>
    <row r="3770" spans="1:28" x14ac:dyDescent="0.25">
      <c r="A3770" t="s">
        <v>3774</v>
      </c>
      <c r="B3770">
        <v>0.99904790336628502</v>
      </c>
      <c r="C3770">
        <v>0.98618963381126301</v>
      </c>
      <c r="D3770">
        <v>1.0361613226895501</v>
      </c>
      <c r="E3770">
        <v>0.87665392811405596</v>
      </c>
      <c r="F3770">
        <v>0.72522670652479404</v>
      </c>
      <c r="G3770">
        <v>0.47122190582578999</v>
      </c>
      <c r="H3770">
        <v>0.31254070950652502</v>
      </c>
      <c r="I3770">
        <v>0.26363392783530198</v>
      </c>
      <c r="J3770">
        <v>0.24812352390485201</v>
      </c>
      <c r="K3770">
        <v>0.15256619608156899</v>
      </c>
      <c r="L3770">
        <v>962.54531915127495</v>
      </c>
      <c r="M3770">
        <v>17.442158303036301</v>
      </c>
      <c r="N3770">
        <v>56.617840264417701</v>
      </c>
      <c r="O3770">
        <v>54.474926185813302</v>
      </c>
      <c r="P3770">
        <v>-6.5767071895275003E-2</v>
      </c>
      <c r="Q3770">
        <v>0.17843738917730201</v>
      </c>
      <c r="R3770">
        <v>0.99342838098603903</v>
      </c>
      <c r="S3770" t="s">
        <v>8510</v>
      </c>
      <c r="T3770" t="s">
        <v>9478</v>
      </c>
      <c r="U3770" t="s">
        <v>9478</v>
      </c>
      <c r="V3770" t="s">
        <v>9478</v>
      </c>
      <c r="W3770">
        <v>4</v>
      </c>
      <c r="X3770" t="s">
        <v>13248</v>
      </c>
      <c r="Y3770">
        <v>0.60742191825118952</v>
      </c>
      <c r="Z3770" t="str">
        <f>HYPERLINK("Melting_Curves/meltCurve_sp_Q9UPU7_TBD2B_HUMAN_.pdf", "Melting_Curves/meltCurve_sp_Q9UPU7_TBD2B_HUMAN_.pdf")</f>
        <v>Melting_Curves/meltCurve_sp_Q9UPU7_TBD2B_HUMAN_.pdf</v>
      </c>
      <c r="AA3770" t="s">
        <v>17929</v>
      </c>
      <c r="AB3770" t="s">
        <v>22603</v>
      </c>
    </row>
    <row r="3771" spans="1:28" x14ac:dyDescent="0.25">
      <c r="A3771" t="s">
        <v>3775</v>
      </c>
      <c r="B3771">
        <v>0.99904790336628502</v>
      </c>
      <c r="C3771">
        <v>0.89836918021218604</v>
      </c>
      <c r="D3771">
        <v>1.0358847936135001</v>
      </c>
      <c r="E3771">
        <v>0.908381230023242</v>
      </c>
      <c r="F3771">
        <v>0.97688517500824601</v>
      </c>
      <c r="G3771">
        <v>0.58028330529933903</v>
      </c>
      <c r="H3771">
        <v>0.48190844869473798</v>
      </c>
      <c r="I3771">
        <v>0.31466855858412301</v>
      </c>
      <c r="J3771">
        <v>0.30146279841677198</v>
      </c>
      <c r="K3771">
        <v>0.26469118222444399</v>
      </c>
      <c r="L3771">
        <v>1257.6460486471201</v>
      </c>
      <c r="M3771">
        <v>21.9784415250028</v>
      </c>
      <c r="N3771">
        <v>59.294874024967697</v>
      </c>
      <c r="O3771">
        <v>56.7544140828184</v>
      </c>
      <c r="P3771">
        <v>-7.08571593047371E-2</v>
      </c>
      <c r="Q3771">
        <v>0.26812540330658102</v>
      </c>
      <c r="R3771">
        <v>0.96445225267427004</v>
      </c>
      <c r="S3771" t="s">
        <v>8511</v>
      </c>
      <c r="T3771" t="s">
        <v>9478</v>
      </c>
      <c r="U3771" t="s">
        <v>9478</v>
      </c>
      <c r="V3771" t="s">
        <v>9478</v>
      </c>
      <c r="W3771">
        <v>6</v>
      </c>
      <c r="X3771" t="s">
        <v>13249</v>
      </c>
      <c r="Y3771">
        <v>0.69612980474044506</v>
      </c>
      <c r="Z3771" t="str">
        <f>HYPERLINK("Melting_Curves/meltCurve_sp_Q9UPX8_3_SHAN2_HUMAN_.pdf", "Melting_Curves/meltCurve_sp_Q9UPX8_3_SHAN2_HUMAN_.pdf")</f>
        <v>Melting_Curves/meltCurve_sp_Q9UPX8_3_SHAN2_HUMAN_.pdf</v>
      </c>
      <c r="AA3771" t="s">
        <v>17930</v>
      </c>
      <c r="AB3771" t="s">
        <v>22604</v>
      </c>
    </row>
    <row r="3772" spans="1:28" x14ac:dyDescent="0.25">
      <c r="A3772" t="s">
        <v>3776</v>
      </c>
      <c r="B3772">
        <v>0.99904790336628502</v>
      </c>
      <c r="C3772">
        <v>0.95234750591651796</v>
      </c>
      <c r="D3772">
        <v>1.0035721608293</v>
      </c>
      <c r="E3772">
        <v>0.73216248638803605</v>
      </c>
      <c r="F3772">
        <v>0.27980758534713501</v>
      </c>
      <c r="G3772">
        <v>0.16284113232656999</v>
      </c>
      <c r="H3772">
        <v>9.8103818456818107E-2</v>
      </c>
      <c r="I3772">
        <v>8.4694280270323205E-2</v>
      </c>
      <c r="J3772">
        <v>7.8115419869809105E-2</v>
      </c>
      <c r="K3772">
        <v>0.122087235789664</v>
      </c>
      <c r="L3772">
        <v>1938.76653476301</v>
      </c>
      <c r="M3772">
        <v>37.932322353511402</v>
      </c>
      <c r="N3772">
        <v>51.426871069122903</v>
      </c>
      <c r="O3772">
        <v>50.969749098443501</v>
      </c>
      <c r="P3772">
        <v>-0.166729838496745</v>
      </c>
      <c r="Q3772">
        <v>0.103860895352807</v>
      </c>
      <c r="R3772">
        <v>0.99631562326630596</v>
      </c>
      <c r="S3772" t="s">
        <v>8512</v>
      </c>
      <c r="T3772" t="s">
        <v>9478</v>
      </c>
      <c r="U3772" t="s">
        <v>9478</v>
      </c>
      <c r="V3772" t="s">
        <v>9478</v>
      </c>
      <c r="W3772">
        <v>3</v>
      </c>
      <c r="X3772" t="s">
        <v>13250</v>
      </c>
      <c r="Y3772">
        <v>0.43928975941300002</v>
      </c>
      <c r="Z3772" t="str">
        <f>HYPERLINK("Melting_Curves/meltCurve_sp_Q9UPY3_DICER_HUMAN_.pdf", "Melting_Curves/meltCurve_sp_Q9UPY3_DICER_HUMAN_.pdf")</f>
        <v>Melting_Curves/meltCurve_sp_Q9UPY3_DICER_HUMAN_.pdf</v>
      </c>
      <c r="AA3772" t="s">
        <v>17931</v>
      </c>
      <c r="AB3772" t="s">
        <v>22605</v>
      </c>
    </row>
    <row r="3773" spans="1:28" x14ac:dyDescent="0.25">
      <c r="A3773" t="s">
        <v>3777</v>
      </c>
      <c r="B3773">
        <v>0.99904790336628502</v>
      </c>
      <c r="C3773">
        <v>0.85378949055005304</v>
      </c>
      <c r="D3773">
        <v>0.82522070253612301</v>
      </c>
      <c r="E3773">
        <v>0.71559484479872504</v>
      </c>
      <c r="F3773">
        <v>0.76291750584114204</v>
      </c>
      <c r="G3773">
        <v>0.52339116293445498</v>
      </c>
      <c r="H3773">
        <v>0.37240255340622302</v>
      </c>
      <c r="I3773">
        <v>0.355602060478383</v>
      </c>
      <c r="J3773">
        <v>0.34758304928501799</v>
      </c>
      <c r="K3773">
        <v>0.31603013675215602</v>
      </c>
      <c r="L3773">
        <v>402.027693807486</v>
      </c>
      <c r="M3773">
        <v>7.1683720720507802</v>
      </c>
      <c r="N3773">
        <v>58.339477790666997</v>
      </c>
      <c r="O3773">
        <v>52.211195816169102</v>
      </c>
      <c r="P3773">
        <v>-3.0220392927389501E-2</v>
      </c>
      <c r="Q3773">
        <v>0.12104651267708701</v>
      </c>
      <c r="R3773">
        <v>0.95654084937613404</v>
      </c>
      <c r="S3773" t="s">
        <v>8513</v>
      </c>
      <c r="T3773" t="s">
        <v>9478</v>
      </c>
      <c r="U3773" t="s">
        <v>9478</v>
      </c>
      <c r="V3773" t="s">
        <v>9478</v>
      </c>
      <c r="W3773">
        <v>7</v>
      </c>
      <c r="X3773" t="s">
        <v>13251</v>
      </c>
      <c r="Y3773">
        <v>0.6077248611278997</v>
      </c>
      <c r="Z3773" t="str">
        <f>HYPERLINK("Melting_Curves/meltCurve_sp_Q9UPY8_2_MARE3_HUMAN_.pdf", "Melting_Curves/meltCurve_sp_Q9UPY8_2_MARE3_HUMAN_.pdf")</f>
        <v>Melting_Curves/meltCurve_sp_Q9UPY8_2_MARE3_HUMAN_.pdf</v>
      </c>
      <c r="AA3773" t="s">
        <v>17932</v>
      </c>
      <c r="AB3773" t="s">
        <v>22606</v>
      </c>
    </row>
    <row r="3774" spans="1:28" x14ac:dyDescent="0.25">
      <c r="A3774" t="s">
        <v>3778</v>
      </c>
      <c r="B3774">
        <v>0.99904790336628502</v>
      </c>
      <c r="C3774">
        <v>0.84257388737483496</v>
      </c>
      <c r="D3774">
        <v>0.82879839683200995</v>
      </c>
      <c r="E3774">
        <v>0.73478929340017296</v>
      </c>
      <c r="F3774">
        <v>0.37120506561749</v>
      </c>
      <c r="G3774">
        <v>6.6492597738392403E-2</v>
      </c>
      <c r="H3774">
        <v>2.59096865891392E-2</v>
      </c>
      <c r="I3774">
        <v>1.05104908796704E-2</v>
      </c>
      <c r="J3774">
        <v>1.42519213933244E-2</v>
      </c>
      <c r="K3774">
        <v>0</v>
      </c>
      <c r="L3774">
        <v>1067.8572700633199</v>
      </c>
      <c r="M3774">
        <v>20.675965909176099</v>
      </c>
      <c r="N3774">
        <v>51.647296339780297</v>
      </c>
      <c r="O3774">
        <v>51.171441342523899</v>
      </c>
      <c r="P3774">
        <v>-0.10101612845161</v>
      </c>
      <c r="Q3774">
        <v>0</v>
      </c>
      <c r="R3774">
        <v>0.97514581328047001</v>
      </c>
      <c r="S3774" t="s">
        <v>8514</v>
      </c>
      <c r="T3774" t="s">
        <v>9478</v>
      </c>
      <c r="U3774" t="s">
        <v>9478</v>
      </c>
      <c r="V3774" t="s">
        <v>9478</v>
      </c>
      <c r="W3774">
        <v>1</v>
      </c>
      <c r="X3774" t="s">
        <v>13252</v>
      </c>
      <c r="Y3774">
        <v>0.40128068394518629</v>
      </c>
      <c r="Z3774" t="str">
        <f>HYPERLINK("Melting_Curves/meltCurve_sp_Q9UQ13_2_SHOC2_HUMAN_.pdf", "Melting_Curves/meltCurve_sp_Q9UQ13_2_SHOC2_HUMAN_.pdf")</f>
        <v>Melting_Curves/meltCurve_sp_Q9UQ13_2_SHOC2_HUMAN_.pdf</v>
      </c>
      <c r="AA3774" t="s">
        <v>17933</v>
      </c>
      <c r="AB3774" t="s">
        <v>22607</v>
      </c>
    </row>
    <row r="3775" spans="1:28" x14ac:dyDescent="0.25">
      <c r="A3775" t="s">
        <v>3779</v>
      </c>
      <c r="B3775">
        <v>0.99904790336628502</v>
      </c>
      <c r="C3775">
        <v>0.94618357670911601</v>
      </c>
      <c r="D3775">
        <v>0.90661932904999598</v>
      </c>
      <c r="E3775">
        <v>0.92984458376447598</v>
      </c>
      <c r="F3775">
        <v>0.85642602094207199</v>
      </c>
      <c r="G3775">
        <v>0.71024233087841104</v>
      </c>
      <c r="H3775">
        <v>0.63060997754798098</v>
      </c>
      <c r="I3775">
        <v>0.71326664834369602</v>
      </c>
      <c r="J3775">
        <v>0.75728690464987203</v>
      </c>
      <c r="K3775">
        <v>0.78032550657835797</v>
      </c>
      <c r="L3775">
        <v>1328.86959441763</v>
      </c>
      <c r="M3775">
        <v>25.517462464714999</v>
      </c>
      <c r="O3775">
        <v>51.760198934108601</v>
      </c>
      <c r="P3775">
        <v>-3.5144670673538603E-2</v>
      </c>
      <c r="Q3775">
        <v>0.71485056381915602</v>
      </c>
      <c r="R3775">
        <v>0.80503223268275104</v>
      </c>
      <c r="S3775" t="s">
        <v>8515</v>
      </c>
      <c r="T3775" t="s">
        <v>9478</v>
      </c>
      <c r="U3775" t="s">
        <v>9478</v>
      </c>
      <c r="V3775" t="s">
        <v>9478</v>
      </c>
      <c r="W3775">
        <v>34</v>
      </c>
      <c r="X3775" t="s">
        <v>13253</v>
      </c>
      <c r="Y3775">
        <v>0.83214528276565358</v>
      </c>
      <c r="Z3775" t="str">
        <f>HYPERLINK("Melting_Curves/meltCurve_sp_Q9UQ35_SRRM2_HUMAN_.pdf", "Melting_Curves/meltCurve_sp_Q9UQ35_SRRM2_HUMAN_.pdf")</f>
        <v>Melting_Curves/meltCurve_sp_Q9UQ35_SRRM2_HUMAN_.pdf</v>
      </c>
      <c r="AA3775" t="s">
        <v>17934</v>
      </c>
      <c r="AB3775" t="s">
        <v>22608</v>
      </c>
    </row>
    <row r="3776" spans="1:28" x14ac:dyDescent="0.25">
      <c r="A3776" t="s">
        <v>3780</v>
      </c>
      <c r="B3776">
        <v>0.99904790336628502</v>
      </c>
      <c r="C3776">
        <v>0.93907989188486896</v>
      </c>
      <c r="D3776">
        <v>0.83058648939980895</v>
      </c>
      <c r="E3776">
        <v>0.46952729638438401</v>
      </c>
      <c r="F3776">
        <v>0.28149440536377301</v>
      </c>
      <c r="G3776">
        <v>0.12869355482874301</v>
      </c>
      <c r="H3776">
        <v>8.5205065705619906E-2</v>
      </c>
      <c r="I3776">
        <v>6.5532879338678296E-2</v>
      </c>
      <c r="J3776">
        <v>8.6912222959549701E-2</v>
      </c>
      <c r="K3776">
        <v>6.0279286527478701E-2</v>
      </c>
      <c r="L3776">
        <v>941.98187344941402</v>
      </c>
      <c r="M3776">
        <v>19.0488212157349</v>
      </c>
      <c r="N3776">
        <v>49.804101187592302</v>
      </c>
      <c r="O3776">
        <v>48.915607974959599</v>
      </c>
      <c r="P3776">
        <v>-9.1208506535053094E-2</v>
      </c>
      <c r="Q3776">
        <v>6.3176994379870302E-2</v>
      </c>
      <c r="R3776">
        <v>0.99910655114704505</v>
      </c>
      <c r="S3776" t="s">
        <v>8516</v>
      </c>
      <c r="T3776" t="s">
        <v>9478</v>
      </c>
      <c r="U3776" t="s">
        <v>9478</v>
      </c>
      <c r="V3776" t="s">
        <v>9478</v>
      </c>
      <c r="W3776">
        <v>4</v>
      </c>
      <c r="X3776" t="s">
        <v>13254</v>
      </c>
      <c r="Y3776">
        <v>0.37271144483776553</v>
      </c>
      <c r="Z3776" t="str">
        <f>HYPERLINK("Melting_Curves/meltCurve_sp_Q9UQ80_PA2G4_HUMAN_.pdf", "Melting_Curves/meltCurve_sp_Q9UQ80_PA2G4_HUMAN_.pdf")</f>
        <v>Melting_Curves/meltCurve_sp_Q9UQ80_PA2G4_HUMAN_.pdf</v>
      </c>
      <c r="AA3776" t="s">
        <v>17935</v>
      </c>
      <c r="AB3776" t="s">
        <v>22609</v>
      </c>
    </row>
    <row r="3777" spans="1:28" x14ac:dyDescent="0.25">
      <c r="A3777" t="s">
        <v>3781</v>
      </c>
      <c r="B3777">
        <v>0.99904790336628502</v>
      </c>
      <c r="C3777">
        <v>0.91488841701637702</v>
      </c>
      <c r="D3777">
        <v>0.86729869068543797</v>
      </c>
      <c r="E3777">
        <v>0.81496316859700701</v>
      </c>
      <c r="F3777">
        <v>0.72193876019471703</v>
      </c>
      <c r="G3777">
        <v>0.42234285371839198</v>
      </c>
      <c r="H3777">
        <v>0.27631220728299899</v>
      </c>
      <c r="I3777">
        <v>0.26624443259905201</v>
      </c>
      <c r="J3777">
        <v>0.23415626955219199</v>
      </c>
      <c r="K3777">
        <v>0.251182853519403</v>
      </c>
      <c r="L3777">
        <v>760.28283386517796</v>
      </c>
      <c r="M3777">
        <v>14.040149187300401</v>
      </c>
      <c r="N3777">
        <v>55.957950797476798</v>
      </c>
      <c r="O3777">
        <v>53.087590993052203</v>
      </c>
      <c r="P3777">
        <v>-5.40723373388916E-2</v>
      </c>
      <c r="Q3777">
        <v>0.182289447320099</v>
      </c>
      <c r="R3777">
        <v>0.979322956968944</v>
      </c>
      <c r="S3777" t="s">
        <v>8517</v>
      </c>
      <c r="T3777" t="s">
        <v>9478</v>
      </c>
      <c r="U3777" t="s">
        <v>9478</v>
      </c>
      <c r="V3777" t="s">
        <v>9478</v>
      </c>
      <c r="W3777">
        <v>16</v>
      </c>
      <c r="X3777" t="s">
        <v>13255</v>
      </c>
      <c r="Y3777">
        <v>0.58596727392511627</v>
      </c>
      <c r="Z3777" t="str">
        <f>HYPERLINK("Melting_Curves/meltCurve_sp_Q9UQB8_5_BAIP2_HUMAN_.pdf", "Melting_Curves/meltCurve_sp_Q9UQB8_5_BAIP2_HUMAN_.pdf")</f>
        <v>Melting_Curves/meltCurve_sp_Q9UQB8_5_BAIP2_HUMAN_.pdf</v>
      </c>
      <c r="AA3777" t="s">
        <v>17936</v>
      </c>
      <c r="AB3777" t="s">
        <v>22610</v>
      </c>
    </row>
    <row r="3778" spans="1:28" x14ac:dyDescent="0.25">
      <c r="A3778" t="s">
        <v>3782</v>
      </c>
      <c r="B3778">
        <v>0.99904790336628502</v>
      </c>
      <c r="C3778">
        <v>1.01766364147974</v>
      </c>
      <c r="D3778">
        <v>1.0039075026112501</v>
      </c>
      <c r="E3778">
        <v>0.737034679182765</v>
      </c>
      <c r="F3778">
        <v>0.38986876079456201</v>
      </c>
      <c r="G3778">
        <v>0.17236219685422599</v>
      </c>
      <c r="H3778">
        <v>0.11925907941790299</v>
      </c>
      <c r="I3778">
        <v>8.8062475176097402E-2</v>
      </c>
      <c r="J3778">
        <v>0.121136921818849</v>
      </c>
      <c r="K3778">
        <v>6.8233670627812298E-2</v>
      </c>
      <c r="L3778">
        <v>1454.34792036514</v>
      </c>
      <c r="M3778">
        <v>28.161563844416399</v>
      </c>
      <c r="N3778">
        <v>52.0440029255331</v>
      </c>
      <c r="O3778">
        <v>51.384711339494302</v>
      </c>
      <c r="P3778">
        <v>-0.123651799974575</v>
      </c>
      <c r="Q3778">
        <v>9.7527612754217105E-2</v>
      </c>
      <c r="R3778">
        <v>0.99787689372961996</v>
      </c>
      <c r="S3778" t="s">
        <v>8518</v>
      </c>
      <c r="T3778" t="s">
        <v>9478</v>
      </c>
      <c r="U3778" t="s">
        <v>9478</v>
      </c>
      <c r="V3778" t="s">
        <v>9478</v>
      </c>
      <c r="W3778">
        <v>16</v>
      </c>
      <c r="X3778" t="s">
        <v>13256</v>
      </c>
      <c r="Y3778">
        <v>0.45427764087786221</v>
      </c>
      <c r="Z3778" t="str">
        <f>HYPERLINK("Melting_Curves/meltCurve_sp_Q9UQE7_SMC3_HUMAN_.pdf", "Melting_Curves/meltCurve_sp_Q9UQE7_SMC3_HUMAN_.pdf")</f>
        <v>Melting_Curves/meltCurve_sp_Q9UQE7_SMC3_HUMAN_.pdf</v>
      </c>
      <c r="AA3778" t="s">
        <v>17937</v>
      </c>
      <c r="AB3778" t="s">
        <v>22611</v>
      </c>
    </row>
    <row r="3779" spans="1:28" x14ac:dyDescent="0.25">
      <c r="A3779" t="s">
        <v>3783</v>
      </c>
      <c r="B3779">
        <v>0.99904790336628502</v>
      </c>
      <c r="C3779">
        <v>1.0777327824969301</v>
      </c>
      <c r="D3779">
        <v>1.1704240999606299</v>
      </c>
      <c r="E3779">
        <v>0.80425442753662102</v>
      </c>
      <c r="F3779">
        <v>0.29909663600064501</v>
      </c>
      <c r="G3779">
        <v>0.20387575297498101</v>
      </c>
      <c r="H3779">
        <v>0.121830847369278</v>
      </c>
      <c r="I3779">
        <v>4.89017303733532E-2</v>
      </c>
      <c r="J3779">
        <v>3.4377418048850902E-2</v>
      </c>
      <c r="K3779">
        <v>4.8811501055564102E-2</v>
      </c>
      <c r="L3779">
        <v>2150.9512276686501</v>
      </c>
      <c r="M3779">
        <v>41.694671951151797</v>
      </c>
      <c r="N3779">
        <v>51.821248125299597</v>
      </c>
      <c r="O3779">
        <v>51.469901580274502</v>
      </c>
      <c r="P3779">
        <v>-0.185204029067885</v>
      </c>
      <c r="Q3779">
        <v>8.5502543421654198E-2</v>
      </c>
      <c r="R3779">
        <v>0.97317552521633</v>
      </c>
      <c r="S3779" t="s">
        <v>8519</v>
      </c>
      <c r="T3779" t="s">
        <v>9478</v>
      </c>
      <c r="U3779" t="s">
        <v>9478</v>
      </c>
      <c r="V3779" t="s">
        <v>9478</v>
      </c>
      <c r="W3779">
        <v>10</v>
      </c>
      <c r="X3779" t="s">
        <v>13257</v>
      </c>
      <c r="Y3779">
        <v>0.44174607503564201</v>
      </c>
      <c r="Z3779" t="str">
        <f>HYPERLINK("Melting_Curves/meltCurve_sp_Q9Y217_MTMR6_HUMAN_.pdf", "Melting_Curves/meltCurve_sp_Q9Y217_MTMR6_HUMAN_.pdf")</f>
        <v>Melting_Curves/meltCurve_sp_Q9Y217_MTMR6_HUMAN_.pdf</v>
      </c>
      <c r="AA3779" t="s">
        <v>17938</v>
      </c>
      <c r="AB3779" t="s">
        <v>22612</v>
      </c>
    </row>
    <row r="3780" spans="1:28" x14ac:dyDescent="0.25">
      <c r="A3780" t="s">
        <v>3784</v>
      </c>
      <c r="B3780">
        <v>0.99904790336628502</v>
      </c>
      <c r="C3780">
        <v>0.72174702459989304</v>
      </c>
      <c r="D3780">
        <v>0.40013772119725399</v>
      </c>
      <c r="E3780">
        <v>0.18627294752871501</v>
      </c>
      <c r="F3780">
        <v>0.118435808694276</v>
      </c>
      <c r="G3780">
        <v>7.0244070629215102E-2</v>
      </c>
      <c r="H3780">
        <v>6.2786981498853298E-2</v>
      </c>
      <c r="I3780">
        <v>3.3223164336015E-2</v>
      </c>
      <c r="J3780">
        <v>2.6534214973037401E-2</v>
      </c>
      <c r="K3780">
        <v>2.1749541837505999E-2</v>
      </c>
      <c r="L3780">
        <v>910.07356379046303</v>
      </c>
      <c r="M3780">
        <v>20.219896306568799</v>
      </c>
      <c r="N3780">
        <v>45.226096711214701</v>
      </c>
      <c r="O3780">
        <v>44.575516182760097</v>
      </c>
      <c r="P3780">
        <v>-0.108156662444111</v>
      </c>
      <c r="Q3780">
        <v>4.6288242036171198E-2</v>
      </c>
      <c r="R3780">
        <v>0.99150316495665203</v>
      </c>
      <c r="S3780" t="s">
        <v>8520</v>
      </c>
      <c r="T3780" t="s">
        <v>9478</v>
      </c>
      <c r="U3780" t="s">
        <v>9478</v>
      </c>
      <c r="V3780" t="s">
        <v>9478</v>
      </c>
      <c r="W3780">
        <v>14</v>
      </c>
      <c r="X3780" t="s">
        <v>13258</v>
      </c>
      <c r="Y3780">
        <v>0.22124313705320831</v>
      </c>
      <c r="Z3780" t="str">
        <f>HYPERLINK("Melting_Curves/meltCurve_sp_Q9Y223_2_GLCNE_HUMAN_.pdf", "Melting_Curves/meltCurve_sp_Q9Y223_2_GLCNE_HUMAN_.pdf")</f>
        <v>Melting_Curves/meltCurve_sp_Q9Y223_2_GLCNE_HUMAN_.pdf</v>
      </c>
      <c r="AA3780" t="s">
        <v>17939</v>
      </c>
      <c r="AB3780" t="s">
        <v>22613</v>
      </c>
    </row>
    <row r="3781" spans="1:28" x14ac:dyDescent="0.25">
      <c r="A3781" t="s">
        <v>3785</v>
      </c>
      <c r="B3781">
        <v>0.99904790336628502</v>
      </c>
      <c r="C3781">
        <v>1.06941221058623</v>
      </c>
      <c r="D3781">
        <v>1.0633866011190301</v>
      </c>
      <c r="E3781">
        <v>0.72503340714392905</v>
      </c>
      <c r="F3781">
        <v>0.53878198998808102</v>
      </c>
      <c r="G3781">
        <v>0.37749920518490399</v>
      </c>
      <c r="H3781">
        <v>0.27525281292034698</v>
      </c>
      <c r="I3781">
        <v>0.14377926085314999</v>
      </c>
      <c r="J3781">
        <v>8.9511455621203495E-2</v>
      </c>
      <c r="K3781">
        <v>6.2527544958893302E-2</v>
      </c>
      <c r="L3781">
        <v>816.05749081700901</v>
      </c>
      <c r="M3781">
        <v>15.150260188808099</v>
      </c>
      <c r="N3781">
        <v>54.3867085404462</v>
      </c>
      <c r="O3781">
        <v>52.9519526622977</v>
      </c>
      <c r="P3781">
        <v>-6.66910051510681E-2</v>
      </c>
      <c r="Q3781">
        <v>6.7718749638295203E-2</v>
      </c>
      <c r="R3781">
        <v>0.97464727014686103</v>
      </c>
      <c r="S3781" t="s">
        <v>8521</v>
      </c>
      <c r="T3781" t="s">
        <v>9478</v>
      </c>
      <c r="U3781" t="s">
        <v>9478</v>
      </c>
      <c r="V3781" t="s">
        <v>9478</v>
      </c>
      <c r="W3781">
        <v>10</v>
      </c>
      <c r="X3781" t="s">
        <v>13259</v>
      </c>
      <c r="Y3781">
        <v>0.51758907032659407</v>
      </c>
      <c r="Z3781" t="str">
        <f>HYPERLINK("Melting_Curves/meltCurve_sp_Q9Y224_CN166_HUMAN_.pdf", "Melting_Curves/meltCurve_sp_Q9Y224_CN166_HUMAN_.pdf")</f>
        <v>Melting_Curves/meltCurve_sp_Q9Y224_CN166_HUMAN_.pdf</v>
      </c>
      <c r="AA3781" t="s">
        <v>17940</v>
      </c>
      <c r="AB3781" t="s">
        <v>22614</v>
      </c>
    </row>
    <row r="3782" spans="1:28" x14ac:dyDescent="0.25">
      <c r="A3782" t="s">
        <v>3786</v>
      </c>
      <c r="B3782">
        <v>0.99904790336628502</v>
      </c>
      <c r="C3782">
        <v>1.01241529507699</v>
      </c>
      <c r="D3782">
        <v>0.95624050670402305</v>
      </c>
      <c r="E3782">
        <v>0.70392711924731999</v>
      </c>
      <c r="F3782">
        <v>0.390596833726709</v>
      </c>
      <c r="G3782">
        <v>0.121925225177036</v>
      </c>
      <c r="H3782">
        <v>5.5355988458360102E-2</v>
      </c>
      <c r="I3782">
        <v>3.7013711804504697E-2</v>
      </c>
      <c r="J3782">
        <v>3.2765974343890898E-2</v>
      </c>
      <c r="K3782">
        <v>2.0380839211527099E-2</v>
      </c>
      <c r="L3782">
        <v>1225.3855105421101</v>
      </c>
      <c r="M3782">
        <v>23.6516277014649</v>
      </c>
      <c r="N3782">
        <v>51.921329890869103</v>
      </c>
      <c r="O3782">
        <v>51.443657870618601</v>
      </c>
      <c r="P3782">
        <v>-0.112093897924559</v>
      </c>
      <c r="Q3782">
        <v>2.47733994152847E-2</v>
      </c>
      <c r="R3782">
        <v>0.99969403076215702</v>
      </c>
      <c r="S3782" t="s">
        <v>8522</v>
      </c>
      <c r="T3782" t="s">
        <v>9478</v>
      </c>
      <c r="U3782" t="s">
        <v>9478</v>
      </c>
      <c r="V3782" t="s">
        <v>9478</v>
      </c>
      <c r="W3782">
        <v>11</v>
      </c>
      <c r="X3782" t="s">
        <v>13260</v>
      </c>
      <c r="Y3782">
        <v>0.41856507408683102</v>
      </c>
      <c r="Z3782" t="str">
        <f>HYPERLINK("Melting_Curves/meltCurve_sp_Q9Y230_RUVB2_HUMAN_.pdf", "Melting_Curves/meltCurve_sp_Q9Y230_RUVB2_HUMAN_.pdf")</f>
        <v>Melting_Curves/meltCurve_sp_Q9Y230_RUVB2_HUMAN_.pdf</v>
      </c>
      <c r="AA3782" t="s">
        <v>17941</v>
      </c>
      <c r="AB3782" t="s">
        <v>22615</v>
      </c>
    </row>
    <row r="3783" spans="1:28" x14ac:dyDescent="0.25">
      <c r="A3783" t="s">
        <v>3787</v>
      </c>
      <c r="B3783">
        <v>0.99904790336628502</v>
      </c>
      <c r="C3783">
        <v>0.91731266846367898</v>
      </c>
      <c r="D3783">
        <v>0.84789192042634098</v>
      </c>
      <c r="E3783">
        <v>0.83937484243751903</v>
      </c>
      <c r="F3783">
        <v>0.88304418206394697</v>
      </c>
      <c r="G3783">
        <v>0.72592523410102106</v>
      </c>
      <c r="H3783">
        <v>0.57627406296081196</v>
      </c>
      <c r="I3783">
        <v>0.470696804597797</v>
      </c>
      <c r="J3783">
        <v>0.47605033169275901</v>
      </c>
      <c r="K3783">
        <v>0.435513501579815</v>
      </c>
      <c r="L3783">
        <v>371.08745477933098</v>
      </c>
      <c r="M3783">
        <v>5.6687804109582904</v>
      </c>
      <c r="N3783">
        <v>65.461603356270004</v>
      </c>
      <c r="O3783">
        <v>58.681384870934103</v>
      </c>
      <c r="P3783">
        <v>-2.4246335716452998E-2</v>
      </c>
      <c r="Q3783">
        <v>0</v>
      </c>
      <c r="R3783">
        <v>0.94682283018955704</v>
      </c>
      <c r="S3783" t="s">
        <v>8523</v>
      </c>
      <c r="T3783" t="s">
        <v>9478</v>
      </c>
      <c r="U3783" t="s">
        <v>9478</v>
      </c>
      <c r="V3783" t="s">
        <v>9478</v>
      </c>
      <c r="W3783">
        <v>5</v>
      </c>
      <c r="X3783" t="s">
        <v>13261</v>
      </c>
      <c r="Y3783">
        <v>0.72678644185533436</v>
      </c>
      <c r="Z3783" t="str">
        <f>HYPERLINK("Melting_Curves/meltCurve_sp_Q9Y237_PIN4_HUMAN_.pdf", "Melting_Curves/meltCurve_sp_Q9Y237_PIN4_HUMAN_.pdf")</f>
        <v>Melting_Curves/meltCurve_sp_Q9Y237_PIN4_HUMAN_.pdf</v>
      </c>
      <c r="AA3783" t="s">
        <v>17942</v>
      </c>
      <c r="AB3783" t="s">
        <v>22616</v>
      </c>
    </row>
    <row r="3784" spans="1:28" x14ac:dyDescent="0.25">
      <c r="A3784" t="s">
        <v>3788</v>
      </c>
      <c r="B3784">
        <v>0.99904790336628502</v>
      </c>
      <c r="C3784">
        <v>1.1167177204501599</v>
      </c>
      <c r="D3784">
        <v>1.0276844484302701</v>
      </c>
      <c r="E3784">
        <v>1.0458628258942599</v>
      </c>
      <c r="F3784">
        <v>0.963362358724419</v>
      </c>
      <c r="G3784">
        <v>0.74782406062078499</v>
      </c>
      <c r="H3784">
        <v>0.46031190216900603</v>
      </c>
      <c r="I3784">
        <v>0.21515088005348601</v>
      </c>
      <c r="J3784">
        <v>0.13816327013281399</v>
      </c>
      <c r="K3784">
        <v>8.04445777271484E-2</v>
      </c>
      <c r="L3784">
        <v>1337.2860170628801</v>
      </c>
      <c r="M3784">
        <v>22.289664450788901</v>
      </c>
      <c r="N3784">
        <v>60.248942432559303</v>
      </c>
      <c r="O3784">
        <v>59.519160741392902</v>
      </c>
      <c r="P3784">
        <v>-8.9440646167754004E-2</v>
      </c>
      <c r="Q3784">
        <v>4.4702036237602397E-2</v>
      </c>
      <c r="R3784">
        <v>0.98736094484811099</v>
      </c>
      <c r="S3784" t="s">
        <v>8524</v>
      </c>
      <c r="T3784" t="s">
        <v>9478</v>
      </c>
      <c r="U3784" t="s">
        <v>9478</v>
      </c>
      <c r="V3784" t="s">
        <v>9478</v>
      </c>
      <c r="W3784">
        <v>3</v>
      </c>
      <c r="X3784" t="s">
        <v>13262</v>
      </c>
      <c r="Y3784">
        <v>0.6891312796402379</v>
      </c>
      <c r="Z3784" t="str">
        <f>HYPERLINK("Melting_Curves/meltCurve_sp_Q9Y259_CHKB_HUMAN_.pdf", "Melting_Curves/meltCurve_sp_Q9Y259_CHKB_HUMAN_.pdf")</f>
        <v>Melting_Curves/meltCurve_sp_Q9Y259_CHKB_HUMAN_.pdf</v>
      </c>
      <c r="AA3784" t="s">
        <v>17943</v>
      </c>
      <c r="AB3784" t="s">
        <v>22617</v>
      </c>
    </row>
    <row r="3785" spans="1:28" x14ac:dyDescent="0.25">
      <c r="A3785" t="s">
        <v>3789</v>
      </c>
      <c r="B3785">
        <v>0.99904790336628502</v>
      </c>
      <c r="C3785">
        <v>1.0299956172431299</v>
      </c>
      <c r="D3785">
        <v>1.01880530211343</v>
      </c>
      <c r="E3785">
        <v>0.821862432650175</v>
      </c>
      <c r="F3785">
        <v>0.43916672787114902</v>
      </c>
      <c r="G3785">
        <v>0.12420440224689901</v>
      </c>
      <c r="H3785">
        <v>6.2776547477939898E-2</v>
      </c>
      <c r="I3785">
        <v>4.5135318354109097E-2</v>
      </c>
      <c r="J3785">
        <v>3.0005881265397299E-2</v>
      </c>
      <c r="K3785">
        <v>3.3795331825359501E-2</v>
      </c>
      <c r="L3785">
        <v>1603.8044805061199</v>
      </c>
      <c r="M3785">
        <v>30.583711985394601</v>
      </c>
      <c r="N3785">
        <v>52.581792896204398</v>
      </c>
      <c r="O3785">
        <v>52.217155330450304</v>
      </c>
      <c r="P3785">
        <v>-0.14062378355014299</v>
      </c>
      <c r="Q3785">
        <v>3.9628723846116098E-2</v>
      </c>
      <c r="R3785">
        <v>0.99875318868753105</v>
      </c>
      <c r="S3785" t="s">
        <v>8525</v>
      </c>
      <c r="T3785" t="s">
        <v>9478</v>
      </c>
      <c r="U3785" t="s">
        <v>9478</v>
      </c>
      <c r="V3785" t="s">
        <v>9478</v>
      </c>
      <c r="W3785">
        <v>7</v>
      </c>
      <c r="X3785" t="s">
        <v>13263</v>
      </c>
      <c r="Y3785">
        <v>0.44380391575180161</v>
      </c>
      <c r="Z3785" t="str">
        <f>HYPERLINK("Melting_Curves/meltCurve_sp_Q9Y262_EIF3L_HUMAN_.pdf", "Melting_Curves/meltCurve_sp_Q9Y262_EIF3L_HUMAN_.pdf")</f>
        <v>Melting_Curves/meltCurve_sp_Q9Y262_EIF3L_HUMAN_.pdf</v>
      </c>
      <c r="AA3785" t="s">
        <v>17944</v>
      </c>
      <c r="AB3785" t="s">
        <v>22618</v>
      </c>
    </row>
    <row r="3786" spans="1:28" x14ac:dyDescent="0.25">
      <c r="A3786" t="s">
        <v>3790</v>
      </c>
      <c r="B3786">
        <v>0.99904790336628502</v>
      </c>
      <c r="C3786">
        <v>1.0162223535744099</v>
      </c>
      <c r="D3786">
        <v>1.0030333393692401</v>
      </c>
      <c r="E3786">
        <v>0.91060482867819503</v>
      </c>
      <c r="F3786">
        <v>0.58051898630975596</v>
      </c>
      <c r="G3786">
        <v>0.2432941281731</v>
      </c>
      <c r="H3786">
        <v>0.106946335389243</v>
      </c>
      <c r="I3786">
        <v>7.9619411284774094E-2</v>
      </c>
      <c r="J3786">
        <v>5.7688621039806397E-2</v>
      </c>
      <c r="K3786">
        <v>3.9071751252980499E-2</v>
      </c>
      <c r="L3786">
        <v>1404.8674989608401</v>
      </c>
      <c r="M3786">
        <v>26.169585794029</v>
      </c>
      <c r="N3786">
        <v>53.934579892884102</v>
      </c>
      <c r="O3786">
        <v>53.3727004970834</v>
      </c>
      <c r="P3786">
        <v>-0.115543465265246</v>
      </c>
      <c r="Q3786">
        <v>5.7410255318911703E-2</v>
      </c>
      <c r="R3786">
        <v>0.99823470717213703</v>
      </c>
      <c r="S3786" t="s">
        <v>8526</v>
      </c>
      <c r="T3786" t="s">
        <v>9478</v>
      </c>
      <c r="U3786" t="s">
        <v>9478</v>
      </c>
      <c r="V3786" t="s">
        <v>9478</v>
      </c>
      <c r="W3786">
        <v>24</v>
      </c>
      <c r="X3786" t="s">
        <v>13264</v>
      </c>
      <c r="Y3786">
        <v>0.49533619445588428</v>
      </c>
      <c r="Z3786" t="str">
        <f>HYPERLINK("Melting_Curves/meltCurve_sp_Q9Y263_PLAP_HUMAN_.pdf", "Melting_Curves/meltCurve_sp_Q9Y263_PLAP_HUMAN_.pdf")</f>
        <v>Melting_Curves/meltCurve_sp_Q9Y263_PLAP_HUMAN_.pdf</v>
      </c>
      <c r="AA3786" t="s">
        <v>17945</v>
      </c>
      <c r="AB3786" t="s">
        <v>22619</v>
      </c>
    </row>
    <row r="3787" spans="1:28" x14ac:dyDescent="0.25">
      <c r="A3787" t="s">
        <v>3791</v>
      </c>
      <c r="B3787">
        <v>0.99904790336628502</v>
      </c>
      <c r="C3787">
        <v>1.0291628234474499</v>
      </c>
      <c r="D3787">
        <v>1.00183049597166</v>
      </c>
      <c r="E3787">
        <v>0.77088132649154195</v>
      </c>
      <c r="F3787">
        <v>0.50010990266092203</v>
      </c>
      <c r="G3787">
        <v>0.18408826743029</v>
      </c>
      <c r="H3787">
        <v>9.9435021492197406E-2</v>
      </c>
      <c r="I3787">
        <v>7.8718525449986906E-2</v>
      </c>
      <c r="J3787">
        <v>6.4312473968938105E-2</v>
      </c>
      <c r="K3787">
        <v>5.5701691456339401E-2</v>
      </c>
      <c r="L3787">
        <v>1252.7645815584699</v>
      </c>
      <c r="M3787">
        <v>23.809744368537501</v>
      </c>
      <c r="N3787">
        <v>52.899385521028499</v>
      </c>
      <c r="O3787">
        <v>52.248683585307099</v>
      </c>
      <c r="P3787">
        <v>-0.10709708341202299</v>
      </c>
      <c r="Q3787">
        <v>5.9949536162636097E-2</v>
      </c>
      <c r="R3787">
        <v>0.998376434481971</v>
      </c>
      <c r="S3787" t="s">
        <v>8527</v>
      </c>
      <c r="T3787" t="s">
        <v>9478</v>
      </c>
      <c r="U3787" t="s">
        <v>9478</v>
      </c>
      <c r="V3787" t="s">
        <v>9478</v>
      </c>
      <c r="W3787">
        <v>11</v>
      </c>
      <c r="X3787" t="s">
        <v>13265</v>
      </c>
      <c r="Y3787">
        <v>0.46472027022113432</v>
      </c>
      <c r="Z3787" t="str">
        <f>HYPERLINK("Melting_Curves/meltCurve_sp_Q9Y265_RUVB1_HUMAN_.pdf", "Melting_Curves/meltCurve_sp_Q9Y265_RUVB1_HUMAN_.pdf")</f>
        <v>Melting_Curves/meltCurve_sp_Q9Y265_RUVB1_HUMAN_.pdf</v>
      </c>
      <c r="AA3787" t="s">
        <v>17946</v>
      </c>
      <c r="AB3787" t="s">
        <v>22620</v>
      </c>
    </row>
    <row r="3788" spans="1:28" x14ac:dyDescent="0.25">
      <c r="A3788" t="s">
        <v>3792</v>
      </c>
      <c r="B3788">
        <v>0.99904790336628502</v>
      </c>
      <c r="C3788">
        <v>1.0099865527701</v>
      </c>
      <c r="D3788">
        <v>1.0189771791842399</v>
      </c>
      <c r="E3788">
        <v>0.98607648198533004</v>
      </c>
      <c r="F3788">
        <v>0.83059944058203605</v>
      </c>
      <c r="G3788">
        <v>0.196811750269899</v>
      </c>
      <c r="H3788">
        <v>9.0841954819404006E-2</v>
      </c>
      <c r="I3788">
        <v>6.1179865238871402E-2</v>
      </c>
      <c r="J3788">
        <v>5.4867989410431098E-2</v>
      </c>
      <c r="K3788">
        <v>5.1634067475507799E-2</v>
      </c>
      <c r="L3788">
        <v>2460.6145021591001</v>
      </c>
      <c r="M3788">
        <v>44.922311889743099</v>
      </c>
      <c r="N3788">
        <v>54.934546181883803</v>
      </c>
      <c r="O3788">
        <v>54.666678985924499</v>
      </c>
      <c r="P3788">
        <v>-0.19286559676823101</v>
      </c>
      <c r="Q3788">
        <v>6.1196453781304297E-2</v>
      </c>
      <c r="R3788">
        <v>0.99947934277681305</v>
      </c>
      <c r="S3788" t="s">
        <v>8528</v>
      </c>
      <c r="T3788" t="s">
        <v>9478</v>
      </c>
      <c r="U3788" t="s">
        <v>9478</v>
      </c>
      <c r="V3788" t="s">
        <v>9478</v>
      </c>
      <c r="W3788">
        <v>22</v>
      </c>
      <c r="X3788" t="s">
        <v>13266</v>
      </c>
      <c r="Y3788">
        <v>0.52636368887296558</v>
      </c>
      <c r="Z3788" t="str">
        <f>HYPERLINK("Melting_Curves/meltCurve_sp_Q9Y266_NUDC_HUMAN_.pdf", "Melting_Curves/meltCurve_sp_Q9Y266_NUDC_HUMAN_.pdf")</f>
        <v>Melting_Curves/meltCurve_sp_Q9Y266_NUDC_HUMAN_.pdf</v>
      </c>
      <c r="AA3788" t="s">
        <v>17947</v>
      </c>
      <c r="AB3788" t="s">
        <v>22621</v>
      </c>
    </row>
    <row r="3789" spans="1:28" x14ac:dyDescent="0.25">
      <c r="A3789" t="s">
        <v>3793</v>
      </c>
      <c r="B3789">
        <v>0.99904790336628502</v>
      </c>
      <c r="C3789">
        <v>0.97014977189028295</v>
      </c>
      <c r="D3789">
        <v>0.93502349719521105</v>
      </c>
      <c r="E3789">
        <v>0.974249853549505</v>
      </c>
      <c r="F3789">
        <v>0.99654578905326097</v>
      </c>
      <c r="G3789">
        <v>0.71454631542573499</v>
      </c>
      <c r="H3789">
        <v>0.33118624549827202</v>
      </c>
      <c r="I3789">
        <v>0.16855154753530899</v>
      </c>
      <c r="J3789">
        <v>0.120833221828645</v>
      </c>
      <c r="K3789">
        <v>9.6280456279491805E-2</v>
      </c>
      <c r="L3789">
        <v>1676.2845900960101</v>
      </c>
      <c r="M3789">
        <v>28.557822443747298</v>
      </c>
      <c r="N3789">
        <v>59.120431054203102</v>
      </c>
      <c r="O3789">
        <v>58.412346736935</v>
      </c>
      <c r="P3789">
        <v>-0.110943703194519</v>
      </c>
      <c r="Q3789">
        <v>9.2307379796930197E-2</v>
      </c>
      <c r="R3789">
        <v>0.995108888959087</v>
      </c>
      <c r="S3789" t="s">
        <v>8529</v>
      </c>
      <c r="T3789" t="s">
        <v>9478</v>
      </c>
      <c r="U3789" t="s">
        <v>9478</v>
      </c>
      <c r="V3789" t="s">
        <v>9478</v>
      </c>
      <c r="W3789">
        <v>12</v>
      </c>
      <c r="X3789" t="s">
        <v>13267</v>
      </c>
      <c r="Y3789">
        <v>0.66437049976007123</v>
      </c>
      <c r="Z3789" t="str">
        <f>HYPERLINK("Melting_Curves/meltCurve_sp_Q9Y281_COF2_HUMAN_.pdf", "Melting_Curves/meltCurve_sp_Q9Y281_COF2_HUMAN_.pdf")</f>
        <v>Melting_Curves/meltCurve_sp_Q9Y281_COF2_HUMAN_.pdf</v>
      </c>
      <c r="AA3789" t="s">
        <v>17948</v>
      </c>
      <c r="AB3789" t="s">
        <v>22622</v>
      </c>
    </row>
    <row r="3790" spans="1:28" x14ac:dyDescent="0.25">
      <c r="A3790" t="s">
        <v>3794</v>
      </c>
      <c r="B3790">
        <v>0.99904790336628502</v>
      </c>
      <c r="C3790">
        <v>0.52353674773330505</v>
      </c>
      <c r="D3790">
        <v>0.58656250624593098</v>
      </c>
      <c r="E3790">
        <v>0.66655813647709306</v>
      </c>
      <c r="F3790">
        <v>0.66046628707844601</v>
      </c>
      <c r="G3790">
        <v>0.50533941693398099</v>
      </c>
      <c r="H3790">
        <v>0.29463075065660999</v>
      </c>
      <c r="I3790">
        <v>9.5896400505770002E-2</v>
      </c>
      <c r="J3790">
        <v>3.0457411047292399E-2</v>
      </c>
      <c r="K3790">
        <v>3.7570167215754E-2</v>
      </c>
      <c r="L3790">
        <v>349.24896704373498</v>
      </c>
      <c r="M3790">
        <v>6.7284698594627796</v>
      </c>
      <c r="N3790">
        <v>51.9061493679664</v>
      </c>
      <c r="O3790">
        <v>47.8982899780586</v>
      </c>
      <c r="P3790">
        <v>-3.5193763433477E-2</v>
      </c>
      <c r="Q3790">
        <v>0</v>
      </c>
      <c r="R3790">
        <v>0.74999468386425405</v>
      </c>
      <c r="S3790" t="s">
        <v>8530</v>
      </c>
      <c r="T3790" t="s">
        <v>9478</v>
      </c>
      <c r="U3790" t="s">
        <v>9478</v>
      </c>
      <c r="V3790" t="s">
        <v>9478</v>
      </c>
      <c r="W3790">
        <v>2</v>
      </c>
      <c r="X3790" t="s">
        <v>13268</v>
      </c>
      <c r="Y3790">
        <v>0.45160528716273868</v>
      </c>
      <c r="Z3790" t="str">
        <f>HYPERLINK("Melting_Curves/meltCurve_sp_Q9Y294_ASF1A_HUMAN_.pdf", "Melting_Curves/meltCurve_sp_Q9Y294_ASF1A_HUMAN_.pdf")</f>
        <v>Melting_Curves/meltCurve_sp_Q9Y294_ASF1A_HUMAN_.pdf</v>
      </c>
      <c r="AA3790" t="s">
        <v>17949</v>
      </c>
      <c r="AB3790" t="s">
        <v>22623</v>
      </c>
    </row>
    <row r="3791" spans="1:28" x14ac:dyDescent="0.25">
      <c r="A3791" t="s">
        <v>3795</v>
      </c>
      <c r="B3791">
        <v>0.99904790336628502</v>
      </c>
      <c r="C3791">
        <v>0.93943927277797901</v>
      </c>
      <c r="D3791">
        <v>0.94592190298374101</v>
      </c>
      <c r="E3791">
        <v>0.86130303317232704</v>
      </c>
      <c r="F3791">
        <v>0.53875307753664803</v>
      </c>
      <c r="G3791">
        <v>0.132401730605088</v>
      </c>
      <c r="H3791">
        <v>6.6858368083795999E-2</v>
      </c>
      <c r="I3791">
        <v>3.8720252954167797E-2</v>
      </c>
      <c r="J3791">
        <v>3.2216320180225397E-2</v>
      </c>
      <c r="K3791">
        <v>2.2981691613762401E-2</v>
      </c>
      <c r="L3791">
        <v>1519.70643963412</v>
      </c>
      <c r="M3791">
        <v>28.606473661280301</v>
      </c>
      <c r="N3791">
        <v>53.2336245498132</v>
      </c>
      <c r="O3791">
        <v>52.866989049469701</v>
      </c>
      <c r="P3791">
        <v>-0.131426618068582</v>
      </c>
      <c r="Q3791">
        <v>2.8461225470350501E-2</v>
      </c>
      <c r="R3791">
        <v>0.99654191031795303</v>
      </c>
      <c r="S3791" t="s">
        <v>8531</v>
      </c>
      <c r="T3791" t="s">
        <v>9478</v>
      </c>
      <c r="U3791" t="s">
        <v>9478</v>
      </c>
      <c r="V3791" t="s">
        <v>9478</v>
      </c>
      <c r="W3791">
        <v>15</v>
      </c>
      <c r="X3791" t="s">
        <v>13269</v>
      </c>
      <c r="Y3791">
        <v>0.46041913157559627</v>
      </c>
      <c r="Z3791" t="str">
        <f>HYPERLINK("Melting_Curves/meltCurve_sp_Q9Y295_DRG1_HUMAN_.pdf", "Melting_Curves/meltCurve_sp_Q9Y295_DRG1_HUMAN_.pdf")</f>
        <v>Melting_Curves/meltCurve_sp_Q9Y295_DRG1_HUMAN_.pdf</v>
      </c>
      <c r="AA3791" t="s">
        <v>17950</v>
      </c>
      <c r="AB3791" t="s">
        <v>22624</v>
      </c>
    </row>
    <row r="3792" spans="1:28" x14ac:dyDescent="0.25">
      <c r="A3792" t="s">
        <v>3796</v>
      </c>
      <c r="B3792">
        <v>0.99904790336628502</v>
      </c>
      <c r="C3792">
        <v>1.0464472786846</v>
      </c>
      <c r="D3792">
        <v>1.0336724766904599</v>
      </c>
      <c r="E3792">
        <v>0.86555359574451196</v>
      </c>
      <c r="F3792">
        <v>0.68043335560440399</v>
      </c>
      <c r="G3792">
        <v>0.32178032256884198</v>
      </c>
      <c r="H3792">
        <v>0.108813579887706</v>
      </c>
      <c r="I3792">
        <v>6.7403736117372395E-2</v>
      </c>
      <c r="J3792">
        <v>5.0117870606627098E-2</v>
      </c>
      <c r="K3792">
        <v>2.7972754253672901E-2</v>
      </c>
      <c r="L3792">
        <v>1180.88408639407</v>
      </c>
      <c r="M3792">
        <v>21.574075875990999</v>
      </c>
      <c r="N3792">
        <v>54.860045811760102</v>
      </c>
      <c r="O3792">
        <v>54.2724831589234</v>
      </c>
      <c r="P3792">
        <v>-9.7019824802897406E-2</v>
      </c>
      <c r="Q3792">
        <v>2.3758075241660199E-2</v>
      </c>
      <c r="R3792">
        <v>0.99685439372642604</v>
      </c>
      <c r="S3792" t="s">
        <v>8532</v>
      </c>
      <c r="T3792" t="s">
        <v>9478</v>
      </c>
      <c r="U3792" t="s">
        <v>9478</v>
      </c>
      <c r="V3792" t="s">
        <v>9478</v>
      </c>
      <c r="W3792">
        <v>5</v>
      </c>
      <c r="X3792" t="s">
        <v>13270</v>
      </c>
      <c r="Y3792">
        <v>0.51490683924383385</v>
      </c>
      <c r="Z3792" t="str">
        <f>HYPERLINK("Melting_Curves/meltCurve_sp_Q9Y296_TPPC4_HUMAN_.pdf", "Melting_Curves/meltCurve_sp_Q9Y296_TPPC4_HUMAN_.pdf")</f>
        <v>Melting_Curves/meltCurve_sp_Q9Y296_TPPC4_HUMAN_.pdf</v>
      </c>
      <c r="AA3792" t="s">
        <v>17951</v>
      </c>
      <c r="AB3792" t="s">
        <v>22625</v>
      </c>
    </row>
    <row r="3793" spans="1:28" x14ac:dyDescent="0.25">
      <c r="A3793" t="s">
        <v>3797</v>
      </c>
      <c r="B3793">
        <v>0.99904790336628502</v>
      </c>
      <c r="C3793">
        <v>1.1067739147097899</v>
      </c>
      <c r="D3793">
        <v>1.09504504556277</v>
      </c>
      <c r="E3793">
        <v>0.99000045932426395</v>
      </c>
      <c r="F3793">
        <v>0.59921409985246299</v>
      </c>
      <c r="G3793">
        <v>0.18874154122643499</v>
      </c>
      <c r="H3793">
        <v>0.122843501730084</v>
      </c>
      <c r="I3793">
        <v>8.8070058810214E-2</v>
      </c>
      <c r="J3793">
        <v>7.7373056891546693E-2</v>
      </c>
      <c r="K3793">
        <v>6.00080754999405E-2</v>
      </c>
      <c r="L3793">
        <v>2158.46990650926</v>
      </c>
      <c r="M3793">
        <v>40.399156583528097</v>
      </c>
      <c r="N3793">
        <v>53.695291422055099</v>
      </c>
      <c r="O3793">
        <v>53.298184621542298</v>
      </c>
      <c r="P3793">
        <v>-0.172269268825714</v>
      </c>
      <c r="Q3793">
        <v>9.0909786075646704E-2</v>
      </c>
      <c r="R3793">
        <v>0.98705433593560299</v>
      </c>
      <c r="S3793" t="s">
        <v>8533</v>
      </c>
      <c r="T3793" t="s">
        <v>9478</v>
      </c>
      <c r="U3793" t="s">
        <v>9478</v>
      </c>
      <c r="V3793" t="s">
        <v>9478</v>
      </c>
      <c r="W3793">
        <v>12</v>
      </c>
      <c r="X3793" t="s">
        <v>13271</v>
      </c>
      <c r="Y3793">
        <v>0.50112299395799464</v>
      </c>
      <c r="Z3793" t="str">
        <f>HYPERLINK("Melting_Curves/meltCurve_sp_Q9Y2A7_NCKP1_HUMAN_.pdf", "Melting_Curves/meltCurve_sp_Q9Y2A7_NCKP1_HUMAN_.pdf")</f>
        <v>Melting_Curves/meltCurve_sp_Q9Y2A7_NCKP1_HUMAN_.pdf</v>
      </c>
      <c r="AA3793" t="s">
        <v>17952</v>
      </c>
      <c r="AB3793" t="s">
        <v>22626</v>
      </c>
    </row>
    <row r="3794" spans="1:28" x14ac:dyDescent="0.25">
      <c r="A3794" t="s">
        <v>3798</v>
      </c>
      <c r="B3794">
        <v>0.99904790336628502</v>
      </c>
      <c r="C3794">
        <v>0.97364967482769404</v>
      </c>
      <c r="D3794">
        <v>0.95923313333299498</v>
      </c>
      <c r="E3794">
        <v>0.88103277709686301</v>
      </c>
      <c r="F3794">
        <v>0.86040033990477005</v>
      </c>
      <c r="G3794">
        <v>0.64962104670358101</v>
      </c>
      <c r="H3794">
        <v>0.58439095885589099</v>
      </c>
      <c r="I3794">
        <v>0.58769519339404297</v>
      </c>
      <c r="J3794">
        <v>0.60956700938865505</v>
      </c>
      <c r="K3794">
        <v>0.56258431428736499</v>
      </c>
      <c r="L3794">
        <v>987.52512364567303</v>
      </c>
      <c r="M3794">
        <v>18.383800769698802</v>
      </c>
      <c r="O3794">
        <v>53.093617289530201</v>
      </c>
      <c r="P3794">
        <v>-3.7690187690761601E-2</v>
      </c>
      <c r="Q3794">
        <v>0.56461280431740801</v>
      </c>
      <c r="R3794">
        <v>0.97665441969682099</v>
      </c>
      <c r="S3794" t="s">
        <v>8534</v>
      </c>
      <c r="T3794" t="s">
        <v>9478</v>
      </c>
      <c r="U3794" t="s">
        <v>9478</v>
      </c>
      <c r="V3794" t="s">
        <v>9478</v>
      </c>
      <c r="W3794">
        <v>15</v>
      </c>
      <c r="X3794" t="s">
        <v>13272</v>
      </c>
      <c r="Y3794">
        <v>0.770483324568356</v>
      </c>
      <c r="Z3794" t="str">
        <f>HYPERLINK("Melting_Curves/meltCurve_sp_Q9Y2B0_CNPY2_HUMAN_.pdf", "Melting_Curves/meltCurve_sp_Q9Y2B0_CNPY2_HUMAN_.pdf")</f>
        <v>Melting_Curves/meltCurve_sp_Q9Y2B0_CNPY2_HUMAN_.pdf</v>
      </c>
      <c r="AA3794" t="s">
        <v>17953</v>
      </c>
      <c r="AB3794" t="s">
        <v>22627</v>
      </c>
    </row>
    <row r="3795" spans="1:28" x14ac:dyDescent="0.25">
      <c r="A3795" t="s">
        <v>3799</v>
      </c>
      <c r="B3795">
        <v>0.99904790336628502</v>
      </c>
      <c r="C3795">
        <v>0.97659895368857597</v>
      </c>
      <c r="D3795">
        <v>0.94097108044632904</v>
      </c>
      <c r="E3795">
        <v>0.56284369122083899</v>
      </c>
      <c r="F3795">
        <v>0.23983847762591501</v>
      </c>
      <c r="G3795">
        <v>0.12728844192605099</v>
      </c>
      <c r="H3795">
        <v>0.131277799833109</v>
      </c>
      <c r="I3795">
        <v>7.3672652611130998E-2</v>
      </c>
      <c r="J3795">
        <v>5.74338774823712E-2</v>
      </c>
      <c r="K3795">
        <v>4.86572118172343E-2</v>
      </c>
      <c r="L3795">
        <v>1389.4244251600101</v>
      </c>
      <c r="M3795">
        <v>27.685649529003999</v>
      </c>
      <c r="N3795">
        <v>50.492611978383501</v>
      </c>
      <c r="O3795">
        <v>49.926082597668596</v>
      </c>
      <c r="P3795">
        <v>-0.12789910617400799</v>
      </c>
      <c r="Q3795">
        <v>7.7436229254842906E-2</v>
      </c>
      <c r="R3795">
        <v>0.99720873399742904</v>
      </c>
      <c r="S3795" t="s">
        <v>8535</v>
      </c>
      <c r="T3795" t="s">
        <v>9478</v>
      </c>
      <c r="U3795" t="s">
        <v>9478</v>
      </c>
      <c r="V3795" t="s">
        <v>9478</v>
      </c>
      <c r="W3795">
        <v>4</v>
      </c>
      <c r="X3795" t="s">
        <v>13273</v>
      </c>
      <c r="Y3795">
        <v>0.3973988076376499</v>
      </c>
      <c r="Z3795" t="str">
        <f>HYPERLINK("Melting_Curves/meltCurve_sp_Q9Y2D4_EXC6B_HUMAN_.pdf", "Melting_Curves/meltCurve_sp_Q9Y2D4_EXC6B_HUMAN_.pdf")</f>
        <v>Melting_Curves/meltCurve_sp_Q9Y2D4_EXC6B_HUMAN_.pdf</v>
      </c>
      <c r="AA3795" t="s">
        <v>17954</v>
      </c>
      <c r="AB3795" t="s">
        <v>22628</v>
      </c>
    </row>
    <row r="3796" spans="1:28" x14ac:dyDescent="0.25">
      <c r="A3796" t="s">
        <v>3800</v>
      </c>
      <c r="B3796">
        <v>0.99904790336628502</v>
      </c>
      <c r="C3796">
        <v>1.01713054704735</v>
      </c>
      <c r="D3796">
        <v>0.99629957065663399</v>
      </c>
      <c r="E3796">
        <v>0.942277079710228</v>
      </c>
      <c r="F3796">
        <v>0.93211562161568295</v>
      </c>
      <c r="G3796">
        <v>0.70418539552108805</v>
      </c>
      <c r="H3796">
        <v>0.62990334519376001</v>
      </c>
      <c r="I3796">
        <v>0.61229228221434395</v>
      </c>
      <c r="J3796">
        <v>0.63863484825199801</v>
      </c>
      <c r="K3796">
        <v>0.62981329133744002</v>
      </c>
      <c r="L3796">
        <v>1899.8929525230101</v>
      </c>
      <c r="M3796">
        <v>34.564473059431997</v>
      </c>
      <c r="O3796">
        <v>54.783626458551602</v>
      </c>
      <c r="P3796">
        <v>-5.9407367259533501E-2</v>
      </c>
      <c r="Q3796">
        <v>0.62336600117488705</v>
      </c>
      <c r="R3796">
        <v>0.98932422504950002</v>
      </c>
      <c r="S3796" t="s">
        <v>8536</v>
      </c>
      <c r="T3796" t="s">
        <v>9478</v>
      </c>
      <c r="U3796" t="s">
        <v>9478</v>
      </c>
      <c r="V3796" t="s">
        <v>9478</v>
      </c>
      <c r="W3796">
        <v>49</v>
      </c>
      <c r="X3796" t="s">
        <v>13274</v>
      </c>
      <c r="Y3796">
        <v>0.81316612055232462</v>
      </c>
      <c r="Z3796" t="str">
        <f>HYPERLINK("Melting_Curves/meltCurve_sp_Q9Y2D5_6_AKAP2_HUMAN_.pdf", "Melting_Curves/meltCurve_sp_Q9Y2D5_6_AKAP2_HUMAN_.pdf")</f>
        <v>Melting_Curves/meltCurve_sp_Q9Y2D5_6_AKAP2_HUMAN_.pdf</v>
      </c>
      <c r="AA3796" t="s">
        <v>17955</v>
      </c>
      <c r="AB3796" t="s">
        <v>22629</v>
      </c>
    </row>
    <row r="3797" spans="1:28" x14ac:dyDescent="0.25">
      <c r="A3797" t="s">
        <v>3801</v>
      </c>
      <c r="B3797">
        <v>0.99904790336628502</v>
      </c>
      <c r="C3797">
        <v>1.06005711071509</v>
      </c>
      <c r="D3797">
        <v>0.95834100394534005</v>
      </c>
      <c r="E3797">
        <v>1.01354477076614</v>
      </c>
      <c r="F3797">
        <v>0.75879572275155605</v>
      </c>
      <c r="G3797">
        <v>0.490665916256049</v>
      </c>
      <c r="H3797">
        <v>0.52565443147751301</v>
      </c>
      <c r="I3797">
        <v>0.43863618319778303</v>
      </c>
      <c r="J3797">
        <v>0.43655559723605097</v>
      </c>
      <c r="K3797">
        <v>0.34678749941751702</v>
      </c>
      <c r="L3797">
        <v>2198.9061389036801</v>
      </c>
      <c r="M3797">
        <v>41.096949561690302</v>
      </c>
      <c r="N3797">
        <v>56.354892200124702</v>
      </c>
      <c r="O3797">
        <v>53.379120679949501</v>
      </c>
      <c r="P3797">
        <v>-0.108285198321231</v>
      </c>
      <c r="Q3797">
        <v>0.43741249921764602</v>
      </c>
      <c r="R3797">
        <v>0.96838527301405097</v>
      </c>
      <c r="S3797" t="s">
        <v>8537</v>
      </c>
      <c r="T3797" t="s">
        <v>9478</v>
      </c>
      <c r="U3797" t="s">
        <v>9478</v>
      </c>
      <c r="V3797" t="s">
        <v>9478</v>
      </c>
      <c r="W3797">
        <v>4</v>
      </c>
      <c r="X3797" t="s">
        <v>13275</v>
      </c>
      <c r="Y3797">
        <v>0.69264493511618186</v>
      </c>
      <c r="Z3797" t="str">
        <f>HYPERLINK("Melting_Curves/meltCurve_sp_Q9Y2E4_DIP2C_HUMAN_.pdf", "Melting_Curves/meltCurve_sp_Q9Y2E4_DIP2C_HUMAN_.pdf")</f>
        <v>Melting_Curves/meltCurve_sp_Q9Y2E4_DIP2C_HUMAN_.pdf</v>
      </c>
      <c r="AA3797" t="s">
        <v>17956</v>
      </c>
      <c r="AB3797" t="s">
        <v>22630</v>
      </c>
    </row>
    <row r="3798" spans="1:28" x14ac:dyDescent="0.25">
      <c r="A3798" t="s">
        <v>3802</v>
      </c>
      <c r="B3798">
        <v>0.99904790336628502</v>
      </c>
      <c r="C3798">
        <v>0.68675351807569596</v>
      </c>
      <c r="D3798">
        <v>0.87454277535793701</v>
      </c>
      <c r="E3798">
        <v>0.68718752960078999</v>
      </c>
      <c r="F3798">
        <v>0.28245963164989002</v>
      </c>
      <c r="G3798">
        <v>0.13500576271811399</v>
      </c>
      <c r="H3798">
        <v>3.5484169961829098E-2</v>
      </c>
      <c r="I3798">
        <v>2.20089243471819E-2</v>
      </c>
      <c r="J3798">
        <v>3.6361933462230003E-2</v>
      </c>
      <c r="K3798">
        <v>2.8456420474598398E-2</v>
      </c>
      <c r="L3798">
        <v>792.54967726761299</v>
      </c>
      <c r="M3798">
        <v>15.5730968143026</v>
      </c>
      <c r="N3798">
        <v>50.892229087723599</v>
      </c>
      <c r="O3798">
        <v>50.075214802819303</v>
      </c>
      <c r="P3798">
        <v>-7.7755308274760002E-2</v>
      </c>
      <c r="Q3798">
        <v>0</v>
      </c>
      <c r="R3798">
        <v>0.93409707107879503</v>
      </c>
      <c r="S3798" t="s">
        <v>8538</v>
      </c>
      <c r="T3798" t="s">
        <v>9478</v>
      </c>
      <c r="U3798" t="s">
        <v>9478</v>
      </c>
      <c r="V3798" t="s">
        <v>9478</v>
      </c>
      <c r="W3798">
        <v>3</v>
      </c>
      <c r="X3798" t="s">
        <v>13276</v>
      </c>
      <c r="Y3798">
        <v>0.38483980162791198</v>
      </c>
      <c r="Z3798" t="str">
        <f>HYPERLINK("Melting_Curves/meltCurve_sp_Q9Y2I1_4_NISCH_HUMAN_.pdf", "Melting_Curves/meltCurve_sp_Q9Y2I1_4_NISCH_HUMAN_.pdf")</f>
        <v>Melting_Curves/meltCurve_sp_Q9Y2I1_4_NISCH_HUMAN_.pdf</v>
      </c>
      <c r="AA3798" t="s">
        <v>17957</v>
      </c>
      <c r="AB3798" t="s">
        <v>22631</v>
      </c>
    </row>
    <row r="3799" spans="1:28" x14ac:dyDescent="0.25">
      <c r="A3799" t="s">
        <v>3803</v>
      </c>
      <c r="B3799">
        <v>0.99904790336628502</v>
      </c>
      <c r="C3799">
        <v>0.95058683081593798</v>
      </c>
      <c r="D3799">
        <v>0.93781408461540305</v>
      </c>
      <c r="E3799">
        <v>0.83408601698953599</v>
      </c>
      <c r="F3799">
        <v>0.94841741587915995</v>
      </c>
      <c r="G3799">
        <v>0.67559841141143695</v>
      </c>
      <c r="H3799">
        <v>0.65743156116513501</v>
      </c>
      <c r="I3799">
        <v>0.55510989544035505</v>
      </c>
      <c r="J3799">
        <v>0.61479420867726597</v>
      </c>
      <c r="K3799">
        <v>0.65608670566728999</v>
      </c>
      <c r="L3799">
        <v>744.054074357118</v>
      </c>
      <c r="M3799">
        <v>13.699863519546</v>
      </c>
      <c r="O3799">
        <v>53.193051883437903</v>
      </c>
      <c r="P3799">
        <v>-2.7091140729822601E-2</v>
      </c>
      <c r="Q3799">
        <v>0.57930864436799201</v>
      </c>
      <c r="R3799">
        <v>0.86944374810181202</v>
      </c>
      <c r="S3799" t="s">
        <v>8539</v>
      </c>
      <c r="T3799" t="s">
        <v>9478</v>
      </c>
      <c r="U3799" t="s">
        <v>9478</v>
      </c>
      <c r="V3799" t="s">
        <v>9478</v>
      </c>
      <c r="W3799">
        <v>4</v>
      </c>
      <c r="X3799" t="s">
        <v>13277</v>
      </c>
      <c r="Y3799">
        <v>0.78938222322254459</v>
      </c>
      <c r="Z3799" t="str">
        <f>HYPERLINK("Melting_Curves/meltCurve_sp_Q9Y2J2_2_E41L3_HUMAN_.pdf", "Melting_Curves/meltCurve_sp_Q9Y2J2_2_E41L3_HUMAN_.pdf")</f>
        <v>Melting_Curves/meltCurve_sp_Q9Y2J2_2_E41L3_HUMAN_.pdf</v>
      </c>
      <c r="AA3799" t="s">
        <v>17958</v>
      </c>
      <c r="AB3799" t="s">
        <v>22632</v>
      </c>
    </row>
    <row r="3800" spans="1:28" x14ac:dyDescent="0.25">
      <c r="A3800" t="s">
        <v>3804</v>
      </c>
      <c r="B3800">
        <v>0.99904790336628502</v>
      </c>
      <c r="C3800">
        <v>1.0545701110124499</v>
      </c>
      <c r="D3800">
        <v>1.1006626058350599</v>
      </c>
      <c r="E3800">
        <v>0.99080907856392297</v>
      </c>
      <c r="F3800">
        <v>0.93654235411072795</v>
      </c>
      <c r="G3800">
        <v>0.60008463169952297</v>
      </c>
      <c r="H3800">
        <v>0.60643902364289504</v>
      </c>
      <c r="I3800">
        <v>0.57524548752591598</v>
      </c>
      <c r="J3800">
        <v>0.65896173808713898</v>
      </c>
      <c r="K3800">
        <v>0.71573944101829501</v>
      </c>
      <c r="L3800">
        <v>13333.2498766634</v>
      </c>
      <c r="M3800">
        <v>250</v>
      </c>
      <c r="O3800">
        <v>53.329607695699401</v>
      </c>
      <c r="P3800">
        <v>-0.43210763095680998</v>
      </c>
      <c r="Q3800">
        <v>0.63129405867345001</v>
      </c>
      <c r="R3800">
        <v>0.93529666515711096</v>
      </c>
      <c r="S3800" t="s">
        <v>8540</v>
      </c>
      <c r="T3800" t="s">
        <v>9478</v>
      </c>
      <c r="U3800" t="s">
        <v>9478</v>
      </c>
      <c r="V3800" t="s">
        <v>9478</v>
      </c>
      <c r="W3800">
        <v>2</v>
      </c>
      <c r="X3800" t="s">
        <v>13278</v>
      </c>
      <c r="Y3800">
        <v>0.7951937734877409</v>
      </c>
      <c r="Z3800" t="str">
        <f>HYPERLINK("Melting_Curves/meltCurve_sp_Q9Y2K7_4_KDM2A_HUMAN_.pdf", "Melting_Curves/meltCurve_sp_Q9Y2K7_4_KDM2A_HUMAN_.pdf")</f>
        <v>Melting_Curves/meltCurve_sp_Q9Y2K7_4_KDM2A_HUMAN_.pdf</v>
      </c>
      <c r="AA3800" t="s">
        <v>17959</v>
      </c>
      <c r="AB3800" t="s">
        <v>22633</v>
      </c>
    </row>
    <row r="3801" spans="1:28" x14ac:dyDescent="0.25">
      <c r="A3801" t="s">
        <v>3805</v>
      </c>
      <c r="B3801">
        <v>0.99904790336628502</v>
      </c>
      <c r="C3801">
        <v>0.92898717666546304</v>
      </c>
      <c r="D3801">
        <v>0.94785929003654201</v>
      </c>
      <c r="E3801">
        <v>0.84490350313652696</v>
      </c>
      <c r="F3801">
        <v>0.44366471781712502</v>
      </c>
      <c r="G3801">
        <v>0.17180668515797001</v>
      </c>
      <c r="H3801">
        <v>0.10148027071487099</v>
      </c>
      <c r="I3801">
        <v>8.4197099972618303E-2</v>
      </c>
      <c r="J3801">
        <v>8.5122917314910798E-2</v>
      </c>
      <c r="K3801">
        <v>6.7577901514005806E-2</v>
      </c>
      <c r="L3801">
        <v>1581.55413275721</v>
      </c>
      <c r="M3801">
        <v>30.197482302504099</v>
      </c>
      <c r="N3801">
        <v>52.687575604475498</v>
      </c>
      <c r="O3801">
        <v>52.145637102026001</v>
      </c>
      <c r="P3801">
        <v>-0.132857954454592</v>
      </c>
      <c r="Q3801">
        <v>8.2318379169522504E-2</v>
      </c>
      <c r="R3801">
        <v>0.99504676189660302</v>
      </c>
      <c r="S3801" t="s">
        <v>8541</v>
      </c>
      <c r="T3801" t="s">
        <v>9478</v>
      </c>
      <c r="U3801" t="s">
        <v>9478</v>
      </c>
      <c r="V3801" t="s">
        <v>9478</v>
      </c>
      <c r="W3801">
        <v>24</v>
      </c>
      <c r="X3801" t="s">
        <v>13279</v>
      </c>
      <c r="Y3801">
        <v>0.46664372216496669</v>
      </c>
      <c r="Z3801" t="str">
        <f>HYPERLINK("Melting_Curves/meltCurve_sp_Q9Y2L1_RRP44_HUMAN_.pdf", "Melting_Curves/meltCurve_sp_Q9Y2L1_RRP44_HUMAN_.pdf")</f>
        <v>Melting_Curves/meltCurve_sp_Q9Y2L1_RRP44_HUMAN_.pdf</v>
      </c>
      <c r="AA3801" t="s">
        <v>17960</v>
      </c>
      <c r="AB3801" t="s">
        <v>22634</v>
      </c>
    </row>
    <row r="3802" spans="1:28" x14ac:dyDescent="0.25">
      <c r="A3802" t="s">
        <v>3806</v>
      </c>
      <c r="B3802">
        <v>0.99904790336628502</v>
      </c>
      <c r="C3802">
        <v>0.99090605682376798</v>
      </c>
      <c r="D3802">
        <v>0.74463303564322803</v>
      </c>
      <c r="E3802">
        <v>0.39695143653432502</v>
      </c>
      <c r="F3802">
        <v>0.17614134359424699</v>
      </c>
      <c r="G3802">
        <v>8.0495565256175503E-2</v>
      </c>
      <c r="H3802">
        <v>4.3897165003569702E-2</v>
      </c>
      <c r="I3802">
        <v>2.2151760725704801E-2</v>
      </c>
      <c r="J3802">
        <v>1.7742061504056501E-2</v>
      </c>
      <c r="K3802">
        <v>2.1000824150688699E-2</v>
      </c>
      <c r="L3802">
        <v>990.28356394480204</v>
      </c>
      <c r="M3802">
        <v>20.323373418020701</v>
      </c>
      <c r="N3802">
        <v>48.830090458058599</v>
      </c>
      <c r="O3802">
        <v>48.261958357786398</v>
      </c>
      <c r="P3802">
        <v>-0.103054898129965</v>
      </c>
      <c r="Q3802">
        <v>2.1131631298965801E-2</v>
      </c>
      <c r="R3802">
        <v>0.99749811389640597</v>
      </c>
      <c r="S3802" t="s">
        <v>8542</v>
      </c>
      <c r="T3802" t="s">
        <v>9478</v>
      </c>
      <c r="U3802" t="s">
        <v>9478</v>
      </c>
      <c r="V3802" t="s">
        <v>9478</v>
      </c>
      <c r="W3802">
        <v>8</v>
      </c>
      <c r="X3802" t="s">
        <v>13280</v>
      </c>
      <c r="Y3802">
        <v>0.31916751934845627</v>
      </c>
      <c r="Z3802" t="str">
        <f>HYPERLINK("Melting_Curves/meltCurve_sp_Q9Y2P5_S27A5_HUMAN_.pdf", "Melting_Curves/meltCurve_sp_Q9Y2P5_S27A5_HUMAN_.pdf")</f>
        <v>Melting_Curves/meltCurve_sp_Q9Y2P5_S27A5_HUMAN_.pdf</v>
      </c>
      <c r="AA3802" t="s">
        <v>17961</v>
      </c>
      <c r="AB3802" t="s">
        <v>22635</v>
      </c>
    </row>
    <row r="3803" spans="1:28" x14ac:dyDescent="0.25">
      <c r="A3803" t="s">
        <v>3807</v>
      </c>
      <c r="B3803">
        <v>0.99904790336628502</v>
      </c>
      <c r="C3803">
        <v>0.98957072296569804</v>
      </c>
      <c r="D3803">
        <v>0.80249460967240605</v>
      </c>
      <c r="E3803">
        <v>0.66491704454879696</v>
      </c>
      <c r="F3803">
        <v>0.244059093791203</v>
      </c>
      <c r="G3803">
        <v>8.0204519346932707E-2</v>
      </c>
      <c r="H3803">
        <v>4.0974008439601001E-2</v>
      </c>
      <c r="I3803">
        <v>2.7047306673883002E-2</v>
      </c>
      <c r="J3803">
        <v>2.07627975415287E-2</v>
      </c>
      <c r="K3803">
        <v>1.8559433265131601E-2</v>
      </c>
      <c r="L3803">
        <v>1063.3572367362201</v>
      </c>
      <c r="M3803">
        <v>20.9535951516411</v>
      </c>
      <c r="N3803">
        <v>50.783999432872399</v>
      </c>
      <c r="O3803">
        <v>50.292733157833503</v>
      </c>
      <c r="P3803">
        <v>-0.103397312982887</v>
      </c>
      <c r="Q3803">
        <v>7.3311688187437298E-3</v>
      </c>
      <c r="R3803">
        <v>0.98799187741782002</v>
      </c>
      <c r="S3803" t="s">
        <v>8543</v>
      </c>
      <c r="T3803" t="s">
        <v>9478</v>
      </c>
      <c r="U3803" t="s">
        <v>9478</v>
      </c>
      <c r="V3803" t="s">
        <v>9478</v>
      </c>
      <c r="W3803">
        <v>17</v>
      </c>
      <c r="X3803" t="s">
        <v>13281</v>
      </c>
      <c r="Y3803">
        <v>0.37559636644588251</v>
      </c>
      <c r="Z3803" t="str">
        <f>HYPERLINK("Melting_Curves/meltCurve_sp_Q9Y2Q3_GSTK1_HUMAN_.pdf", "Melting_Curves/meltCurve_sp_Q9Y2Q3_GSTK1_HUMAN_.pdf")</f>
        <v>Melting_Curves/meltCurve_sp_Q9Y2Q3_GSTK1_HUMAN_.pdf</v>
      </c>
      <c r="AA3803" t="s">
        <v>17962</v>
      </c>
      <c r="AB3803" t="s">
        <v>22636</v>
      </c>
    </row>
    <row r="3804" spans="1:28" x14ac:dyDescent="0.25">
      <c r="A3804" t="s">
        <v>3808</v>
      </c>
      <c r="B3804">
        <v>0.99904790336628502</v>
      </c>
      <c r="C3804">
        <v>1.5911165663342799</v>
      </c>
      <c r="D3804">
        <v>1.48115755515248</v>
      </c>
      <c r="E3804">
        <v>1.3781426481066901</v>
      </c>
      <c r="F3804">
        <v>1.2521136600634799</v>
      </c>
      <c r="G3804">
        <v>1.00447744825847</v>
      </c>
      <c r="H3804">
        <v>0.67573069259233898</v>
      </c>
      <c r="I3804">
        <v>0.49213663252807399</v>
      </c>
      <c r="J3804">
        <v>0.19461910903530799</v>
      </c>
      <c r="K3804">
        <v>9.3091310186770804E-2</v>
      </c>
      <c r="L3804">
        <v>1750.8275829505101</v>
      </c>
      <c r="M3804">
        <v>27.669112342706601</v>
      </c>
      <c r="N3804">
        <v>63.442689537071203</v>
      </c>
      <c r="O3804">
        <v>62.949573330330402</v>
      </c>
      <c r="P3804">
        <v>-0.10606433385054</v>
      </c>
      <c r="Q3804">
        <v>3.4787362254822797E-2</v>
      </c>
      <c r="R3804">
        <v>0.68636182211855901</v>
      </c>
      <c r="S3804" t="s">
        <v>8544</v>
      </c>
      <c r="T3804" t="s">
        <v>9478</v>
      </c>
      <c r="U3804" t="s">
        <v>9478</v>
      </c>
      <c r="V3804" t="s">
        <v>9478</v>
      </c>
      <c r="W3804">
        <v>4</v>
      </c>
      <c r="X3804" t="s">
        <v>13282</v>
      </c>
      <c r="Y3804">
        <v>0.7859474021628361</v>
      </c>
      <c r="Z3804" t="str">
        <f>HYPERLINK("Melting_Curves/meltCurve_sp_Q9Y2Q5_LTOR2_HUMAN_.pdf", "Melting_Curves/meltCurve_sp_Q9Y2Q5_LTOR2_HUMAN_.pdf")</f>
        <v>Melting_Curves/meltCurve_sp_Q9Y2Q5_LTOR2_HUMAN_.pdf</v>
      </c>
      <c r="AA3804" t="s">
        <v>17963</v>
      </c>
      <c r="AB3804" t="s">
        <v>22637</v>
      </c>
    </row>
    <row r="3805" spans="1:28" x14ac:dyDescent="0.25">
      <c r="A3805" t="s">
        <v>3809</v>
      </c>
      <c r="B3805">
        <v>0.99904790336628502</v>
      </c>
      <c r="C3805">
        <v>1.09253180441628</v>
      </c>
      <c r="D3805">
        <v>1.02864286295387</v>
      </c>
      <c r="E3805">
        <v>0.48488949493074701</v>
      </c>
      <c r="F3805">
        <v>0.226254599264853</v>
      </c>
      <c r="G3805">
        <v>0.11263420212675899</v>
      </c>
      <c r="H3805">
        <v>0.115426448558213</v>
      </c>
      <c r="I3805">
        <v>0.103417914594181</v>
      </c>
      <c r="J3805">
        <v>7.2762451004624598E-2</v>
      </c>
      <c r="K3805">
        <v>6.5493554267670798E-2</v>
      </c>
      <c r="L3805">
        <v>1954.9368233661301</v>
      </c>
      <c r="M3805">
        <v>39.271587808291798</v>
      </c>
      <c r="N3805">
        <v>50.0628901326548</v>
      </c>
      <c r="O3805">
        <v>49.651378314189998</v>
      </c>
      <c r="P3805">
        <v>-0.17805645719365801</v>
      </c>
      <c r="Q3805">
        <v>9.9529343990595306E-2</v>
      </c>
      <c r="R3805">
        <v>0.98944899194695801</v>
      </c>
      <c r="S3805" t="s">
        <v>8545</v>
      </c>
      <c r="T3805" t="s">
        <v>9478</v>
      </c>
      <c r="U3805" t="s">
        <v>9478</v>
      </c>
      <c r="V3805" t="s">
        <v>9478</v>
      </c>
      <c r="W3805">
        <v>1</v>
      </c>
      <c r="X3805" t="s">
        <v>13283</v>
      </c>
      <c r="Y3805">
        <v>0.39629772345077641</v>
      </c>
      <c r="Z3805" t="str">
        <f>HYPERLINK("Melting_Curves/meltCurve_sp_Q9Y2R9_RT07_HUMAN_.pdf", "Melting_Curves/meltCurve_sp_Q9Y2R9_RT07_HUMAN_.pdf")</f>
        <v>Melting_Curves/meltCurve_sp_Q9Y2R9_RT07_HUMAN_.pdf</v>
      </c>
      <c r="AA3805" t="s">
        <v>17964</v>
      </c>
      <c r="AB3805" t="s">
        <v>22638</v>
      </c>
    </row>
    <row r="3806" spans="1:28" x14ac:dyDescent="0.25">
      <c r="A3806" t="s">
        <v>3810</v>
      </c>
      <c r="B3806">
        <v>0.99904790336628502</v>
      </c>
      <c r="C3806">
        <v>0.96914061825728504</v>
      </c>
      <c r="D3806">
        <v>0.98322416032480298</v>
      </c>
      <c r="E3806">
        <v>0.78297777159851201</v>
      </c>
      <c r="F3806">
        <v>0.303071822247309</v>
      </c>
      <c r="G3806">
        <v>0.126384645381941</v>
      </c>
      <c r="H3806">
        <v>7.1238815173759198E-2</v>
      </c>
      <c r="I3806">
        <v>5.3271826821299099E-2</v>
      </c>
      <c r="J3806">
        <v>4.4879774884775202E-2</v>
      </c>
      <c r="K3806">
        <v>3.7604693063665699E-2</v>
      </c>
      <c r="L3806">
        <v>1875.2496493543299</v>
      </c>
      <c r="M3806">
        <v>36.3525935970709</v>
      </c>
      <c r="N3806">
        <v>51.761076588441298</v>
      </c>
      <c r="O3806">
        <v>51.429668293086799</v>
      </c>
      <c r="P3806">
        <v>-0.16643466922896499</v>
      </c>
      <c r="Q3806">
        <v>5.8151950355640303E-2</v>
      </c>
      <c r="R3806">
        <v>0.997970433068744</v>
      </c>
      <c r="S3806" t="s">
        <v>8546</v>
      </c>
      <c r="T3806" t="s">
        <v>9478</v>
      </c>
      <c r="U3806" t="s">
        <v>9478</v>
      </c>
      <c r="V3806" t="s">
        <v>9478</v>
      </c>
      <c r="W3806">
        <v>23</v>
      </c>
      <c r="X3806" t="s">
        <v>13284</v>
      </c>
      <c r="Y3806">
        <v>0.42593258900998548</v>
      </c>
      <c r="Z3806" t="str">
        <f>HYPERLINK("Melting_Curves/meltCurve_sp_Q9Y2S2_CRYL1_HUMAN_.pdf", "Melting_Curves/meltCurve_sp_Q9Y2S2_CRYL1_HUMAN_.pdf")</f>
        <v>Melting_Curves/meltCurve_sp_Q9Y2S2_CRYL1_HUMAN_.pdf</v>
      </c>
      <c r="AA3806" t="s">
        <v>17965</v>
      </c>
      <c r="AB3806" t="s">
        <v>22639</v>
      </c>
    </row>
    <row r="3807" spans="1:28" x14ac:dyDescent="0.25">
      <c r="A3807" t="s">
        <v>3811</v>
      </c>
      <c r="B3807">
        <v>0.99904790336628502</v>
      </c>
      <c r="C3807">
        <v>0.97945117504877599</v>
      </c>
      <c r="D3807">
        <v>0.89811235527885502</v>
      </c>
      <c r="E3807">
        <v>0.93998091375616999</v>
      </c>
      <c r="F3807">
        <v>0.98496674249382898</v>
      </c>
      <c r="G3807">
        <v>0.81454736664697502</v>
      </c>
      <c r="H3807">
        <v>0.75499842595589395</v>
      </c>
      <c r="I3807">
        <v>0.79001394823158999</v>
      </c>
      <c r="J3807">
        <v>0.87608486483063397</v>
      </c>
      <c r="K3807">
        <v>0.986025491881383</v>
      </c>
      <c r="L3807">
        <v>613.80128450058305</v>
      </c>
      <c r="M3807">
        <v>12.626309628612301</v>
      </c>
      <c r="O3807">
        <v>47.441833638215101</v>
      </c>
      <c r="P3807">
        <v>-9.8355219974394694E-3</v>
      </c>
      <c r="Q3807">
        <v>0.85220610158173704</v>
      </c>
      <c r="R3807">
        <v>0.32186454370994599</v>
      </c>
      <c r="S3807" t="s">
        <v>8547</v>
      </c>
      <c r="T3807" t="s">
        <v>9478</v>
      </c>
      <c r="U3807" t="s">
        <v>9478</v>
      </c>
      <c r="V3807" t="s">
        <v>9478</v>
      </c>
      <c r="W3807">
        <v>5</v>
      </c>
      <c r="X3807" t="s">
        <v>13285</v>
      </c>
      <c r="Y3807">
        <v>0.89972679869681682</v>
      </c>
      <c r="Z3807" t="str">
        <f>HYPERLINK("Melting_Curves/meltCurve_sp_Q9Y2S6_TMA7_HUMAN_.pdf", "Melting_Curves/meltCurve_sp_Q9Y2S6_TMA7_HUMAN_.pdf")</f>
        <v>Melting_Curves/meltCurve_sp_Q9Y2S6_TMA7_HUMAN_.pdf</v>
      </c>
      <c r="AA3807" t="s">
        <v>17966</v>
      </c>
      <c r="AB3807" t="s">
        <v>22640</v>
      </c>
    </row>
    <row r="3808" spans="1:28" x14ac:dyDescent="0.25">
      <c r="A3808" t="s">
        <v>3812</v>
      </c>
      <c r="B3808">
        <v>0.99904790336628502</v>
      </c>
      <c r="C3808">
        <v>0.99800954971120504</v>
      </c>
      <c r="D3808">
        <v>0.99047856081300201</v>
      </c>
      <c r="E3808">
        <v>0.87228574891934896</v>
      </c>
      <c r="F3808">
        <v>0.51716339453603599</v>
      </c>
      <c r="G3808">
        <v>0.17855410484867301</v>
      </c>
      <c r="H3808">
        <v>8.9077215443772895E-2</v>
      </c>
      <c r="I3808">
        <v>7.0252675212275906E-2</v>
      </c>
      <c r="J3808">
        <v>6.2341609669592499E-2</v>
      </c>
      <c r="K3808">
        <v>4.9390520996997797E-2</v>
      </c>
      <c r="L3808">
        <v>1549.1665850424899</v>
      </c>
      <c r="M3808">
        <v>29.241293546811001</v>
      </c>
      <c r="N3808">
        <v>53.219850899296702</v>
      </c>
      <c r="O3808">
        <v>52.7328085372068</v>
      </c>
      <c r="P3808">
        <v>-0.13002975237686201</v>
      </c>
      <c r="Q3808">
        <v>6.2040904661449903E-2</v>
      </c>
      <c r="R3808">
        <v>0.99963383280479101</v>
      </c>
      <c r="S3808" t="s">
        <v>8548</v>
      </c>
      <c r="T3808" t="s">
        <v>9478</v>
      </c>
      <c r="U3808" t="s">
        <v>9478</v>
      </c>
      <c r="V3808" t="s">
        <v>9478</v>
      </c>
      <c r="W3808">
        <v>14</v>
      </c>
      <c r="X3808" t="s">
        <v>13286</v>
      </c>
      <c r="Y3808">
        <v>0.47421801569241201</v>
      </c>
      <c r="Z3808" t="str">
        <f>HYPERLINK("Melting_Curves/meltCurve_sp_Q9Y2S7_PDIP2_HUMAN_.pdf", "Melting_Curves/meltCurve_sp_Q9Y2S7_PDIP2_HUMAN_.pdf")</f>
        <v>Melting_Curves/meltCurve_sp_Q9Y2S7_PDIP2_HUMAN_.pdf</v>
      </c>
      <c r="AA3808" t="s">
        <v>17967</v>
      </c>
      <c r="AB3808" t="s">
        <v>22641</v>
      </c>
    </row>
    <row r="3809" spans="1:28" x14ac:dyDescent="0.25">
      <c r="A3809" t="s">
        <v>3813</v>
      </c>
      <c r="B3809">
        <v>0.99904790336628502</v>
      </c>
      <c r="C3809">
        <v>1.0622145563099901</v>
      </c>
      <c r="D3809">
        <v>1.0486269334675999</v>
      </c>
      <c r="E3809">
        <v>0.82485836358305598</v>
      </c>
      <c r="F3809">
        <v>0.51629818499008195</v>
      </c>
      <c r="G3809">
        <v>0.27893762954331103</v>
      </c>
      <c r="H3809">
        <v>9.5679737544961896E-2</v>
      </c>
      <c r="I3809">
        <v>5.6145241275343899E-2</v>
      </c>
      <c r="J3809">
        <v>5.8588179935751702E-2</v>
      </c>
      <c r="K3809">
        <v>2.4699445605310299E-2</v>
      </c>
      <c r="L3809">
        <v>1157.7230651740001</v>
      </c>
      <c r="M3809">
        <v>21.683321033825798</v>
      </c>
      <c r="N3809">
        <v>53.589646924900599</v>
      </c>
      <c r="O3809">
        <v>52.944427048579598</v>
      </c>
      <c r="P3809">
        <v>-9.8460936896448206E-2</v>
      </c>
      <c r="Q3809">
        <v>3.8369698228441697E-2</v>
      </c>
      <c r="R3809">
        <v>0.99177192794663405</v>
      </c>
      <c r="S3809" t="s">
        <v>8549</v>
      </c>
      <c r="T3809" t="s">
        <v>9478</v>
      </c>
      <c r="U3809" t="s">
        <v>9478</v>
      </c>
      <c r="V3809" t="s">
        <v>9478</v>
      </c>
      <c r="W3809">
        <v>7</v>
      </c>
      <c r="X3809" t="s">
        <v>13287</v>
      </c>
      <c r="Y3809">
        <v>0.47912754680791553</v>
      </c>
      <c r="Z3809" t="str">
        <f>HYPERLINK("Melting_Curves/meltCurve_sp_Q9Y2T2_AP3M1_HUMAN_.pdf", "Melting_Curves/meltCurve_sp_Q9Y2T2_AP3M1_HUMAN_.pdf")</f>
        <v>Melting_Curves/meltCurve_sp_Q9Y2T2_AP3M1_HUMAN_.pdf</v>
      </c>
      <c r="AA3809" t="s">
        <v>17968</v>
      </c>
      <c r="AB3809" t="s">
        <v>22642</v>
      </c>
    </row>
    <row r="3810" spans="1:28" x14ac:dyDescent="0.25">
      <c r="A3810" t="s">
        <v>3814</v>
      </c>
      <c r="B3810">
        <v>0.99904790336628502</v>
      </c>
      <c r="C3810">
        <v>0.94989452176482503</v>
      </c>
      <c r="D3810">
        <v>0.97233917555032601</v>
      </c>
      <c r="E3810">
        <v>1.0278817457148699</v>
      </c>
      <c r="F3810">
        <v>0.91401719637949497</v>
      </c>
      <c r="G3810">
        <v>0.923881470155963</v>
      </c>
      <c r="H3810">
        <v>0.63558537233999102</v>
      </c>
      <c r="I3810">
        <v>0.50814608543363005</v>
      </c>
      <c r="J3810">
        <v>0.34733217657370402</v>
      </c>
      <c r="K3810">
        <v>0.14705529522859201</v>
      </c>
      <c r="L3810">
        <v>1059.75517069746</v>
      </c>
      <c r="M3810">
        <v>16.6088600334764</v>
      </c>
      <c r="N3810">
        <v>63.806618135758697</v>
      </c>
      <c r="O3810">
        <v>62.903152549495601</v>
      </c>
      <c r="P3810">
        <v>-6.6014121635283196E-2</v>
      </c>
      <c r="Q3810">
        <v>0</v>
      </c>
      <c r="R3810">
        <v>0.98310000141454701</v>
      </c>
      <c r="S3810" t="s">
        <v>8550</v>
      </c>
      <c r="T3810" t="s">
        <v>9478</v>
      </c>
      <c r="U3810" t="s">
        <v>9478</v>
      </c>
      <c r="V3810" t="s">
        <v>9478</v>
      </c>
      <c r="W3810">
        <v>23</v>
      </c>
      <c r="X3810" t="s">
        <v>13288</v>
      </c>
      <c r="Y3810">
        <v>0.78273989954009526</v>
      </c>
      <c r="Z3810" t="str">
        <f>HYPERLINK("Melting_Curves/meltCurve_sp_Q9Y2T3_3_GUAD_HUMAN_.pdf", "Melting_Curves/meltCurve_sp_Q9Y2T3_3_GUAD_HUMAN_.pdf")</f>
        <v>Melting_Curves/meltCurve_sp_Q9Y2T3_3_GUAD_HUMAN_.pdf</v>
      </c>
      <c r="AA3810" t="s">
        <v>17969</v>
      </c>
      <c r="AB3810" t="s">
        <v>22643</v>
      </c>
    </row>
    <row r="3811" spans="1:28" x14ac:dyDescent="0.25">
      <c r="A3811" t="s">
        <v>3815</v>
      </c>
      <c r="B3811">
        <v>0.99904790336628502</v>
      </c>
      <c r="C3811">
        <v>0.86748424918794498</v>
      </c>
      <c r="D3811">
        <v>0.76197148103324797</v>
      </c>
      <c r="E3811">
        <v>0.69662261054179697</v>
      </c>
      <c r="F3811">
        <v>0.59768505273471595</v>
      </c>
      <c r="G3811">
        <v>0.34035448089593001</v>
      </c>
      <c r="H3811">
        <v>0.23438304112112199</v>
      </c>
      <c r="I3811">
        <v>0.24342570976813899</v>
      </c>
      <c r="J3811">
        <v>0.17044750917797699</v>
      </c>
      <c r="K3811">
        <v>0.173291004333152</v>
      </c>
      <c r="L3811">
        <v>484.09209916557302</v>
      </c>
      <c r="M3811">
        <v>9.1017571754141393</v>
      </c>
      <c r="N3811">
        <v>53.860144897212898</v>
      </c>
      <c r="O3811">
        <v>50.807791558057403</v>
      </c>
      <c r="P3811">
        <v>-4.24058795199636E-2</v>
      </c>
      <c r="Q3811">
        <v>5.37868170509576E-2</v>
      </c>
      <c r="R3811">
        <v>0.98084838080839998</v>
      </c>
      <c r="S3811" t="s">
        <v>8551</v>
      </c>
      <c r="T3811" t="s">
        <v>9478</v>
      </c>
      <c r="U3811" t="s">
        <v>9478</v>
      </c>
      <c r="V3811" t="s">
        <v>9478</v>
      </c>
      <c r="W3811">
        <v>2</v>
      </c>
      <c r="X3811" t="s">
        <v>13289</v>
      </c>
      <c r="Y3811">
        <v>0.50389133152095411</v>
      </c>
      <c r="Z3811" t="str">
        <f>HYPERLINK("Melting_Curves/meltCurve_sp_Q9Y2U5_M3K2_HUMAN_.pdf", "Melting_Curves/meltCurve_sp_Q9Y2U5_M3K2_HUMAN_.pdf")</f>
        <v>Melting_Curves/meltCurve_sp_Q9Y2U5_M3K2_HUMAN_.pdf</v>
      </c>
      <c r="AA3811" t="s">
        <v>17970</v>
      </c>
      <c r="AB3811" t="s">
        <v>22644</v>
      </c>
    </row>
    <row r="3812" spans="1:28" x14ac:dyDescent="0.25">
      <c r="A3812" t="s">
        <v>3816</v>
      </c>
      <c r="B3812">
        <v>0.99904790336628502</v>
      </c>
      <c r="C3812">
        <v>0.72029312082416197</v>
      </c>
      <c r="D3812">
        <v>0.71560408127261499</v>
      </c>
      <c r="E3812">
        <v>0.78896730581677499</v>
      </c>
      <c r="F3812">
        <v>0.70249927237516596</v>
      </c>
      <c r="G3812">
        <v>0.57272977105924905</v>
      </c>
      <c r="H3812">
        <v>0.505522446285534</v>
      </c>
      <c r="I3812">
        <v>0.46660551592845501</v>
      </c>
      <c r="J3812">
        <v>0.34431705620342101</v>
      </c>
      <c r="K3812">
        <v>0.32091867933448898</v>
      </c>
      <c r="L3812">
        <v>265.44696614525299</v>
      </c>
      <c r="M3812">
        <v>4.3961582566328499</v>
      </c>
      <c r="N3812">
        <v>60.381594464122998</v>
      </c>
      <c r="O3812">
        <v>50.988234622982503</v>
      </c>
      <c r="P3812">
        <v>-2.1758455426005501E-2</v>
      </c>
      <c r="Q3812">
        <v>0</v>
      </c>
      <c r="R3812">
        <v>0.88117406267079201</v>
      </c>
      <c r="S3812" t="s">
        <v>8552</v>
      </c>
      <c r="T3812" t="s">
        <v>9478</v>
      </c>
      <c r="U3812" t="s">
        <v>9478</v>
      </c>
      <c r="V3812" t="s">
        <v>9478</v>
      </c>
      <c r="W3812">
        <v>2</v>
      </c>
      <c r="X3812" t="s">
        <v>13290</v>
      </c>
      <c r="Y3812">
        <v>0.61578570777608055</v>
      </c>
      <c r="Z3812" t="str">
        <f>HYPERLINK("Melting_Curves/meltCurve_sp_Q9Y2U8_MAN1_HUMAN_.pdf", "Melting_Curves/meltCurve_sp_Q9Y2U8_MAN1_HUMAN_.pdf")</f>
        <v>Melting_Curves/meltCurve_sp_Q9Y2U8_MAN1_HUMAN_.pdf</v>
      </c>
      <c r="AA3812" t="s">
        <v>17971</v>
      </c>
      <c r="AB3812" t="s">
        <v>22645</v>
      </c>
    </row>
    <row r="3813" spans="1:28" x14ac:dyDescent="0.25">
      <c r="A3813" t="s">
        <v>3817</v>
      </c>
      <c r="B3813">
        <v>0.99904790336628502</v>
      </c>
      <c r="C3813">
        <v>1.05837139430382</v>
      </c>
      <c r="D3813">
        <v>1.0038594457487999</v>
      </c>
      <c r="E3813">
        <v>1.0621529977600299</v>
      </c>
      <c r="F3813">
        <v>1.1773552982852999</v>
      </c>
      <c r="G3813">
        <v>0.97134106493226302</v>
      </c>
      <c r="H3813">
        <v>1.03342003655989</v>
      </c>
      <c r="I3813">
        <v>1.0495447390211401</v>
      </c>
      <c r="J3813">
        <v>1.2617163163405001</v>
      </c>
      <c r="K3813">
        <v>0.95311831500661004</v>
      </c>
      <c r="L3813">
        <v>762.41931537304504</v>
      </c>
      <c r="M3813">
        <v>17.212575998976099</v>
      </c>
      <c r="O3813">
        <v>43.709403051403001</v>
      </c>
      <c r="P3813">
        <v>7.0685663649942797E-3</v>
      </c>
      <c r="Q3813">
        <v>1.07179511424387</v>
      </c>
      <c r="R3813">
        <v>5.4436758684312303E-2</v>
      </c>
      <c r="S3813" t="s">
        <v>8553</v>
      </c>
      <c r="T3813" t="s">
        <v>9478</v>
      </c>
      <c r="U3813" t="s">
        <v>9478</v>
      </c>
      <c r="V3813" t="s">
        <v>9478</v>
      </c>
      <c r="W3813">
        <v>12</v>
      </c>
      <c r="X3813" t="s">
        <v>13291</v>
      </c>
      <c r="Y3813">
        <v>1.0596482475533711</v>
      </c>
      <c r="Z3813" t="str">
        <f>HYPERLINK("Melting_Curves/meltCurve_sp_Q9Y2V2_CHSP1_HUMAN_.pdf", "Melting_Curves/meltCurve_sp_Q9Y2V2_CHSP1_HUMAN_.pdf")</f>
        <v>Melting_Curves/meltCurve_sp_Q9Y2V2_CHSP1_HUMAN_.pdf</v>
      </c>
      <c r="AA3813" t="s">
        <v>17972</v>
      </c>
      <c r="AB3813" t="s">
        <v>22646</v>
      </c>
    </row>
    <row r="3814" spans="1:28" x14ac:dyDescent="0.25">
      <c r="A3814" t="s">
        <v>3818</v>
      </c>
      <c r="B3814">
        <v>0.99904790336628502</v>
      </c>
      <c r="C3814">
        <v>1.0654109031747601</v>
      </c>
      <c r="D3814">
        <v>0.904164144176131</v>
      </c>
      <c r="E3814">
        <v>0.49081627383540299</v>
      </c>
      <c r="F3814">
        <v>0.25640541661647598</v>
      </c>
      <c r="G3814">
        <v>0.17024158323902799</v>
      </c>
      <c r="H3814">
        <v>0.122113285835745</v>
      </c>
      <c r="I3814">
        <v>2.16256400031535E-2</v>
      </c>
      <c r="J3814">
        <v>0.179713366507772</v>
      </c>
      <c r="K3814">
        <v>9.2959909533526994E-2</v>
      </c>
      <c r="L3814">
        <v>1344.66631223283</v>
      </c>
      <c r="M3814">
        <v>27.119810515255502</v>
      </c>
      <c r="N3814">
        <v>50.046899764101198</v>
      </c>
      <c r="O3814">
        <v>49.315203560548902</v>
      </c>
      <c r="P3814">
        <v>-0.12218687926508599</v>
      </c>
      <c r="Q3814">
        <v>0.111260533624283</v>
      </c>
      <c r="R3814">
        <v>0.98592203061692196</v>
      </c>
      <c r="S3814" t="s">
        <v>8554</v>
      </c>
      <c r="T3814" t="s">
        <v>9478</v>
      </c>
      <c r="U3814" t="s">
        <v>9478</v>
      </c>
      <c r="V3814" t="s">
        <v>9478</v>
      </c>
      <c r="W3814">
        <v>7</v>
      </c>
      <c r="X3814" t="s">
        <v>13292</v>
      </c>
      <c r="Y3814">
        <v>0.40184199268881571</v>
      </c>
      <c r="Z3814" t="str">
        <f>HYPERLINK("Melting_Curves/meltCurve_sp_Q9Y2V7_COG6_HUMAN_.pdf", "Melting_Curves/meltCurve_sp_Q9Y2V7_COG6_HUMAN_.pdf")</f>
        <v>Melting_Curves/meltCurve_sp_Q9Y2V7_COG6_HUMAN_.pdf</v>
      </c>
      <c r="AA3814" t="s">
        <v>17973</v>
      </c>
      <c r="AB3814" t="s">
        <v>22647</v>
      </c>
    </row>
    <row r="3815" spans="1:28" x14ac:dyDescent="0.25">
      <c r="A3815" t="s">
        <v>3819</v>
      </c>
      <c r="B3815">
        <v>0.99904790336628502</v>
      </c>
      <c r="C3815">
        <v>0.956693593155577</v>
      </c>
      <c r="D3815">
        <v>0.932910857171806</v>
      </c>
      <c r="E3815">
        <v>0.92644613277481003</v>
      </c>
      <c r="F3815">
        <v>0.95841627437552801</v>
      </c>
      <c r="G3815">
        <v>0.75177571123409404</v>
      </c>
      <c r="H3815">
        <v>0.68830230169070095</v>
      </c>
      <c r="I3815">
        <v>0.74353888837277704</v>
      </c>
      <c r="J3815">
        <v>0.78372174156485497</v>
      </c>
      <c r="K3815">
        <v>0.78135773385846996</v>
      </c>
      <c r="L3815">
        <v>3731.76432198986</v>
      </c>
      <c r="M3815">
        <v>68.866795409714697</v>
      </c>
      <c r="O3815">
        <v>54.142522855572999</v>
      </c>
      <c r="P3815">
        <v>-8.0079189070151893E-2</v>
      </c>
      <c r="Q3815">
        <v>0.74816964073448</v>
      </c>
      <c r="R3815">
        <v>0.84520992696010999</v>
      </c>
      <c r="S3815" t="s">
        <v>8555</v>
      </c>
      <c r="T3815" t="s">
        <v>9478</v>
      </c>
      <c r="U3815" t="s">
        <v>9478</v>
      </c>
      <c r="V3815" t="s">
        <v>9478</v>
      </c>
      <c r="W3815">
        <v>32</v>
      </c>
      <c r="X3815" t="s">
        <v>13293</v>
      </c>
      <c r="Y3815">
        <v>0.86758634129661683</v>
      </c>
      <c r="Z3815" t="str">
        <f>HYPERLINK("Melting_Curves/meltCurve_sp_Q9Y2W1_TR150_HUMAN_.pdf", "Melting_Curves/meltCurve_sp_Q9Y2W1_TR150_HUMAN_.pdf")</f>
        <v>Melting_Curves/meltCurve_sp_Q9Y2W1_TR150_HUMAN_.pdf</v>
      </c>
      <c r="AA3815" t="s">
        <v>17974</v>
      </c>
      <c r="AB3815" t="s">
        <v>22648</v>
      </c>
    </row>
    <row r="3816" spans="1:28" x14ac:dyDescent="0.25">
      <c r="A3816" t="s">
        <v>3820</v>
      </c>
      <c r="B3816">
        <v>0.99904790336628502</v>
      </c>
      <c r="C3816">
        <v>1.1194967123691499</v>
      </c>
      <c r="D3816">
        <v>1.1332201562911699</v>
      </c>
      <c r="E3816">
        <v>1.0640082814943099</v>
      </c>
      <c r="F3816">
        <v>0.96489898981019995</v>
      </c>
      <c r="G3816">
        <v>0.66365156080997001</v>
      </c>
      <c r="H3816">
        <v>0.460164815717854</v>
      </c>
      <c r="I3816">
        <v>0.40578930358663401</v>
      </c>
      <c r="J3816">
        <v>0.37263512429421702</v>
      </c>
      <c r="K3816">
        <v>0.43885517233286597</v>
      </c>
      <c r="L3816">
        <v>2272.9938627645201</v>
      </c>
      <c r="M3816">
        <v>40.121373420780799</v>
      </c>
      <c r="N3816">
        <v>59.160356158551799</v>
      </c>
      <c r="O3816">
        <v>56.512746078119598</v>
      </c>
      <c r="P3816">
        <v>-0.104948630454426</v>
      </c>
      <c r="Q3816">
        <v>0.40870188015747</v>
      </c>
      <c r="R3816">
        <v>0.95813127226013195</v>
      </c>
      <c r="S3816" t="s">
        <v>8556</v>
      </c>
      <c r="T3816" t="s">
        <v>9478</v>
      </c>
      <c r="U3816" t="s">
        <v>9478</v>
      </c>
      <c r="V3816" t="s">
        <v>9478</v>
      </c>
      <c r="W3816">
        <v>8</v>
      </c>
      <c r="X3816" t="s">
        <v>13294</v>
      </c>
      <c r="Y3816">
        <v>0.73921081825897517</v>
      </c>
      <c r="Z3816" t="str">
        <f>HYPERLINK("Melting_Curves/meltCurve_sp_Q9Y2X3_NOP58_HUMAN_.pdf", "Melting_Curves/meltCurve_sp_Q9Y2X3_NOP58_HUMAN_.pdf")</f>
        <v>Melting_Curves/meltCurve_sp_Q9Y2X3_NOP58_HUMAN_.pdf</v>
      </c>
      <c r="AA3816" t="s">
        <v>17975</v>
      </c>
      <c r="AB3816" t="s">
        <v>22649</v>
      </c>
    </row>
    <row r="3817" spans="1:28" x14ac:dyDescent="0.25">
      <c r="A3817" t="s">
        <v>3821</v>
      </c>
      <c r="B3817">
        <v>0.99904790336628502</v>
      </c>
      <c r="C3817">
        <v>0.79881756967936202</v>
      </c>
      <c r="D3817">
        <v>0.83812803186095597</v>
      </c>
      <c r="E3817">
        <v>0.491301141806053</v>
      </c>
      <c r="F3817">
        <v>0.56956053497994497</v>
      </c>
      <c r="G3817">
        <v>0.21491162405234601</v>
      </c>
      <c r="H3817">
        <v>5.4871986198174898E-2</v>
      </c>
      <c r="I3817">
        <v>0</v>
      </c>
      <c r="J3817">
        <v>0</v>
      </c>
      <c r="K3817">
        <v>0</v>
      </c>
      <c r="L3817">
        <v>649.33565708820697</v>
      </c>
      <c r="M3817">
        <v>12.6640412124961</v>
      </c>
      <c r="N3817">
        <v>51.273969077761699</v>
      </c>
      <c r="O3817">
        <v>50.045879429775198</v>
      </c>
      <c r="P3817">
        <v>-6.3274533990981499E-2</v>
      </c>
      <c r="Q3817">
        <v>0</v>
      </c>
      <c r="R3817">
        <v>0.95162200498114802</v>
      </c>
      <c r="S3817" t="s">
        <v>8557</v>
      </c>
      <c r="T3817" t="s">
        <v>9478</v>
      </c>
      <c r="U3817" t="s">
        <v>9478</v>
      </c>
      <c r="V3817" t="s">
        <v>9478</v>
      </c>
      <c r="W3817">
        <v>2</v>
      </c>
      <c r="X3817" t="s">
        <v>13295</v>
      </c>
      <c r="Y3817">
        <v>0.40550576149579598</v>
      </c>
      <c r="Z3817" t="str">
        <f>HYPERLINK("Melting_Curves/meltCurve_sp_Q9Y2X7_GIT1_HUMAN_.pdf", "Melting_Curves/meltCurve_sp_Q9Y2X7_GIT1_HUMAN_.pdf")</f>
        <v>Melting_Curves/meltCurve_sp_Q9Y2X7_GIT1_HUMAN_.pdf</v>
      </c>
      <c r="AA3817" t="s">
        <v>17976</v>
      </c>
      <c r="AB3817" t="s">
        <v>22650</v>
      </c>
    </row>
    <row r="3818" spans="1:28" x14ac:dyDescent="0.25">
      <c r="A3818" t="s">
        <v>3822</v>
      </c>
      <c r="B3818">
        <v>0.99904790336628502</v>
      </c>
      <c r="C3818">
        <v>0.93300639014990305</v>
      </c>
      <c r="D3818">
        <v>0.89473338849023698</v>
      </c>
      <c r="E3818">
        <v>0.87385199576438599</v>
      </c>
      <c r="F3818">
        <v>0.89751030116238895</v>
      </c>
      <c r="G3818">
        <v>0.65240026710658106</v>
      </c>
      <c r="H3818">
        <v>0.58105728780542998</v>
      </c>
      <c r="I3818">
        <v>0.468864421537389</v>
      </c>
      <c r="J3818">
        <v>0.39890315803273002</v>
      </c>
      <c r="K3818">
        <v>0.29857512886947901</v>
      </c>
      <c r="L3818">
        <v>492.74792558649102</v>
      </c>
      <c r="M3818">
        <v>7.8114637405376701</v>
      </c>
      <c r="N3818">
        <v>63.0801001348607</v>
      </c>
      <c r="O3818">
        <v>59.346624894411804</v>
      </c>
      <c r="P3818">
        <v>-3.2946777304968998E-2</v>
      </c>
      <c r="Q3818">
        <v>0</v>
      </c>
      <c r="R3818">
        <v>0.97514656054953697</v>
      </c>
      <c r="S3818" t="s">
        <v>8558</v>
      </c>
      <c r="T3818" t="s">
        <v>9478</v>
      </c>
      <c r="U3818" t="s">
        <v>9478</v>
      </c>
      <c r="V3818" t="s">
        <v>9478</v>
      </c>
      <c r="W3818">
        <v>17</v>
      </c>
      <c r="X3818" t="s">
        <v>13296</v>
      </c>
      <c r="Y3818">
        <v>0.71742555982867195</v>
      </c>
      <c r="Z3818" t="str">
        <f>HYPERLINK("Melting_Curves/meltCurve_sp_Q9Y2Z0_SUGT1_HUMAN_.pdf", "Melting_Curves/meltCurve_sp_Q9Y2Z0_SUGT1_HUMAN_.pdf")</f>
        <v>Melting_Curves/meltCurve_sp_Q9Y2Z0_SUGT1_HUMAN_.pdf</v>
      </c>
      <c r="AA3818" t="s">
        <v>17977</v>
      </c>
      <c r="AB3818" t="s">
        <v>22651</v>
      </c>
    </row>
    <row r="3819" spans="1:28" x14ac:dyDescent="0.25">
      <c r="A3819" t="s">
        <v>3823</v>
      </c>
      <c r="B3819">
        <v>0.99904790336628502</v>
      </c>
      <c r="C3819">
        <v>1.0277261404464999</v>
      </c>
      <c r="D3819">
        <v>0.90811160862155604</v>
      </c>
      <c r="E3819">
        <v>0.74795162361164302</v>
      </c>
      <c r="F3819">
        <v>0.48313903967601601</v>
      </c>
      <c r="G3819">
        <v>0.18040561359514101</v>
      </c>
      <c r="H3819">
        <v>9.16984342168361E-2</v>
      </c>
      <c r="I3819">
        <v>7.34188901613365E-2</v>
      </c>
      <c r="J3819">
        <v>2.93561711517503E-2</v>
      </c>
      <c r="K3819">
        <v>3.6109943617126598E-2</v>
      </c>
      <c r="L3819">
        <v>1039.18379516906</v>
      </c>
      <c r="M3819">
        <v>19.772821407097702</v>
      </c>
      <c r="N3819">
        <v>52.710418057372799</v>
      </c>
      <c r="O3819">
        <v>52.0274562001429</v>
      </c>
      <c r="P3819">
        <v>-9.2343954738554196E-2</v>
      </c>
      <c r="Q3819">
        <v>2.8108866062173599E-2</v>
      </c>
      <c r="R3819">
        <v>0.99761059839819899</v>
      </c>
      <c r="S3819" t="s">
        <v>8559</v>
      </c>
      <c r="T3819" t="s">
        <v>9478</v>
      </c>
      <c r="U3819" t="s">
        <v>9478</v>
      </c>
      <c r="V3819" t="s">
        <v>9478</v>
      </c>
      <c r="W3819">
        <v>6</v>
      </c>
      <c r="X3819" t="s">
        <v>13297</v>
      </c>
      <c r="Y3819">
        <v>0.44856375177921581</v>
      </c>
      <c r="Z3819" t="str">
        <f>HYPERLINK("Melting_Curves/meltCurve_sp_Q9Y2Z2_5_MTO1_HUMAN_.pdf", "Melting_Curves/meltCurve_sp_Q9Y2Z2_5_MTO1_HUMAN_.pdf")</f>
        <v>Melting_Curves/meltCurve_sp_Q9Y2Z2_5_MTO1_HUMAN_.pdf</v>
      </c>
      <c r="AA3819" t="s">
        <v>17978</v>
      </c>
      <c r="AB3819" t="s">
        <v>22652</v>
      </c>
    </row>
    <row r="3820" spans="1:28" x14ac:dyDescent="0.25">
      <c r="A3820" t="s">
        <v>3824</v>
      </c>
      <c r="B3820">
        <v>0.99904790336628502</v>
      </c>
      <c r="C3820">
        <v>0.96424723109857802</v>
      </c>
      <c r="D3820">
        <v>0.83028235707543396</v>
      </c>
      <c r="E3820">
        <v>0.454619995234543</v>
      </c>
      <c r="F3820">
        <v>0.24767178256889499</v>
      </c>
      <c r="G3820">
        <v>0.13046864478720699</v>
      </c>
      <c r="H3820">
        <v>7.1494674902911198E-2</v>
      </c>
      <c r="I3820">
        <v>5.6094172966297803E-2</v>
      </c>
      <c r="J3820">
        <v>4.3901046751172498E-2</v>
      </c>
      <c r="K3820">
        <v>4.61361971411249E-2</v>
      </c>
      <c r="L3820">
        <v>987.03887885906397</v>
      </c>
      <c r="M3820">
        <v>19.979441537129699</v>
      </c>
      <c r="N3820">
        <v>49.657950345879897</v>
      </c>
      <c r="O3820">
        <v>48.915811562415499</v>
      </c>
      <c r="P3820">
        <v>-9.7132015748612299E-2</v>
      </c>
      <c r="Q3820">
        <v>4.8795365889363999E-2</v>
      </c>
      <c r="R3820">
        <v>0.99938180895490702</v>
      </c>
      <c r="S3820" t="s">
        <v>8560</v>
      </c>
      <c r="T3820" t="s">
        <v>9478</v>
      </c>
      <c r="U3820" t="s">
        <v>9478</v>
      </c>
      <c r="V3820" t="s">
        <v>9478</v>
      </c>
      <c r="W3820">
        <v>12</v>
      </c>
      <c r="X3820" t="s">
        <v>13298</v>
      </c>
      <c r="Y3820">
        <v>0.36023531867895492</v>
      </c>
      <c r="Z3820" t="str">
        <f>HYPERLINK("Melting_Curves/meltCurve_sp_Q9Y2Z4_SYYM_HUMAN_.pdf", "Melting_Curves/meltCurve_sp_Q9Y2Z4_SYYM_HUMAN_.pdf")</f>
        <v>Melting_Curves/meltCurve_sp_Q9Y2Z4_SYYM_HUMAN_.pdf</v>
      </c>
      <c r="AA3820" t="s">
        <v>17979</v>
      </c>
      <c r="AB3820" t="s">
        <v>22653</v>
      </c>
    </row>
    <row r="3821" spans="1:28" x14ac:dyDescent="0.25">
      <c r="A3821" t="s">
        <v>3825</v>
      </c>
      <c r="B3821">
        <v>0.99904790336628502</v>
      </c>
      <c r="C3821">
        <v>0.80087032897397403</v>
      </c>
      <c r="D3821">
        <v>0.62981229910863601</v>
      </c>
      <c r="E3821">
        <v>0.44077902272519198</v>
      </c>
      <c r="F3821">
        <v>0.361069515235798</v>
      </c>
      <c r="G3821">
        <v>0.209097625329287</v>
      </c>
      <c r="H3821">
        <v>0.115653364694266</v>
      </c>
      <c r="I3821">
        <v>8.8954394533461795E-2</v>
      </c>
      <c r="J3821">
        <v>7.8189325385348105E-2</v>
      </c>
      <c r="K3821">
        <v>9.0866207941998706E-2</v>
      </c>
      <c r="L3821">
        <v>539.43214843340195</v>
      </c>
      <c r="M3821">
        <v>11.0935875809925</v>
      </c>
      <c r="N3821">
        <v>49.023065657837897</v>
      </c>
      <c r="O3821">
        <v>47.125747277587102</v>
      </c>
      <c r="P3821">
        <v>-5.6338186886174001E-2</v>
      </c>
      <c r="Q3821">
        <v>4.30104504970934E-2</v>
      </c>
      <c r="R3821">
        <v>0.98852145656541202</v>
      </c>
      <c r="S3821" t="s">
        <v>8561</v>
      </c>
      <c r="T3821" t="s">
        <v>9478</v>
      </c>
      <c r="U3821" t="s">
        <v>9478</v>
      </c>
      <c r="V3821" t="s">
        <v>9478</v>
      </c>
      <c r="W3821">
        <v>3</v>
      </c>
      <c r="X3821" t="s">
        <v>13299</v>
      </c>
      <c r="Y3821">
        <v>0.35917600334365668</v>
      </c>
      <c r="Z3821" t="str">
        <f>HYPERLINK("Melting_Curves/meltCurve_sp_Q9Y2Z9_3_COQ6_HUMAN_.pdf", "Melting_Curves/meltCurve_sp_Q9Y2Z9_3_COQ6_HUMAN_.pdf")</f>
        <v>Melting_Curves/meltCurve_sp_Q9Y2Z9_3_COQ6_HUMAN_.pdf</v>
      </c>
      <c r="AA3821" t="s">
        <v>17980</v>
      </c>
      <c r="AB3821" t="s">
        <v>22654</v>
      </c>
    </row>
    <row r="3822" spans="1:28" x14ac:dyDescent="0.25">
      <c r="A3822" t="s">
        <v>3826</v>
      </c>
      <c r="B3822">
        <v>0.99904790336628502</v>
      </c>
      <c r="C3822">
        <v>1.13673100529879</v>
      </c>
      <c r="D3822">
        <v>1.0361437513013101</v>
      </c>
      <c r="E3822">
        <v>0.880030898783287</v>
      </c>
      <c r="F3822">
        <v>0.58928381937629404</v>
      </c>
      <c r="G3822">
        <v>0.361200901936376</v>
      </c>
      <c r="H3822">
        <v>0.10282090192688501</v>
      </c>
      <c r="I3822">
        <v>6.73412225240035E-2</v>
      </c>
      <c r="J3822">
        <v>3.73774520070876E-2</v>
      </c>
      <c r="K3822">
        <v>2.2872230471516701E-2</v>
      </c>
      <c r="L3822">
        <v>1081.2404593088499</v>
      </c>
      <c r="M3822">
        <v>19.817427468848098</v>
      </c>
      <c r="N3822">
        <v>54.640475462242101</v>
      </c>
      <c r="O3822">
        <v>54.013633944891801</v>
      </c>
      <c r="P3822">
        <v>-9.0409309426025097E-2</v>
      </c>
      <c r="Q3822">
        <v>1.43684329288914E-2</v>
      </c>
      <c r="R3822">
        <v>0.984002983071529</v>
      </c>
      <c r="S3822" t="s">
        <v>8562</v>
      </c>
      <c r="T3822" t="s">
        <v>9478</v>
      </c>
      <c r="U3822" t="s">
        <v>9478</v>
      </c>
      <c r="V3822" t="s">
        <v>9478</v>
      </c>
      <c r="W3822">
        <v>6</v>
      </c>
      <c r="X3822" t="s">
        <v>13300</v>
      </c>
      <c r="Y3822">
        <v>0.50617969343243208</v>
      </c>
      <c r="Z3822" t="str">
        <f>HYPERLINK("Melting_Curves/meltCurve_sp_Q9Y303_NAGA_HUMAN_.pdf", "Melting_Curves/meltCurve_sp_Q9Y303_NAGA_HUMAN_.pdf")</f>
        <v>Melting_Curves/meltCurve_sp_Q9Y303_NAGA_HUMAN_.pdf</v>
      </c>
      <c r="AA3822" t="s">
        <v>17981</v>
      </c>
      <c r="AB3822" t="s">
        <v>22655</v>
      </c>
    </row>
    <row r="3823" spans="1:28" x14ac:dyDescent="0.25">
      <c r="A3823" t="s">
        <v>3827</v>
      </c>
      <c r="B3823">
        <v>0.99904790336628502</v>
      </c>
      <c r="C3823">
        <v>0.576746524981543</v>
      </c>
      <c r="D3823">
        <v>0.36933772881721699</v>
      </c>
      <c r="E3823">
        <v>0.20822374885854</v>
      </c>
      <c r="F3823">
        <v>0.12661520630346301</v>
      </c>
      <c r="G3823">
        <v>6.6454626705638703E-2</v>
      </c>
      <c r="H3823">
        <v>4.3042641031516699E-2</v>
      </c>
      <c r="I3823">
        <v>3.03033205546842E-2</v>
      </c>
      <c r="J3823">
        <v>2.8099178936526002E-2</v>
      </c>
      <c r="K3823">
        <v>1.34968057134442E-2</v>
      </c>
      <c r="L3823">
        <v>782.30673188273397</v>
      </c>
      <c r="M3823">
        <v>17.6328260195517</v>
      </c>
      <c r="N3823">
        <v>44.583831432745903</v>
      </c>
      <c r="O3823">
        <v>43.807659051575897</v>
      </c>
      <c r="P3823">
        <v>-9.6487653477834501E-2</v>
      </c>
      <c r="Q3823">
        <v>4.11810423097995E-2</v>
      </c>
      <c r="R3823">
        <v>0.97094855802690905</v>
      </c>
      <c r="S3823" t="s">
        <v>8563</v>
      </c>
      <c r="T3823" t="s">
        <v>9478</v>
      </c>
      <c r="U3823" t="s">
        <v>9478</v>
      </c>
      <c r="V3823" t="s">
        <v>9478</v>
      </c>
      <c r="W3823">
        <v>12</v>
      </c>
      <c r="X3823" t="s">
        <v>13301</v>
      </c>
      <c r="Y3823">
        <v>0.2041800152041203</v>
      </c>
      <c r="Z3823" t="str">
        <f>HYPERLINK("Melting_Curves/meltCurve_sp_Q9Y305_ACOT9_HUMAN_.pdf", "Melting_Curves/meltCurve_sp_Q9Y305_ACOT9_HUMAN_.pdf")</f>
        <v>Melting_Curves/meltCurve_sp_Q9Y305_ACOT9_HUMAN_.pdf</v>
      </c>
      <c r="AA3823" t="s">
        <v>17982</v>
      </c>
      <c r="AB3823" t="s">
        <v>22656</v>
      </c>
    </row>
    <row r="3824" spans="1:28" x14ac:dyDescent="0.25">
      <c r="A3824" t="s">
        <v>3828</v>
      </c>
      <c r="B3824">
        <v>0.99904790336628502</v>
      </c>
      <c r="C3824">
        <v>0.98717231558539098</v>
      </c>
      <c r="D3824">
        <v>0.81084242111256799</v>
      </c>
      <c r="E3824">
        <v>0.58081940509409702</v>
      </c>
      <c r="F3824">
        <v>0.32942682016189401</v>
      </c>
      <c r="G3824">
        <v>0.21380384124740001</v>
      </c>
      <c r="H3824">
        <v>0.180104983032189</v>
      </c>
      <c r="I3824">
        <v>0.170237502264836</v>
      </c>
      <c r="J3824">
        <v>0.12724947532594599</v>
      </c>
      <c r="K3824">
        <v>0.121719920607783</v>
      </c>
      <c r="L3824">
        <v>899.56351740841103</v>
      </c>
      <c r="M3824">
        <v>18.050590781196899</v>
      </c>
      <c r="N3824">
        <v>50.702693017676197</v>
      </c>
      <c r="O3824">
        <v>49.236099890712197</v>
      </c>
      <c r="P3824">
        <v>-7.9486922241497407E-2</v>
      </c>
      <c r="Q3824">
        <v>0.13278511904891799</v>
      </c>
      <c r="R3824">
        <v>0.99608852114002699</v>
      </c>
      <c r="S3824" t="s">
        <v>8564</v>
      </c>
      <c r="T3824" t="s">
        <v>9478</v>
      </c>
      <c r="U3824" t="s">
        <v>9478</v>
      </c>
      <c r="V3824" t="s">
        <v>9478</v>
      </c>
      <c r="W3824">
        <v>3</v>
      </c>
      <c r="X3824" t="s">
        <v>13302</v>
      </c>
      <c r="Y3824">
        <v>0.43184896678992102</v>
      </c>
      <c r="Z3824" t="str">
        <f>HYPERLINK("Melting_Curves/meltCurve_sp_Q9Y314_NOSIP_HUMAN_.pdf", "Melting_Curves/meltCurve_sp_Q9Y314_NOSIP_HUMAN_.pdf")</f>
        <v>Melting_Curves/meltCurve_sp_Q9Y314_NOSIP_HUMAN_.pdf</v>
      </c>
      <c r="AA3824" t="s">
        <v>17983</v>
      </c>
      <c r="AB3824" t="s">
        <v>22657</v>
      </c>
    </row>
    <row r="3825" spans="1:28" x14ac:dyDescent="0.25">
      <c r="A3825" t="s">
        <v>3829</v>
      </c>
      <c r="B3825">
        <v>0.99904790336628502</v>
      </c>
      <c r="C3825">
        <v>1.08733828400015</v>
      </c>
      <c r="D3825">
        <v>0.96407773116655604</v>
      </c>
      <c r="E3825">
        <v>0.95741584612909603</v>
      </c>
      <c r="F3825">
        <v>0.60298770588768802</v>
      </c>
      <c r="G3825">
        <v>0.73370318978943105</v>
      </c>
      <c r="H3825">
        <v>0.42399934259872202</v>
      </c>
      <c r="I3825">
        <v>0.363526191940437</v>
      </c>
      <c r="J3825">
        <v>7.8595597740411E-2</v>
      </c>
      <c r="K3825">
        <v>4.0123701996551402E-2</v>
      </c>
      <c r="L3825">
        <v>748.77660295037799</v>
      </c>
      <c r="M3825">
        <v>12.673490625821801</v>
      </c>
      <c r="N3825">
        <v>59.082112883999201</v>
      </c>
      <c r="O3825">
        <v>57.669030568197698</v>
      </c>
      <c r="P3825">
        <v>-5.4951341745642202E-2</v>
      </c>
      <c r="Q3825">
        <v>0</v>
      </c>
      <c r="R3825">
        <v>0.92907039190641705</v>
      </c>
      <c r="S3825" t="s">
        <v>8565</v>
      </c>
      <c r="T3825" t="s">
        <v>9478</v>
      </c>
      <c r="U3825" t="s">
        <v>9478</v>
      </c>
      <c r="V3825" t="s">
        <v>9478</v>
      </c>
      <c r="W3825">
        <v>9</v>
      </c>
      <c r="X3825" t="s">
        <v>13303</v>
      </c>
      <c r="Y3825">
        <v>0.64451923127543287</v>
      </c>
      <c r="Z3825" t="str">
        <f>HYPERLINK("Melting_Curves/meltCurve_sp_Q9Y315_DEOC_HUMAN_.pdf", "Melting_Curves/meltCurve_sp_Q9Y315_DEOC_HUMAN_.pdf")</f>
        <v>Melting_Curves/meltCurve_sp_Q9Y315_DEOC_HUMAN_.pdf</v>
      </c>
      <c r="AA3825" t="s">
        <v>17984</v>
      </c>
      <c r="AB3825" t="s">
        <v>22658</v>
      </c>
    </row>
    <row r="3826" spans="1:28" x14ac:dyDescent="0.25">
      <c r="A3826" t="s">
        <v>3830</v>
      </c>
      <c r="B3826">
        <v>0.99904790336628502</v>
      </c>
      <c r="C3826">
        <v>0.892973433692549</v>
      </c>
      <c r="D3826">
        <v>0.862722778173034</v>
      </c>
      <c r="E3826">
        <v>0.81998344242907995</v>
      </c>
      <c r="F3826">
        <v>0.63146701567526897</v>
      </c>
      <c r="G3826">
        <v>0.226359923662627</v>
      </c>
      <c r="H3826">
        <v>0.137205090049521</v>
      </c>
      <c r="I3826">
        <v>9.3628447328877304E-2</v>
      </c>
      <c r="J3826">
        <v>6.5018235779181602E-2</v>
      </c>
      <c r="K3826">
        <v>6.4306453142438297E-2</v>
      </c>
      <c r="L3826">
        <v>983.83140856636305</v>
      </c>
      <c r="M3826">
        <v>18.3154661318477</v>
      </c>
      <c r="N3826">
        <v>53.949993250097499</v>
      </c>
      <c r="O3826">
        <v>53.087805083079502</v>
      </c>
      <c r="P3826">
        <v>-8.2959832617446494E-2</v>
      </c>
      <c r="Q3826">
        <v>3.8200107830773801E-2</v>
      </c>
      <c r="R3826">
        <v>0.98184547355244201</v>
      </c>
      <c r="S3826" t="s">
        <v>8566</v>
      </c>
      <c r="T3826" t="s">
        <v>9478</v>
      </c>
      <c r="U3826" t="s">
        <v>9478</v>
      </c>
      <c r="V3826" t="s">
        <v>9478</v>
      </c>
      <c r="W3826">
        <v>4</v>
      </c>
      <c r="X3826" t="s">
        <v>13304</v>
      </c>
      <c r="Y3826">
        <v>0.49302872668395908</v>
      </c>
      <c r="Z3826" t="str">
        <f>HYPERLINK("Melting_Curves/meltCurve_sp_Q9Y316_MEMO1_HUMAN_.pdf", "Melting_Curves/meltCurve_sp_Q9Y316_MEMO1_HUMAN_.pdf")</f>
        <v>Melting_Curves/meltCurve_sp_Q9Y316_MEMO1_HUMAN_.pdf</v>
      </c>
      <c r="AA3826" t="s">
        <v>17985</v>
      </c>
      <c r="AB3826" t="s">
        <v>22659</v>
      </c>
    </row>
    <row r="3827" spans="1:28" x14ac:dyDescent="0.25">
      <c r="A3827" t="s">
        <v>3831</v>
      </c>
      <c r="B3827">
        <v>0.99904790336628502</v>
      </c>
      <c r="C3827">
        <v>1.0170656129953699</v>
      </c>
      <c r="D3827">
        <v>0.87843873847318699</v>
      </c>
      <c r="E3827">
        <v>0.60933670747876301</v>
      </c>
      <c r="F3827">
        <v>0.260813242815219</v>
      </c>
      <c r="G3827">
        <v>0.15245780494911099</v>
      </c>
      <c r="H3827">
        <v>0.106437105547852</v>
      </c>
      <c r="I3827">
        <v>8.5474717290306701E-2</v>
      </c>
      <c r="J3827">
        <v>7.2145071975778505E-2</v>
      </c>
      <c r="K3827">
        <v>5.3689789726572998E-2</v>
      </c>
      <c r="L3827">
        <v>1185.0453323192701</v>
      </c>
      <c r="M3827">
        <v>23.513982173145301</v>
      </c>
      <c r="N3827">
        <v>50.743104749988298</v>
      </c>
      <c r="O3827">
        <v>50.037212649489</v>
      </c>
      <c r="P3827">
        <v>-0.108790973860003</v>
      </c>
      <c r="Q3827">
        <v>7.3997153192248005E-2</v>
      </c>
      <c r="R3827">
        <v>0.99635094982775096</v>
      </c>
      <c r="S3827" t="s">
        <v>8567</v>
      </c>
      <c r="T3827" t="s">
        <v>9478</v>
      </c>
      <c r="U3827" t="s">
        <v>9478</v>
      </c>
      <c r="V3827" t="s">
        <v>9478</v>
      </c>
      <c r="W3827">
        <v>5</v>
      </c>
      <c r="X3827" t="s">
        <v>13305</v>
      </c>
      <c r="Y3827">
        <v>0.40432019901229821</v>
      </c>
      <c r="Z3827" t="str">
        <f>HYPERLINK("Melting_Curves/meltCurve_sp_Q9Y371_SHLB1_HUMAN_.pdf", "Melting_Curves/meltCurve_sp_Q9Y371_SHLB1_HUMAN_.pdf")</f>
        <v>Melting_Curves/meltCurve_sp_Q9Y371_SHLB1_HUMAN_.pdf</v>
      </c>
      <c r="AA3827" t="s">
        <v>17986</v>
      </c>
      <c r="AB3827" t="s">
        <v>22660</v>
      </c>
    </row>
    <row r="3828" spans="1:28" x14ac:dyDescent="0.25">
      <c r="A3828" t="s">
        <v>3832</v>
      </c>
      <c r="B3828">
        <v>0.99904790336628502</v>
      </c>
      <c r="C3828">
        <v>0.97409174867402804</v>
      </c>
      <c r="D3828">
        <v>0.97044514450257102</v>
      </c>
      <c r="E3828">
        <v>0.946357250793049</v>
      </c>
      <c r="F3828">
        <v>0.88192060986540499</v>
      </c>
      <c r="G3828">
        <v>0.64577048162581896</v>
      </c>
      <c r="H3828">
        <v>0.333976106192514</v>
      </c>
      <c r="I3828">
        <v>7.9189023054890006E-2</v>
      </c>
      <c r="J3828">
        <v>4.7843072969210802E-2</v>
      </c>
      <c r="K3828">
        <v>4.14999643261455E-2</v>
      </c>
      <c r="L3828">
        <v>1255.8995796669201</v>
      </c>
      <c r="M3828">
        <v>21.4639946417898</v>
      </c>
      <c r="N3828">
        <v>58.511923892586601</v>
      </c>
      <c r="O3828">
        <v>58.011116880427601</v>
      </c>
      <c r="P3828">
        <v>-9.2501744576509698E-2</v>
      </c>
      <c r="Q3828">
        <v>0</v>
      </c>
      <c r="R3828">
        <v>0.99501397821976401</v>
      </c>
      <c r="S3828" t="s">
        <v>8568</v>
      </c>
      <c r="T3828" t="s">
        <v>9478</v>
      </c>
      <c r="U3828" t="s">
        <v>9478</v>
      </c>
      <c r="V3828" t="s">
        <v>9478</v>
      </c>
      <c r="W3828">
        <v>14</v>
      </c>
      <c r="X3828" t="s">
        <v>13306</v>
      </c>
      <c r="Y3828">
        <v>0.62714102567441798</v>
      </c>
      <c r="Z3828" t="str">
        <f>HYPERLINK("Melting_Curves/meltCurve_sp_Q9Y376_CAB39_HUMAN_.pdf", "Melting_Curves/meltCurve_sp_Q9Y376_CAB39_HUMAN_.pdf")</f>
        <v>Melting_Curves/meltCurve_sp_Q9Y376_CAB39_HUMAN_.pdf</v>
      </c>
      <c r="AA3828" t="s">
        <v>17987</v>
      </c>
      <c r="AB3828" t="s">
        <v>22661</v>
      </c>
    </row>
    <row r="3829" spans="1:28" x14ac:dyDescent="0.25">
      <c r="A3829" t="s">
        <v>3833</v>
      </c>
      <c r="B3829">
        <v>0.99904790336628502</v>
      </c>
      <c r="C3829">
        <v>0.77795899662364398</v>
      </c>
      <c r="D3829">
        <v>0.86939507795849202</v>
      </c>
      <c r="E3829">
        <v>0.74593151930434598</v>
      </c>
      <c r="F3829">
        <v>0.51241630942618499</v>
      </c>
      <c r="G3829">
        <v>0.44529407920777098</v>
      </c>
      <c r="H3829">
        <v>0.33414653997499799</v>
      </c>
      <c r="I3829">
        <v>0.33800932454338301</v>
      </c>
      <c r="J3829">
        <v>0.29359437402806599</v>
      </c>
      <c r="K3829">
        <v>0.22349220960237001</v>
      </c>
      <c r="L3829">
        <v>454.29610397891798</v>
      </c>
      <c r="M3829">
        <v>8.5914054111245708</v>
      </c>
      <c r="N3829">
        <v>55.215923381358699</v>
      </c>
      <c r="O3829">
        <v>50.247007269710402</v>
      </c>
      <c r="P3829">
        <v>-3.62594604818385E-2</v>
      </c>
      <c r="Q3829">
        <v>0.15247685116835399</v>
      </c>
      <c r="R3829">
        <v>0.95481330848232604</v>
      </c>
      <c r="S3829" t="s">
        <v>8569</v>
      </c>
      <c r="T3829" t="s">
        <v>9478</v>
      </c>
      <c r="U3829" t="s">
        <v>9478</v>
      </c>
      <c r="V3829" t="s">
        <v>9478</v>
      </c>
      <c r="W3829">
        <v>18</v>
      </c>
      <c r="X3829" t="s">
        <v>13307</v>
      </c>
      <c r="Y3829">
        <v>0.54969011899160336</v>
      </c>
      <c r="Z3829" t="str">
        <f>HYPERLINK("Melting_Curves/meltCurve_sp_Q9Y383_LC7L2_HUMAN_.pdf", "Melting_Curves/meltCurve_sp_Q9Y383_LC7L2_HUMAN_.pdf")</f>
        <v>Melting_Curves/meltCurve_sp_Q9Y383_LC7L2_HUMAN_.pdf</v>
      </c>
      <c r="AA3829" t="s">
        <v>17988</v>
      </c>
      <c r="AB3829" t="s">
        <v>22662</v>
      </c>
    </row>
    <row r="3830" spans="1:28" x14ac:dyDescent="0.25">
      <c r="A3830" t="s">
        <v>3834</v>
      </c>
      <c r="B3830">
        <v>0.99904790336628502</v>
      </c>
      <c r="C3830">
        <v>1.27944227127022</v>
      </c>
      <c r="D3830">
        <v>0.86535886664764605</v>
      </c>
      <c r="E3830">
        <v>0.37974353093517799</v>
      </c>
      <c r="F3830">
        <v>0.11251792615888601</v>
      </c>
      <c r="G3830">
        <v>0.119592639403689</v>
      </c>
      <c r="H3830">
        <v>4.06987694235336E-2</v>
      </c>
      <c r="I3830">
        <v>2.4849551139414301E-2</v>
      </c>
      <c r="J3830">
        <v>0</v>
      </c>
      <c r="K3830">
        <v>0</v>
      </c>
      <c r="L3830">
        <v>1618.15485463345</v>
      </c>
      <c r="M3830">
        <v>32.9560952109913</v>
      </c>
      <c r="N3830">
        <v>49.206474403498703</v>
      </c>
      <c r="O3830">
        <v>48.920592593710602</v>
      </c>
      <c r="P3830">
        <v>-0.162638098631954</v>
      </c>
      <c r="Q3830">
        <v>3.4313210224121302E-2</v>
      </c>
      <c r="R3830">
        <v>0.95588971637722298</v>
      </c>
      <c r="S3830" t="s">
        <v>8570</v>
      </c>
      <c r="T3830" t="s">
        <v>9478</v>
      </c>
      <c r="U3830" t="s">
        <v>9478</v>
      </c>
      <c r="V3830" t="s">
        <v>9478</v>
      </c>
      <c r="W3830">
        <v>1</v>
      </c>
      <c r="X3830" t="s">
        <v>13308</v>
      </c>
      <c r="Y3830">
        <v>0.33210987602348319</v>
      </c>
      <c r="Z3830" t="str">
        <f>HYPERLINK("Melting_Curves/meltCurve_sp_Q9Y399_RT02_HUMAN_.pdf", "Melting_Curves/meltCurve_sp_Q9Y399_RT02_HUMAN_.pdf")</f>
        <v>Melting_Curves/meltCurve_sp_Q9Y399_RT02_HUMAN_.pdf</v>
      </c>
      <c r="AA3830" t="s">
        <v>17989</v>
      </c>
      <c r="AB3830" t="s">
        <v>22663</v>
      </c>
    </row>
    <row r="3831" spans="1:28" x14ac:dyDescent="0.25">
      <c r="A3831" t="s">
        <v>3835</v>
      </c>
      <c r="B3831">
        <v>0.99904790336628502</v>
      </c>
      <c r="C3831">
        <v>1.0459476091192199</v>
      </c>
      <c r="D3831">
        <v>1.0085817620911099</v>
      </c>
      <c r="E3831">
        <v>0.88475875129836901</v>
      </c>
      <c r="F3831">
        <v>0.739091176696557</v>
      </c>
      <c r="G3831">
        <v>0.50290757841426303</v>
      </c>
      <c r="H3831">
        <v>0.328187563245463</v>
      </c>
      <c r="I3831">
        <v>0.21275330214566701</v>
      </c>
      <c r="J3831">
        <v>0.10896277400323701</v>
      </c>
      <c r="K3831">
        <v>0.11886639263465799</v>
      </c>
      <c r="L3831">
        <v>838.59380675865805</v>
      </c>
      <c r="M3831">
        <v>14.771553193523101</v>
      </c>
      <c r="N3831">
        <v>57.201011555172599</v>
      </c>
      <c r="O3831">
        <v>55.760862698184098</v>
      </c>
      <c r="P3831">
        <v>-6.2752569001546202E-2</v>
      </c>
      <c r="Q3831">
        <v>5.2567609834116603E-2</v>
      </c>
      <c r="R3831">
        <v>0.99501603790111304</v>
      </c>
      <c r="S3831" t="s">
        <v>8571</v>
      </c>
      <c r="T3831" t="s">
        <v>9478</v>
      </c>
      <c r="U3831" t="s">
        <v>9478</v>
      </c>
      <c r="V3831" t="s">
        <v>9478</v>
      </c>
      <c r="W3831">
        <v>2</v>
      </c>
      <c r="X3831" t="s">
        <v>13309</v>
      </c>
      <c r="Y3831">
        <v>0.59779948137789551</v>
      </c>
      <c r="Z3831" t="str">
        <f>HYPERLINK("Melting_Curves/meltCurve_sp_Q9Y3A3_2_PHOCN_HUMAN_.pdf", "Melting_Curves/meltCurve_sp_Q9Y3A3_2_PHOCN_HUMAN_.pdf")</f>
        <v>Melting_Curves/meltCurve_sp_Q9Y3A3_2_PHOCN_HUMAN_.pdf</v>
      </c>
      <c r="AA3831" t="s">
        <v>17990</v>
      </c>
      <c r="AB3831" t="s">
        <v>22664</v>
      </c>
    </row>
    <row r="3832" spans="1:28" x14ac:dyDescent="0.25">
      <c r="A3832" t="s">
        <v>3836</v>
      </c>
      <c r="B3832">
        <v>0.99904790336628502</v>
      </c>
      <c r="C3832">
        <v>0.98218549068174898</v>
      </c>
      <c r="D3832">
        <v>0.95600385654531705</v>
      </c>
      <c r="E3832">
        <v>0.878930746043047</v>
      </c>
      <c r="F3832">
        <v>0.68329591139777801</v>
      </c>
      <c r="G3832">
        <v>0.26646648493311598</v>
      </c>
      <c r="H3832">
        <v>0.10979058972275201</v>
      </c>
      <c r="I3832">
        <v>7.7061268909591293E-2</v>
      </c>
      <c r="J3832">
        <v>5.4246854159547199E-2</v>
      </c>
      <c r="K3832">
        <v>4.9409338806224397E-2</v>
      </c>
      <c r="L3832">
        <v>1302.91802652353</v>
      </c>
      <c r="M3832">
        <v>23.973033671718799</v>
      </c>
      <c r="N3832">
        <v>54.563218467176</v>
      </c>
      <c r="O3832">
        <v>53.975372689012097</v>
      </c>
      <c r="P3832">
        <v>-0.106059048330804</v>
      </c>
      <c r="Q3832">
        <v>4.48458346313984E-2</v>
      </c>
      <c r="R3832">
        <v>0.998697512645361</v>
      </c>
      <c r="S3832" t="s">
        <v>8572</v>
      </c>
      <c r="T3832" t="s">
        <v>9478</v>
      </c>
      <c r="U3832" t="s">
        <v>9478</v>
      </c>
      <c r="V3832" t="s">
        <v>9478</v>
      </c>
      <c r="W3832">
        <v>8</v>
      </c>
      <c r="X3832" t="s">
        <v>13310</v>
      </c>
      <c r="Y3832">
        <v>0.51123644628141451</v>
      </c>
      <c r="Z3832" t="str">
        <f>HYPERLINK("Melting_Curves/meltCurve_sp_Q9Y3A5_SBDS_HUMAN_.pdf", "Melting_Curves/meltCurve_sp_Q9Y3A5_SBDS_HUMAN_.pdf")</f>
        <v>Melting_Curves/meltCurve_sp_Q9Y3A5_SBDS_HUMAN_.pdf</v>
      </c>
      <c r="AA3832" t="s">
        <v>17991</v>
      </c>
      <c r="AB3832" t="s">
        <v>22665</v>
      </c>
    </row>
    <row r="3833" spans="1:28" x14ac:dyDescent="0.25">
      <c r="A3833" t="s">
        <v>3837</v>
      </c>
      <c r="B3833">
        <v>0.99904790336628502</v>
      </c>
      <c r="C3833">
        <v>1.1582901984629801</v>
      </c>
      <c r="D3833">
        <v>1.0517552106677299</v>
      </c>
      <c r="E3833">
        <v>1.1760621700213301</v>
      </c>
      <c r="F3833">
        <v>1.4785313477698101</v>
      </c>
      <c r="G3833">
        <v>1.21549554450889</v>
      </c>
      <c r="H3833">
        <v>1.33825709118785</v>
      </c>
      <c r="I3833">
        <v>1.55643376322733</v>
      </c>
      <c r="J3833">
        <v>1.7235407272788901</v>
      </c>
      <c r="K3833">
        <v>1.9946071316893299</v>
      </c>
      <c r="L3833">
        <v>795.85017203278301</v>
      </c>
      <c r="M3833">
        <v>15.7342416729237</v>
      </c>
      <c r="O3833">
        <v>49.784875995649699</v>
      </c>
      <c r="P3833">
        <v>3.9508885372333498E-2</v>
      </c>
      <c r="Q3833">
        <v>1.5</v>
      </c>
      <c r="R3833">
        <v>0.54403130538802402</v>
      </c>
      <c r="S3833" t="s">
        <v>8573</v>
      </c>
      <c r="T3833" t="s">
        <v>9478</v>
      </c>
      <c r="U3833" t="s">
        <v>9478</v>
      </c>
      <c r="V3833" t="s">
        <v>9478</v>
      </c>
      <c r="W3833">
        <v>2</v>
      </c>
      <c r="X3833" t="s">
        <v>13311</v>
      </c>
      <c r="Y3833">
        <v>1.312873997991445</v>
      </c>
      <c r="Z3833" t="str">
        <f>HYPERLINK("Melting_Curves/meltCurve_sp_Q9Y3B9_RRP15_HUMAN_.pdf", "Melting_Curves/meltCurve_sp_Q9Y3B9_RRP15_HUMAN_.pdf")</f>
        <v>Melting_Curves/meltCurve_sp_Q9Y3B9_RRP15_HUMAN_.pdf</v>
      </c>
      <c r="AA3833" t="s">
        <v>17992</v>
      </c>
      <c r="AB3833" t="s">
        <v>22666</v>
      </c>
    </row>
    <row r="3834" spans="1:28" x14ac:dyDescent="0.25">
      <c r="A3834" t="s">
        <v>3838</v>
      </c>
      <c r="B3834">
        <v>0.99904790336628502</v>
      </c>
      <c r="C3834">
        <v>0.99761080578474204</v>
      </c>
      <c r="D3834">
        <v>0.98044903571829101</v>
      </c>
      <c r="E3834">
        <v>0.95426808581363898</v>
      </c>
      <c r="F3834">
        <v>0.98755670521682004</v>
      </c>
      <c r="G3834">
        <v>0.65006692452483605</v>
      </c>
      <c r="H3834">
        <v>0.51472251873792396</v>
      </c>
      <c r="I3834">
        <v>0.63077620922229904</v>
      </c>
      <c r="J3834">
        <v>0.67441914905257305</v>
      </c>
      <c r="K3834">
        <v>0.53421919206693302</v>
      </c>
      <c r="L3834">
        <v>4177.0898645326497</v>
      </c>
      <c r="M3834">
        <v>75.050991242409793</v>
      </c>
      <c r="O3834">
        <v>55.617214872467002</v>
      </c>
      <c r="P3834">
        <v>-0.13875483945615</v>
      </c>
      <c r="Q3834">
        <v>0.588697968797668</v>
      </c>
      <c r="R3834">
        <v>0.94819856847623696</v>
      </c>
      <c r="S3834" t="s">
        <v>8574</v>
      </c>
      <c r="T3834" t="s">
        <v>9478</v>
      </c>
      <c r="U3834" t="s">
        <v>9478</v>
      </c>
      <c r="V3834" t="s">
        <v>9478</v>
      </c>
      <c r="W3834">
        <v>4</v>
      </c>
      <c r="X3834" t="s">
        <v>13312</v>
      </c>
      <c r="Y3834">
        <v>0.80379904437409688</v>
      </c>
      <c r="Z3834" t="str">
        <f>HYPERLINK("Melting_Curves/meltCurve_sp_Q9Y3C1_NOP16_HUMAN_.pdf", "Melting_Curves/meltCurve_sp_Q9Y3C1_NOP16_HUMAN_.pdf")</f>
        <v>Melting_Curves/meltCurve_sp_Q9Y3C1_NOP16_HUMAN_.pdf</v>
      </c>
      <c r="AA3834" t="s">
        <v>17993</v>
      </c>
      <c r="AB3834" t="s">
        <v>22667</v>
      </c>
    </row>
    <row r="3835" spans="1:28" x14ac:dyDescent="0.25">
      <c r="A3835" t="s">
        <v>3839</v>
      </c>
      <c r="B3835">
        <v>0.99904790336628502</v>
      </c>
      <c r="C3835">
        <v>0.92994130558676302</v>
      </c>
      <c r="D3835">
        <v>0.90753267454282305</v>
      </c>
      <c r="E3835">
        <v>0.67356174656305901</v>
      </c>
      <c r="F3835">
        <v>0.24200196002736499</v>
      </c>
      <c r="G3835">
        <v>9.2475378123253599E-2</v>
      </c>
      <c r="H3835">
        <v>3.9833760281868399E-2</v>
      </c>
      <c r="I3835">
        <v>2.55237408414404E-2</v>
      </c>
      <c r="J3835">
        <v>2.3721043897881999E-2</v>
      </c>
      <c r="K3835">
        <v>8.0400457568730495E-3</v>
      </c>
      <c r="L3835">
        <v>1393.91799745361</v>
      </c>
      <c r="M3835">
        <v>27.3405398595458</v>
      </c>
      <c r="N3835">
        <v>51.063476823137201</v>
      </c>
      <c r="O3835">
        <v>50.713147602276102</v>
      </c>
      <c r="P3835">
        <v>-0.131958799837189</v>
      </c>
      <c r="Q3835">
        <v>2.0943563012038698E-2</v>
      </c>
      <c r="R3835">
        <v>0.99447986947360201</v>
      </c>
      <c r="S3835" t="s">
        <v>8575</v>
      </c>
      <c r="T3835" t="s">
        <v>9478</v>
      </c>
      <c r="U3835" t="s">
        <v>9478</v>
      </c>
      <c r="V3835" t="s">
        <v>9478</v>
      </c>
      <c r="W3835">
        <v>4</v>
      </c>
      <c r="X3835" t="s">
        <v>13313</v>
      </c>
      <c r="Y3835">
        <v>0.386801798835749</v>
      </c>
      <c r="Z3835" t="str">
        <f>HYPERLINK("Melting_Curves/meltCurve_sp_Q9Y3C4_2_TPRKB_HUMAN_.pdf", "Melting_Curves/meltCurve_sp_Q9Y3C4_2_TPRKB_HUMAN_.pdf")</f>
        <v>Melting_Curves/meltCurve_sp_Q9Y3C4_2_TPRKB_HUMAN_.pdf</v>
      </c>
      <c r="AA3835" t="s">
        <v>17994</v>
      </c>
      <c r="AB3835" t="s">
        <v>22668</v>
      </c>
    </row>
    <row r="3836" spans="1:28" x14ac:dyDescent="0.25">
      <c r="A3836" t="s">
        <v>3840</v>
      </c>
      <c r="B3836">
        <v>0.99904790336628502</v>
      </c>
      <c r="C3836">
        <v>0.97593474831459104</v>
      </c>
      <c r="D3836">
        <v>0.911782023441708</v>
      </c>
      <c r="E3836">
        <v>0.61951808213682802</v>
      </c>
      <c r="F3836">
        <v>0.34509330295867602</v>
      </c>
      <c r="G3836">
        <v>0.20803838836081501</v>
      </c>
      <c r="H3836">
        <v>9.5357851298438795E-2</v>
      </c>
      <c r="I3836">
        <v>7.3611950837848703E-2</v>
      </c>
      <c r="J3836">
        <v>4.8127308967409098E-2</v>
      </c>
      <c r="K3836">
        <v>4.6473054360002701E-2</v>
      </c>
      <c r="L3836">
        <v>956.95635004469796</v>
      </c>
      <c r="M3836">
        <v>18.730521014538098</v>
      </c>
      <c r="N3836">
        <v>51.380780305656202</v>
      </c>
      <c r="O3836">
        <v>50.519091237510402</v>
      </c>
      <c r="P3836">
        <v>-8.8044176969502702E-2</v>
      </c>
      <c r="Q3836">
        <v>5.0165753052168097E-2</v>
      </c>
      <c r="R3836">
        <v>0.99812576999165703</v>
      </c>
      <c r="S3836" t="s">
        <v>8576</v>
      </c>
      <c r="T3836" t="s">
        <v>9478</v>
      </c>
      <c r="U3836" t="s">
        <v>9478</v>
      </c>
      <c r="V3836" t="s">
        <v>9478</v>
      </c>
      <c r="W3836">
        <v>6</v>
      </c>
      <c r="X3836" t="s">
        <v>13314</v>
      </c>
      <c r="Y3836">
        <v>0.41618849231823929</v>
      </c>
      <c r="Z3836" t="str">
        <f>HYPERLINK("Melting_Curves/meltCurve_sp_Q9Y3C6_PPIL1_HUMAN_.pdf", "Melting_Curves/meltCurve_sp_Q9Y3C6_PPIL1_HUMAN_.pdf")</f>
        <v>Melting_Curves/meltCurve_sp_Q9Y3C6_PPIL1_HUMAN_.pdf</v>
      </c>
      <c r="AA3836" t="s">
        <v>17995</v>
      </c>
      <c r="AB3836" t="s">
        <v>22669</v>
      </c>
    </row>
    <row r="3837" spans="1:28" x14ac:dyDescent="0.25">
      <c r="A3837" t="s">
        <v>3841</v>
      </c>
      <c r="B3837">
        <v>0.99904790336628502</v>
      </c>
      <c r="C3837">
        <v>0.91017201224454003</v>
      </c>
      <c r="D3837">
        <v>0.88858277267401198</v>
      </c>
      <c r="E3837">
        <v>0.89857201676343001</v>
      </c>
      <c r="F3837">
        <v>0.93049103283383405</v>
      </c>
      <c r="G3837">
        <v>0.74079540920466702</v>
      </c>
      <c r="H3837">
        <v>0.424171001815976</v>
      </c>
      <c r="I3837">
        <v>0.13787741412340901</v>
      </c>
      <c r="J3837">
        <v>6.4623064874671704E-2</v>
      </c>
      <c r="K3837">
        <v>4.82223681441468E-2</v>
      </c>
      <c r="L3837">
        <v>1319.5574605541699</v>
      </c>
      <c r="M3837">
        <v>22.106771534153101</v>
      </c>
      <c r="N3837">
        <v>59.690198296887203</v>
      </c>
      <c r="O3837">
        <v>59.208207837972203</v>
      </c>
      <c r="P3837">
        <v>-9.3345412225951704E-2</v>
      </c>
      <c r="Q3837">
        <v>0</v>
      </c>
      <c r="R3837">
        <v>0.97685526138159595</v>
      </c>
      <c r="S3837" t="s">
        <v>8577</v>
      </c>
      <c r="T3837" t="s">
        <v>9478</v>
      </c>
      <c r="U3837" t="s">
        <v>9478</v>
      </c>
      <c r="V3837" t="s">
        <v>9478</v>
      </c>
      <c r="W3837">
        <v>9</v>
      </c>
      <c r="X3837" t="s">
        <v>13315</v>
      </c>
      <c r="Y3837">
        <v>0.664853997060317</v>
      </c>
      <c r="Z3837" t="str">
        <f>HYPERLINK("Melting_Curves/meltCurve_sp_Q9Y3C8_UFC1_HUMAN_.pdf", "Melting_Curves/meltCurve_sp_Q9Y3C8_UFC1_HUMAN_.pdf")</f>
        <v>Melting_Curves/meltCurve_sp_Q9Y3C8_UFC1_HUMAN_.pdf</v>
      </c>
      <c r="AA3837" t="s">
        <v>17996</v>
      </c>
      <c r="AB3837" t="s">
        <v>22670</v>
      </c>
    </row>
    <row r="3838" spans="1:28" x14ac:dyDescent="0.25">
      <c r="A3838" t="s">
        <v>3842</v>
      </c>
      <c r="B3838">
        <v>0.99904790336628502</v>
      </c>
      <c r="C3838">
        <v>0.88939053163891202</v>
      </c>
      <c r="D3838">
        <v>0.82667119795116994</v>
      </c>
      <c r="E3838">
        <v>0.71230697910645802</v>
      </c>
      <c r="F3838">
        <v>0.64812238604212202</v>
      </c>
      <c r="G3838">
        <v>0.41878951694374</v>
      </c>
      <c r="H3838">
        <v>0.35901742681649201</v>
      </c>
      <c r="I3838">
        <v>0.15144567840244</v>
      </c>
      <c r="J3838">
        <v>0.104322216516294</v>
      </c>
      <c r="K3838">
        <v>0.10371819302622499</v>
      </c>
      <c r="L3838">
        <v>527.70185662173697</v>
      </c>
      <c r="M3838">
        <v>9.5738801333505492</v>
      </c>
      <c r="N3838">
        <v>55.118911991049202</v>
      </c>
      <c r="O3838">
        <v>52.875039215373299</v>
      </c>
      <c r="P3838">
        <v>-4.52925517366961E-2</v>
      </c>
      <c r="Q3838">
        <v>0</v>
      </c>
      <c r="R3838">
        <v>0.98097724213568105</v>
      </c>
      <c r="S3838" t="s">
        <v>8578</v>
      </c>
      <c r="T3838" t="s">
        <v>9478</v>
      </c>
      <c r="U3838" t="s">
        <v>9478</v>
      </c>
      <c r="V3838" t="s">
        <v>9478</v>
      </c>
      <c r="W3838">
        <v>3</v>
      </c>
      <c r="X3838" t="s">
        <v>13316</v>
      </c>
      <c r="Y3838">
        <v>0.52964039008476604</v>
      </c>
      <c r="Z3838" t="str">
        <f>HYPERLINK("Melting_Curves/meltCurve_sp_Q9Y3D0_MIP18_HUMAN_.pdf", "Melting_Curves/meltCurve_sp_Q9Y3D0_MIP18_HUMAN_.pdf")</f>
        <v>Melting_Curves/meltCurve_sp_Q9Y3D0_MIP18_HUMAN_.pdf</v>
      </c>
      <c r="AA3838" t="s">
        <v>17997</v>
      </c>
      <c r="AB3838" t="s">
        <v>22671</v>
      </c>
    </row>
    <row r="3839" spans="1:28" x14ac:dyDescent="0.25">
      <c r="A3839" t="s">
        <v>3843</v>
      </c>
      <c r="B3839">
        <v>0.99904790336628502</v>
      </c>
      <c r="C3839">
        <v>0.94728806437427104</v>
      </c>
      <c r="D3839">
        <v>0.88797466426622595</v>
      </c>
      <c r="E3839">
        <v>0.84645840356286195</v>
      </c>
      <c r="F3839">
        <v>0.75866553735293296</v>
      </c>
      <c r="G3839">
        <v>0.63130599068375703</v>
      </c>
      <c r="H3839">
        <v>0.53847426036800405</v>
      </c>
      <c r="I3839">
        <v>0.571780040134234</v>
      </c>
      <c r="J3839">
        <v>0.69751399460785202</v>
      </c>
      <c r="K3839">
        <v>0.670960802018853</v>
      </c>
      <c r="L3839">
        <v>796.05892639701699</v>
      </c>
      <c r="M3839">
        <v>15.86026073841</v>
      </c>
      <c r="O3839">
        <v>49.414441402640797</v>
      </c>
      <c r="P3839">
        <v>-3.1268558823022298E-2</v>
      </c>
      <c r="Q3839">
        <v>0.61034866521500997</v>
      </c>
      <c r="R3839">
        <v>0.88483795721061498</v>
      </c>
      <c r="S3839" t="s">
        <v>8579</v>
      </c>
      <c r="T3839" t="s">
        <v>9478</v>
      </c>
      <c r="U3839" t="s">
        <v>9478</v>
      </c>
      <c r="V3839" t="s">
        <v>9478</v>
      </c>
      <c r="W3839">
        <v>11</v>
      </c>
      <c r="X3839" t="s">
        <v>13317</v>
      </c>
      <c r="Y3839">
        <v>0.75109265829228444</v>
      </c>
      <c r="Z3839" t="str">
        <f>HYPERLINK("Melting_Curves/meltCurve_sp_Q9Y3D2_MSRB2_HUMAN_.pdf", "Melting_Curves/meltCurve_sp_Q9Y3D2_MSRB2_HUMAN_.pdf")</f>
        <v>Melting_Curves/meltCurve_sp_Q9Y3D2_MSRB2_HUMAN_.pdf</v>
      </c>
      <c r="AA3839" t="s">
        <v>17998</v>
      </c>
      <c r="AB3839" t="s">
        <v>22672</v>
      </c>
    </row>
    <row r="3840" spans="1:28" x14ac:dyDescent="0.25">
      <c r="A3840" t="s">
        <v>3844</v>
      </c>
      <c r="B3840">
        <v>0.99904790336628502</v>
      </c>
      <c r="C3840">
        <v>1.04813065935609</v>
      </c>
      <c r="D3840">
        <v>0.92249703517685999</v>
      </c>
      <c r="E3840">
        <v>0.96132668125271303</v>
      </c>
      <c r="F3840">
        <v>0.98655942292950205</v>
      </c>
      <c r="G3840">
        <v>0.86736737917789497</v>
      </c>
      <c r="H3840">
        <v>0.83865515760688703</v>
      </c>
      <c r="I3840">
        <v>0.91684754618043995</v>
      </c>
      <c r="J3840">
        <v>1.0839970935991701</v>
      </c>
      <c r="K3840">
        <v>1.0802687030028499</v>
      </c>
      <c r="L3840">
        <v>14935.7214491749</v>
      </c>
      <c r="M3840">
        <v>226.446669644834</v>
      </c>
      <c r="O3840">
        <v>65.9517612200803</v>
      </c>
      <c r="P3840">
        <v>7.1468220485226705E-2</v>
      </c>
      <c r="Q3840">
        <v>1.0832594263237101</v>
      </c>
      <c r="R3840">
        <v>7.2660548744913594E-2</v>
      </c>
      <c r="S3840" t="s">
        <v>8580</v>
      </c>
      <c r="T3840" t="s">
        <v>9478</v>
      </c>
      <c r="U3840" t="s">
        <v>9478</v>
      </c>
      <c r="V3840" t="s">
        <v>9478</v>
      </c>
      <c r="W3840">
        <v>3</v>
      </c>
      <c r="X3840" t="s">
        <v>13318</v>
      </c>
      <c r="Y3840">
        <v>1.011209114025911</v>
      </c>
      <c r="Z3840" t="str">
        <f>HYPERLINK("Melting_Curves/meltCurve_sp_Q9Y3D6_FIS1_HUMAN_.pdf", "Melting_Curves/meltCurve_sp_Q9Y3D6_FIS1_HUMAN_.pdf")</f>
        <v>Melting_Curves/meltCurve_sp_Q9Y3D6_FIS1_HUMAN_.pdf</v>
      </c>
      <c r="AA3840" t="s">
        <v>17999</v>
      </c>
      <c r="AB3840" t="s">
        <v>22673</v>
      </c>
    </row>
    <row r="3841" spans="1:28" x14ac:dyDescent="0.25">
      <c r="A3841" t="s">
        <v>3845</v>
      </c>
      <c r="B3841">
        <v>0.99904790336628502</v>
      </c>
      <c r="C3841">
        <v>0.89520764464929603</v>
      </c>
      <c r="D3841">
        <v>0.78457542832455396</v>
      </c>
      <c r="E3841">
        <v>0.66450781303067996</v>
      </c>
      <c r="F3841">
        <v>0.52314397571279503</v>
      </c>
      <c r="G3841">
        <v>0.287375811755331</v>
      </c>
      <c r="H3841">
        <v>0.13910723970029501</v>
      </c>
      <c r="I3841">
        <v>8.4868047382284401E-2</v>
      </c>
      <c r="J3841">
        <v>7.0319254725823996E-2</v>
      </c>
      <c r="K3841">
        <v>4.4656059104641502E-2</v>
      </c>
      <c r="L3841">
        <v>608.76709305989095</v>
      </c>
      <c r="M3841">
        <v>11.5839676031949</v>
      </c>
      <c r="N3841">
        <v>52.5525499759366</v>
      </c>
      <c r="O3841">
        <v>51.059655097798498</v>
      </c>
      <c r="P3841">
        <v>-5.6733487539802702E-2</v>
      </c>
      <c r="Q3841">
        <v>0</v>
      </c>
      <c r="R3841">
        <v>0.99251578103014604</v>
      </c>
      <c r="S3841" t="s">
        <v>8581</v>
      </c>
      <c r="T3841" t="s">
        <v>9478</v>
      </c>
      <c r="U3841" t="s">
        <v>9478</v>
      </c>
      <c r="V3841" t="s">
        <v>9478</v>
      </c>
      <c r="W3841">
        <v>2</v>
      </c>
      <c r="X3841" t="s">
        <v>13319</v>
      </c>
      <c r="Y3841">
        <v>0.44911011585105048</v>
      </c>
      <c r="Z3841" t="str">
        <f>HYPERLINK("Melting_Curves/meltCurve_sp_Q9Y3D8_2_KAD6_HUMAN_.pdf", "Melting_Curves/meltCurve_sp_Q9Y3D8_2_KAD6_HUMAN_.pdf")</f>
        <v>Melting_Curves/meltCurve_sp_Q9Y3D8_2_KAD6_HUMAN_.pdf</v>
      </c>
      <c r="AA3841" t="s">
        <v>18000</v>
      </c>
      <c r="AB3841" t="s">
        <v>22674</v>
      </c>
    </row>
    <row r="3842" spans="1:28" x14ac:dyDescent="0.25">
      <c r="A3842" t="s">
        <v>3846</v>
      </c>
      <c r="B3842">
        <v>0.99904790336628502</v>
      </c>
      <c r="C3842">
        <v>1.27953807196806</v>
      </c>
      <c r="D3842">
        <v>2.0365539533371799</v>
      </c>
      <c r="E3842">
        <v>1.7958796277281499</v>
      </c>
      <c r="F3842">
        <v>1.8471262526750301</v>
      </c>
      <c r="G3842">
        <v>0.78719790446692905</v>
      </c>
      <c r="H3842">
        <v>0.18823118149888601</v>
      </c>
      <c r="I3842">
        <v>9.1317881146031801E-2</v>
      </c>
      <c r="J3842">
        <v>2.99243351604771E-2</v>
      </c>
      <c r="K3842">
        <v>1.5912072060700701E-2</v>
      </c>
      <c r="L3842">
        <v>3107.8408746014802</v>
      </c>
      <c r="M3842">
        <v>52.987937852223403</v>
      </c>
      <c r="N3842">
        <v>58.7653959748774</v>
      </c>
      <c r="O3842">
        <v>58.568495065986703</v>
      </c>
      <c r="P3842">
        <v>-0.215174517208401</v>
      </c>
      <c r="Q3842">
        <v>4.8655996686700197E-2</v>
      </c>
      <c r="R3842">
        <v>0.570614756737573</v>
      </c>
      <c r="S3842" t="s">
        <v>8582</v>
      </c>
      <c r="T3842" t="s">
        <v>9478</v>
      </c>
      <c r="U3842" t="s">
        <v>9478</v>
      </c>
      <c r="V3842" t="s">
        <v>9478</v>
      </c>
      <c r="W3842">
        <v>3</v>
      </c>
      <c r="X3842" t="s">
        <v>13320</v>
      </c>
      <c r="Y3842">
        <v>0.64231412287710787</v>
      </c>
      <c r="Z3842" t="str">
        <f>HYPERLINK("Melting_Curves/meltCurve_sp_Q9Y3D9_RT23_HUMAN_.pdf", "Melting_Curves/meltCurve_sp_Q9Y3D9_RT23_HUMAN_.pdf")</f>
        <v>Melting_Curves/meltCurve_sp_Q9Y3D9_RT23_HUMAN_.pdf</v>
      </c>
      <c r="AA3842" t="s">
        <v>18001</v>
      </c>
      <c r="AB3842" t="s">
        <v>22675</v>
      </c>
    </row>
    <row r="3843" spans="1:28" x14ac:dyDescent="0.25">
      <c r="A3843" t="s">
        <v>3847</v>
      </c>
      <c r="B3843">
        <v>0.99904790336628502</v>
      </c>
      <c r="C3843">
        <v>0.982215794442167</v>
      </c>
      <c r="D3843">
        <v>0.95844090416785399</v>
      </c>
      <c r="E3843">
        <v>0.89673208717555997</v>
      </c>
      <c r="F3843">
        <v>0.92561489250465101</v>
      </c>
      <c r="G3843">
        <v>0.79206858736740504</v>
      </c>
      <c r="H3843">
        <v>0.62316983790620295</v>
      </c>
      <c r="I3843">
        <v>0.608696860282676</v>
      </c>
      <c r="J3843">
        <v>0.56363842236656003</v>
      </c>
      <c r="K3843">
        <v>0.55468573154082201</v>
      </c>
      <c r="L3843">
        <v>783.09529266648997</v>
      </c>
      <c r="M3843">
        <v>13.5740314492688</v>
      </c>
      <c r="O3843">
        <v>56.481785804625403</v>
      </c>
      <c r="P3843">
        <v>-3.00366190354735E-2</v>
      </c>
      <c r="Q3843">
        <v>0.50014300550187896</v>
      </c>
      <c r="R3843">
        <v>0.97704808892287398</v>
      </c>
      <c r="S3843" t="s">
        <v>8583</v>
      </c>
      <c r="T3843" t="s">
        <v>9478</v>
      </c>
      <c r="U3843" t="s">
        <v>9478</v>
      </c>
      <c r="V3843" t="s">
        <v>9478</v>
      </c>
      <c r="W3843">
        <v>5</v>
      </c>
      <c r="X3843" t="s">
        <v>13321</v>
      </c>
      <c r="Y3843">
        <v>0.80212888200632526</v>
      </c>
      <c r="Z3843" t="str">
        <f>HYPERLINK("Melting_Curves/meltCurve_sp_Q9Y3E2_BOLA1_HUMAN_.pdf", "Melting_Curves/meltCurve_sp_Q9Y3E2_BOLA1_HUMAN_.pdf")</f>
        <v>Melting_Curves/meltCurve_sp_Q9Y3E2_BOLA1_HUMAN_.pdf</v>
      </c>
      <c r="AA3843" t="s">
        <v>18002</v>
      </c>
      <c r="AB3843" t="s">
        <v>22676</v>
      </c>
    </row>
    <row r="3844" spans="1:28" x14ac:dyDescent="0.25">
      <c r="A3844" t="s">
        <v>3848</v>
      </c>
      <c r="B3844">
        <v>0.99904790336628502</v>
      </c>
      <c r="C3844">
        <v>0.98699274794491498</v>
      </c>
      <c r="D3844">
        <v>0.92218677587464504</v>
      </c>
      <c r="E3844">
        <v>0.88924708885732395</v>
      </c>
      <c r="F3844">
        <v>0.80990645368460601</v>
      </c>
      <c r="G3844">
        <v>0.49585975824267498</v>
      </c>
      <c r="H3844">
        <v>0.168042056544496</v>
      </c>
      <c r="I3844">
        <v>6.3566987095453303E-2</v>
      </c>
      <c r="J3844">
        <v>4.77543307406385E-2</v>
      </c>
      <c r="K3844">
        <v>3.8824985468643401E-2</v>
      </c>
      <c r="L3844">
        <v>1133.5020531421501</v>
      </c>
      <c r="M3844">
        <v>20.014978681538299</v>
      </c>
      <c r="N3844">
        <v>56.632688387123999</v>
      </c>
      <c r="O3844">
        <v>56.076439853929003</v>
      </c>
      <c r="P3844">
        <v>-8.9233675024281103E-2</v>
      </c>
      <c r="Q3844">
        <v>0</v>
      </c>
      <c r="R3844">
        <v>0.994164382558829</v>
      </c>
      <c r="S3844" t="s">
        <v>8584</v>
      </c>
      <c r="T3844" t="s">
        <v>9478</v>
      </c>
      <c r="U3844" t="s">
        <v>9478</v>
      </c>
      <c r="V3844" t="s">
        <v>9478</v>
      </c>
      <c r="W3844">
        <v>15</v>
      </c>
      <c r="X3844" t="s">
        <v>13322</v>
      </c>
      <c r="Y3844">
        <v>0.56691529097149451</v>
      </c>
      <c r="Z3844" t="str">
        <f>HYPERLINK("Melting_Curves/meltCurve_sp_Q9Y3F4_STRAP_HUMAN_.pdf", "Melting_Curves/meltCurve_sp_Q9Y3F4_STRAP_HUMAN_.pdf")</f>
        <v>Melting_Curves/meltCurve_sp_Q9Y3F4_STRAP_HUMAN_.pdf</v>
      </c>
      <c r="AA3844" t="s">
        <v>18003</v>
      </c>
      <c r="AB3844" t="s">
        <v>22677</v>
      </c>
    </row>
    <row r="3845" spans="1:28" x14ac:dyDescent="0.25">
      <c r="A3845" t="s">
        <v>3849</v>
      </c>
      <c r="B3845">
        <v>0.99904790336628502</v>
      </c>
      <c r="C3845">
        <v>0.96792101111826501</v>
      </c>
      <c r="D3845">
        <v>0.953697171926428</v>
      </c>
      <c r="E3845">
        <v>0.57017533145371302</v>
      </c>
      <c r="F3845">
        <v>0.318494615608508</v>
      </c>
      <c r="G3845">
        <v>0.15405439016881001</v>
      </c>
      <c r="H3845">
        <v>7.9824911947692603E-2</v>
      </c>
      <c r="I3845">
        <v>4.0885527395012097E-2</v>
      </c>
      <c r="J3845">
        <v>2.3816039047337E-2</v>
      </c>
      <c r="K3845">
        <v>2.28312427567441E-2</v>
      </c>
      <c r="L3845">
        <v>1073.27971702693</v>
      </c>
      <c r="M3845">
        <v>21.125408545045001</v>
      </c>
      <c r="N3845">
        <v>50.979391900511899</v>
      </c>
      <c r="O3845">
        <v>50.356489600936001</v>
      </c>
      <c r="P3845">
        <v>-0.101229203905684</v>
      </c>
      <c r="Q3845">
        <v>3.4828036859177298E-2</v>
      </c>
      <c r="R3845">
        <v>0.99672488478027199</v>
      </c>
      <c r="S3845" t="s">
        <v>8585</v>
      </c>
      <c r="T3845" t="s">
        <v>9478</v>
      </c>
      <c r="U3845" t="s">
        <v>9478</v>
      </c>
      <c r="V3845" t="s">
        <v>9478</v>
      </c>
      <c r="W3845">
        <v>18</v>
      </c>
      <c r="X3845" t="s">
        <v>13323</v>
      </c>
      <c r="Y3845">
        <v>0.39453530011531163</v>
      </c>
      <c r="Z3845" t="str">
        <f>HYPERLINK("Melting_Curves/meltCurve_sp_Q9Y3I0_RTCB_HUMAN_.pdf", "Melting_Curves/meltCurve_sp_Q9Y3I0_RTCB_HUMAN_.pdf")</f>
        <v>Melting_Curves/meltCurve_sp_Q9Y3I0_RTCB_HUMAN_.pdf</v>
      </c>
      <c r="AA3845" t="s">
        <v>18004</v>
      </c>
      <c r="AB3845" t="s">
        <v>22678</v>
      </c>
    </row>
    <row r="3846" spans="1:28" x14ac:dyDescent="0.25">
      <c r="A3846" t="s">
        <v>3850</v>
      </c>
      <c r="B3846">
        <v>0.99904790336628502</v>
      </c>
      <c r="C3846">
        <v>1.00225928786093</v>
      </c>
      <c r="D3846">
        <v>0.86322436830558802</v>
      </c>
      <c r="E3846">
        <v>0.78805409108758595</v>
      </c>
      <c r="F3846">
        <v>0.72806477561559502</v>
      </c>
      <c r="G3846">
        <v>0.412255561353017</v>
      </c>
      <c r="H3846">
        <v>0.14417031455232199</v>
      </c>
      <c r="I3846">
        <v>8.8012066886208398E-2</v>
      </c>
      <c r="J3846">
        <v>6.3849551529276294E-2</v>
      </c>
      <c r="K3846">
        <v>7.7930963034514106E-2</v>
      </c>
      <c r="L3846">
        <v>835.07876244656404</v>
      </c>
      <c r="M3846">
        <v>15.0905979688497</v>
      </c>
      <c r="N3846">
        <v>55.337684762120901</v>
      </c>
      <c r="O3846">
        <v>54.393210142976599</v>
      </c>
      <c r="P3846">
        <v>-6.9365674976060707E-2</v>
      </c>
      <c r="Q3846">
        <v>0</v>
      </c>
      <c r="R3846">
        <v>0.98557144763152704</v>
      </c>
      <c r="S3846" t="s">
        <v>8586</v>
      </c>
      <c r="T3846" t="s">
        <v>9478</v>
      </c>
      <c r="U3846" t="s">
        <v>9478</v>
      </c>
      <c r="V3846" t="s">
        <v>9478</v>
      </c>
      <c r="W3846">
        <v>4</v>
      </c>
      <c r="X3846" t="s">
        <v>13324</v>
      </c>
      <c r="Y3846">
        <v>0.52994348328297769</v>
      </c>
      <c r="Z3846" t="str">
        <f>HYPERLINK("Melting_Curves/meltCurve_sp_Q9Y3I1_FBX7_HUMAN_.pdf", "Melting_Curves/meltCurve_sp_Q9Y3I1_FBX7_HUMAN_.pdf")</f>
        <v>Melting_Curves/meltCurve_sp_Q9Y3I1_FBX7_HUMAN_.pdf</v>
      </c>
      <c r="AA3846" t="s">
        <v>18005</v>
      </c>
      <c r="AB3846" t="s">
        <v>22679</v>
      </c>
    </row>
    <row r="3847" spans="1:28" x14ac:dyDescent="0.25">
      <c r="A3847" t="s">
        <v>3851</v>
      </c>
      <c r="B3847">
        <v>0.99904790336628502</v>
      </c>
      <c r="C3847">
        <v>1.8156493907096201</v>
      </c>
      <c r="D3847">
        <v>1.3708822847529001</v>
      </c>
      <c r="E3847">
        <v>1.0211303926552899</v>
      </c>
      <c r="F3847">
        <v>0.91487889794159105</v>
      </c>
      <c r="G3847">
        <v>0.69104639814802504</v>
      </c>
      <c r="H3847">
        <v>0.48611242682795902</v>
      </c>
      <c r="I3847">
        <v>0.40702765736087898</v>
      </c>
      <c r="J3847">
        <v>0.30450114837194298</v>
      </c>
      <c r="K3847">
        <v>0.25096114901253502</v>
      </c>
      <c r="L3847">
        <v>1236.42831645059</v>
      </c>
      <c r="M3847">
        <v>21.165339090501998</v>
      </c>
      <c r="N3847">
        <v>60.539126178692499</v>
      </c>
      <c r="O3847">
        <v>57.903613337742797</v>
      </c>
      <c r="P3847">
        <v>-6.7455033969449796E-2</v>
      </c>
      <c r="Q3847">
        <v>0.26185192364973198</v>
      </c>
      <c r="R3847">
        <v>0.64163338812639303</v>
      </c>
      <c r="S3847" t="s">
        <v>8587</v>
      </c>
      <c r="T3847" t="s">
        <v>9478</v>
      </c>
      <c r="U3847" t="s">
        <v>9478</v>
      </c>
      <c r="V3847" t="s">
        <v>9478</v>
      </c>
      <c r="W3847">
        <v>3</v>
      </c>
      <c r="X3847" t="s">
        <v>13325</v>
      </c>
      <c r="Y3847">
        <v>0.72262524625943025</v>
      </c>
      <c r="Z3847" t="str">
        <f>HYPERLINK("Melting_Curves/meltCurve_sp_Q9Y3L5_RAP2C_HUMAN_.pdf", "Melting_Curves/meltCurve_sp_Q9Y3L5_RAP2C_HUMAN_.pdf")</f>
        <v>Melting_Curves/meltCurve_sp_Q9Y3L5_RAP2C_HUMAN_.pdf</v>
      </c>
      <c r="AA3847" t="s">
        <v>18006</v>
      </c>
      <c r="AB3847" t="s">
        <v>22680</v>
      </c>
    </row>
    <row r="3848" spans="1:28" x14ac:dyDescent="0.25">
      <c r="A3848" t="s">
        <v>3852</v>
      </c>
      <c r="B3848">
        <v>0.99904790336628502</v>
      </c>
      <c r="C3848">
        <v>1.0179544905197999</v>
      </c>
      <c r="D3848">
        <v>1.0582768604664099</v>
      </c>
      <c r="E3848">
        <v>0.93993508447004404</v>
      </c>
      <c r="F3848">
        <v>0.78536499222371303</v>
      </c>
      <c r="G3848">
        <v>0.42121031255510599</v>
      </c>
      <c r="H3848">
        <v>0.22218006012483299</v>
      </c>
      <c r="I3848">
        <v>0.15567080775968001</v>
      </c>
      <c r="J3848">
        <v>0.13831186423689301</v>
      </c>
      <c r="K3848">
        <v>0.124449137605321</v>
      </c>
      <c r="L3848">
        <v>1351.7750385295301</v>
      </c>
      <c r="M3848">
        <v>24.368452453516198</v>
      </c>
      <c r="N3848">
        <v>56.133993468702599</v>
      </c>
      <c r="O3848">
        <v>55.102816499124899</v>
      </c>
      <c r="P3848">
        <v>-9.6759410997438997E-2</v>
      </c>
      <c r="Q3848">
        <v>0.124829660109294</v>
      </c>
      <c r="R3848">
        <v>0.99692277413447195</v>
      </c>
      <c r="S3848" t="s">
        <v>8588</v>
      </c>
      <c r="T3848" t="s">
        <v>9478</v>
      </c>
      <c r="U3848" t="s">
        <v>9478</v>
      </c>
      <c r="V3848" t="s">
        <v>9478</v>
      </c>
      <c r="W3848">
        <v>13</v>
      </c>
      <c r="X3848" t="s">
        <v>13326</v>
      </c>
      <c r="Y3848">
        <v>0.58462878064154067</v>
      </c>
      <c r="Z3848" t="str">
        <f>HYPERLINK("Melting_Curves/meltCurve_sp_Q9Y3P9_RBGP1_HUMAN_.pdf", "Melting_Curves/meltCurve_sp_Q9Y3P9_RBGP1_HUMAN_.pdf")</f>
        <v>Melting_Curves/meltCurve_sp_Q9Y3P9_RBGP1_HUMAN_.pdf</v>
      </c>
      <c r="AA3848" t="s">
        <v>18007</v>
      </c>
      <c r="AB3848" t="s">
        <v>22681</v>
      </c>
    </row>
    <row r="3849" spans="1:28" x14ac:dyDescent="0.25">
      <c r="A3849" t="s">
        <v>3853</v>
      </c>
      <c r="B3849">
        <v>0.99904790336628502</v>
      </c>
      <c r="C3849">
        <v>1.2267627773149701</v>
      </c>
      <c r="D3849">
        <v>1.14966454282208</v>
      </c>
      <c r="E3849">
        <v>0.94916795096483897</v>
      </c>
      <c r="F3849">
        <v>1.1035081799895099</v>
      </c>
      <c r="G3849">
        <v>0.82849765861880498</v>
      </c>
      <c r="H3849">
        <v>0.85446739020764195</v>
      </c>
      <c r="I3849">
        <v>0.69038061716764298</v>
      </c>
      <c r="J3849">
        <v>1.0117532289633999</v>
      </c>
      <c r="K3849">
        <v>0.96011469469334598</v>
      </c>
      <c r="L3849">
        <v>5628.0928793858102</v>
      </c>
      <c r="M3849">
        <v>101.98612975840599</v>
      </c>
      <c r="O3849">
        <v>55.163685320454</v>
      </c>
      <c r="P3849">
        <v>-6.0668279108208503E-2</v>
      </c>
      <c r="Q3849">
        <v>0.868739595898673</v>
      </c>
      <c r="R3849">
        <v>0.34665589853787199</v>
      </c>
      <c r="S3849" t="s">
        <v>8589</v>
      </c>
      <c r="T3849" t="s">
        <v>9478</v>
      </c>
      <c r="U3849" t="s">
        <v>9478</v>
      </c>
      <c r="V3849" t="s">
        <v>9478</v>
      </c>
      <c r="W3849">
        <v>5</v>
      </c>
      <c r="X3849" t="s">
        <v>13327</v>
      </c>
      <c r="Y3849">
        <v>0.93525520836686371</v>
      </c>
      <c r="Z3849" t="str">
        <f>HYPERLINK("Melting_Curves/meltCurve_sp_Q9Y3R5_2_DOP2_HUMAN_.pdf", "Melting_Curves/meltCurve_sp_Q9Y3R5_2_DOP2_HUMAN_.pdf")</f>
        <v>Melting_Curves/meltCurve_sp_Q9Y3R5_2_DOP2_HUMAN_.pdf</v>
      </c>
      <c r="AA3849" t="s">
        <v>18008</v>
      </c>
      <c r="AB3849" t="s">
        <v>22682</v>
      </c>
    </row>
    <row r="3850" spans="1:28" x14ac:dyDescent="0.25">
      <c r="A3850" t="s">
        <v>3854</v>
      </c>
      <c r="B3850">
        <v>0.99904790336628502</v>
      </c>
      <c r="C3850">
        <v>0.94394211941499795</v>
      </c>
      <c r="D3850">
        <v>0.88801074014827897</v>
      </c>
      <c r="E3850">
        <v>0.91981934536868604</v>
      </c>
      <c r="F3850">
        <v>0.74772516734608696</v>
      </c>
      <c r="G3850">
        <v>0.7032814772164</v>
      </c>
      <c r="H3850">
        <v>0.56707708407787405</v>
      </c>
      <c r="I3850">
        <v>0.67795829258354101</v>
      </c>
      <c r="J3850">
        <v>0.698503964358553</v>
      </c>
      <c r="K3850">
        <v>0.65735561935793096</v>
      </c>
      <c r="L3850">
        <v>765.19494112119901</v>
      </c>
      <c r="M3850">
        <v>15.015087108105799</v>
      </c>
      <c r="O3850">
        <v>50.083452545692197</v>
      </c>
      <c r="P3850">
        <v>-2.7050485505112999E-2</v>
      </c>
      <c r="Q3850">
        <v>0.63912436988653798</v>
      </c>
      <c r="R3850">
        <v>0.87815454241083901</v>
      </c>
      <c r="S3850" t="s">
        <v>8590</v>
      </c>
      <c r="T3850" t="s">
        <v>9478</v>
      </c>
      <c r="U3850" t="s">
        <v>9478</v>
      </c>
      <c r="V3850" t="s">
        <v>9478</v>
      </c>
      <c r="W3850">
        <v>6</v>
      </c>
      <c r="X3850" t="s">
        <v>13328</v>
      </c>
      <c r="Y3850">
        <v>0.77931931560404122</v>
      </c>
      <c r="Z3850" t="str">
        <f>HYPERLINK("Melting_Curves/meltCurve_sp_Q9Y3S2_ZN330_HUMAN_.pdf", "Melting_Curves/meltCurve_sp_Q9Y3S2_ZN330_HUMAN_.pdf")</f>
        <v>Melting_Curves/meltCurve_sp_Q9Y3S2_ZN330_HUMAN_.pdf</v>
      </c>
      <c r="AA3850" t="s">
        <v>18009</v>
      </c>
      <c r="AB3850" t="s">
        <v>22683</v>
      </c>
    </row>
    <row r="3851" spans="1:28" x14ac:dyDescent="0.25">
      <c r="A3851" t="s">
        <v>3855</v>
      </c>
      <c r="B3851">
        <v>0.99904790336628502</v>
      </c>
      <c r="C3851">
        <v>1.0167053007067699</v>
      </c>
      <c r="D3851">
        <v>0.96728837758958097</v>
      </c>
      <c r="E3851">
        <v>0.87433802784230596</v>
      </c>
      <c r="F3851">
        <v>0.88837436172345596</v>
      </c>
      <c r="G3851">
        <v>0.71517499005267704</v>
      </c>
      <c r="H3851">
        <v>0.62135330949348699</v>
      </c>
      <c r="I3851">
        <v>0.56257704538106501</v>
      </c>
      <c r="J3851">
        <v>0.60970451657221703</v>
      </c>
      <c r="K3851">
        <v>0.64744240341607695</v>
      </c>
      <c r="L3851">
        <v>968.71198153021896</v>
      </c>
      <c r="M3851">
        <v>17.842244706285001</v>
      </c>
      <c r="O3851">
        <v>53.624924740975601</v>
      </c>
      <c r="P3851">
        <v>-3.4111041409804997E-2</v>
      </c>
      <c r="Q3851">
        <v>0.58993754882706395</v>
      </c>
      <c r="R3851">
        <v>0.95860339225275903</v>
      </c>
      <c r="S3851" t="s">
        <v>8591</v>
      </c>
      <c r="T3851" t="s">
        <v>9478</v>
      </c>
      <c r="U3851" t="s">
        <v>9478</v>
      </c>
      <c r="V3851" t="s">
        <v>9478</v>
      </c>
      <c r="W3851">
        <v>6</v>
      </c>
      <c r="X3851" t="s">
        <v>13329</v>
      </c>
      <c r="Y3851">
        <v>0.79189510513211669</v>
      </c>
      <c r="Z3851" t="str">
        <f>HYPERLINK("Melting_Curves/meltCurve_sp_Q9Y3X0_CCDC9_HUMAN_.pdf", "Melting_Curves/meltCurve_sp_Q9Y3X0_CCDC9_HUMAN_.pdf")</f>
        <v>Melting_Curves/meltCurve_sp_Q9Y3X0_CCDC9_HUMAN_.pdf</v>
      </c>
      <c r="AA3851" t="s">
        <v>18010</v>
      </c>
      <c r="AB3851" t="s">
        <v>22684</v>
      </c>
    </row>
    <row r="3852" spans="1:28" x14ac:dyDescent="0.25">
      <c r="A3852" t="s">
        <v>3856</v>
      </c>
      <c r="B3852">
        <v>0.99904790336628502</v>
      </c>
      <c r="C3852">
        <v>1.08537137847674</v>
      </c>
      <c r="D3852">
        <v>1.1569916102883799</v>
      </c>
      <c r="E3852">
        <v>1.05408243561646</v>
      </c>
      <c r="F3852">
        <v>0.81128679698648298</v>
      </c>
      <c r="G3852">
        <v>0.62718369937072704</v>
      </c>
      <c r="H3852">
        <v>0.66239488894822496</v>
      </c>
      <c r="I3852">
        <v>0.58690704701153196</v>
      </c>
      <c r="J3852">
        <v>0.54158543231366396</v>
      </c>
      <c r="K3852">
        <v>0.58065077157588496</v>
      </c>
      <c r="L3852">
        <v>13256.052486050599</v>
      </c>
      <c r="M3852">
        <v>250</v>
      </c>
      <c r="O3852">
        <v>53.020815382922599</v>
      </c>
      <c r="P3852">
        <v>-0.47181425952186601</v>
      </c>
      <c r="Q3852">
        <v>0.59974436218528804</v>
      </c>
      <c r="R3852">
        <v>0.91662989078796397</v>
      </c>
      <c r="S3852" t="s">
        <v>8592</v>
      </c>
      <c r="T3852" t="s">
        <v>9478</v>
      </c>
      <c r="U3852" t="s">
        <v>9478</v>
      </c>
      <c r="V3852" t="s">
        <v>9478</v>
      </c>
      <c r="W3852">
        <v>2</v>
      </c>
      <c r="X3852" t="s">
        <v>13330</v>
      </c>
      <c r="Y3852">
        <v>0.77354872391435658</v>
      </c>
      <c r="Z3852" t="str">
        <f>HYPERLINK("Melting_Curves/meltCurve_sp_Q9Y3Y2_4_CHTOP_HUMAN_.pdf", "Melting_Curves/meltCurve_sp_Q9Y3Y2_4_CHTOP_HUMAN_.pdf")</f>
        <v>Melting_Curves/meltCurve_sp_Q9Y3Y2_4_CHTOP_HUMAN_.pdf</v>
      </c>
      <c r="AA3852" t="s">
        <v>18011</v>
      </c>
      <c r="AB3852" t="s">
        <v>22685</v>
      </c>
    </row>
    <row r="3853" spans="1:28" x14ac:dyDescent="0.25">
      <c r="A3853" t="s">
        <v>3857</v>
      </c>
      <c r="B3853">
        <v>0.99904790336628502</v>
      </c>
      <c r="C3853">
        <v>0.62912006962365097</v>
      </c>
      <c r="D3853">
        <v>0.40068749173005602</v>
      </c>
      <c r="E3853">
        <v>0.27683641727494601</v>
      </c>
      <c r="F3853">
        <v>0.20651933720742899</v>
      </c>
      <c r="G3853">
        <v>0.13346389809624201</v>
      </c>
      <c r="H3853">
        <v>0.11057857915422099</v>
      </c>
      <c r="I3853">
        <v>7.9781789610697901E-2</v>
      </c>
      <c r="J3853">
        <v>6.9905139086870599E-2</v>
      </c>
      <c r="K3853">
        <v>5.0550938809205401E-2</v>
      </c>
      <c r="L3853">
        <v>729.448890520448</v>
      </c>
      <c r="M3853">
        <v>16.333985676380699</v>
      </c>
      <c r="N3853">
        <v>45.214190467076897</v>
      </c>
      <c r="O3853">
        <v>44.005065654008099</v>
      </c>
      <c r="P3853">
        <v>-8.4360995117539403E-2</v>
      </c>
      <c r="Q3853">
        <v>9.0964482624584495E-2</v>
      </c>
      <c r="R3853">
        <v>0.96743655510252002</v>
      </c>
      <c r="S3853" t="s">
        <v>8593</v>
      </c>
      <c r="T3853" t="s">
        <v>9478</v>
      </c>
      <c r="U3853" t="s">
        <v>9478</v>
      </c>
      <c r="V3853" t="s">
        <v>9478</v>
      </c>
      <c r="W3853">
        <v>7</v>
      </c>
      <c r="X3853" t="s">
        <v>13331</v>
      </c>
      <c r="Y3853">
        <v>0.25743367513694471</v>
      </c>
      <c r="Z3853" t="str">
        <f>HYPERLINK("Melting_Curves/meltCurve_sp_Q9Y3Z3_SAMH1_HUMAN_.pdf", "Melting_Curves/meltCurve_sp_Q9Y3Z3_SAMH1_HUMAN_.pdf")</f>
        <v>Melting_Curves/meltCurve_sp_Q9Y3Z3_SAMH1_HUMAN_.pdf</v>
      </c>
      <c r="AA3853" t="s">
        <v>18012</v>
      </c>
      <c r="AB3853" t="s">
        <v>22686</v>
      </c>
    </row>
    <row r="3854" spans="1:28" x14ac:dyDescent="0.25">
      <c r="A3854" t="s">
        <v>3858</v>
      </c>
      <c r="B3854">
        <v>0.99904790336628502</v>
      </c>
      <c r="C3854">
        <v>1.01026529677537</v>
      </c>
      <c r="D3854">
        <v>0.89996097964125499</v>
      </c>
      <c r="E3854">
        <v>0.838064850336801</v>
      </c>
      <c r="F3854">
        <v>0.79628441405699102</v>
      </c>
      <c r="G3854">
        <v>0.50607642661565999</v>
      </c>
      <c r="H3854">
        <v>0.44211592786853399</v>
      </c>
      <c r="I3854">
        <v>0.479275328954411</v>
      </c>
      <c r="J3854">
        <v>0.50355701628653204</v>
      </c>
      <c r="K3854">
        <v>0.51414841012038204</v>
      </c>
      <c r="L3854">
        <v>1089.4518031344001</v>
      </c>
      <c r="M3854">
        <v>20.671413267153898</v>
      </c>
      <c r="N3854">
        <v>60.821934882705499</v>
      </c>
      <c r="O3854">
        <v>52.217513910850599</v>
      </c>
      <c r="P3854">
        <v>-5.2619655101279798E-2</v>
      </c>
      <c r="Q3854">
        <v>0.46833067548563301</v>
      </c>
      <c r="R3854">
        <v>0.95489163509427</v>
      </c>
      <c r="S3854" t="s">
        <v>8594</v>
      </c>
      <c r="T3854" t="s">
        <v>9478</v>
      </c>
      <c r="U3854" t="s">
        <v>9478</v>
      </c>
      <c r="V3854" t="s">
        <v>9478</v>
      </c>
      <c r="W3854">
        <v>6</v>
      </c>
      <c r="X3854" t="s">
        <v>13332</v>
      </c>
      <c r="Y3854">
        <v>0.7003810739174271</v>
      </c>
      <c r="Z3854" t="str">
        <f>HYPERLINK("Melting_Curves/meltCurve_sp_Q9Y450_4_HBS1L_HUMAN_.pdf", "Melting_Curves/meltCurve_sp_Q9Y450_4_HBS1L_HUMAN_.pdf")</f>
        <v>Melting_Curves/meltCurve_sp_Q9Y450_4_HBS1L_HUMAN_.pdf</v>
      </c>
      <c r="AA3854" t="s">
        <v>18013</v>
      </c>
      <c r="AB3854" t="s">
        <v>22687</v>
      </c>
    </row>
    <row r="3855" spans="1:28" x14ac:dyDescent="0.25">
      <c r="A3855" t="s">
        <v>3859</v>
      </c>
      <c r="B3855">
        <v>0.99904790336628502</v>
      </c>
      <c r="C3855">
        <v>0.96474241831766205</v>
      </c>
      <c r="D3855">
        <v>1.0245772990564499</v>
      </c>
      <c r="E3855">
        <v>0.80694028793678196</v>
      </c>
      <c r="F3855">
        <v>0.540620799741939</v>
      </c>
      <c r="G3855">
        <v>0.22089959819958799</v>
      </c>
      <c r="H3855">
        <v>0.16589252542358199</v>
      </c>
      <c r="I3855">
        <v>9.7854487143479205E-2</v>
      </c>
      <c r="J3855">
        <v>9.4355811925580693E-2</v>
      </c>
      <c r="K3855">
        <v>6.4773876252131296E-2</v>
      </c>
      <c r="L3855">
        <v>1241.99251702676</v>
      </c>
      <c r="M3855">
        <v>23.453616776637901</v>
      </c>
      <c r="N3855">
        <v>53.3890300529699</v>
      </c>
      <c r="O3855">
        <v>52.574790326498999</v>
      </c>
      <c r="P3855">
        <v>-0.101851940721101</v>
      </c>
      <c r="Q3855">
        <v>8.6750380319474699E-2</v>
      </c>
      <c r="R3855">
        <v>0.99613523319251795</v>
      </c>
      <c r="S3855" t="s">
        <v>8595</v>
      </c>
      <c r="T3855" t="s">
        <v>9478</v>
      </c>
      <c r="U3855" t="s">
        <v>9478</v>
      </c>
      <c r="V3855" t="s">
        <v>9478</v>
      </c>
      <c r="W3855">
        <v>2</v>
      </c>
      <c r="X3855" t="s">
        <v>13333</v>
      </c>
      <c r="Y3855">
        <v>0.49059594323354322</v>
      </c>
      <c r="Z3855" t="str">
        <f>HYPERLINK("Melting_Curves/meltCurve_sp_Q9Y478_AAKB1_HUMAN_.pdf", "Melting_Curves/meltCurve_sp_Q9Y478_AAKB1_HUMAN_.pdf")</f>
        <v>Melting_Curves/meltCurve_sp_Q9Y478_AAKB1_HUMAN_.pdf</v>
      </c>
      <c r="AA3855" t="s">
        <v>18014</v>
      </c>
      <c r="AB3855" t="s">
        <v>22688</v>
      </c>
    </row>
    <row r="3856" spans="1:28" x14ac:dyDescent="0.25">
      <c r="A3856" t="s">
        <v>3860</v>
      </c>
      <c r="B3856">
        <v>0.99904790336628502</v>
      </c>
      <c r="C3856">
        <v>1.06407272173686</v>
      </c>
      <c r="D3856">
        <v>1.10331441857128</v>
      </c>
      <c r="E3856">
        <v>1.0092128225578101</v>
      </c>
      <c r="F3856">
        <v>0.60531462599055796</v>
      </c>
      <c r="G3856">
        <v>0.37693947788562199</v>
      </c>
      <c r="H3856">
        <v>0.12076126668903001</v>
      </c>
      <c r="I3856">
        <v>7.3798421139083595E-2</v>
      </c>
      <c r="J3856">
        <v>5.4509511831483101E-2</v>
      </c>
      <c r="K3856">
        <v>4.26106115486505E-2</v>
      </c>
      <c r="L3856">
        <v>1288.2499346377699</v>
      </c>
      <c r="M3856">
        <v>23.510456953696298</v>
      </c>
      <c r="N3856">
        <v>55.019789672399703</v>
      </c>
      <c r="O3856">
        <v>54.402955503059701</v>
      </c>
      <c r="P3856">
        <v>-0.10308795088456001</v>
      </c>
      <c r="Q3856">
        <v>4.58386356525309E-2</v>
      </c>
      <c r="R3856">
        <v>0.97914709352340901</v>
      </c>
      <c r="S3856" t="s">
        <v>8596</v>
      </c>
      <c r="T3856" t="s">
        <v>9478</v>
      </c>
      <c r="U3856" t="s">
        <v>9478</v>
      </c>
      <c r="V3856" t="s">
        <v>9478</v>
      </c>
      <c r="W3856">
        <v>130</v>
      </c>
      <c r="X3856" t="s">
        <v>13334</v>
      </c>
      <c r="Y3856">
        <v>0.52621975987707503</v>
      </c>
      <c r="Z3856" t="str">
        <f>HYPERLINK("Melting_Curves/meltCurve_sp_Q9Y490_TLN1_HUMAN_.pdf", "Melting_Curves/meltCurve_sp_Q9Y490_TLN1_HUMAN_.pdf")</f>
        <v>Melting_Curves/meltCurve_sp_Q9Y490_TLN1_HUMAN_.pdf</v>
      </c>
      <c r="AA3856" t="s">
        <v>18015</v>
      </c>
      <c r="AB3856" t="s">
        <v>22689</v>
      </c>
    </row>
    <row r="3857" spans="1:28" x14ac:dyDescent="0.25">
      <c r="A3857" t="s">
        <v>3861</v>
      </c>
      <c r="B3857">
        <v>0.99904790336628502</v>
      </c>
      <c r="C3857">
        <v>1.08335608867502</v>
      </c>
      <c r="D3857">
        <v>1.0341087017294901</v>
      </c>
      <c r="E3857">
        <v>0.87425798197509397</v>
      </c>
      <c r="F3857">
        <v>0.70192001929924797</v>
      </c>
      <c r="G3857">
        <v>0.39897520150329002</v>
      </c>
      <c r="H3857">
        <v>0.394296254739185</v>
      </c>
      <c r="I3857">
        <v>0.20973951178720601</v>
      </c>
      <c r="J3857">
        <v>0.23937231167602199</v>
      </c>
      <c r="K3857">
        <v>0.14039564944432001</v>
      </c>
      <c r="L3857">
        <v>988.81326378405799</v>
      </c>
      <c r="M3857">
        <v>18.069931585256199</v>
      </c>
      <c r="N3857">
        <v>56.128278295926897</v>
      </c>
      <c r="O3857">
        <v>54.064492349442297</v>
      </c>
      <c r="P3857">
        <v>-6.8343897254583397E-2</v>
      </c>
      <c r="Q3857">
        <v>0.18211125091317101</v>
      </c>
      <c r="R3857">
        <v>0.97638171546451602</v>
      </c>
      <c r="S3857" t="s">
        <v>8597</v>
      </c>
      <c r="T3857" t="s">
        <v>9478</v>
      </c>
      <c r="U3857" t="s">
        <v>9478</v>
      </c>
      <c r="V3857" t="s">
        <v>9478</v>
      </c>
      <c r="W3857">
        <v>6</v>
      </c>
      <c r="X3857" t="s">
        <v>13335</v>
      </c>
      <c r="Y3857">
        <v>0.59618203217322763</v>
      </c>
      <c r="Z3857" t="str">
        <f>HYPERLINK("Melting_Curves/meltCurve_sp_Q9Y4B6_3_VPRBP_HUMAN_.pdf", "Melting_Curves/meltCurve_sp_Q9Y4B6_3_VPRBP_HUMAN_.pdf")</f>
        <v>Melting_Curves/meltCurve_sp_Q9Y4B6_3_VPRBP_HUMAN_.pdf</v>
      </c>
      <c r="AA3857" t="s">
        <v>18016</v>
      </c>
      <c r="AB3857" t="s">
        <v>22690</v>
      </c>
    </row>
    <row r="3858" spans="1:28" x14ac:dyDescent="0.25">
      <c r="A3858" t="s">
        <v>3862</v>
      </c>
      <c r="B3858">
        <v>0.99904790336628502</v>
      </c>
      <c r="C3858">
        <v>0.80519736682313903</v>
      </c>
      <c r="D3858">
        <v>0.46999228436545598</v>
      </c>
      <c r="E3858">
        <v>0.24494362718892301</v>
      </c>
      <c r="F3858">
        <v>0.14901949148986399</v>
      </c>
      <c r="G3858">
        <v>8.8435526888656205E-2</v>
      </c>
      <c r="H3858">
        <v>5.6312008020394599E-2</v>
      </c>
      <c r="I3858">
        <v>5.1673396610726702E-2</v>
      </c>
      <c r="J3858">
        <v>4.3019436837194502E-2</v>
      </c>
      <c r="K3858">
        <v>3.4272123610100402E-2</v>
      </c>
      <c r="L3858">
        <v>863.18180970097001</v>
      </c>
      <c r="M3858">
        <v>18.824757293985499</v>
      </c>
      <c r="N3858">
        <v>46.127342599707099</v>
      </c>
      <c r="O3858">
        <v>45.345498245491598</v>
      </c>
      <c r="P3858">
        <v>-9.8302965939325804E-2</v>
      </c>
      <c r="Q3858">
        <v>5.2861611511261099E-2</v>
      </c>
      <c r="R3858">
        <v>0.99344260405441498</v>
      </c>
      <c r="S3858" t="s">
        <v>8598</v>
      </c>
      <c r="T3858" t="s">
        <v>9478</v>
      </c>
      <c r="U3858" t="s">
        <v>9478</v>
      </c>
      <c r="V3858" t="s">
        <v>9478</v>
      </c>
      <c r="W3858">
        <v>9</v>
      </c>
      <c r="X3858" t="s">
        <v>13336</v>
      </c>
      <c r="Y3858">
        <v>0.2546637595565468</v>
      </c>
      <c r="Z3858" t="str">
        <f>HYPERLINK("Melting_Curves/meltCurve_sp_Q9Y4C2_2_F115A_HUMAN_.pdf", "Melting_Curves/meltCurve_sp_Q9Y4C2_2_F115A_HUMAN_.pdf")</f>
        <v>Melting_Curves/meltCurve_sp_Q9Y4C2_2_F115A_HUMAN_.pdf</v>
      </c>
      <c r="AA3858" t="s">
        <v>18017</v>
      </c>
      <c r="AB3858" t="s">
        <v>22691</v>
      </c>
    </row>
    <row r="3859" spans="1:28" x14ac:dyDescent="0.25">
      <c r="A3859" t="s">
        <v>3863</v>
      </c>
      <c r="B3859">
        <v>0.99904790336628502</v>
      </c>
      <c r="C3859">
        <v>1.02963308270854</v>
      </c>
      <c r="D3859">
        <v>1.0608795643067299</v>
      </c>
      <c r="E3859">
        <v>0.92273804117136604</v>
      </c>
      <c r="F3859">
        <v>0.54475823735879303</v>
      </c>
      <c r="G3859">
        <v>0.25227052071290501</v>
      </c>
      <c r="H3859">
        <v>0.118034513206003</v>
      </c>
      <c r="I3859">
        <v>6.9808666303480496E-2</v>
      </c>
      <c r="J3859">
        <v>5.2965455812235801E-2</v>
      </c>
      <c r="K3859">
        <v>4.1138026610137497E-2</v>
      </c>
      <c r="L3859">
        <v>1447.03500135171</v>
      </c>
      <c r="M3859">
        <v>27.038741712305502</v>
      </c>
      <c r="N3859">
        <v>53.783038358714101</v>
      </c>
      <c r="O3859">
        <v>53.226938216451302</v>
      </c>
      <c r="P3859">
        <v>-0.11905202834956</v>
      </c>
      <c r="Q3859">
        <v>6.2572921706325502E-2</v>
      </c>
      <c r="R3859">
        <v>0.99278245292825396</v>
      </c>
      <c r="S3859" t="s">
        <v>8599</v>
      </c>
      <c r="T3859" t="s">
        <v>9478</v>
      </c>
      <c r="U3859" t="s">
        <v>9478</v>
      </c>
      <c r="V3859" t="s">
        <v>9478</v>
      </c>
      <c r="W3859">
        <v>24</v>
      </c>
      <c r="X3859" t="s">
        <v>13337</v>
      </c>
      <c r="Y3859">
        <v>0.49242450846226338</v>
      </c>
      <c r="Z3859" t="str">
        <f>HYPERLINK("Melting_Curves/meltCurve_sp_Q9Y4E8_2_UBP15_HUMAN_.pdf", "Melting_Curves/meltCurve_sp_Q9Y4E8_2_UBP15_HUMAN_.pdf")</f>
        <v>Melting_Curves/meltCurve_sp_Q9Y4E8_2_UBP15_HUMAN_.pdf</v>
      </c>
      <c r="AA3859" t="s">
        <v>18018</v>
      </c>
      <c r="AB3859" t="s">
        <v>22692</v>
      </c>
    </row>
    <row r="3860" spans="1:28" x14ac:dyDescent="0.25">
      <c r="A3860" t="s">
        <v>3864</v>
      </c>
      <c r="B3860">
        <v>0.99904790336628502</v>
      </c>
      <c r="C3860">
        <v>1.00762812549794</v>
      </c>
      <c r="D3860">
        <v>0.96555950278299396</v>
      </c>
      <c r="E3860">
        <v>0.82401734940721805</v>
      </c>
      <c r="F3860">
        <v>0.64651889536710505</v>
      </c>
      <c r="G3860">
        <v>0.24800258755278501</v>
      </c>
      <c r="H3860">
        <v>0.10528219017012</v>
      </c>
      <c r="I3860">
        <v>7.1301478023478304E-2</v>
      </c>
      <c r="J3860">
        <v>5.91387779097352E-2</v>
      </c>
      <c r="K3860">
        <v>5.5815932604557E-2</v>
      </c>
      <c r="L3860">
        <v>1183.4474995517501</v>
      </c>
      <c r="M3860">
        <v>21.940048503980499</v>
      </c>
      <c r="N3860">
        <v>54.154933018445497</v>
      </c>
      <c r="O3860">
        <v>53.497943600340299</v>
      </c>
      <c r="P3860">
        <v>-9.8255805713641897E-2</v>
      </c>
      <c r="Q3860">
        <v>4.16858127068137E-2</v>
      </c>
      <c r="R3860">
        <v>0.99822678398728604</v>
      </c>
      <c r="S3860" t="s">
        <v>8600</v>
      </c>
      <c r="T3860" t="s">
        <v>9478</v>
      </c>
      <c r="U3860" t="s">
        <v>9478</v>
      </c>
      <c r="V3860" t="s">
        <v>9478</v>
      </c>
      <c r="W3860">
        <v>15</v>
      </c>
      <c r="X3860" t="s">
        <v>13338</v>
      </c>
      <c r="Y3860">
        <v>0.49815792582461499</v>
      </c>
      <c r="Z3860" t="str">
        <f>HYPERLINK("Melting_Curves/meltCurve_sp_Q9Y4F1_FARP1_HUMAN_.pdf", "Melting_Curves/meltCurve_sp_Q9Y4F1_FARP1_HUMAN_.pdf")</f>
        <v>Melting_Curves/meltCurve_sp_Q9Y4F1_FARP1_HUMAN_.pdf</v>
      </c>
      <c r="AA3860" t="s">
        <v>18019</v>
      </c>
      <c r="AB3860" t="s">
        <v>22693</v>
      </c>
    </row>
    <row r="3861" spans="1:28" x14ac:dyDescent="0.25">
      <c r="A3861" t="s">
        <v>3865</v>
      </c>
      <c r="B3861">
        <v>0.99904790336628502</v>
      </c>
      <c r="C3861">
        <v>0.978130900772197</v>
      </c>
      <c r="D3861">
        <v>1.02237451438698</v>
      </c>
      <c r="E3861">
        <v>0.85928669802170798</v>
      </c>
      <c r="F3861">
        <v>0.58876759719129701</v>
      </c>
      <c r="G3861">
        <v>0.254261679988877</v>
      </c>
      <c r="H3861">
        <v>0.18407298377418599</v>
      </c>
      <c r="I3861">
        <v>0.14736779583937401</v>
      </c>
      <c r="J3861">
        <v>0.150411810972188</v>
      </c>
      <c r="K3861">
        <v>0.135336791055509</v>
      </c>
      <c r="L3861">
        <v>1446.9940165868099</v>
      </c>
      <c r="M3861">
        <v>27.240164990123102</v>
      </c>
      <c r="N3861">
        <v>53.790314467184501</v>
      </c>
      <c r="O3861">
        <v>52.836065908758002</v>
      </c>
      <c r="P3861">
        <v>-0.11033796125326201</v>
      </c>
      <c r="Q3861">
        <v>0.14394526675288699</v>
      </c>
      <c r="R3861">
        <v>0.99850159085374202</v>
      </c>
      <c r="S3861" t="s">
        <v>8601</v>
      </c>
      <c r="T3861" t="s">
        <v>9478</v>
      </c>
      <c r="U3861" t="s">
        <v>9478</v>
      </c>
      <c r="V3861" t="s">
        <v>9478</v>
      </c>
      <c r="W3861">
        <v>29</v>
      </c>
      <c r="X3861" t="s">
        <v>13339</v>
      </c>
      <c r="Y3861">
        <v>0.52502701414858843</v>
      </c>
      <c r="Z3861" t="str">
        <f>HYPERLINK("Melting_Curves/meltCurve_sp_Q9Y4G6_TLN2_HUMAN_.pdf", "Melting_Curves/meltCurve_sp_Q9Y4G6_TLN2_HUMAN_.pdf")</f>
        <v>Melting_Curves/meltCurve_sp_Q9Y4G6_TLN2_HUMAN_.pdf</v>
      </c>
      <c r="AA3861" t="s">
        <v>18020</v>
      </c>
      <c r="AB3861" t="s">
        <v>22694</v>
      </c>
    </row>
    <row r="3862" spans="1:28" x14ac:dyDescent="0.25">
      <c r="A3862" t="s">
        <v>3866</v>
      </c>
      <c r="B3862">
        <v>0.99904790336628502</v>
      </c>
      <c r="C3862">
        <v>0.98640001477336703</v>
      </c>
      <c r="D3862">
        <v>0.85317822730142201</v>
      </c>
      <c r="E3862">
        <v>0.91996677989259401</v>
      </c>
      <c r="F3862">
        <v>0.88958387078199896</v>
      </c>
      <c r="G3862">
        <v>0.65733589937693004</v>
      </c>
      <c r="H3862">
        <v>0.59277943351116402</v>
      </c>
      <c r="I3862">
        <v>0.54367720537870101</v>
      </c>
      <c r="J3862">
        <v>0.50817157892365505</v>
      </c>
      <c r="K3862">
        <v>0.57357435697746095</v>
      </c>
      <c r="L3862">
        <v>850.65729637885204</v>
      </c>
      <c r="M3862">
        <v>15.4449136819941</v>
      </c>
      <c r="O3862">
        <v>54.178323339306502</v>
      </c>
      <c r="P3862">
        <v>-3.5127971289528999E-2</v>
      </c>
      <c r="Q3862">
        <v>0.50715089448593897</v>
      </c>
      <c r="R3862">
        <v>0.92937053850862394</v>
      </c>
      <c r="S3862" t="s">
        <v>8602</v>
      </c>
      <c r="T3862" t="s">
        <v>9478</v>
      </c>
      <c r="U3862" t="s">
        <v>9478</v>
      </c>
      <c r="V3862" t="s">
        <v>9478</v>
      </c>
      <c r="W3862">
        <v>8</v>
      </c>
      <c r="X3862" t="s">
        <v>13340</v>
      </c>
      <c r="Y3862">
        <v>0.76399734896619442</v>
      </c>
      <c r="Z3862" t="str">
        <f>HYPERLINK("Melting_Curves/meltCurve_sp_Q9Y4H2_IRS2_HUMAN_.pdf", "Melting_Curves/meltCurve_sp_Q9Y4H2_IRS2_HUMAN_.pdf")</f>
        <v>Melting_Curves/meltCurve_sp_Q9Y4H2_IRS2_HUMAN_.pdf</v>
      </c>
      <c r="AA3862" t="s">
        <v>18021</v>
      </c>
      <c r="AB3862" t="s">
        <v>22695</v>
      </c>
    </row>
    <row r="3863" spans="1:28" x14ac:dyDescent="0.25">
      <c r="A3863" t="s">
        <v>3867</v>
      </c>
      <c r="B3863">
        <v>0.99904790336628502</v>
      </c>
      <c r="C3863">
        <v>1.30814516818645</v>
      </c>
      <c r="D3863">
        <v>1.34408278876834</v>
      </c>
      <c r="E3863">
        <v>1.44631645005788</v>
      </c>
      <c r="F3863">
        <v>0.919527044127605</v>
      </c>
      <c r="G3863">
        <v>0.49274170600271</v>
      </c>
      <c r="H3863">
        <v>0.15603592943238401</v>
      </c>
      <c r="I3863">
        <v>5.6947099056402897E-2</v>
      </c>
      <c r="J3863">
        <v>4.9646693549179499E-2</v>
      </c>
      <c r="K3863">
        <v>3.7008914410787797E-2</v>
      </c>
      <c r="L3863">
        <v>2277.5086208631801</v>
      </c>
      <c r="M3863">
        <v>40.058388273811303</v>
      </c>
      <c r="N3863">
        <v>57.020665173163302</v>
      </c>
      <c r="O3863">
        <v>56.713589100729202</v>
      </c>
      <c r="P3863">
        <v>-0.16686565326432101</v>
      </c>
      <c r="Q3863">
        <v>5.5026349933975399E-2</v>
      </c>
      <c r="R3863">
        <v>0.86426263150097804</v>
      </c>
      <c r="S3863" t="s">
        <v>8603</v>
      </c>
      <c r="T3863" t="s">
        <v>9478</v>
      </c>
      <c r="U3863" t="s">
        <v>9478</v>
      </c>
      <c r="V3863" t="s">
        <v>9478</v>
      </c>
      <c r="W3863">
        <v>2</v>
      </c>
      <c r="X3863" t="s">
        <v>13341</v>
      </c>
      <c r="Y3863">
        <v>0.58960009852537831</v>
      </c>
      <c r="Z3863" t="str">
        <f>HYPERLINK("Melting_Curves/meltCurve_sp_Q9Y4I1_2_MYO5A_HUMAN_.pdf", "Melting_Curves/meltCurve_sp_Q9Y4I1_2_MYO5A_HUMAN_.pdf")</f>
        <v>Melting_Curves/meltCurve_sp_Q9Y4I1_2_MYO5A_HUMAN_.pdf</v>
      </c>
      <c r="AA3863" t="s">
        <v>18022</v>
      </c>
      <c r="AB3863" t="s">
        <v>22696</v>
      </c>
    </row>
    <row r="3864" spans="1:28" x14ac:dyDescent="0.25">
      <c r="A3864" t="s">
        <v>3868</v>
      </c>
      <c r="B3864">
        <v>0.99904790336628502</v>
      </c>
      <c r="C3864">
        <v>0.97780409507719901</v>
      </c>
      <c r="D3864">
        <v>0.93194575436349603</v>
      </c>
      <c r="E3864">
        <v>0.89388124823204895</v>
      </c>
      <c r="F3864">
        <v>0.95806377265592702</v>
      </c>
      <c r="G3864">
        <v>0.77293864715359695</v>
      </c>
      <c r="H3864">
        <v>0.71984136010532995</v>
      </c>
      <c r="I3864">
        <v>0.72526170495354103</v>
      </c>
      <c r="J3864">
        <v>0.82700652195800795</v>
      </c>
      <c r="K3864">
        <v>0.83401655769048699</v>
      </c>
      <c r="L3864">
        <v>816.72434702831595</v>
      </c>
      <c r="M3864">
        <v>15.740423770592299</v>
      </c>
      <c r="O3864">
        <v>51.071232564062598</v>
      </c>
      <c r="P3864">
        <v>-1.7775546361296701E-2</v>
      </c>
      <c r="Q3864">
        <v>0.76932181157197299</v>
      </c>
      <c r="R3864">
        <v>0.72011398900201695</v>
      </c>
      <c r="S3864" t="s">
        <v>8604</v>
      </c>
      <c r="T3864" t="s">
        <v>9478</v>
      </c>
      <c r="U3864" t="s">
        <v>9478</v>
      </c>
      <c r="V3864" t="s">
        <v>9478</v>
      </c>
      <c r="W3864">
        <v>6</v>
      </c>
      <c r="X3864" t="s">
        <v>13342</v>
      </c>
      <c r="Y3864">
        <v>0.86552546318999579</v>
      </c>
      <c r="Z3864" t="str">
        <f>HYPERLINK("Melting_Curves/meltCurve_sp_Q9Y4K1_AIM1_HUMAN_.pdf", "Melting_Curves/meltCurve_sp_Q9Y4K1_AIM1_HUMAN_.pdf")</f>
        <v>Melting_Curves/meltCurve_sp_Q9Y4K1_AIM1_HUMAN_.pdf</v>
      </c>
      <c r="AA3864" t="s">
        <v>18023</v>
      </c>
      <c r="AB3864" t="s">
        <v>22697</v>
      </c>
    </row>
    <row r="3865" spans="1:28" x14ac:dyDescent="0.25">
      <c r="A3865" t="s">
        <v>3869</v>
      </c>
      <c r="B3865">
        <v>0.99904790336628502</v>
      </c>
      <c r="C3865">
        <v>1.2226941088668</v>
      </c>
      <c r="D3865">
        <v>1.33466351716849</v>
      </c>
      <c r="E3865">
        <v>0.88486508583474499</v>
      </c>
      <c r="F3865">
        <v>0.523829576177536</v>
      </c>
      <c r="G3865">
        <v>0.20420732249645601</v>
      </c>
      <c r="H3865">
        <v>9.0672238641563194E-2</v>
      </c>
      <c r="I3865">
        <v>3.5303870247232201E-2</v>
      </c>
      <c r="J3865">
        <v>2.70839301481197E-2</v>
      </c>
      <c r="K3865">
        <v>1.57263697444762E-2</v>
      </c>
      <c r="L3865">
        <v>1648.3056743978</v>
      </c>
      <c r="M3865">
        <v>30.9564705716007</v>
      </c>
      <c r="N3865">
        <v>53.403524453215098</v>
      </c>
      <c r="O3865">
        <v>53.025200398847097</v>
      </c>
      <c r="P3865">
        <v>-0.13958084593641101</v>
      </c>
      <c r="Q3865">
        <v>4.3655864803688299E-2</v>
      </c>
      <c r="R3865">
        <v>0.93194783086012301</v>
      </c>
      <c r="S3865" t="s">
        <v>8605</v>
      </c>
      <c r="T3865" t="s">
        <v>9478</v>
      </c>
      <c r="U3865" t="s">
        <v>9478</v>
      </c>
      <c r="V3865" t="s">
        <v>9478</v>
      </c>
      <c r="W3865">
        <v>6</v>
      </c>
      <c r="X3865" t="s">
        <v>13343</v>
      </c>
      <c r="Y3865">
        <v>0.47176315000105112</v>
      </c>
      <c r="Z3865" t="str">
        <f>HYPERLINK("Melting_Curves/meltCurve_sp_Q9Y4K3_TRAF6_HUMAN_.pdf", "Melting_Curves/meltCurve_sp_Q9Y4K3_TRAF6_HUMAN_.pdf")</f>
        <v>Melting_Curves/meltCurve_sp_Q9Y4K3_TRAF6_HUMAN_.pdf</v>
      </c>
      <c r="AA3865" t="s">
        <v>18024</v>
      </c>
      <c r="AB3865" t="s">
        <v>22698</v>
      </c>
    </row>
    <row r="3866" spans="1:28" x14ac:dyDescent="0.25">
      <c r="A3866" t="s">
        <v>3870</v>
      </c>
      <c r="B3866">
        <v>0.99904790336628502</v>
      </c>
      <c r="C3866">
        <v>1.0974970450291599</v>
      </c>
      <c r="D3866">
        <v>1.14567922309356</v>
      </c>
      <c r="E3866">
        <v>0.96792994469114901</v>
      </c>
      <c r="F3866">
        <v>0.74539374838084405</v>
      </c>
      <c r="G3866">
        <v>0.498579930018617</v>
      </c>
      <c r="H3866">
        <v>0.58635885906262597</v>
      </c>
      <c r="I3866">
        <v>0.39951322168053199</v>
      </c>
      <c r="J3866">
        <v>0.41629522021520399</v>
      </c>
      <c r="K3866">
        <v>0</v>
      </c>
      <c r="L3866">
        <v>648.99006026857796</v>
      </c>
      <c r="M3866">
        <v>10.715050167147099</v>
      </c>
      <c r="N3866">
        <v>60.5680841717341</v>
      </c>
      <c r="O3866">
        <v>58.572801523516198</v>
      </c>
      <c r="P3866">
        <v>-4.5750967705655302E-2</v>
      </c>
      <c r="Q3866">
        <v>0</v>
      </c>
      <c r="R3866">
        <v>0.876184606871383</v>
      </c>
      <c r="S3866" t="s">
        <v>8606</v>
      </c>
      <c r="T3866" t="s">
        <v>9478</v>
      </c>
      <c r="U3866" t="s">
        <v>9478</v>
      </c>
      <c r="V3866" t="s">
        <v>9478</v>
      </c>
      <c r="W3866">
        <v>2</v>
      </c>
      <c r="X3866" t="s">
        <v>13344</v>
      </c>
      <c r="Y3866">
        <v>0.68017688202157645</v>
      </c>
      <c r="Z3866" t="str">
        <f>HYPERLINK("Melting_Curves/meltCurve_sp_Q9Y4K4_M4K5_HUMAN_.pdf", "Melting_Curves/meltCurve_sp_Q9Y4K4_M4K5_HUMAN_.pdf")</f>
        <v>Melting_Curves/meltCurve_sp_Q9Y4K4_M4K5_HUMAN_.pdf</v>
      </c>
      <c r="AA3866" t="s">
        <v>18025</v>
      </c>
      <c r="AB3866" t="s">
        <v>22699</v>
      </c>
    </row>
    <row r="3867" spans="1:28" x14ac:dyDescent="0.25">
      <c r="A3867" t="s">
        <v>3871</v>
      </c>
      <c r="B3867">
        <v>0.99904790336628502</v>
      </c>
      <c r="C3867">
        <v>0.76072641422646303</v>
      </c>
      <c r="D3867">
        <v>0.72966791952358501</v>
      </c>
      <c r="E3867">
        <v>0.58842862202008095</v>
      </c>
      <c r="F3867">
        <v>0.33324971469355602</v>
      </c>
      <c r="G3867">
        <v>0.17280444339468501</v>
      </c>
      <c r="H3867">
        <v>0.15366465996524301</v>
      </c>
      <c r="I3867">
        <v>6.9395848515956607E-2</v>
      </c>
      <c r="J3867">
        <v>5.7305585785151901E-2</v>
      </c>
      <c r="K3867">
        <v>8.4308120832052594E-2</v>
      </c>
      <c r="L3867">
        <v>536.21877912869604</v>
      </c>
      <c r="M3867">
        <v>10.695543728253</v>
      </c>
      <c r="N3867">
        <v>50.1635770812182</v>
      </c>
      <c r="O3867">
        <v>48.477502220016298</v>
      </c>
      <c r="P3867">
        <v>-5.5009138027602697E-2</v>
      </c>
      <c r="Q3867">
        <v>3.0600868514940498E-3</v>
      </c>
      <c r="R3867">
        <v>0.97675068649429597</v>
      </c>
      <c r="S3867" t="s">
        <v>8607</v>
      </c>
      <c r="T3867" t="s">
        <v>9478</v>
      </c>
      <c r="U3867" t="s">
        <v>9478</v>
      </c>
      <c r="V3867" t="s">
        <v>9478</v>
      </c>
      <c r="W3867">
        <v>3</v>
      </c>
      <c r="X3867" t="s">
        <v>13345</v>
      </c>
      <c r="Y3867">
        <v>0.38046500825376811</v>
      </c>
      <c r="Z3867" t="str">
        <f>HYPERLINK("Melting_Curves/meltCurve_sp_Q9Y4P8_4_WIPI2_HUMAN_.pdf", "Melting_Curves/meltCurve_sp_Q9Y4P8_4_WIPI2_HUMAN_.pdf")</f>
        <v>Melting_Curves/meltCurve_sp_Q9Y4P8_4_WIPI2_HUMAN_.pdf</v>
      </c>
      <c r="AA3867" t="s">
        <v>18026</v>
      </c>
      <c r="AB3867" t="s">
        <v>22700</v>
      </c>
    </row>
    <row r="3868" spans="1:28" x14ac:dyDescent="0.25">
      <c r="A3868" t="s">
        <v>3872</v>
      </c>
      <c r="B3868">
        <v>0.99904790336628502</v>
      </c>
      <c r="C3868">
        <v>1.0603860005275001</v>
      </c>
      <c r="D3868">
        <v>0.830489629275871</v>
      </c>
      <c r="E3868">
        <v>0.50460781978302205</v>
      </c>
      <c r="F3868">
        <v>0.259817160526367</v>
      </c>
      <c r="G3868">
        <v>0.144202320697215</v>
      </c>
      <c r="H3868">
        <v>9.8891515056854104E-2</v>
      </c>
      <c r="I3868">
        <v>9.2437960817744094E-2</v>
      </c>
      <c r="J3868">
        <v>5.9440660401421402E-2</v>
      </c>
      <c r="K3868">
        <v>2.3866378249257102E-2</v>
      </c>
      <c r="L3868">
        <v>1055.01593799593</v>
      </c>
      <c r="M3868">
        <v>21.2122818699407</v>
      </c>
      <c r="N3868">
        <v>50.060499471667796</v>
      </c>
      <c r="O3868">
        <v>49.300378870211702</v>
      </c>
      <c r="P3868">
        <v>-0.10066151906181101</v>
      </c>
      <c r="Q3868">
        <v>6.4216762298665603E-2</v>
      </c>
      <c r="R3868">
        <v>0.99202352614328404</v>
      </c>
      <c r="S3868" t="s">
        <v>8608</v>
      </c>
      <c r="T3868" t="s">
        <v>9478</v>
      </c>
      <c r="U3868" t="s">
        <v>9478</v>
      </c>
      <c r="V3868" t="s">
        <v>9478</v>
      </c>
      <c r="W3868">
        <v>3</v>
      </c>
      <c r="X3868" t="s">
        <v>13346</v>
      </c>
      <c r="Y3868">
        <v>0.37951861281993449</v>
      </c>
      <c r="Z3868" t="str">
        <f>HYPERLINK("Melting_Curves/meltCurve_sp_Q9Y4U1_MMAC_HUMAN_.pdf", "Melting_Curves/meltCurve_sp_Q9Y4U1_MMAC_HUMAN_.pdf")</f>
        <v>Melting_Curves/meltCurve_sp_Q9Y4U1_MMAC_HUMAN_.pdf</v>
      </c>
      <c r="AA3868" t="s">
        <v>18027</v>
      </c>
      <c r="AB3868" t="s">
        <v>22701</v>
      </c>
    </row>
    <row r="3869" spans="1:28" x14ac:dyDescent="0.25">
      <c r="A3869" t="s">
        <v>3873</v>
      </c>
      <c r="B3869">
        <v>0.99904790336628502</v>
      </c>
      <c r="C3869">
        <v>1.09216266239338</v>
      </c>
      <c r="D3869">
        <v>0.93675135679636901</v>
      </c>
      <c r="E3869">
        <v>0.69698533971978804</v>
      </c>
      <c r="F3869">
        <v>0.49578768907315102</v>
      </c>
      <c r="G3869">
        <v>0.24704822529447101</v>
      </c>
      <c r="H3869">
        <v>0.18317281774998301</v>
      </c>
      <c r="I3869">
        <v>0.144272492951141</v>
      </c>
      <c r="J3869">
        <v>0.13011453374854701</v>
      </c>
      <c r="K3869">
        <v>7.1911918967708793E-2</v>
      </c>
      <c r="L3869">
        <v>984.69798143209198</v>
      </c>
      <c r="M3869">
        <v>18.891596614783602</v>
      </c>
      <c r="N3869">
        <v>52.787358652934003</v>
      </c>
      <c r="O3869">
        <v>51.550061847529101</v>
      </c>
      <c r="P3869">
        <v>-8.1935288990510294E-2</v>
      </c>
      <c r="Q3869">
        <v>0.105718985311732</v>
      </c>
      <c r="R3869">
        <v>0.98963427369451995</v>
      </c>
      <c r="S3869" t="s">
        <v>8609</v>
      </c>
      <c r="T3869" t="s">
        <v>9478</v>
      </c>
      <c r="U3869" t="s">
        <v>9478</v>
      </c>
      <c r="V3869" t="s">
        <v>9478</v>
      </c>
      <c r="W3869">
        <v>3</v>
      </c>
      <c r="X3869" t="s">
        <v>13347</v>
      </c>
      <c r="Y3869">
        <v>0.48078974847499839</v>
      </c>
      <c r="Z3869" t="str">
        <f>HYPERLINK("Melting_Curves/meltCurve_sp_Q9Y4W6_AFG32_HUMAN_.pdf", "Melting_Curves/meltCurve_sp_Q9Y4W6_AFG32_HUMAN_.pdf")</f>
        <v>Melting_Curves/meltCurve_sp_Q9Y4W6_AFG32_HUMAN_.pdf</v>
      </c>
      <c r="AA3869" t="s">
        <v>18028</v>
      </c>
      <c r="AB3869" t="s">
        <v>22702</v>
      </c>
    </row>
    <row r="3870" spans="1:28" x14ac:dyDescent="0.25">
      <c r="A3870" t="s">
        <v>3874</v>
      </c>
      <c r="B3870">
        <v>0.99904790336628502</v>
      </c>
      <c r="C3870">
        <v>1.0641783835488801</v>
      </c>
      <c r="D3870">
        <v>1.2055519738551701</v>
      </c>
      <c r="E3870">
        <v>1.3741291988936899</v>
      </c>
      <c r="F3870">
        <v>1.1434716391661</v>
      </c>
      <c r="G3870">
        <v>0.32714866362689599</v>
      </c>
      <c r="H3870">
        <v>0.41602140578771402</v>
      </c>
      <c r="I3870">
        <v>0.34001667960898602</v>
      </c>
      <c r="J3870">
        <v>0.24348008180007499</v>
      </c>
      <c r="K3870">
        <v>0</v>
      </c>
      <c r="L3870">
        <v>14126.639015499801</v>
      </c>
      <c r="M3870">
        <v>250</v>
      </c>
      <c r="N3870">
        <v>56.663554209747403</v>
      </c>
      <c r="O3870">
        <v>56.502940091187597</v>
      </c>
      <c r="P3870">
        <v>-0.82973612472035196</v>
      </c>
      <c r="Q3870">
        <v>0.24987951311623699</v>
      </c>
      <c r="R3870">
        <v>0.85971615688702996</v>
      </c>
      <c r="S3870" t="s">
        <v>8610</v>
      </c>
      <c r="T3870" t="s">
        <v>9478</v>
      </c>
      <c r="U3870" t="s">
        <v>9478</v>
      </c>
      <c r="V3870" t="s">
        <v>9478</v>
      </c>
      <c r="W3870">
        <v>1</v>
      </c>
      <c r="X3870" t="s">
        <v>13348</v>
      </c>
      <c r="Y3870">
        <v>0.66268409682623597</v>
      </c>
      <c r="Z3870" t="str">
        <f>HYPERLINK("Melting_Curves/meltCurve_sp_Q9Y4X4_KLF12_HUMAN_.pdf", "Melting_Curves/meltCurve_sp_Q9Y4X4_KLF12_HUMAN_.pdf")</f>
        <v>Melting_Curves/meltCurve_sp_Q9Y4X4_KLF12_HUMAN_.pdf</v>
      </c>
      <c r="AA3870" t="s">
        <v>18029</v>
      </c>
      <c r="AB3870" t="s">
        <v>22703</v>
      </c>
    </row>
    <row r="3871" spans="1:28" x14ac:dyDescent="0.25">
      <c r="A3871" t="s">
        <v>3875</v>
      </c>
      <c r="B3871">
        <v>0.99904790336628502</v>
      </c>
      <c r="C3871">
        <v>1.13300340325694</v>
      </c>
      <c r="D3871">
        <v>1.1438317861692899</v>
      </c>
      <c r="E3871">
        <v>1.10235173506069</v>
      </c>
      <c r="F3871">
        <v>1.011116236516</v>
      </c>
      <c r="G3871">
        <v>0.81126216860554501</v>
      </c>
      <c r="H3871">
        <v>0.50168943878116701</v>
      </c>
      <c r="I3871">
        <v>0.22233850816798101</v>
      </c>
      <c r="J3871">
        <v>9.5132526464256295E-2</v>
      </c>
      <c r="K3871">
        <v>9.8304889863428099E-2</v>
      </c>
      <c r="L3871">
        <v>1615.4047107665001</v>
      </c>
      <c r="M3871">
        <v>26.6924037901296</v>
      </c>
      <c r="N3871">
        <v>60.770480366221904</v>
      </c>
      <c r="O3871">
        <v>60.1826658593587</v>
      </c>
      <c r="P3871">
        <v>-0.10508947926424</v>
      </c>
      <c r="Q3871">
        <v>5.2240094144173299E-2</v>
      </c>
      <c r="R3871">
        <v>0.96912379949123895</v>
      </c>
      <c r="S3871" t="s">
        <v>8611</v>
      </c>
      <c r="T3871" t="s">
        <v>9478</v>
      </c>
      <c r="U3871" t="s">
        <v>9478</v>
      </c>
      <c r="V3871" t="s">
        <v>9478</v>
      </c>
      <c r="W3871">
        <v>9</v>
      </c>
      <c r="X3871" t="s">
        <v>13349</v>
      </c>
      <c r="Y3871">
        <v>0.70669006820744473</v>
      </c>
      <c r="Z3871" t="str">
        <f>HYPERLINK("Melting_Curves/meltCurve_sp_Q9Y4X5_ARI1_HUMAN_.pdf", "Melting_Curves/meltCurve_sp_Q9Y4X5_ARI1_HUMAN_.pdf")</f>
        <v>Melting_Curves/meltCurve_sp_Q9Y4X5_ARI1_HUMAN_.pdf</v>
      </c>
      <c r="AA3871" t="s">
        <v>18030</v>
      </c>
      <c r="AB3871" t="s">
        <v>22704</v>
      </c>
    </row>
    <row r="3872" spans="1:28" x14ac:dyDescent="0.25">
      <c r="A3872" t="s">
        <v>3876</v>
      </c>
      <c r="B3872">
        <v>0.99904790336628502</v>
      </c>
      <c r="C3872">
        <v>1.0260206964598599</v>
      </c>
      <c r="D3872">
        <v>1.03831827786242</v>
      </c>
      <c r="E3872">
        <v>1.0157647480845899</v>
      </c>
      <c r="F3872">
        <v>1.0395999702620999</v>
      </c>
      <c r="G3872">
        <v>0.76071663107380505</v>
      </c>
      <c r="H3872">
        <v>0.557030202039552</v>
      </c>
      <c r="I3872">
        <v>0.43865638196276102</v>
      </c>
      <c r="J3872">
        <v>0.280932279382618</v>
      </c>
      <c r="K3872">
        <v>0.179141370700306</v>
      </c>
      <c r="L3872">
        <v>1091.82085691613</v>
      </c>
      <c r="M3872">
        <v>17.814207681511402</v>
      </c>
      <c r="N3872">
        <v>62.193380310399398</v>
      </c>
      <c r="O3872">
        <v>60.5326445986449</v>
      </c>
      <c r="P3872">
        <v>-6.5183774011848106E-2</v>
      </c>
      <c r="Q3872">
        <v>0.11406805080019</v>
      </c>
      <c r="R3872">
        <v>0.98357228198571101</v>
      </c>
      <c r="S3872" t="s">
        <v>8612</v>
      </c>
      <c r="T3872" t="s">
        <v>9478</v>
      </c>
      <c r="U3872" t="s">
        <v>9478</v>
      </c>
      <c r="V3872" t="s">
        <v>9478</v>
      </c>
      <c r="W3872">
        <v>8</v>
      </c>
      <c r="X3872" t="s">
        <v>13350</v>
      </c>
      <c r="Y3872">
        <v>0.74644479878012904</v>
      </c>
      <c r="Z3872" t="str">
        <f>HYPERLINK("Melting_Curves/meltCurve_sp_Q9Y4Z0_LSM4_HUMAN_.pdf", "Melting_Curves/meltCurve_sp_Q9Y4Z0_LSM4_HUMAN_.pdf")</f>
        <v>Melting_Curves/meltCurve_sp_Q9Y4Z0_LSM4_HUMAN_.pdf</v>
      </c>
      <c r="AA3872" t="s">
        <v>18031</v>
      </c>
      <c r="AB3872" t="s">
        <v>22705</v>
      </c>
    </row>
    <row r="3873" spans="1:28" x14ac:dyDescent="0.25">
      <c r="A3873" t="s">
        <v>3877</v>
      </c>
      <c r="B3873">
        <v>0.99904790336628502</v>
      </c>
      <c r="C3873">
        <v>0.78567909165542604</v>
      </c>
      <c r="D3873">
        <v>0.77332316109062704</v>
      </c>
      <c r="E3873">
        <v>0.78596765418247005</v>
      </c>
      <c r="F3873">
        <v>0.68734381786026899</v>
      </c>
      <c r="G3873">
        <v>0.53657091051664696</v>
      </c>
      <c r="H3873">
        <v>0.44628817954806299</v>
      </c>
      <c r="I3873">
        <v>0.44755826611706401</v>
      </c>
      <c r="J3873">
        <v>0.43169380949189601</v>
      </c>
      <c r="K3873">
        <v>0.37268915882282</v>
      </c>
      <c r="L3873">
        <v>317.84036250306599</v>
      </c>
      <c r="M3873">
        <v>5.6867069947102102</v>
      </c>
      <c r="N3873">
        <v>60.457081452962498</v>
      </c>
      <c r="O3873">
        <v>50.1332908499854</v>
      </c>
      <c r="P3873">
        <v>-2.3499578647972402E-2</v>
      </c>
      <c r="Q3873">
        <v>0.17455602688007699</v>
      </c>
      <c r="R3873">
        <v>0.93725484601011699</v>
      </c>
      <c r="S3873" t="s">
        <v>8613</v>
      </c>
      <c r="T3873" t="s">
        <v>9478</v>
      </c>
      <c r="U3873" t="s">
        <v>9478</v>
      </c>
      <c r="V3873" t="s">
        <v>9478</v>
      </c>
      <c r="W3873">
        <v>6</v>
      </c>
      <c r="X3873" t="s">
        <v>13351</v>
      </c>
      <c r="Y3873">
        <v>0.62424641108659074</v>
      </c>
      <c r="Z3873" t="str">
        <f>HYPERLINK("Melting_Curves/meltCurve_sp_Q9Y508_RN114_HUMAN_.pdf", "Melting_Curves/meltCurve_sp_Q9Y508_RN114_HUMAN_.pdf")</f>
        <v>Melting_Curves/meltCurve_sp_Q9Y508_RN114_HUMAN_.pdf</v>
      </c>
      <c r="AA3873" t="s">
        <v>18032</v>
      </c>
      <c r="AB3873" t="s">
        <v>22706</v>
      </c>
    </row>
    <row r="3874" spans="1:28" x14ac:dyDescent="0.25">
      <c r="A3874" t="s">
        <v>3878</v>
      </c>
      <c r="B3874">
        <v>0.99904790336628502</v>
      </c>
      <c r="C3874">
        <v>1.0233998933774</v>
      </c>
      <c r="D3874">
        <v>1.0016989512832699</v>
      </c>
      <c r="E3874">
        <v>0.95264257679790298</v>
      </c>
      <c r="F3874">
        <v>1.0722218158588801</v>
      </c>
      <c r="G3874">
        <v>0.77346552751656805</v>
      </c>
      <c r="H3874">
        <v>0.70516916317784695</v>
      </c>
      <c r="I3874">
        <v>0.731478477751343</v>
      </c>
      <c r="J3874">
        <v>0.80330230956861803</v>
      </c>
      <c r="K3874">
        <v>0.86083561455556401</v>
      </c>
      <c r="L3874">
        <v>13839.883829713501</v>
      </c>
      <c r="M3874">
        <v>250</v>
      </c>
      <c r="O3874">
        <v>55.355973816834997</v>
      </c>
      <c r="P3874">
        <v>-0.25424427532856603</v>
      </c>
      <c r="Q3874">
        <v>0.77481689196787795</v>
      </c>
      <c r="R3874">
        <v>0.85697339326485999</v>
      </c>
      <c r="S3874" t="s">
        <v>8614</v>
      </c>
      <c r="T3874" t="s">
        <v>9478</v>
      </c>
      <c r="U3874" t="s">
        <v>9478</v>
      </c>
      <c r="V3874" t="s">
        <v>9478</v>
      </c>
      <c r="W3874">
        <v>36</v>
      </c>
      <c r="X3874" t="s">
        <v>13352</v>
      </c>
      <c r="Y3874">
        <v>0.89012903302803537</v>
      </c>
      <c r="Z3874" t="str">
        <f>HYPERLINK("Melting_Curves/meltCurve_sp_Q9Y520_4_PRC2C_HUMAN_.pdf", "Melting_Curves/meltCurve_sp_Q9Y520_4_PRC2C_HUMAN_.pdf")</f>
        <v>Melting_Curves/meltCurve_sp_Q9Y520_4_PRC2C_HUMAN_.pdf</v>
      </c>
      <c r="AA3874" t="s">
        <v>18033</v>
      </c>
      <c r="AB3874" t="s">
        <v>22707</v>
      </c>
    </row>
    <row r="3875" spans="1:28" x14ac:dyDescent="0.25">
      <c r="A3875" t="s">
        <v>3879</v>
      </c>
      <c r="B3875">
        <v>0.99904790336628502</v>
      </c>
      <c r="C3875">
        <v>1.02182127768475</v>
      </c>
      <c r="D3875">
        <v>0.94968984395781297</v>
      </c>
      <c r="E3875">
        <v>0.92424682679241699</v>
      </c>
      <c r="F3875">
        <v>0.73755901132466495</v>
      </c>
      <c r="G3875">
        <v>0.569154374584113</v>
      </c>
      <c r="H3875">
        <v>0.227937062393438</v>
      </c>
      <c r="I3875">
        <v>0.123286760431937</v>
      </c>
      <c r="J3875">
        <v>9.6970210903036202E-2</v>
      </c>
      <c r="K3875">
        <v>0.11401667935278401</v>
      </c>
      <c r="L3875">
        <v>982.18670640493804</v>
      </c>
      <c r="M3875">
        <v>17.300769143982698</v>
      </c>
      <c r="N3875">
        <v>57.0403670380961</v>
      </c>
      <c r="O3875">
        <v>56.029071494837901</v>
      </c>
      <c r="P3875">
        <v>-7.4174643264413406E-2</v>
      </c>
      <c r="Q3875">
        <v>3.9187987844757702E-2</v>
      </c>
      <c r="R3875">
        <v>0.99143154636201403</v>
      </c>
      <c r="S3875" t="s">
        <v>8615</v>
      </c>
      <c r="T3875" t="s">
        <v>9478</v>
      </c>
      <c r="U3875" t="s">
        <v>9478</v>
      </c>
      <c r="V3875" t="s">
        <v>9478</v>
      </c>
      <c r="W3875">
        <v>1</v>
      </c>
      <c r="X3875" t="s">
        <v>13353</v>
      </c>
      <c r="Y3875">
        <v>0.59029338329435099</v>
      </c>
      <c r="Z3875" t="str">
        <f>HYPERLINK("Melting_Curves/meltCurve_sp_Q9Y547_HSB11_HUMAN_.pdf", "Melting_Curves/meltCurve_sp_Q9Y547_HSB11_HUMAN_.pdf")</f>
        <v>Melting_Curves/meltCurve_sp_Q9Y547_HSB11_HUMAN_.pdf</v>
      </c>
      <c r="AA3875" t="s">
        <v>18034</v>
      </c>
      <c r="AB3875" t="s">
        <v>22708</v>
      </c>
    </row>
    <row r="3876" spans="1:28" x14ac:dyDescent="0.25">
      <c r="A3876" t="s">
        <v>3880</v>
      </c>
      <c r="B3876">
        <v>0.99904790336628502</v>
      </c>
      <c r="C3876">
        <v>0.97098533515149599</v>
      </c>
      <c r="D3876">
        <v>0.92595826101742096</v>
      </c>
      <c r="E3876">
        <v>0.92301871123769996</v>
      </c>
      <c r="F3876">
        <v>0.86702720993687499</v>
      </c>
      <c r="G3876">
        <v>0.39621534109450601</v>
      </c>
      <c r="H3876">
        <v>7.6473822326458593E-2</v>
      </c>
      <c r="I3876">
        <v>5.50503570048348E-2</v>
      </c>
      <c r="J3876">
        <v>3.7686626436666697E-2</v>
      </c>
      <c r="K3876">
        <v>1.8109660744741098E-2</v>
      </c>
      <c r="L3876">
        <v>1681.7797481175301</v>
      </c>
      <c r="M3876">
        <v>29.9960130656331</v>
      </c>
      <c r="N3876">
        <v>56.142704523848501</v>
      </c>
      <c r="O3876">
        <v>55.8193554303421</v>
      </c>
      <c r="P3876">
        <v>-0.13167453703581899</v>
      </c>
      <c r="Q3876">
        <v>1.9877761936192902E-2</v>
      </c>
      <c r="R3876">
        <v>0.99452079179772601</v>
      </c>
      <c r="S3876" t="s">
        <v>8616</v>
      </c>
      <c r="T3876" t="s">
        <v>9478</v>
      </c>
      <c r="U3876" t="s">
        <v>9478</v>
      </c>
      <c r="V3876" t="s">
        <v>9478</v>
      </c>
      <c r="W3876">
        <v>5</v>
      </c>
      <c r="X3876" t="s">
        <v>13354</v>
      </c>
      <c r="Y3876">
        <v>0.55132968148375283</v>
      </c>
      <c r="Z3876" t="str">
        <f>HYPERLINK("Melting_Curves/meltCurve_sp_Q9Y570_PPME1_HUMAN_.pdf", "Melting_Curves/meltCurve_sp_Q9Y570_PPME1_HUMAN_.pdf")</f>
        <v>Melting_Curves/meltCurve_sp_Q9Y570_PPME1_HUMAN_.pdf</v>
      </c>
      <c r="AA3876" t="s">
        <v>18035</v>
      </c>
      <c r="AB3876" t="s">
        <v>22709</v>
      </c>
    </row>
    <row r="3877" spans="1:28" x14ac:dyDescent="0.25">
      <c r="A3877" t="s">
        <v>3881</v>
      </c>
      <c r="B3877">
        <v>0.99904790336628502</v>
      </c>
      <c r="C3877">
        <v>1.03015695585875</v>
      </c>
      <c r="D3877">
        <v>1.0249036016928099</v>
      </c>
      <c r="E3877">
        <v>0.96930391241734204</v>
      </c>
      <c r="F3877">
        <v>0.93342657572897103</v>
      </c>
      <c r="G3877">
        <v>0.70362439228575502</v>
      </c>
      <c r="H3877">
        <v>0.70452955833673303</v>
      </c>
      <c r="I3877">
        <v>0.71111511681871897</v>
      </c>
      <c r="J3877">
        <v>0.73689098679014797</v>
      </c>
      <c r="K3877">
        <v>0.80192318341385005</v>
      </c>
      <c r="L3877">
        <v>11885.9916167968</v>
      </c>
      <c r="M3877">
        <v>223.15497472167601</v>
      </c>
      <c r="O3877">
        <v>53.2591174648067</v>
      </c>
      <c r="P3877">
        <v>-0.28113066388105501</v>
      </c>
      <c r="Q3877">
        <v>0.73161663034930502</v>
      </c>
      <c r="R3877">
        <v>0.94848812174965502</v>
      </c>
      <c r="S3877" t="s">
        <v>8617</v>
      </c>
      <c r="T3877" t="s">
        <v>9478</v>
      </c>
      <c r="U3877" t="s">
        <v>9478</v>
      </c>
      <c r="V3877" t="s">
        <v>9478</v>
      </c>
      <c r="W3877">
        <v>3</v>
      </c>
      <c r="X3877" t="s">
        <v>13355</v>
      </c>
      <c r="Y3877">
        <v>0.85030394216186522</v>
      </c>
      <c r="Z3877" t="str">
        <f>HYPERLINK("Melting_Curves/meltCurve_sp_Q9Y597_2_KCTD3_HUMAN_.pdf", "Melting_Curves/meltCurve_sp_Q9Y597_2_KCTD3_HUMAN_.pdf")</f>
        <v>Melting_Curves/meltCurve_sp_Q9Y597_2_KCTD3_HUMAN_.pdf</v>
      </c>
      <c r="AA3877" t="s">
        <v>18036</v>
      </c>
      <c r="AB3877" t="s">
        <v>22710</v>
      </c>
    </row>
    <row r="3878" spans="1:28" x14ac:dyDescent="0.25">
      <c r="A3878" t="s">
        <v>3882</v>
      </c>
      <c r="B3878">
        <v>0.99904790336628502</v>
      </c>
      <c r="C3878">
        <v>0.934852461702944</v>
      </c>
      <c r="D3878">
        <v>0.89686857631795103</v>
      </c>
      <c r="E3878">
        <v>0.667708409633755</v>
      </c>
      <c r="F3878">
        <v>0.33340255398743102</v>
      </c>
      <c r="G3878">
        <v>0.16946391972253</v>
      </c>
      <c r="H3878">
        <v>0.103281039173822</v>
      </c>
      <c r="I3878">
        <v>7.1748005307705795E-2</v>
      </c>
      <c r="J3878">
        <v>5.27114440028328E-2</v>
      </c>
      <c r="K3878">
        <v>4.7746092994948197E-2</v>
      </c>
      <c r="L3878">
        <v>1016.1664846574</v>
      </c>
      <c r="M3878">
        <v>19.8612559153467</v>
      </c>
      <c r="N3878">
        <v>51.440941837748298</v>
      </c>
      <c r="O3878">
        <v>50.653048548481898</v>
      </c>
      <c r="P3878">
        <v>-9.3046134991506393E-2</v>
      </c>
      <c r="Q3878">
        <v>5.0832880337317803E-2</v>
      </c>
      <c r="R3878">
        <v>0.99657480801565401</v>
      </c>
      <c r="S3878" t="s">
        <v>8618</v>
      </c>
      <c r="T3878" t="s">
        <v>9478</v>
      </c>
      <c r="U3878" t="s">
        <v>9478</v>
      </c>
      <c r="V3878" t="s">
        <v>9478</v>
      </c>
      <c r="W3878">
        <v>9</v>
      </c>
      <c r="X3878" t="s">
        <v>13356</v>
      </c>
      <c r="Y3878">
        <v>0.41736790197168888</v>
      </c>
      <c r="Z3878" t="str">
        <f>HYPERLINK("Melting_Curves/meltCurve_sp_Q9Y5A7_2_NUB1_HUMAN_.pdf", "Melting_Curves/meltCurve_sp_Q9Y5A7_2_NUB1_HUMAN_.pdf")</f>
        <v>Melting_Curves/meltCurve_sp_Q9Y5A7_2_NUB1_HUMAN_.pdf</v>
      </c>
      <c r="AA3878" t="s">
        <v>18037</v>
      </c>
      <c r="AB3878" t="s">
        <v>22711</v>
      </c>
    </row>
    <row r="3879" spans="1:28" x14ac:dyDescent="0.25">
      <c r="A3879" t="s">
        <v>3883</v>
      </c>
      <c r="B3879">
        <v>0.99904790336628502</v>
      </c>
      <c r="C3879">
        <v>0.98905857583337897</v>
      </c>
      <c r="D3879">
        <v>0.84206719611856695</v>
      </c>
      <c r="E3879">
        <v>0.80752940775205295</v>
      </c>
      <c r="F3879">
        <v>0.81872736432752102</v>
      </c>
      <c r="G3879">
        <v>0.488390998546538</v>
      </c>
      <c r="H3879">
        <v>0.41409928707640598</v>
      </c>
      <c r="I3879">
        <v>0.37539602150481299</v>
      </c>
      <c r="J3879">
        <v>0.45419955607892498</v>
      </c>
      <c r="K3879">
        <v>0.44827114185878703</v>
      </c>
      <c r="L3879">
        <v>789.19436417562395</v>
      </c>
      <c r="M3879">
        <v>14.8378798893993</v>
      </c>
      <c r="N3879">
        <v>58.909853089243299</v>
      </c>
      <c r="O3879">
        <v>52.249747113037699</v>
      </c>
      <c r="P3879">
        <v>-4.3902079232370599E-2</v>
      </c>
      <c r="Q3879">
        <v>0.381682290618444</v>
      </c>
      <c r="R3879">
        <v>0.93138188248155196</v>
      </c>
      <c r="S3879" t="s">
        <v>8619</v>
      </c>
      <c r="T3879" t="s">
        <v>9478</v>
      </c>
      <c r="U3879" t="s">
        <v>9478</v>
      </c>
      <c r="V3879" t="s">
        <v>9478</v>
      </c>
      <c r="W3879">
        <v>3</v>
      </c>
      <c r="X3879" t="s">
        <v>13357</v>
      </c>
      <c r="Y3879">
        <v>0.66688524679216099</v>
      </c>
      <c r="Z3879" t="str">
        <f>HYPERLINK("Melting_Curves/meltCurve_sp_Q9Y5A9_2_YTHD2_HUMAN_.pdf", "Melting_Curves/meltCurve_sp_Q9Y5A9_2_YTHD2_HUMAN_.pdf")</f>
        <v>Melting_Curves/meltCurve_sp_Q9Y5A9_2_YTHD2_HUMAN_.pdf</v>
      </c>
      <c r="AA3879" t="s">
        <v>18038</v>
      </c>
      <c r="AB3879" t="s">
        <v>22712</v>
      </c>
    </row>
    <row r="3880" spans="1:28" x14ac:dyDescent="0.25">
      <c r="A3880" t="s">
        <v>3884</v>
      </c>
      <c r="B3880">
        <v>0.99904790336628502</v>
      </c>
      <c r="C3880">
        <v>0.90554922672109295</v>
      </c>
      <c r="D3880">
        <v>0.81304471155324998</v>
      </c>
      <c r="E3880">
        <v>0.568540873404909</v>
      </c>
      <c r="F3880">
        <v>0.38413569825020399</v>
      </c>
      <c r="G3880">
        <v>0.16981195967601201</v>
      </c>
      <c r="H3880">
        <v>0.12996044055188599</v>
      </c>
      <c r="I3880">
        <v>9.61216930144385E-2</v>
      </c>
      <c r="J3880">
        <v>8.9654845554323903E-2</v>
      </c>
      <c r="K3880">
        <v>8.6328454707517405E-2</v>
      </c>
      <c r="L3880">
        <v>744.72799391846502</v>
      </c>
      <c r="M3880">
        <v>14.7739515101189</v>
      </c>
      <c r="N3880">
        <v>50.851022742653001</v>
      </c>
      <c r="O3880">
        <v>49.511671075499997</v>
      </c>
      <c r="P3880">
        <v>-7.0102802872708897E-2</v>
      </c>
      <c r="Q3880">
        <v>6.0364050442547001E-2</v>
      </c>
      <c r="R3880">
        <v>0.997595969171305</v>
      </c>
      <c r="S3880" t="s">
        <v>8620</v>
      </c>
      <c r="T3880" t="s">
        <v>9478</v>
      </c>
      <c r="U3880" t="s">
        <v>9478</v>
      </c>
      <c r="V3880" t="s">
        <v>9478</v>
      </c>
      <c r="W3880">
        <v>8</v>
      </c>
      <c r="X3880" t="s">
        <v>13358</v>
      </c>
      <c r="Y3880">
        <v>0.40906279919375138</v>
      </c>
      <c r="Z3880" t="str">
        <f>HYPERLINK("Melting_Curves/meltCurve_sp_Q9Y5B0_CTDP1_HUMAN_.pdf", "Melting_Curves/meltCurve_sp_Q9Y5B0_CTDP1_HUMAN_.pdf")</f>
        <v>Melting_Curves/meltCurve_sp_Q9Y5B0_CTDP1_HUMAN_.pdf</v>
      </c>
      <c r="AA3880" t="s">
        <v>18039</v>
      </c>
      <c r="AB3880" t="s">
        <v>22713</v>
      </c>
    </row>
    <row r="3881" spans="1:28" x14ac:dyDescent="0.25">
      <c r="A3881" t="s">
        <v>3885</v>
      </c>
      <c r="B3881">
        <v>0.99904790336628502</v>
      </c>
      <c r="C3881">
        <v>0.94551870372396796</v>
      </c>
      <c r="D3881">
        <v>0.89362586066778904</v>
      </c>
      <c r="E3881">
        <v>0.72425373079089705</v>
      </c>
      <c r="F3881">
        <v>0.28294433714120099</v>
      </c>
      <c r="G3881">
        <v>0.13188329167079799</v>
      </c>
      <c r="H3881">
        <v>6.4906017083125905E-2</v>
      </c>
      <c r="I3881">
        <v>5.0114194258129303E-2</v>
      </c>
      <c r="J3881">
        <v>2.3796889710332801E-2</v>
      </c>
      <c r="K3881">
        <v>1.2582876844190899E-2</v>
      </c>
      <c r="L3881">
        <v>1317.3629070398199</v>
      </c>
      <c r="M3881">
        <v>25.6670528111542</v>
      </c>
      <c r="N3881">
        <v>51.4628411330661</v>
      </c>
      <c r="O3881">
        <v>51.016543989370199</v>
      </c>
      <c r="P3881">
        <v>-0.12160303569439899</v>
      </c>
      <c r="Q3881">
        <v>3.3205484374524703E-2</v>
      </c>
      <c r="R3881">
        <v>0.99235247791800396</v>
      </c>
      <c r="S3881" t="s">
        <v>8621</v>
      </c>
      <c r="T3881" t="s">
        <v>9478</v>
      </c>
      <c r="U3881" t="s">
        <v>9478</v>
      </c>
      <c r="V3881" t="s">
        <v>9478</v>
      </c>
      <c r="W3881">
        <v>4</v>
      </c>
      <c r="X3881" t="s">
        <v>13359</v>
      </c>
      <c r="Y3881">
        <v>0.40649649537198812</v>
      </c>
      <c r="Z3881" t="str">
        <f>HYPERLINK("Melting_Curves/meltCurve_sp_Q9Y5B9_SP16H_HUMAN_.pdf", "Melting_Curves/meltCurve_sp_Q9Y5B9_SP16H_HUMAN_.pdf")</f>
        <v>Melting_Curves/meltCurve_sp_Q9Y5B9_SP16H_HUMAN_.pdf</v>
      </c>
      <c r="AA3881" t="s">
        <v>18040</v>
      </c>
      <c r="AB3881" t="s">
        <v>22714</v>
      </c>
    </row>
    <row r="3882" spans="1:28" x14ac:dyDescent="0.25">
      <c r="A3882" t="s">
        <v>3886</v>
      </c>
      <c r="B3882">
        <v>0.99904790336628502</v>
      </c>
      <c r="C3882">
        <v>0.99435952420186502</v>
      </c>
      <c r="D3882">
        <v>0.97181937918221895</v>
      </c>
      <c r="E3882">
        <v>0.94329831499830197</v>
      </c>
      <c r="F3882">
        <v>0.90514229599708895</v>
      </c>
      <c r="G3882">
        <v>0.73162666779608998</v>
      </c>
      <c r="H3882">
        <v>0.58994305630010302</v>
      </c>
      <c r="I3882">
        <v>0.466074910005008</v>
      </c>
      <c r="J3882">
        <v>0.41693858807133899</v>
      </c>
      <c r="K3882">
        <v>0.36078959920820503</v>
      </c>
      <c r="L3882">
        <v>821.10237284055302</v>
      </c>
      <c r="M3882">
        <v>13.8187249386571</v>
      </c>
      <c r="N3882">
        <v>63.271626960045303</v>
      </c>
      <c r="O3882">
        <v>58.216658687093499</v>
      </c>
      <c r="P3882">
        <v>-4.2469372787999997E-2</v>
      </c>
      <c r="Q3882">
        <v>0.28442581738950501</v>
      </c>
      <c r="R3882">
        <v>0.99808261046823599</v>
      </c>
      <c r="S3882" t="s">
        <v>8622</v>
      </c>
      <c r="T3882" t="s">
        <v>9478</v>
      </c>
      <c r="U3882" t="s">
        <v>9478</v>
      </c>
      <c r="V3882" t="s">
        <v>9478</v>
      </c>
      <c r="W3882">
        <v>6</v>
      </c>
      <c r="X3882" t="s">
        <v>13360</v>
      </c>
      <c r="Y3882">
        <v>0.75349006511873062</v>
      </c>
      <c r="Z3882" t="str">
        <f>HYPERLINK("Melting_Curves/meltCurve_sp_Q9Y5J7_TIM9_HUMAN_.pdf", "Melting_Curves/meltCurve_sp_Q9Y5J7_TIM9_HUMAN_.pdf")</f>
        <v>Melting_Curves/meltCurve_sp_Q9Y5J7_TIM9_HUMAN_.pdf</v>
      </c>
      <c r="AA3882" t="s">
        <v>18041</v>
      </c>
      <c r="AB3882" t="s">
        <v>22715</v>
      </c>
    </row>
    <row r="3883" spans="1:28" x14ac:dyDescent="0.25">
      <c r="A3883" t="s">
        <v>3887</v>
      </c>
      <c r="B3883">
        <v>0.99904790336628502</v>
      </c>
      <c r="C3883">
        <v>1.0532402540311601</v>
      </c>
      <c r="D3883">
        <v>0.97560617638039104</v>
      </c>
      <c r="E3883">
        <v>0.84123990920944802</v>
      </c>
      <c r="F3883">
        <v>0.60310334335608995</v>
      </c>
      <c r="G3883">
        <v>0.24721592179374899</v>
      </c>
      <c r="H3883">
        <v>0.117304869089865</v>
      </c>
      <c r="I3883">
        <v>8.1169581001985402E-2</v>
      </c>
      <c r="J3883">
        <v>5.1817250259572199E-2</v>
      </c>
      <c r="K3883">
        <v>3.9733560362410499E-2</v>
      </c>
      <c r="L3883">
        <v>1186.99424979016</v>
      </c>
      <c r="M3883">
        <v>22.077966405638801</v>
      </c>
      <c r="N3883">
        <v>53.986578847587097</v>
      </c>
      <c r="O3883">
        <v>53.328494175225302</v>
      </c>
      <c r="P3883">
        <v>-9.8994780643299904E-2</v>
      </c>
      <c r="Q3883">
        <v>4.3548436853821502E-2</v>
      </c>
      <c r="R3883">
        <v>0.99785004229555896</v>
      </c>
      <c r="S3883" t="s">
        <v>8623</v>
      </c>
      <c r="T3883" t="s">
        <v>9478</v>
      </c>
      <c r="U3883" t="s">
        <v>9478</v>
      </c>
      <c r="V3883" t="s">
        <v>9478</v>
      </c>
      <c r="W3883">
        <v>8</v>
      </c>
      <c r="X3883" t="s">
        <v>13361</v>
      </c>
      <c r="Y3883">
        <v>0.49340345245695483</v>
      </c>
      <c r="Z3883" t="str">
        <f>HYPERLINK("Melting_Curves/meltCurve_sp_Q9Y5K5_2_UCHL5_HUMAN_.pdf", "Melting_Curves/meltCurve_sp_Q9Y5K5_2_UCHL5_HUMAN_.pdf")</f>
        <v>Melting_Curves/meltCurve_sp_Q9Y5K5_2_UCHL5_HUMAN_.pdf</v>
      </c>
      <c r="AA3883" t="s">
        <v>18042</v>
      </c>
      <c r="AB3883" t="s">
        <v>22716</v>
      </c>
    </row>
    <row r="3884" spans="1:28" x14ac:dyDescent="0.25">
      <c r="A3884" t="s">
        <v>3888</v>
      </c>
      <c r="B3884">
        <v>0.99904790336628502</v>
      </c>
      <c r="C3884">
        <v>0.95801286406298802</v>
      </c>
      <c r="D3884">
        <v>0.96933069531916605</v>
      </c>
      <c r="E3884">
        <v>0.95098008182528304</v>
      </c>
      <c r="F3884">
        <v>0.90121030376767497</v>
      </c>
      <c r="G3884">
        <v>0.69216618624161896</v>
      </c>
      <c r="H3884">
        <v>0.58349004618307998</v>
      </c>
      <c r="I3884">
        <v>0.49137490826741398</v>
      </c>
      <c r="J3884">
        <v>0.47580990830522302</v>
      </c>
      <c r="K3884">
        <v>0.47501789114902399</v>
      </c>
      <c r="L3884">
        <v>1077.51108281863</v>
      </c>
      <c r="M3884">
        <v>19.035711661472298</v>
      </c>
      <c r="N3884">
        <v>64.617813237825104</v>
      </c>
      <c r="O3884">
        <v>55.991127271586002</v>
      </c>
      <c r="P3884">
        <v>-4.6509299740722897E-2</v>
      </c>
      <c r="Q3884">
        <v>0.452816867211767</v>
      </c>
      <c r="R3884">
        <v>0.992138371319778</v>
      </c>
      <c r="S3884" t="s">
        <v>8624</v>
      </c>
      <c r="T3884" t="s">
        <v>9478</v>
      </c>
      <c r="U3884" t="s">
        <v>9478</v>
      </c>
      <c r="V3884" t="s">
        <v>9478</v>
      </c>
      <c r="W3884">
        <v>16</v>
      </c>
      <c r="X3884" t="s">
        <v>13362</v>
      </c>
      <c r="Y3884">
        <v>0.76295404778956544</v>
      </c>
      <c r="Z3884" t="str">
        <f>HYPERLINK("Melting_Curves/meltCurve_sp_Q9Y5K6_CD2AP_HUMAN_.pdf", "Melting_Curves/meltCurve_sp_Q9Y5K6_CD2AP_HUMAN_.pdf")</f>
        <v>Melting_Curves/meltCurve_sp_Q9Y5K6_CD2AP_HUMAN_.pdf</v>
      </c>
      <c r="AA3884" t="s">
        <v>18043</v>
      </c>
      <c r="AB3884" t="s">
        <v>22717</v>
      </c>
    </row>
    <row r="3885" spans="1:28" x14ac:dyDescent="0.25">
      <c r="A3885" t="s">
        <v>3889</v>
      </c>
      <c r="B3885">
        <v>0.99904790336628502</v>
      </c>
      <c r="C3885">
        <v>1.0726301195410499</v>
      </c>
      <c r="D3885">
        <v>1.06339254848298</v>
      </c>
      <c r="E3885">
        <v>1.03941191756456</v>
      </c>
      <c r="F3885">
        <v>0.82270520015468096</v>
      </c>
      <c r="G3885">
        <v>0.67053108665885697</v>
      </c>
      <c r="H3885">
        <v>0.36150654783557901</v>
      </c>
      <c r="I3885">
        <v>0.135908174491503</v>
      </c>
      <c r="J3885">
        <v>5.8326602986114903E-2</v>
      </c>
      <c r="K3885">
        <v>5.6369575045932201E-2</v>
      </c>
      <c r="L3885">
        <v>1170.3626423660401</v>
      </c>
      <c r="M3885">
        <v>19.890540638463701</v>
      </c>
      <c r="N3885">
        <v>58.840163112942001</v>
      </c>
      <c r="O3885">
        <v>58.255100909579902</v>
      </c>
      <c r="P3885">
        <v>-8.5362492153723699E-2</v>
      </c>
      <c r="Q3885">
        <v>0</v>
      </c>
      <c r="R3885">
        <v>0.98621578591381698</v>
      </c>
      <c r="S3885" t="s">
        <v>8625</v>
      </c>
      <c r="T3885" t="s">
        <v>9478</v>
      </c>
      <c r="U3885" t="s">
        <v>9478</v>
      </c>
      <c r="V3885" t="s">
        <v>9478</v>
      </c>
      <c r="W3885">
        <v>7</v>
      </c>
      <c r="X3885" t="s">
        <v>13363</v>
      </c>
      <c r="Y3885">
        <v>0.63834226722182708</v>
      </c>
      <c r="Z3885" t="str">
        <f>HYPERLINK("Melting_Curves/meltCurve_sp_Q9Y5K8_VATD_HUMAN_.pdf", "Melting_Curves/meltCurve_sp_Q9Y5K8_VATD_HUMAN_.pdf")</f>
        <v>Melting_Curves/meltCurve_sp_Q9Y5K8_VATD_HUMAN_.pdf</v>
      </c>
      <c r="AA3885" t="s">
        <v>18044</v>
      </c>
      <c r="AB3885" t="s">
        <v>22718</v>
      </c>
    </row>
    <row r="3886" spans="1:28" x14ac:dyDescent="0.25">
      <c r="A3886" t="s">
        <v>3890</v>
      </c>
      <c r="B3886">
        <v>0.99904790336628502</v>
      </c>
      <c r="C3886">
        <v>1.0019522610598199</v>
      </c>
      <c r="D3886">
        <v>1.0696848452895</v>
      </c>
      <c r="E3886">
        <v>0.92035279732453501</v>
      </c>
      <c r="F3886">
        <v>0.52194693217718802</v>
      </c>
      <c r="G3886">
        <v>0.17059514894501099</v>
      </c>
      <c r="H3886">
        <v>8.6818898763222796E-2</v>
      </c>
      <c r="I3886">
        <v>6.5131058842015199E-2</v>
      </c>
      <c r="J3886">
        <v>4.6543938515649301E-2</v>
      </c>
      <c r="K3886">
        <v>4.0463643476630999E-2</v>
      </c>
      <c r="L3886">
        <v>1827.4738720248699</v>
      </c>
      <c r="M3886">
        <v>34.434351272643703</v>
      </c>
      <c r="N3886">
        <v>53.2731612248582</v>
      </c>
      <c r="O3886">
        <v>52.8932106931547</v>
      </c>
      <c r="P3886">
        <v>-0.152797646463632</v>
      </c>
      <c r="Q3886">
        <v>6.1178459730603603E-2</v>
      </c>
      <c r="R3886">
        <v>0.99568421576746902</v>
      </c>
      <c r="S3886" t="s">
        <v>8626</v>
      </c>
      <c r="T3886" t="s">
        <v>9478</v>
      </c>
      <c r="U3886" t="s">
        <v>9478</v>
      </c>
      <c r="V3886" t="s">
        <v>9478</v>
      </c>
      <c r="W3886">
        <v>18</v>
      </c>
      <c r="X3886" t="s">
        <v>13364</v>
      </c>
      <c r="Y3886">
        <v>0.47487216419154038</v>
      </c>
      <c r="Z3886" t="str">
        <f>HYPERLINK("Melting_Curves/meltCurve_sp_Q9Y5L0_TNPO3_HUMAN_.pdf", "Melting_Curves/meltCurve_sp_Q9Y5L0_TNPO3_HUMAN_.pdf")</f>
        <v>Melting_Curves/meltCurve_sp_Q9Y5L0_TNPO3_HUMAN_.pdf</v>
      </c>
      <c r="AA3886" t="s">
        <v>18045</v>
      </c>
      <c r="AB3886" t="s">
        <v>22719</v>
      </c>
    </row>
    <row r="3887" spans="1:28" x14ac:dyDescent="0.25">
      <c r="A3887" t="s">
        <v>3891</v>
      </c>
      <c r="B3887">
        <v>0.99904790336628502</v>
      </c>
      <c r="C3887">
        <v>1.07338825824587</v>
      </c>
      <c r="D3887">
        <v>1.10133416422312</v>
      </c>
      <c r="E3887">
        <v>0.99571663472073402</v>
      </c>
      <c r="F3887">
        <v>0.80803769743975296</v>
      </c>
      <c r="G3887">
        <v>0.48227056629814802</v>
      </c>
      <c r="H3887">
        <v>0.41731342677324501</v>
      </c>
      <c r="I3887">
        <v>0.363739496365583</v>
      </c>
      <c r="J3887">
        <v>0.36198897274993602</v>
      </c>
      <c r="K3887">
        <v>0.296260204144355</v>
      </c>
      <c r="L3887">
        <v>1709.1225204428599</v>
      </c>
      <c r="M3887">
        <v>31.2886084537442</v>
      </c>
      <c r="N3887">
        <v>56.805240050185702</v>
      </c>
      <c r="O3887">
        <v>54.402752439778403</v>
      </c>
      <c r="P3887">
        <v>-9.3518763576530703E-2</v>
      </c>
      <c r="Q3887">
        <v>0.349584361160452</v>
      </c>
      <c r="R3887">
        <v>0.97799862324819198</v>
      </c>
      <c r="S3887" t="s">
        <v>8627</v>
      </c>
      <c r="T3887" t="s">
        <v>9478</v>
      </c>
      <c r="U3887" t="s">
        <v>9478</v>
      </c>
      <c r="V3887" t="s">
        <v>9478</v>
      </c>
      <c r="W3887">
        <v>5</v>
      </c>
      <c r="X3887" t="s">
        <v>13365</v>
      </c>
      <c r="Y3887">
        <v>0.67061740291966998</v>
      </c>
      <c r="Z3887" t="str">
        <f>HYPERLINK("Melting_Curves/meltCurve_sp_Q9Y5L4_TIM13_HUMAN_.pdf", "Melting_Curves/meltCurve_sp_Q9Y5L4_TIM13_HUMAN_.pdf")</f>
        <v>Melting_Curves/meltCurve_sp_Q9Y5L4_TIM13_HUMAN_.pdf</v>
      </c>
      <c r="AA3887" t="s">
        <v>18046</v>
      </c>
      <c r="AB3887" t="s">
        <v>22720</v>
      </c>
    </row>
    <row r="3888" spans="1:28" x14ac:dyDescent="0.25">
      <c r="A3888" t="s">
        <v>3892</v>
      </c>
      <c r="B3888">
        <v>0.99904790336628502</v>
      </c>
      <c r="C3888">
        <v>0.878476117499433</v>
      </c>
      <c r="D3888">
        <v>0.77253729353467504</v>
      </c>
      <c r="E3888">
        <v>0.60940218687717596</v>
      </c>
      <c r="F3888">
        <v>0.35611246054470902</v>
      </c>
      <c r="G3888">
        <v>0.15349533887721101</v>
      </c>
      <c r="H3888">
        <v>9.6467131517013194E-2</v>
      </c>
      <c r="I3888">
        <v>5.1546365158168503E-2</v>
      </c>
      <c r="J3888">
        <v>5.0646181006534702E-2</v>
      </c>
      <c r="K3888">
        <v>4.2999013653740599E-2</v>
      </c>
      <c r="L3888">
        <v>675.91956717577602</v>
      </c>
      <c r="M3888">
        <v>13.3107066896027</v>
      </c>
      <c r="N3888">
        <v>50.7864061373703</v>
      </c>
      <c r="O3888">
        <v>49.675042812083802</v>
      </c>
      <c r="P3888">
        <v>-6.6944720781506595E-2</v>
      </c>
      <c r="Q3888">
        <v>8.2040355626535001E-4</v>
      </c>
      <c r="R3888">
        <v>0.99353817826360902</v>
      </c>
      <c r="S3888" t="s">
        <v>8628</v>
      </c>
      <c r="T3888" t="s">
        <v>9478</v>
      </c>
      <c r="U3888" t="s">
        <v>9478</v>
      </c>
      <c r="V3888" t="s">
        <v>9478</v>
      </c>
      <c r="W3888">
        <v>1</v>
      </c>
      <c r="X3888" t="s">
        <v>13366</v>
      </c>
      <c r="Y3888">
        <v>0.38808973913253247</v>
      </c>
      <c r="Z3888" t="str">
        <f>HYPERLINK("Melting_Curves/meltCurve_sp_Q9Y5N5_HEMK2_HUMAN_.pdf", "Melting_Curves/meltCurve_sp_Q9Y5N5_HEMK2_HUMAN_.pdf")</f>
        <v>Melting_Curves/meltCurve_sp_Q9Y5N5_HEMK2_HUMAN_.pdf</v>
      </c>
      <c r="AA3888" t="s">
        <v>18047</v>
      </c>
      <c r="AB3888" t="s">
        <v>22721</v>
      </c>
    </row>
    <row r="3889" spans="1:28" x14ac:dyDescent="0.25">
      <c r="A3889" t="s">
        <v>3893</v>
      </c>
      <c r="B3889">
        <v>0.99904790336628502</v>
      </c>
      <c r="C3889">
        <v>0.87263064181221595</v>
      </c>
      <c r="D3889">
        <v>0.69139019821232095</v>
      </c>
      <c r="E3889">
        <v>0.66853567206838305</v>
      </c>
      <c r="F3889">
        <v>0.51048983851312901</v>
      </c>
      <c r="G3889">
        <v>0.281113628734459</v>
      </c>
      <c r="H3889">
        <v>0.22991894273774999</v>
      </c>
      <c r="I3889">
        <v>0.219075716226655</v>
      </c>
      <c r="J3889">
        <v>0.21453961847107</v>
      </c>
      <c r="K3889">
        <v>0.23906962928925099</v>
      </c>
      <c r="L3889">
        <v>541.57017951936405</v>
      </c>
      <c r="M3889">
        <v>10.753488933716399</v>
      </c>
      <c r="N3889">
        <v>52.149732655930599</v>
      </c>
      <c r="O3889">
        <v>48.714407024948301</v>
      </c>
      <c r="P3889">
        <v>-4.6697021406779497E-2</v>
      </c>
      <c r="Q3889">
        <v>0.15414223021535101</v>
      </c>
      <c r="R3889">
        <v>0.96938871428189899</v>
      </c>
      <c r="S3889" t="s">
        <v>8629</v>
      </c>
      <c r="T3889" t="s">
        <v>9478</v>
      </c>
      <c r="U3889" t="s">
        <v>9478</v>
      </c>
      <c r="V3889" t="s">
        <v>9478</v>
      </c>
      <c r="W3889">
        <v>10</v>
      </c>
      <c r="X3889" t="s">
        <v>13367</v>
      </c>
      <c r="Y3889">
        <v>0.47994089689571401</v>
      </c>
      <c r="Z3889" t="str">
        <f>HYPERLINK("Melting_Curves/meltCurve_sp_Q9Y5P4_2_C43BP_HUMAN_.pdf", "Melting_Curves/meltCurve_sp_Q9Y5P4_2_C43BP_HUMAN_.pdf")</f>
        <v>Melting_Curves/meltCurve_sp_Q9Y5P4_2_C43BP_HUMAN_.pdf</v>
      </c>
      <c r="AA3889" t="s">
        <v>18048</v>
      </c>
      <c r="AB3889" t="s">
        <v>22722</v>
      </c>
    </row>
    <row r="3890" spans="1:28" x14ac:dyDescent="0.25">
      <c r="A3890" t="s">
        <v>3894</v>
      </c>
      <c r="B3890">
        <v>0.99904790336628502</v>
      </c>
      <c r="C3890">
        <v>1.0048520172303499</v>
      </c>
      <c r="D3890">
        <v>0.96581675936408795</v>
      </c>
      <c r="E3890">
        <v>0.83989859109812504</v>
      </c>
      <c r="F3890">
        <v>0.49603282370185198</v>
      </c>
      <c r="G3890">
        <v>0.21877823389012199</v>
      </c>
      <c r="H3890">
        <v>0.104875465712121</v>
      </c>
      <c r="I3890">
        <v>7.6080738659086197E-2</v>
      </c>
      <c r="J3890">
        <v>6.3733699970805496E-2</v>
      </c>
      <c r="K3890">
        <v>6.6092489712455793E-2</v>
      </c>
      <c r="L3890">
        <v>1308.7412202632199</v>
      </c>
      <c r="M3890">
        <v>24.756856641320699</v>
      </c>
      <c r="N3890">
        <v>53.171423293920498</v>
      </c>
      <c r="O3890">
        <v>52.522493685780397</v>
      </c>
      <c r="P3890">
        <v>-0.109977497393423</v>
      </c>
      <c r="Q3890">
        <v>6.67294957019266E-2</v>
      </c>
      <c r="R3890">
        <v>0.99898236245977901</v>
      </c>
      <c r="S3890" t="s">
        <v>8630</v>
      </c>
      <c r="T3890" t="s">
        <v>9478</v>
      </c>
      <c r="U3890" t="s">
        <v>9478</v>
      </c>
      <c r="V3890" t="s">
        <v>9478</v>
      </c>
      <c r="W3890">
        <v>10</v>
      </c>
      <c r="X3890" t="s">
        <v>13368</v>
      </c>
      <c r="Y3890">
        <v>0.47565289318227377</v>
      </c>
      <c r="Z3890" t="str">
        <f>HYPERLINK("Melting_Curves/meltCurve_sp_Q9Y5P6_GMPPB_HUMAN_.pdf", "Melting_Curves/meltCurve_sp_Q9Y5P6_GMPPB_HUMAN_.pdf")</f>
        <v>Melting_Curves/meltCurve_sp_Q9Y5P6_GMPPB_HUMAN_.pdf</v>
      </c>
      <c r="AA3890" t="s">
        <v>18049</v>
      </c>
      <c r="AB3890" t="s">
        <v>22723</v>
      </c>
    </row>
    <row r="3891" spans="1:28" x14ac:dyDescent="0.25">
      <c r="A3891" t="s">
        <v>3895</v>
      </c>
      <c r="B3891">
        <v>0.99904790336628502</v>
      </c>
      <c r="C3891">
        <v>1.0106945226603601</v>
      </c>
      <c r="D3891">
        <v>0.96852527055472704</v>
      </c>
      <c r="E3891">
        <v>0.63484104063562397</v>
      </c>
      <c r="F3891">
        <v>0.52998033950345302</v>
      </c>
      <c r="G3891">
        <v>0.42976178942614202</v>
      </c>
      <c r="H3891">
        <v>0.33681912360488703</v>
      </c>
      <c r="I3891">
        <v>0.26434327836770899</v>
      </c>
      <c r="J3891">
        <v>0.28558148191079302</v>
      </c>
      <c r="K3891">
        <v>0.24992864683729599</v>
      </c>
      <c r="L3891">
        <v>877.83016595790605</v>
      </c>
      <c r="M3891">
        <v>17.184559983887201</v>
      </c>
      <c r="N3891">
        <v>53.515061549194698</v>
      </c>
      <c r="O3891">
        <v>50.405800877653</v>
      </c>
      <c r="P3891">
        <v>-6.2132233611148301E-2</v>
      </c>
      <c r="Q3891">
        <v>0.27105741340244399</v>
      </c>
      <c r="R3891">
        <v>0.98307174951447696</v>
      </c>
      <c r="S3891" t="s">
        <v>8631</v>
      </c>
      <c r="T3891" t="s">
        <v>9478</v>
      </c>
      <c r="U3891" t="s">
        <v>9478</v>
      </c>
      <c r="V3891" t="s">
        <v>9478</v>
      </c>
      <c r="W3891">
        <v>3</v>
      </c>
      <c r="X3891" t="s">
        <v>13369</v>
      </c>
      <c r="Y3891">
        <v>0.55366567504657638</v>
      </c>
      <c r="Z3891" t="str">
        <f>HYPERLINK("Melting_Curves/meltCurve_sp_Q9Y5Q9_TF3C3_HUMAN_.pdf", "Melting_Curves/meltCurve_sp_Q9Y5Q9_TF3C3_HUMAN_.pdf")</f>
        <v>Melting_Curves/meltCurve_sp_Q9Y5Q9_TF3C3_HUMAN_.pdf</v>
      </c>
      <c r="AA3891" t="s">
        <v>18050</v>
      </c>
      <c r="AB3891" t="s">
        <v>22724</v>
      </c>
    </row>
    <row r="3892" spans="1:28" x14ac:dyDescent="0.25">
      <c r="A3892" t="s">
        <v>3896</v>
      </c>
      <c r="B3892">
        <v>0.99904790336628502</v>
      </c>
      <c r="C3892">
        <v>0.97580474685102403</v>
      </c>
      <c r="D3892">
        <v>0.83888787896675299</v>
      </c>
      <c r="E3892">
        <v>0.73745170903297497</v>
      </c>
      <c r="F3892">
        <v>0.37862998962796102</v>
      </c>
      <c r="G3892">
        <v>0.22459914605331999</v>
      </c>
      <c r="H3892">
        <v>7.0938306072978893E-2</v>
      </c>
      <c r="I3892">
        <v>5.7865125612467302E-2</v>
      </c>
      <c r="J3892">
        <v>8.0017682587449498E-2</v>
      </c>
      <c r="K3892">
        <v>2.43060393891129E-2</v>
      </c>
      <c r="L3892">
        <v>885.33038140713904</v>
      </c>
      <c r="M3892">
        <v>17.049367855702599</v>
      </c>
      <c r="N3892">
        <v>52.085506072299097</v>
      </c>
      <c r="O3892">
        <v>51.228865085966902</v>
      </c>
      <c r="P3892">
        <v>-8.1109468658702097E-2</v>
      </c>
      <c r="Q3892">
        <v>2.52090991468817E-2</v>
      </c>
      <c r="R3892">
        <v>0.99043320909130195</v>
      </c>
      <c r="S3892" t="s">
        <v>8632</v>
      </c>
      <c r="T3892" t="s">
        <v>9478</v>
      </c>
      <c r="U3892" t="s">
        <v>9478</v>
      </c>
      <c r="V3892" t="s">
        <v>9478</v>
      </c>
      <c r="W3892">
        <v>2</v>
      </c>
      <c r="X3892" t="s">
        <v>13370</v>
      </c>
      <c r="Y3892">
        <v>0.43056408010128477</v>
      </c>
      <c r="Z3892" t="str">
        <f>HYPERLINK("Melting_Curves/meltCurve_sp_Q9Y5R8_TPPC1_HUMAN_.pdf", "Melting_Curves/meltCurve_sp_Q9Y5R8_TPPC1_HUMAN_.pdf")</f>
        <v>Melting_Curves/meltCurve_sp_Q9Y5R8_TPPC1_HUMAN_.pdf</v>
      </c>
      <c r="AA3892" t="s">
        <v>18051</v>
      </c>
      <c r="AB3892" t="s">
        <v>22725</v>
      </c>
    </row>
    <row r="3893" spans="1:28" x14ac:dyDescent="0.25">
      <c r="A3893" t="s">
        <v>3897</v>
      </c>
      <c r="B3893">
        <v>0.99904790336628502</v>
      </c>
      <c r="C3893">
        <v>0.94563754603099504</v>
      </c>
      <c r="D3893">
        <v>0.689497795536956</v>
      </c>
      <c r="E3893">
        <v>0.39027038075750198</v>
      </c>
      <c r="F3893">
        <v>0.26741841047648002</v>
      </c>
      <c r="G3893">
        <v>0.17338133805918801</v>
      </c>
      <c r="H3893">
        <v>0.111862956145012</v>
      </c>
      <c r="I3893">
        <v>8.8943335538979901E-2</v>
      </c>
      <c r="J3893">
        <v>8.0377685523939896E-2</v>
      </c>
      <c r="K3893">
        <v>6.89547354403479E-2</v>
      </c>
      <c r="L3893">
        <v>820.162289118079</v>
      </c>
      <c r="M3893">
        <v>17.010213164444401</v>
      </c>
      <c r="N3893">
        <v>48.733079687797101</v>
      </c>
      <c r="O3893">
        <v>47.564288170802797</v>
      </c>
      <c r="P3893">
        <v>-8.20278979751356E-2</v>
      </c>
      <c r="Q3893">
        <v>8.2584561228093697E-2</v>
      </c>
      <c r="R3893">
        <v>0.995265389677779</v>
      </c>
      <c r="S3893" t="s">
        <v>8633</v>
      </c>
      <c r="T3893" t="s">
        <v>9478</v>
      </c>
      <c r="U3893" t="s">
        <v>9478</v>
      </c>
      <c r="V3893" t="s">
        <v>9478</v>
      </c>
      <c r="W3893">
        <v>18</v>
      </c>
      <c r="X3893" t="s">
        <v>13371</v>
      </c>
      <c r="Y3893">
        <v>0.35200082237060959</v>
      </c>
      <c r="Z3893" t="str">
        <f>HYPERLINK("Melting_Curves/meltCurve_sp_Q9Y5S2_MRCKB_HUMAN_.pdf", "Melting_Curves/meltCurve_sp_Q9Y5S2_MRCKB_HUMAN_.pdf")</f>
        <v>Melting_Curves/meltCurve_sp_Q9Y5S2_MRCKB_HUMAN_.pdf</v>
      </c>
      <c r="AA3893" t="s">
        <v>18052</v>
      </c>
      <c r="AB3893" t="s">
        <v>22726</v>
      </c>
    </row>
    <row r="3894" spans="1:28" x14ac:dyDescent="0.25">
      <c r="A3894" t="s">
        <v>3898</v>
      </c>
      <c r="B3894">
        <v>0.99904790336628502</v>
      </c>
      <c r="C3894">
        <v>1.0672203486629801</v>
      </c>
      <c r="D3894">
        <v>1.0271736005888601</v>
      </c>
      <c r="E3894">
        <v>0.89613355550556895</v>
      </c>
      <c r="F3894">
        <v>0.83254762590270703</v>
      </c>
      <c r="G3894">
        <v>0.65624387975120002</v>
      </c>
      <c r="H3894">
        <v>0.57820376608992397</v>
      </c>
      <c r="I3894">
        <v>0.53189405948009705</v>
      </c>
      <c r="J3894">
        <v>0.35453859792639297</v>
      </c>
      <c r="K3894">
        <v>0.441415793874609</v>
      </c>
      <c r="L3894">
        <v>784.56536445383995</v>
      </c>
      <c r="M3894">
        <v>13.771006960919999</v>
      </c>
      <c r="N3894">
        <v>63.048252327313001</v>
      </c>
      <c r="O3894">
        <v>55.811176168647499</v>
      </c>
      <c r="P3894">
        <v>-3.9029126759484202E-2</v>
      </c>
      <c r="Q3894">
        <v>0.367379885917899</v>
      </c>
      <c r="R3894">
        <v>0.96601448450717198</v>
      </c>
      <c r="S3894" t="s">
        <v>8634</v>
      </c>
      <c r="T3894" t="s">
        <v>9478</v>
      </c>
      <c r="U3894" t="s">
        <v>9478</v>
      </c>
      <c r="V3894" t="s">
        <v>9478</v>
      </c>
      <c r="W3894">
        <v>5</v>
      </c>
      <c r="X3894" t="s">
        <v>13372</v>
      </c>
      <c r="Y3894">
        <v>0.73573925502618753</v>
      </c>
      <c r="Z3894" t="str">
        <f>HYPERLINK("Melting_Curves/meltCurve_sp_Q9Y5S9_RBM8A_HUMAN_.pdf", "Melting_Curves/meltCurve_sp_Q9Y5S9_RBM8A_HUMAN_.pdf")</f>
        <v>Melting_Curves/meltCurve_sp_Q9Y5S9_RBM8A_HUMAN_.pdf</v>
      </c>
      <c r="AA3894" t="s">
        <v>18053</v>
      </c>
      <c r="AB3894" t="s">
        <v>22727</v>
      </c>
    </row>
    <row r="3895" spans="1:28" x14ac:dyDescent="0.25">
      <c r="A3895" t="s">
        <v>3899</v>
      </c>
      <c r="B3895">
        <v>0.99904790336628502</v>
      </c>
      <c r="C3895">
        <v>0.935700695507659</v>
      </c>
      <c r="D3895">
        <v>0.84933112681768297</v>
      </c>
      <c r="E3895">
        <v>0.71490214395015605</v>
      </c>
      <c r="F3895">
        <v>0.67116656207652903</v>
      </c>
      <c r="G3895">
        <v>0.42760113770326802</v>
      </c>
      <c r="H3895">
        <v>0.36789361546983002</v>
      </c>
      <c r="I3895">
        <v>0.39876699957099498</v>
      </c>
      <c r="J3895">
        <v>0.43894250618520902</v>
      </c>
      <c r="K3895">
        <v>0.44525193073637997</v>
      </c>
      <c r="L3895">
        <v>721.23850001286701</v>
      </c>
      <c r="M3895">
        <v>14.281936866258</v>
      </c>
      <c r="N3895">
        <v>56.332056970008097</v>
      </c>
      <c r="O3895">
        <v>49.540900429372002</v>
      </c>
      <c r="P3895">
        <v>-4.4255724172271402E-2</v>
      </c>
      <c r="Q3895">
        <v>0.38602139298582899</v>
      </c>
      <c r="R3895">
        <v>0.96319214545940901</v>
      </c>
      <c r="S3895" t="s">
        <v>8635</v>
      </c>
      <c r="T3895" t="s">
        <v>9478</v>
      </c>
      <c r="U3895" t="s">
        <v>9478</v>
      </c>
      <c r="V3895" t="s">
        <v>9478</v>
      </c>
      <c r="W3895">
        <v>2</v>
      </c>
      <c r="X3895" t="s">
        <v>13373</v>
      </c>
      <c r="Y3895">
        <v>0.61657225045847619</v>
      </c>
      <c r="Z3895" t="str">
        <f>HYPERLINK("Melting_Curves/meltCurve_sp_Q9Y5U2_2_TSSC4_HUMAN_.pdf", "Melting_Curves/meltCurve_sp_Q9Y5U2_2_TSSC4_HUMAN_.pdf")</f>
        <v>Melting_Curves/meltCurve_sp_Q9Y5U2_2_TSSC4_HUMAN_.pdf</v>
      </c>
      <c r="AA3895" t="s">
        <v>18054</v>
      </c>
      <c r="AB3895" t="s">
        <v>22728</v>
      </c>
    </row>
    <row r="3896" spans="1:28" x14ac:dyDescent="0.25">
      <c r="A3896" t="s">
        <v>3900</v>
      </c>
      <c r="B3896">
        <v>0.99904790336628502</v>
      </c>
      <c r="C3896">
        <v>0.68074103922597096</v>
      </c>
      <c r="D3896">
        <v>0.50917182684777695</v>
      </c>
      <c r="E3896">
        <v>0.734005667167834</v>
      </c>
      <c r="F3896">
        <v>0.54306036875485098</v>
      </c>
      <c r="G3896">
        <v>0.75197262369985296</v>
      </c>
      <c r="H3896">
        <v>0.38984630906711798</v>
      </c>
      <c r="I3896">
        <v>0.52902803086382399</v>
      </c>
      <c r="J3896">
        <v>0.64719443974244895</v>
      </c>
      <c r="K3896">
        <v>0.675868474308437</v>
      </c>
      <c r="L3896">
        <v>10667.3216334264</v>
      </c>
      <c r="M3896">
        <v>250</v>
      </c>
      <c r="O3896">
        <v>42.666555579981399</v>
      </c>
      <c r="P3896">
        <v>-0.58957408720147197</v>
      </c>
      <c r="Q3896">
        <v>0.59751846771364303</v>
      </c>
      <c r="R3896">
        <v>0.56874984712293097</v>
      </c>
      <c r="S3896" t="s">
        <v>8636</v>
      </c>
      <c r="T3896" t="s">
        <v>9478</v>
      </c>
      <c r="U3896" t="s">
        <v>9478</v>
      </c>
      <c r="V3896" t="s">
        <v>9478</v>
      </c>
      <c r="W3896">
        <v>1</v>
      </c>
      <c r="X3896" t="s">
        <v>13374</v>
      </c>
      <c r="Y3896">
        <v>0.63335989170082385</v>
      </c>
      <c r="Z3896" t="str">
        <f>HYPERLINK("Melting_Curves/meltCurve_sp_Q9Y5V0_ZN706_HUMAN_.pdf", "Melting_Curves/meltCurve_sp_Q9Y5V0_ZN706_HUMAN_.pdf")</f>
        <v>Melting_Curves/meltCurve_sp_Q9Y5V0_ZN706_HUMAN_.pdf</v>
      </c>
      <c r="AA3896" t="s">
        <v>18055</v>
      </c>
      <c r="AB3896" t="s">
        <v>22729</v>
      </c>
    </row>
    <row r="3897" spans="1:28" x14ac:dyDescent="0.25">
      <c r="A3897" t="s">
        <v>3901</v>
      </c>
      <c r="B3897">
        <v>0.99904790336628502</v>
      </c>
      <c r="C3897">
        <v>0.93188833757353096</v>
      </c>
      <c r="D3897">
        <v>0.89128110026737195</v>
      </c>
      <c r="E3897">
        <v>0.66097266012846201</v>
      </c>
      <c r="F3897">
        <v>0.40813051086577101</v>
      </c>
      <c r="G3897">
        <v>0.29632166787647801</v>
      </c>
      <c r="H3897">
        <v>0.22604909333557699</v>
      </c>
      <c r="I3897">
        <v>0.20631115373193401</v>
      </c>
      <c r="J3897">
        <v>0.19108570925257101</v>
      </c>
      <c r="K3897">
        <v>0.22242298398563601</v>
      </c>
      <c r="L3897">
        <v>944.04603096877497</v>
      </c>
      <c r="M3897">
        <v>18.682389064529598</v>
      </c>
      <c r="N3897">
        <v>51.9261447829318</v>
      </c>
      <c r="O3897">
        <v>49.963053519455997</v>
      </c>
      <c r="P3897">
        <v>-7.5041258912559E-2</v>
      </c>
      <c r="Q3897">
        <v>0.197290946989642</v>
      </c>
      <c r="R3897">
        <v>0.99630897778442395</v>
      </c>
      <c r="S3897" t="s">
        <v>8637</v>
      </c>
      <c r="T3897" t="s">
        <v>9478</v>
      </c>
      <c r="U3897" t="s">
        <v>9478</v>
      </c>
      <c r="V3897" t="s">
        <v>9478</v>
      </c>
      <c r="W3897">
        <v>9</v>
      </c>
      <c r="X3897" t="s">
        <v>13375</v>
      </c>
      <c r="Y3897">
        <v>0.49176752259562889</v>
      </c>
      <c r="Z3897" t="str">
        <f>HYPERLINK("Melting_Curves/meltCurve_sp_Q9Y5X1_SNX9_HUMAN_.pdf", "Melting_Curves/meltCurve_sp_Q9Y5X1_SNX9_HUMAN_.pdf")</f>
        <v>Melting_Curves/meltCurve_sp_Q9Y5X1_SNX9_HUMAN_.pdf</v>
      </c>
      <c r="AA3897" t="s">
        <v>18056</v>
      </c>
      <c r="AB3897" t="s">
        <v>22730</v>
      </c>
    </row>
    <row r="3898" spans="1:28" x14ac:dyDescent="0.25">
      <c r="A3898" t="s">
        <v>3902</v>
      </c>
      <c r="B3898">
        <v>0.99904790336628502</v>
      </c>
      <c r="C3898">
        <v>1.08320613881817</v>
      </c>
      <c r="D3898">
        <v>0.88423674087034698</v>
      </c>
      <c r="E3898">
        <v>0.92165359839299399</v>
      </c>
      <c r="F3898">
        <v>0.88242529208506304</v>
      </c>
      <c r="G3898">
        <v>0.49284579371493598</v>
      </c>
      <c r="H3898">
        <v>0.28933570137796399</v>
      </c>
      <c r="I3898">
        <v>0.12469144504976799</v>
      </c>
      <c r="J3898">
        <v>0.14412398085643999</v>
      </c>
      <c r="K3898">
        <v>0.16109854022575101</v>
      </c>
      <c r="L3898">
        <v>1347.95909873254</v>
      </c>
      <c r="M3898">
        <v>23.879560344013001</v>
      </c>
      <c r="N3898">
        <v>57.145950947790901</v>
      </c>
      <c r="O3898">
        <v>56.056839504677598</v>
      </c>
      <c r="P3898">
        <v>-9.30320795576728E-2</v>
      </c>
      <c r="Q3898">
        <v>0.12644953657496799</v>
      </c>
      <c r="R3898">
        <v>0.98029553744374698</v>
      </c>
      <c r="S3898" t="s">
        <v>8638</v>
      </c>
      <c r="T3898" t="s">
        <v>9478</v>
      </c>
      <c r="U3898" t="s">
        <v>9478</v>
      </c>
      <c r="V3898" t="s">
        <v>9478</v>
      </c>
      <c r="W3898">
        <v>5</v>
      </c>
      <c r="X3898" t="s">
        <v>13376</v>
      </c>
      <c r="Y3898">
        <v>0.61395954345069503</v>
      </c>
      <c r="Z3898" t="str">
        <f>HYPERLINK("Melting_Curves/meltCurve_sp_Q9Y5X2_SNX8_HUMAN_.pdf", "Melting_Curves/meltCurve_sp_Q9Y5X2_SNX8_HUMAN_.pdf")</f>
        <v>Melting_Curves/meltCurve_sp_Q9Y5X2_SNX8_HUMAN_.pdf</v>
      </c>
      <c r="AA3898" t="s">
        <v>18057</v>
      </c>
      <c r="AB3898" t="s">
        <v>22731</v>
      </c>
    </row>
    <row r="3899" spans="1:28" x14ac:dyDescent="0.25">
      <c r="A3899" t="s">
        <v>3903</v>
      </c>
      <c r="B3899">
        <v>0.99904790336628502</v>
      </c>
      <c r="C3899">
        <v>1.0114950889629599</v>
      </c>
      <c r="D3899">
        <v>0.95195138218979702</v>
      </c>
      <c r="E3899">
        <v>0.72112216199118095</v>
      </c>
      <c r="F3899">
        <v>0.509444895543679</v>
      </c>
      <c r="G3899">
        <v>0.345125662469074</v>
      </c>
      <c r="H3899">
        <v>0.271007455944409</v>
      </c>
      <c r="I3899">
        <v>0.274929807885953</v>
      </c>
      <c r="J3899">
        <v>0.28819006226481397</v>
      </c>
      <c r="K3899">
        <v>0.26278384736430699</v>
      </c>
      <c r="L3899">
        <v>1137.0193809709599</v>
      </c>
      <c r="M3899">
        <v>22.1973732255288</v>
      </c>
      <c r="N3899">
        <v>53.055063331373503</v>
      </c>
      <c r="O3899">
        <v>50.812851243951499</v>
      </c>
      <c r="P3899">
        <v>-7.9980681124121905E-2</v>
      </c>
      <c r="Q3899">
        <v>0.26766847544802402</v>
      </c>
      <c r="R3899">
        <v>0.99864252369926898</v>
      </c>
      <c r="S3899" t="s">
        <v>8639</v>
      </c>
      <c r="T3899" t="s">
        <v>9478</v>
      </c>
      <c r="U3899" t="s">
        <v>9478</v>
      </c>
      <c r="V3899" t="s">
        <v>9478</v>
      </c>
      <c r="W3899">
        <v>17</v>
      </c>
      <c r="X3899" t="s">
        <v>13377</v>
      </c>
      <c r="Y3899">
        <v>0.5499859958916069</v>
      </c>
      <c r="Z3899" t="str">
        <f>HYPERLINK("Melting_Curves/meltCurve_sp_Q9Y5X3_SNX5_HUMAN_.pdf", "Melting_Curves/meltCurve_sp_Q9Y5X3_SNX5_HUMAN_.pdf")</f>
        <v>Melting_Curves/meltCurve_sp_Q9Y5X3_SNX5_HUMAN_.pdf</v>
      </c>
      <c r="AA3899" t="s">
        <v>18058</v>
      </c>
      <c r="AB3899" t="s">
        <v>22732</v>
      </c>
    </row>
    <row r="3900" spans="1:28" x14ac:dyDescent="0.25">
      <c r="A3900" t="s">
        <v>3904</v>
      </c>
      <c r="B3900">
        <v>0.99904790336628502</v>
      </c>
      <c r="C3900">
        <v>0.79807781308093495</v>
      </c>
      <c r="D3900">
        <v>0.85191113208259495</v>
      </c>
      <c r="E3900">
        <v>0.68359575259843697</v>
      </c>
      <c r="F3900">
        <v>0.433067678111691</v>
      </c>
      <c r="G3900">
        <v>0.21920546318039699</v>
      </c>
      <c r="H3900">
        <v>0.13464380694707501</v>
      </c>
      <c r="I3900">
        <v>8.4780270315949993E-2</v>
      </c>
      <c r="J3900">
        <v>2.99916695405196E-2</v>
      </c>
      <c r="K3900">
        <v>1.9834270863353799E-2</v>
      </c>
      <c r="L3900">
        <v>662.02967075110996</v>
      </c>
      <c r="M3900">
        <v>12.735483216012</v>
      </c>
      <c r="N3900">
        <v>51.9830724621497</v>
      </c>
      <c r="O3900">
        <v>50.7513926984794</v>
      </c>
      <c r="P3900">
        <v>-6.2746654628982296E-2</v>
      </c>
      <c r="Q3900">
        <v>0</v>
      </c>
      <c r="R3900">
        <v>0.98044674157506495</v>
      </c>
      <c r="S3900" t="s">
        <v>8640</v>
      </c>
      <c r="T3900" t="s">
        <v>9478</v>
      </c>
      <c r="U3900" t="s">
        <v>9478</v>
      </c>
      <c r="V3900" t="s">
        <v>9478</v>
      </c>
      <c r="W3900">
        <v>1</v>
      </c>
      <c r="X3900" t="s">
        <v>13378</v>
      </c>
      <c r="Y3900">
        <v>0.42776147328827768</v>
      </c>
      <c r="Z3900" t="str">
        <f>HYPERLINK("Melting_Curves/meltCurve_sp_Q9Y5Y2_NUBP2_HUMAN_.pdf", "Melting_Curves/meltCurve_sp_Q9Y5Y2_NUBP2_HUMAN_.pdf")</f>
        <v>Melting_Curves/meltCurve_sp_Q9Y5Y2_NUBP2_HUMAN_.pdf</v>
      </c>
      <c r="AA3900" t="s">
        <v>18059</v>
      </c>
      <c r="AB3900" t="s">
        <v>22733</v>
      </c>
    </row>
    <row r="3901" spans="1:28" x14ac:dyDescent="0.25">
      <c r="A3901" t="s">
        <v>3905</v>
      </c>
      <c r="B3901">
        <v>0.99904790336628502</v>
      </c>
      <c r="C3901">
        <v>0.803364341870487</v>
      </c>
      <c r="D3901">
        <v>0.77603447221023703</v>
      </c>
      <c r="E3901">
        <v>0.85143691524632603</v>
      </c>
      <c r="F3901">
        <v>0.878941693050034</v>
      </c>
      <c r="G3901">
        <v>0.752092261088252</v>
      </c>
      <c r="H3901">
        <v>0.66117760585226504</v>
      </c>
      <c r="I3901">
        <v>0.70706057020414004</v>
      </c>
      <c r="J3901">
        <v>0.62707203964238301</v>
      </c>
      <c r="K3901">
        <v>0.60970994954518698</v>
      </c>
      <c r="L3901">
        <v>180.256863210885</v>
      </c>
      <c r="M3901">
        <v>2.0882548868445601</v>
      </c>
      <c r="O3901">
        <v>52.628719773185601</v>
      </c>
      <c r="P3901">
        <v>-1.0722311324206001E-2</v>
      </c>
      <c r="Q3901">
        <v>0</v>
      </c>
      <c r="R3901">
        <v>0.74337006834941799</v>
      </c>
      <c r="S3901" t="s">
        <v>8641</v>
      </c>
      <c r="T3901" t="s">
        <v>9478</v>
      </c>
      <c r="U3901" t="s">
        <v>9478</v>
      </c>
      <c r="V3901" t="s">
        <v>9478</v>
      </c>
      <c r="W3901">
        <v>13</v>
      </c>
      <c r="X3901" t="s">
        <v>13379</v>
      </c>
      <c r="Y3901">
        <v>0.76774257140085067</v>
      </c>
      <c r="Z3901" t="str">
        <f>HYPERLINK("Melting_Curves/meltCurve_sp_Q9Y5Z4_HEBP2_HUMAN_.pdf", "Melting_Curves/meltCurve_sp_Q9Y5Z4_HEBP2_HUMAN_.pdf")</f>
        <v>Melting_Curves/meltCurve_sp_Q9Y5Z4_HEBP2_HUMAN_.pdf</v>
      </c>
      <c r="AA3901" t="s">
        <v>18060</v>
      </c>
      <c r="AB3901" t="s">
        <v>22734</v>
      </c>
    </row>
    <row r="3902" spans="1:28" x14ac:dyDescent="0.25">
      <c r="A3902" t="s">
        <v>3906</v>
      </c>
      <c r="B3902">
        <v>0.99904790336628502</v>
      </c>
      <c r="C3902">
        <v>0.90553615351749905</v>
      </c>
      <c r="D3902">
        <v>0.83905386516230895</v>
      </c>
      <c r="E3902">
        <v>0.85980008195234103</v>
      </c>
      <c r="F3902">
        <v>0.759534455325657</v>
      </c>
      <c r="G3902">
        <v>0.40816504834714101</v>
      </c>
      <c r="H3902">
        <v>0.17854698006384001</v>
      </c>
      <c r="I3902">
        <v>0.11284886099725699</v>
      </c>
      <c r="J3902">
        <v>2.5053092296029401E-2</v>
      </c>
      <c r="K3902">
        <v>5.40843962023543E-2</v>
      </c>
      <c r="L3902">
        <v>910.56106182316</v>
      </c>
      <c r="M3902">
        <v>16.3172734106194</v>
      </c>
      <c r="N3902">
        <v>55.8035133626747</v>
      </c>
      <c r="O3902">
        <v>54.985558406160798</v>
      </c>
      <c r="P3902">
        <v>-7.4194292119712804E-2</v>
      </c>
      <c r="Q3902">
        <v>0</v>
      </c>
      <c r="R3902">
        <v>0.97859460562041001</v>
      </c>
      <c r="S3902" t="s">
        <v>8642</v>
      </c>
      <c r="T3902" t="s">
        <v>9478</v>
      </c>
      <c r="U3902" t="s">
        <v>9478</v>
      </c>
      <c r="V3902" t="s">
        <v>9478</v>
      </c>
      <c r="W3902">
        <v>2</v>
      </c>
      <c r="X3902" t="s">
        <v>13380</v>
      </c>
      <c r="Y3902">
        <v>0.543435717117564</v>
      </c>
      <c r="Z3902" t="str">
        <f>HYPERLINK("Melting_Curves/meltCurve_sp_Q9Y600_2_CSAD_HUMAN_.pdf", "Melting_Curves/meltCurve_sp_Q9Y600_2_CSAD_HUMAN_.pdf")</f>
        <v>Melting_Curves/meltCurve_sp_Q9Y600_2_CSAD_HUMAN_.pdf</v>
      </c>
      <c r="AA3902" t="s">
        <v>18061</v>
      </c>
      <c r="AB3902" t="s">
        <v>22735</v>
      </c>
    </row>
    <row r="3903" spans="1:28" x14ac:dyDescent="0.25">
      <c r="A3903" t="s">
        <v>3907</v>
      </c>
      <c r="B3903">
        <v>0.99904790336628502</v>
      </c>
      <c r="C3903">
        <v>0.97395217296807601</v>
      </c>
      <c r="D3903">
        <v>0.94205128881839495</v>
      </c>
      <c r="E3903">
        <v>0.87281812170335404</v>
      </c>
      <c r="F3903">
        <v>0.89820822281999002</v>
      </c>
      <c r="G3903">
        <v>0.69428247167051105</v>
      </c>
      <c r="H3903">
        <v>0.60984926882142398</v>
      </c>
      <c r="I3903">
        <v>0.62124503427768996</v>
      </c>
      <c r="J3903">
        <v>0.63945408375066204</v>
      </c>
      <c r="K3903">
        <v>0.63607113478733301</v>
      </c>
      <c r="L3903">
        <v>889.96833437628095</v>
      </c>
      <c r="M3903">
        <v>16.542599930316602</v>
      </c>
      <c r="O3903">
        <v>53.030849134646701</v>
      </c>
      <c r="P3903">
        <v>-3.0860608147280699E-2</v>
      </c>
      <c r="Q3903">
        <v>0.60430605700082796</v>
      </c>
      <c r="R3903">
        <v>0.95000685934635998</v>
      </c>
      <c r="S3903" t="s">
        <v>8643</v>
      </c>
      <c r="T3903" t="s">
        <v>9478</v>
      </c>
      <c r="U3903" t="s">
        <v>9478</v>
      </c>
      <c r="V3903" t="s">
        <v>9478</v>
      </c>
      <c r="W3903">
        <v>10</v>
      </c>
      <c r="X3903" t="s">
        <v>13381</v>
      </c>
      <c r="Y3903">
        <v>0.79350451027235658</v>
      </c>
      <c r="Z3903" t="str">
        <f>HYPERLINK("Melting_Curves/meltCurve_sp_Q9Y608_4_LRRF2_HUMAN_.pdf", "Melting_Curves/meltCurve_sp_Q9Y608_4_LRRF2_HUMAN_.pdf")</f>
        <v>Melting_Curves/meltCurve_sp_Q9Y608_4_LRRF2_HUMAN_.pdf</v>
      </c>
      <c r="AA3903" t="s">
        <v>18062</v>
      </c>
      <c r="AB3903" t="s">
        <v>22736</v>
      </c>
    </row>
    <row r="3904" spans="1:28" x14ac:dyDescent="0.25">
      <c r="A3904" t="s">
        <v>3908</v>
      </c>
      <c r="B3904">
        <v>0.99904790336628502</v>
      </c>
      <c r="C3904">
        <v>0.98406160841569701</v>
      </c>
      <c r="D3904">
        <v>1.0521365696890499</v>
      </c>
      <c r="E3904">
        <v>1.02845985811796</v>
      </c>
      <c r="F3904">
        <v>1.0094861523368699</v>
      </c>
      <c r="G3904">
        <v>0.80288238407378798</v>
      </c>
      <c r="H3904">
        <v>0.44401885108325201</v>
      </c>
      <c r="I3904">
        <v>0.1899095130689</v>
      </c>
      <c r="J3904">
        <v>6.0960804632317803E-2</v>
      </c>
      <c r="K3904">
        <v>3.38152112269249E-2</v>
      </c>
      <c r="L3904">
        <v>1564.17284446956</v>
      </c>
      <c r="M3904">
        <v>25.902880787566598</v>
      </c>
      <c r="N3904">
        <v>60.3860573342035</v>
      </c>
      <c r="O3904">
        <v>60.029597902878699</v>
      </c>
      <c r="P3904">
        <v>-0.10787671947854501</v>
      </c>
      <c r="Q3904">
        <v>0</v>
      </c>
      <c r="R3904">
        <v>0.99638741268986497</v>
      </c>
      <c r="S3904" t="s">
        <v>8644</v>
      </c>
      <c r="T3904" t="s">
        <v>9478</v>
      </c>
      <c r="U3904" t="s">
        <v>9478</v>
      </c>
      <c r="V3904" t="s">
        <v>9478</v>
      </c>
      <c r="W3904">
        <v>22</v>
      </c>
      <c r="X3904" t="s">
        <v>13382</v>
      </c>
      <c r="Y3904">
        <v>0.68637463240908181</v>
      </c>
      <c r="Z3904" t="str">
        <f>HYPERLINK("Melting_Curves/meltCurve_sp_Q9Y617_SERC_HUMAN_.pdf", "Melting_Curves/meltCurve_sp_Q9Y617_SERC_HUMAN_.pdf")</f>
        <v>Melting_Curves/meltCurve_sp_Q9Y617_SERC_HUMAN_.pdf</v>
      </c>
      <c r="AA3904" t="s">
        <v>18063</v>
      </c>
      <c r="AB3904" t="s">
        <v>22737</v>
      </c>
    </row>
    <row r="3905" spans="1:28" x14ac:dyDescent="0.25">
      <c r="A3905" t="s">
        <v>3909</v>
      </c>
      <c r="B3905">
        <v>0.99904790336628502</v>
      </c>
      <c r="C3905">
        <v>0.92494183701538102</v>
      </c>
      <c r="D3905">
        <v>0.88899695913193399</v>
      </c>
      <c r="E3905">
        <v>0.90794448984596299</v>
      </c>
      <c r="F3905">
        <v>0.72412512705405696</v>
      </c>
      <c r="G3905">
        <v>0.72254113245537399</v>
      </c>
      <c r="H3905">
        <v>0.54981841202725501</v>
      </c>
      <c r="I3905">
        <v>0.60954506601442204</v>
      </c>
      <c r="J3905">
        <v>0.57275365618329599</v>
      </c>
      <c r="K3905">
        <v>0.40762710634731603</v>
      </c>
      <c r="L3905">
        <v>346.982126155559</v>
      </c>
      <c r="M3905">
        <v>5.4231229956831699</v>
      </c>
      <c r="N3905">
        <v>67.483440787531904</v>
      </c>
      <c r="O3905">
        <v>56.849046171205998</v>
      </c>
      <c r="P3905">
        <v>-2.1020986588872401E-2</v>
      </c>
      <c r="Q3905">
        <v>0.12263177282764599</v>
      </c>
      <c r="R3905">
        <v>0.92931521963726205</v>
      </c>
      <c r="S3905" t="s">
        <v>8645</v>
      </c>
      <c r="T3905" t="s">
        <v>9478</v>
      </c>
      <c r="U3905" t="s">
        <v>9478</v>
      </c>
      <c r="V3905" t="s">
        <v>9478</v>
      </c>
      <c r="W3905">
        <v>10</v>
      </c>
      <c r="X3905" t="s">
        <v>13383</v>
      </c>
      <c r="Y3905">
        <v>0.73408922438255331</v>
      </c>
      <c r="Z3905" t="str">
        <f>HYPERLINK("Melting_Curves/meltCurve_sp_Q9Y646_CBPQ_HUMAN_.pdf", "Melting_Curves/meltCurve_sp_Q9Y646_CBPQ_HUMAN_.pdf")</f>
        <v>Melting_Curves/meltCurve_sp_Q9Y646_CBPQ_HUMAN_.pdf</v>
      </c>
      <c r="AA3905" t="s">
        <v>18064</v>
      </c>
      <c r="AB3905" t="s">
        <v>22738</v>
      </c>
    </row>
    <row r="3906" spans="1:28" x14ac:dyDescent="0.25">
      <c r="A3906" t="s">
        <v>3910</v>
      </c>
      <c r="B3906">
        <v>0.99904790336628502</v>
      </c>
      <c r="C3906">
        <v>1.1316680409505699</v>
      </c>
      <c r="D3906">
        <v>1.2309416421628601</v>
      </c>
      <c r="E3906">
        <v>1.1241779885179599</v>
      </c>
      <c r="F3906">
        <v>0.68070865353891397</v>
      </c>
      <c r="G3906">
        <v>0.290420552695143</v>
      </c>
      <c r="H3906">
        <v>0.112506295628271</v>
      </c>
      <c r="I3906">
        <v>7.3993937330944601E-2</v>
      </c>
      <c r="J3906">
        <v>6.0076836320155001E-2</v>
      </c>
      <c r="K3906">
        <v>5.0989226332698798E-2</v>
      </c>
      <c r="L3906">
        <v>1838.91853347138</v>
      </c>
      <c r="M3906">
        <v>33.6884908585047</v>
      </c>
      <c r="N3906">
        <v>54.834221108361398</v>
      </c>
      <c r="O3906">
        <v>54.394692162609999</v>
      </c>
      <c r="P3906">
        <v>-0.14388250365420999</v>
      </c>
      <c r="Q3906">
        <v>7.0731616140270598E-2</v>
      </c>
      <c r="R3906">
        <v>0.95426857903425899</v>
      </c>
      <c r="S3906" t="s">
        <v>8646</v>
      </c>
      <c r="T3906" t="s">
        <v>9478</v>
      </c>
      <c r="U3906" t="s">
        <v>9478</v>
      </c>
      <c r="V3906" t="s">
        <v>9478</v>
      </c>
      <c r="W3906">
        <v>42</v>
      </c>
      <c r="X3906" t="s">
        <v>13384</v>
      </c>
      <c r="Y3906">
        <v>0.52744966111518432</v>
      </c>
      <c r="Z3906" t="str">
        <f>HYPERLINK("Melting_Curves/meltCurve_sp_Q9Y678_COPG1_HUMAN_.pdf", "Melting_Curves/meltCurve_sp_Q9Y678_COPG1_HUMAN_.pdf")</f>
        <v>Melting_Curves/meltCurve_sp_Q9Y678_COPG1_HUMAN_.pdf</v>
      </c>
      <c r="AA3906" t="s">
        <v>18065</v>
      </c>
      <c r="AB3906" t="s">
        <v>22739</v>
      </c>
    </row>
    <row r="3907" spans="1:28" x14ac:dyDescent="0.25">
      <c r="A3907" t="s">
        <v>3911</v>
      </c>
      <c r="B3907">
        <v>0.99904790336628502</v>
      </c>
      <c r="C3907">
        <v>0.83354523890705001</v>
      </c>
      <c r="D3907">
        <v>0.805546016047056</v>
      </c>
      <c r="E3907">
        <v>0.82118851171562801</v>
      </c>
      <c r="F3907">
        <v>0.79110108817798597</v>
      </c>
      <c r="G3907">
        <v>0.60708554330069797</v>
      </c>
      <c r="H3907">
        <v>0.506757410628493</v>
      </c>
      <c r="I3907">
        <v>0.45380764203083901</v>
      </c>
      <c r="J3907">
        <v>0.38775104647361203</v>
      </c>
      <c r="K3907">
        <v>0.347779414114471</v>
      </c>
      <c r="L3907">
        <v>335.95483636726698</v>
      </c>
      <c r="M3907">
        <v>5.4199574952056704</v>
      </c>
      <c r="N3907">
        <v>61.984773981438103</v>
      </c>
      <c r="O3907">
        <v>55.067844187725903</v>
      </c>
      <c r="P3907">
        <v>-2.4719906124207301E-2</v>
      </c>
      <c r="Q3907">
        <v>0</v>
      </c>
      <c r="R3907">
        <v>0.95376128115791103</v>
      </c>
      <c r="S3907" t="s">
        <v>8647</v>
      </c>
      <c r="T3907" t="s">
        <v>9478</v>
      </c>
      <c r="U3907" t="s">
        <v>9478</v>
      </c>
      <c r="V3907" t="s">
        <v>9478</v>
      </c>
      <c r="W3907">
        <v>7</v>
      </c>
      <c r="X3907" t="s">
        <v>13385</v>
      </c>
      <c r="Y3907">
        <v>0.66201261899813824</v>
      </c>
      <c r="Z3907" t="str">
        <f>HYPERLINK("Melting_Curves/meltCurve_sp_Q9Y680_3_FKBP7_HUMAN_.pdf", "Melting_Curves/meltCurve_sp_Q9Y680_3_FKBP7_HUMAN_.pdf")</f>
        <v>Melting_Curves/meltCurve_sp_Q9Y680_3_FKBP7_HUMAN_.pdf</v>
      </c>
      <c r="AA3907" t="s">
        <v>18066</v>
      </c>
      <c r="AB3907" t="s">
        <v>22740</v>
      </c>
    </row>
    <row r="3908" spans="1:28" x14ac:dyDescent="0.25">
      <c r="A3908" t="s">
        <v>3912</v>
      </c>
      <c r="B3908">
        <v>0.99904790336628502</v>
      </c>
      <c r="C3908">
        <v>0.83000269095747703</v>
      </c>
      <c r="D3908">
        <v>0.81139453063637101</v>
      </c>
      <c r="E3908">
        <v>0.83980819221817504</v>
      </c>
      <c r="F3908">
        <v>0.70776762915444702</v>
      </c>
      <c r="G3908">
        <v>0.25633666707395297</v>
      </c>
      <c r="H3908">
        <v>8.5030163889628294E-2</v>
      </c>
      <c r="I3908">
        <v>4.8927585950579597E-2</v>
      </c>
      <c r="J3908">
        <v>3.98270123846746E-2</v>
      </c>
      <c r="K3908">
        <v>3.4694204545602701E-2</v>
      </c>
      <c r="L3908">
        <v>1040.6610189215801</v>
      </c>
      <c r="M3908">
        <v>19.104070848102101</v>
      </c>
      <c r="N3908">
        <v>54.473260052041397</v>
      </c>
      <c r="O3908">
        <v>53.886917387527802</v>
      </c>
      <c r="P3908">
        <v>-8.8633832747261596E-2</v>
      </c>
      <c r="Q3908">
        <v>0</v>
      </c>
      <c r="R3908">
        <v>0.95762851079133904</v>
      </c>
      <c r="S3908" t="s">
        <v>8648</v>
      </c>
      <c r="T3908" t="s">
        <v>9478</v>
      </c>
      <c r="U3908" t="s">
        <v>9478</v>
      </c>
      <c r="V3908" t="s">
        <v>9478</v>
      </c>
      <c r="W3908">
        <v>15</v>
      </c>
      <c r="X3908" t="s">
        <v>13386</v>
      </c>
      <c r="Y3908">
        <v>0.49689847162054929</v>
      </c>
      <c r="Z3908" t="str">
        <f>HYPERLINK("Melting_Curves/meltCurve_sp_Q9Y696_CLIC4_HUMAN_.pdf", "Melting_Curves/meltCurve_sp_Q9Y696_CLIC4_HUMAN_.pdf")</f>
        <v>Melting_Curves/meltCurve_sp_Q9Y696_CLIC4_HUMAN_.pdf</v>
      </c>
      <c r="AA3908" t="s">
        <v>18067</v>
      </c>
      <c r="AB3908" t="s">
        <v>22741</v>
      </c>
    </row>
    <row r="3909" spans="1:28" x14ac:dyDescent="0.25">
      <c r="A3909" t="s">
        <v>3913</v>
      </c>
      <c r="B3909">
        <v>0.99904790336628502</v>
      </c>
      <c r="C3909">
        <v>0.99509652808359506</v>
      </c>
      <c r="D3909">
        <v>0.967655975633395</v>
      </c>
      <c r="E3909">
        <v>0.82676413930800297</v>
      </c>
      <c r="F3909">
        <v>0.57367023951861296</v>
      </c>
      <c r="G3909">
        <v>0.36627338163289802</v>
      </c>
      <c r="H3909">
        <v>0.211076311288037</v>
      </c>
      <c r="I3909">
        <v>0.11722865430446699</v>
      </c>
      <c r="J3909">
        <v>8.4540363260328003E-2</v>
      </c>
      <c r="K3909">
        <v>6.2699684482333595E-2</v>
      </c>
      <c r="L3909">
        <v>854.29883932000303</v>
      </c>
      <c r="M3909">
        <v>15.725170562208501</v>
      </c>
      <c r="N3909">
        <v>54.637582338243</v>
      </c>
      <c r="O3909">
        <v>53.471033322893398</v>
      </c>
      <c r="P3909">
        <v>-7.0382882317577403E-2</v>
      </c>
      <c r="Q3909">
        <v>4.27755257667966E-2</v>
      </c>
      <c r="R3909">
        <v>0.99756076032177499</v>
      </c>
      <c r="S3909" t="s">
        <v>8649</v>
      </c>
      <c r="T3909" t="s">
        <v>9478</v>
      </c>
      <c r="U3909" t="s">
        <v>9478</v>
      </c>
      <c r="V3909" t="s">
        <v>9478</v>
      </c>
      <c r="W3909">
        <v>19</v>
      </c>
      <c r="X3909" t="s">
        <v>13387</v>
      </c>
      <c r="Y3909">
        <v>0.51811145836578631</v>
      </c>
      <c r="Z3909" t="str">
        <f>HYPERLINK("Melting_Curves/meltCurve_sp_Q9Y697_2_NFS1_HUMAN_.pdf", "Melting_Curves/meltCurve_sp_Q9Y697_2_NFS1_HUMAN_.pdf")</f>
        <v>Melting_Curves/meltCurve_sp_Q9Y697_2_NFS1_HUMAN_.pdf</v>
      </c>
      <c r="AA3909" t="s">
        <v>18068</v>
      </c>
      <c r="AB3909" t="s">
        <v>22742</v>
      </c>
    </row>
    <row r="3910" spans="1:28" x14ac:dyDescent="0.25">
      <c r="A3910" t="s">
        <v>3914</v>
      </c>
      <c r="B3910">
        <v>0.99904790336628502</v>
      </c>
      <c r="C3910">
        <v>0.99166045319864404</v>
      </c>
      <c r="D3910">
        <v>0</v>
      </c>
      <c r="E3910">
        <v>0.97199087102025294</v>
      </c>
      <c r="F3910">
        <v>0.88057497936041995</v>
      </c>
      <c r="G3910">
        <v>0.64420983585221703</v>
      </c>
      <c r="H3910">
        <v>0.20293322355981699</v>
      </c>
      <c r="I3910">
        <v>0.134728519996796</v>
      </c>
      <c r="J3910">
        <v>6.1219590901400299E-2</v>
      </c>
      <c r="K3910">
        <v>0.236954271607586</v>
      </c>
      <c r="L3910">
        <v>363.003525623526</v>
      </c>
      <c r="M3910">
        <v>6.6012094076468504</v>
      </c>
      <c r="N3910">
        <v>54.990457516172697</v>
      </c>
      <c r="O3910">
        <v>50.600283321856502</v>
      </c>
      <c r="P3910">
        <v>-3.2689378531310098E-2</v>
      </c>
      <c r="Q3910">
        <v>0</v>
      </c>
      <c r="R3910">
        <v>0.409925246821216</v>
      </c>
      <c r="S3910" t="s">
        <v>8650</v>
      </c>
      <c r="T3910" t="s">
        <v>9478</v>
      </c>
      <c r="U3910" t="s">
        <v>9478</v>
      </c>
      <c r="V3910" t="s">
        <v>9478</v>
      </c>
      <c r="W3910">
        <v>2</v>
      </c>
      <c r="X3910" t="s">
        <v>13388</v>
      </c>
      <c r="Y3910">
        <v>0.52655143733468512</v>
      </c>
      <c r="Z3910" t="str">
        <f>HYPERLINK("Melting_Curves/meltCurve_sp_Q9Y6A4_CP080_HUMAN_.pdf", "Melting_Curves/meltCurve_sp_Q9Y6A4_CP080_HUMAN_.pdf")</f>
        <v>Melting_Curves/meltCurve_sp_Q9Y6A4_CP080_HUMAN_.pdf</v>
      </c>
      <c r="AA3910" t="s">
        <v>18069</v>
      </c>
      <c r="AB3910" t="s">
        <v>22743</v>
      </c>
    </row>
    <row r="3911" spans="1:28" x14ac:dyDescent="0.25">
      <c r="A3911" t="s">
        <v>3915</v>
      </c>
      <c r="B3911">
        <v>0.99904790336628502</v>
      </c>
      <c r="C3911">
        <v>0.98799408679303102</v>
      </c>
      <c r="D3911">
        <v>0.867471436518372</v>
      </c>
      <c r="E3911">
        <v>0.43351750200406403</v>
      </c>
      <c r="F3911">
        <v>0.206147081226844</v>
      </c>
      <c r="G3911">
        <v>0.11101534574652799</v>
      </c>
      <c r="H3911">
        <v>7.0369552020071793E-2</v>
      </c>
      <c r="I3911">
        <v>4.6052596686800902E-2</v>
      </c>
      <c r="J3911">
        <v>3.6981308942445397E-2</v>
      </c>
      <c r="K3911">
        <v>3.03332718184555E-2</v>
      </c>
      <c r="L3911">
        <v>1182.5152350164601</v>
      </c>
      <c r="M3911">
        <v>23.972184630077599</v>
      </c>
      <c r="N3911">
        <v>49.537157592263597</v>
      </c>
      <c r="O3911">
        <v>48.989227013823502</v>
      </c>
      <c r="P3911">
        <v>-0.11646486419336601</v>
      </c>
      <c r="Q3911">
        <v>4.7991390654489999E-2</v>
      </c>
      <c r="R3911">
        <v>0.998733823716075</v>
      </c>
      <c r="S3911" t="s">
        <v>8651</v>
      </c>
      <c r="T3911" t="s">
        <v>9478</v>
      </c>
      <c r="U3911" t="s">
        <v>9478</v>
      </c>
      <c r="V3911" t="s">
        <v>9478</v>
      </c>
      <c r="W3911">
        <v>20</v>
      </c>
      <c r="X3911" t="s">
        <v>13389</v>
      </c>
      <c r="Y3911">
        <v>0.35323607036908022</v>
      </c>
      <c r="Z3911" t="str">
        <f>HYPERLINK("Melting_Curves/meltCurve_sp_Q9Y6D5_BIG2_HUMAN_.pdf", "Melting_Curves/meltCurve_sp_Q9Y6D5_BIG2_HUMAN_.pdf")</f>
        <v>Melting_Curves/meltCurve_sp_Q9Y6D5_BIG2_HUMAN_.pdf</v>
      </c>
      <c r="AA3911" t="s">
        <v>18070</v>
      </c>
      <c r="AB3911" t="s">
        <v>22744</v>
      </c>
    </row>
    <row r="3912" spans="1:28" x14ac:dyDescent="0.25">
      <c r="A3912" t="s">
        <v>3916</v>
      </c>
      <c r="B3912">
        <v>0.99904790336628502</v>
      </c>
      <c r="C3912">
        <v>0.99250710351734195</v>
      </c>
      <c r="D3912">
        <v>0.93825488589430095</v>
      </c>
      <c r="E3912">
        <v>0.63928303876264703</v>
      </c>
      <c r="F3912">
        <v>0.32012438499832702</v>
      </c>
      <c r="G3912">
        <v>0.14311556982775001</v>
      </c>
      <c r="H3912">
        <v>8.60213191319599E-2</v>
      </c>
      <c r="I3912">
        <v>5.4404368520240602E-2</v>
      </c>
      <c r="J3912">
        <v>4.75588262439803E-2</v>
      </c>
      <c r="K3912">
        <v>3.6243254892201003E-2</v>
      </c>
      <c r="L3912">
        <v>1185.46765906579</v>
      </c>
      <c r="M3912">
        <v>23.226188969475501</v>
      </c>
      <c r="N3912">
        <v>51.269306705401902</v>
      </c>
      <c r="O3912">
        <v>50.666258770453403</v>
      </c>
      <c r="P3912">
        <v>-0.108954902383394</v>
      </c>
      <c r="Q3912">
        <v>4.9307566056831398E-2</v>
      </c>
      <c r="R3912">
        <v>0.99936589128464703</v>
      </c>
      <c r="S3912" t="s">
        <v>8652</v>
      </c>
      <c r="T3912" t="s">
        <v>9478</v>
      </c>
      <c r="U3912" t="s">
        <v>9478</v>
      </c>
      <c r="V3912" t="s">
        <v>9478</v>
      </c>
      <c r="W3912">
        <v>16</v>
      </c>
      <c r="X3912" t="s">
        <v>13390</v>
      </c>
      <c r="Y3912">
        <v>0.40908754304969058</v>
      </c>
      <c r="Z3912" t="str">
        <f>HYPERLINK("Melting_Curves/meltCurve_sp_Q9Y6D6_BIG1_HUMAN_.pdf", "Melting_Curves/meltCurve_sp_Q9Y6D6_BIG1_HUMAN_.pdf")</f>
        <v>Melting_Curves/meltCurve_sp_Q9Y6D6_BIG1_HUMAN_.pdf</v>
      </c>
      <c r="AA3912" t="s">
        <v>18071</v>
      </c>
      <c r="AB3912" t="s">
        <v>22745</v>
      </c>
    </row>
    <row r="3913" spans="1:28" x14ac:dyDescent="0.25">
      <c r="A3913" t="s">
        <v>3917</v>
      </c>
      <c r="B3913">
        <v>0.99904790336628502</v>
      </c>
      <c r="C3913">
        <v>0.94332053099856095</v>
      </c>
      <c r="D3913">
        <v>0.93625830306286095</v>
      </c>
      <c r="E3913">
        <v>0.610576974653944</v>
      </c>
      <c r="F3913">
        <v>0.37908763975543103</v>
      </c>
      <c r="G3913">
        <v>0.21071315136173999</v>
      </c>
      <c r="H3913">
        <v>0.15002989360925401</v>
      </c>
      <c r="I3913">
        <v>0.13269048358459101</v>
      </c>
      <c r="J3913">
        <v>0.10334174270794901</v>
      </c>
      <c r="K3913">
        <v>0.13222864881670901</v>
      </c>
      <c r="L3913">
        <v>1046.34349505365</v>
      </c>
      <c r="M3913">
        <v>20.6285509096049</v>
      </c>
      <c r="N3913">
        <v>51.402720494745402</v>
      </c>
      <c r="O3913">
        <v>50.253610643421702</v>
      </c>
      <c r="P3913">
        <v>-9.0376050724442103E-2</v>
      </c>
      <c r="Q3913">
        <v>0.119357851742192</v>
      </c>
      <c r="R3913">
        <v>0.99751033316591198</v>
      </c>
      <c r="S3913" t="s">
        <v>8653</v>
      </c>
      <c r="T3913" t="s">
        <v>9478</v>
      </c>
      <c r="U3913" t="s">
        <v>9478</v>
      </c>
      <c r="V3913" t="s">
        <v>9478</v>
      </c>
      <c r="W3913">
        <v>3</v>
      </c>
      <c r="X3913" t="s">
        <v>13391</v>
      </c>
      <c r="Y3913">
        <v>0.44566483404412771</v>
      </c>
      <c r="Z3913" t="str">
        <f>HYPERLINK("Melting_Curves/meltCurve_sp_Q9Y6D9_MD1L1_HUMAN_.pdf", "Melting_Curves/meltCurve_sp_Q9Y6D9_MD1L1_HUMAN_.pdf")</f>
        <v>Melting_Curves/meltCurve_sp_Q9Y6D9_MD1L1_HUMAN_.pdf</v>
      </c>
      <c r="AA3913" t="s">
        <v>18072</v>
      </c>
      <c r="AB3913" t="s">
        <v>22746</v>
      </c>
    </row>
    <row r="3914" spans="1:28" x14ac:dyDescent="0.25">
      <c r="A3914" t="s">
        <v>3918</v>
      </c>
      <c r="B3914">
        <v>0.99904790336628502</v>
      </c>
      <c r="C3914">
        <v>1.00770760765469</v>
      </c>
      <c r="D3914">
        <v>1.02215208336908</v>
      </c>
      <c r="E3914">
        <v>0.90314715608753504</v>
      </c>
      <c r="F3914">
        <v>0.72898958320653595</v>
      </c>
      <c r="G3914">
        <v>0.36609274807266901</v>
      </c>
      <c r="H3914">
        <v>0.151128167002232</v>
      </c>
      <c r="I3914">
        <v>6.8327093897470104E-2</v>
      </c>
      <c r="J3914">
        <v>3.6303174394617499E-2</v>
      </c>
      <c r="K3914">
        <v>2.7383932996659501E-2</v>
      </c>
      <c r="L3914">
        <v>1166.2024228119101</v>
      </c>
      <c r="M3914">
        <v>21.0348798277114</v>
      </c>
      <c r="N3914">
        <v>55.521713588907502</v>
      </c>
      <c r="O3914">
        <v>54.947583568873</v>
      </c>
      <c r="P3914">
        <v>-9.4272097927085796E-2</v>
      </c>
      <c r="Q3914">
        <v>1.49911189656109E-2</v>
      </c>
      <c r="R3914">
        <v>0.99914195827198304</v>
      </c>
      <c r="S3914" t="s">
        <v>8654</v>
      </c>
      <c r="T3914" t="s">
        <v>9478</v>
      </c>
      <c r="U3914" t="s">
        <v>9478</v>
      </c>
      <c r="V3914" t="s">
        <v>9478</v>
      </c>
      <c r="W3914">
        <v>3</v>
      </c>
      <c r="X3914" t="s">
        <v>13392</v>
      </c>
      <c r="Y3914">
        <v>0.53400701056819466</v>
      </c>
      <c r="Z3914" t="str">
        <f>HYPERLINK("Melting_Curves/meltCurve_sp_Q9Y6G5_COMDA_HUMAN_.pdf", "Melting_Curves/meltCurve_sp_Q9Y6G5_COMDA_HUMAN_.pdf")</f>
        <v>Melting_Curves/meltCurve_sp_Q9Y6G5_COMDA_HUMAN_.pdf</v>
      </c>
      <c r="AA3914" t="s">
        <v>18073</v>
      </c>
      <c r="AB3914" t="s">
        <v>22747</v>
      </c>
    </row>
    <row r="3915" spans="1:28" x14ac:dyDescent="0.25">
      <c r="A3915" t="s">
        <v>3919</v>
      </c>
      <c r="B3915">
        <v>0.99904790336628502</v>
      </c>
      <c r="C3915">
        <v>1.06736114328843</v>
      </c>
      <c r="D3915">
        <v>1.0695648495180099</v>
      </c>
      <c r="E3915">
        <v>0.626282150676441</v>
      </c>
      <c r="F3915">
        <v>0.48823794312012903</v>
      </c>
      <c r="G3915">
        <v>0.27090161089651599</v>
      </c>
      <c r="H3915">
        <v>0.15506851319578399</v>
      </c>
      <c r="I3915">
        <v>0.11611624063329801</v>
      </c>
      <c r="J3915">
        <v>0.100313567094666</v>
      </c>
      <c r="K3915">
        <v>9.0526335763838506E-2</v>
      </c>
      <c r="L3915">
        <v>1050.17496506465</v>
      </c>
      <c r="M3915">
        <v>20.214110013389298</v>
      </c>
      <c r="N3915">
        <v>52.556496272694602</v>
      </c>
      <c r="O3915">
        <v>51.452134655147802</v>
      </c>
      <c r="P3915">
        <v>-8.8041913936002997E-2</v>
      </c>
      <c r="Q3915">
        <v>0.103635390739997</v>
      </c>
      <c r="R3915">
        <v>0.97754546970786005</v>
      </c>
      <c r="S3915" t="s">
        <v>8655</v>
      </c>
      <c r="T3915" t="s">
        <v>9478</v>
      </c>
      <c r="U3915" t="s">
        <v>9478</v>
      </c>
      <c r="V3915" t="s">
        <v>9478</v>
      </c>
      <c r="W3915">
        <v>6</v>
      </c>
      <c r="X3915" t="s">
        <v>13393</v>
      </c>
      <c r="Y3915">
        <v>0.47293553027730179</v>
      </c>
      <c r="Z3915" t="str">
        <f>HYPERLINK("Melting_Curves/meltCurve_sp_Q9Y6G9_DC1L1_HUMAN_.pdf", "Melting_Curves/meltCurve_sp_Q9Y6G9_DC1L1_HUMAN_.pdf")</f>
        <v>Melting_Curves/meltCurve_sp_Q9Y6G9_DC1L1_HUMAN_.pdf</v>
      </c>
      <c r="AA3915" t="s">
        <v>18074</v>
      </c>
      <c r="AB3915" t="s">
        <v>22748</v>
      </c>
    </row>
    <row r="3916" spans="1:28" x14ac:dyDescent="0.25">
      <c r="A3916" t="s">
        <v>3920</v>
      </c>
      <c r="B3916">
        <v>0.99904790336628502</v>
      </c>
      <c r="C3916">
        <v>1.0405615640722801</v>
      </c>
      <c r="D3916">
        <v>1.0273125017476099</v>
      </c>
      <c r="E3916">
        <v>0.99390851916024703</v>
      </c>
      <c r="F3916">
        <v>0.992583240373071</v>
      </c>
      <c r="G3916">
        <v>0.789508115736413</v>
      </c>
      <c r="H3916">
        <v>0.71370956308481703</v>
      </c>
      <c r="I3916">
        <v>0.67640452394568795</v>
      </c>
      <c r="J3916">
        <v>0.71005463927174295</v>
      </c>
      <c r="K3916">
        <v>0.68230447384474702</v>
      </c>
      <c r="L3916">
        <v>2999.5490358186298</v>
      </c>
      <c r="M3916">
        <v>53.390070418513197</v>
      </c>
      <c r="O3916">
        <v>56.103098229746799</v>
      </c>
      <c r="P3916">
        <v>-7.2778535513900594E-2</v>
      </c>
      <c r="Q3916">
        <v>0.69409289469399404</v>
      </c>
      <c r="R3916">
        <v>0.98519121033308898</v>
      </c>
      <c r="S3916" t="s">
        <v>8656</v>
      </c>
      <c r="T3916" t="s">
        <v>9478</v>
      </c>
      <c r="U3916" t="s">
        <v>9478</v>
      </c>
      <c r="V3916" t="s">
        <v>9478</v>
      </c>
      <c r="W3916">
        <v>5</v>
      </c>
      <c r="X3916" t="s">
        <v>13394</v>
      </c>
      <c r="Y3916">
        <v>0.85976087452455774</v>
      </c>
      <c r="Z3916" t="str">
        <f>HYPERLINK("Melting_Curves/meltCurve_sp_Q9Y6H1_CHCH2_HUMAN_.pdf", "Melting_Curves/meltCurve_sp_Q9Y6H1_CHCH2_HUMAN_.pdf")</f>
        <v>Melting_Curves/meltCurve_sp_Q9Y6H1_CHCH2_HUMAN_.pdf</v>
      </c>
      <c r="AA3916" t="s">
        <v>18075</v>
      </c>
      <c r="AB3916" t="s">
        <v>22749</v>
      </c>
    </row>
    <row r="3917" spans="1:28" x14ac:dyDescent="0.25">
      <c r="A3917" t="s">
        <v>3921</v>
      </c>
      <c r="B3917">
        <v>0.99904790336628502</v>
      </c>
      <c r="C3917">
        <v>1.0823096627943301</v>
      </c>
      <c r="D3917">
        <v>1.0392480440176901</v>
      </c>
      <c r="E3917">
        <v>0.956264077612623</v>
      </c>
      <c r="F3917">
        <v>0.80312798006127395</v>
      </c>
      <c r="G3917">
        <v>0.52326008907205401</v>
      </c>
      <c r="H3917">
        <v>0.27928347518444901</v>
      </c>
      <c r="I3917">
        <v>0.19038518901644</v>
      </c>
      <c r="J3917">
        <v>0.159417459567433</v>
      </c>
      <c r="K3917">
        <v>0.14411512551880301</v>
      </c>
      <c r="L3917">
        <v>1191.85493956614</v>
      </c>
      <c r="M3917">
        <v>21.134123604686099</v>
      </c>
      <c r="N3917">
        <v>57.207318122894698</v>
      </c>
      <c r="O3917">
        <v>55.897191718986797</v>
      </c>
      <c r="P3917">
        <v>-8.2269302315518905E-2</v>
      </c>
      <c r="Q3917">
        <v>0.12965371743308199</v>
      </c>
      <c r="R3917">
        <v>0.99323869665616604</v>
      </c>
      <c r="S3917" t="s">
        <v>8657</v>
      </c>
      <c r="T3917" t="s">
        <v>9478</v>
      </c>
      <c r="U3917" t="s">
        <v>9478</v>
      </c>
      <c r="V3917" t="s">
        <v>9478</v>
      </c>
      <c r="W3917">
        <v>15</v>
      </c>
      <c r="X3917" t="s">
        <v>13395</v>
      </c>
      <c r="Y3917">
        <v>0.61552305268242657</v>
      </c>
      <c r="Z3917" t="str">
        <f>HYPERLINK("Melting_Curves/meltCurve_sp_Q9Y6I3_3_EPN1_HUMAN_.pdf", "Melting_Curves/meltCurve_sp_Q9Y6I3_3_EPN1_HUMAN_.pdf")</f>
        <v>Melting_Curves/meltCurve_sp_Q9Y6I3_3_EPN1_HUMAN_.pdf</v>
      </c>
      <c r="AA3917" t="s">
        <v>18076</v>
      </c>
      <c r="AB3917" t="s">
        <v>22750</v>
      </c>
    </row>
    <row r="3918" spans="1:28" x14ac:dyDescent="0.25">
      <c r="A3918" t="s">
        <v>3922</v>
      </c>
      <c r="B3918">
        <v>0.99904790336628502</v>
      </c>
      <c r="C3918">
        <v>0.91416229298792195</v>
      </c>
      <c r="D3918">
        <v>0.87211468402843695</v>
      </c>
      <c r="E3918">
        <v>0.79060493111948804</v>
      </c>
      <c r="F3918">
        <v>0.82106635738686296</v>
      </c>
      <c r="G3918">
        <v>0.67268521226391198</v>
      </c>
      <c r="H3918">
        <v>0.62314838247215998</v>
      </c>
      <c r="I3918">
        <v>0.56980067629605402</v>
      </c>
      <c r="J3918">
        <v>0.71598053698081898</v>
      </c>
      <c r="K3918">
        <v>0.73993654119373298</v>
      </c>
      <c r="L3918">
        <v>586.94716469680804</v>
      </c>
      <c r="M3918">
        <v>12.091844115466699</v>
      </c>
      <c r="O3918">
        <v>47.270316959875998</v>
      </c>
      <c r="P3918">
        <v>-2.22166189100476E-2</v>
      </c>
      <c r="Q3918">
        <v>0.652677852429289</v>
      </c>
      <c r="R3918">
        <v>0.81262884176484695</v>
      </c>
      <c r="S3918" t="s">
        <v>8658</v>
      </c>
      <c r="T3918" t="s">
        <v>9478</v>
      </c>
      <c r="U3918" t="s">
        <v>9478</v>
      </c>
      <c r="V3918" t="s">
        <v>9478</v>
      </c>
      <c r="W3918">
        <v>2</v>
      </c>
      <c r="X3918" t="s">
        <v>13396</v>
      </c>
      <c r="Y3918">
        <v>0.76451274835184913</v>
      </c>
      <c r="Z3918" t="str">
        <f>HYPERLINK("Melting_Curves/meltCurve_sp_Q9Y6I9_TX264_HUMAN_.pdf", "Melting_Curves/meltCurve_sp_Q9Y6I9_TX264_HUMAN_.pdf")</f>
        <v>Melting_Curves/meltCurve_sp_Q9Y6I9_TX264_HUMAN_.pdf</v>
      </c>
      <c r="AA3918" t="s">
        <v>18077</v>
      </c>
      <c r="AB3918" t="s">
        <v>22751</v>
      </c>
    </row>
    <row r="3919" spans="1:28" x14ac:dyDescent="0.25">
      <c r="A3919" t="s">
        <v>3923</v>
      </c>
      <c r="B3919">
        <v>0.99904790336628502</v>
      </c>
      <c r="C3919">
        <v>1.0637230548426799</v>
      </c>
      <c r="D3919">
        <v>1.04359607191436</v>
      </c>
      <c r="E3919">
        <v>0.69163789569015399</v>
      </c>
      <c r="F3919">
        <v>0.34297126161214703</v>
      </c>
      <c r="G3919">
        <v>0.13790199879666501</v>
      </c>
      <c r="H3919">
        <v>6.7915344717460899E-2</v>
      </c>
      <c r="I3919">
        <v>5.5664676741934503E-2</v>
      </c>
      <c r="J3919">
        <v>4.6495110345628601E-2</v>
      </c>
      <c r="K3919">
        <v>4.3278016853334801E-2</v>
      </c>
      <c r="L3919">
        <v>1487.0446602222901</v>
      </c>
      <c r="M3919">
        <v>28.905604506764</v>
      </c>
      <c r="N3919">
        <v>51.657069227215302</v>
      </c>
      <c r="O3919">
        <v>51.200518213266697</v>
      </c>
      <c r="P3919">
        <v>-0.13323949140070601</v>
      </c>
      <c r="Q3919">
        <v>5.5978298848062102E-2</v>
      </c>
      <c r="R3919">
        <v>0.99370542036744902</v>
      </c>
      <c r="S3919" t="s">
        <v>8659</v>
      </c>
      <c r="T3919" t="s">
        <v>9478</v>
      </c>
      <c r="U3919" t="s">
        <v>9478</v>
      </c>
      <c r="V3919" t="s">
        <v>9478</v>
      </c>
      <c r="W3919">
        <v>13</v>
      </c>
      <c r="X3919" t="s">
        <v>13397</v>
      </c>
      <c r="Y3919">
        <v>0.42255584399402968</v>
      </c>
      <c r="Z3919" t="str">
        <f>HYPERLINK("Melting_Curves/meltCurve_sp_Q9Y6K5_OAS3_HUMAN_.pdf", "Melting_Curves/meltCurve_sp_Q9Y6K5_OAS3_HUMAN_.pdf")</f>
        <v>Melting_Curves/meltCurve_sp_Q9Y6K5_OAS3_HUMAN_.pdf</v>
      </c>
      <c r="AA3919" t="s">
        <v>18078</v>
      </c>
      <c r="AB3919" t="s">
        <v>22752</v>
      </c>
    </row>
    <row r="3920" spans="1:28" x14ac:dyDescent="0.25">
      <c r="A3920" t="s">
        <v>3924</v>
      </c>
      <c r="B3920">
        <v>0.99904790336628502</v>
      </c>
      <c r="C3920">
        <v>0.96767841210413297</v>
      </c>
      <c r="D3920">
        <v>0.87397761142960895</v>
      </c>
      <c r="E3920">
        <v>0.93840401196622003</v>
      </c>
      <c r="F3920">
        <v>0.92575308742143503</v>
      </c>
      <c r="G3920">
        <v>0.79971780081106703</v>
      </c>
      <c r="H3920">
        <v>0.75543680776855304</v>
      </c>
      <c r="I3920">
        <v>0.70763020047380998</v>
      </c>
      <c r="J3920">
        <v>0.67356886539040395</v>
      </c>
      <c r="K3920">
        <v>0.65666508125912204</v>
      </c>
      <c r="L3920">
        <v>353.21011583741603</v>
      </c>
      <c r="M3920">
        <v>5.2449815585094299</v>
      </c>
      <c r="O3920">
        <v>59.412304580908597</v>
      </c>
      <c r="P3920">
        <v>-1.44001283343205E-2</v>
      </c>
      <c r="Q3920">
        <v>0.35090605012015103</v>
      </c>
      <c r="R3920">
        <v>0.93134881850743301</v>
      </c>
      <c r="S3920" t="s">
        <v>8660</v>
      </c>
      <c r="T3920" t="s">
        <v>9478</v>
      </c>
      <c r="U3920" t="s">
        <v>9478</v>
      </c>
      <c r="V3920" t="s">
        <v>9478</v>
      </c>
      <c r="W3920">
        <v>10</v>
      </c>
      <c r="X3920" t="s">
        <v>13398</v>
      </c>
      <c r="Y3920">
        <v>0.83502579094387586</v>
      </c>
      <c r="Z3920" t="str">
        <f>HYPERLINK("Melting_Curves/meltCurve_sp_Q9Y6K9_NEMO_HUMAN_.pdf", "Melting_Curves/meltCurve_sp_Q9Y6K9_NEMO_HUMAN_.pdf")</f>
        <v>Melting_Curves/meltCurve_sp_Q9Y6K9_NEMO_HUMAN_.pdf</v>
      </c>
      <c r="AA3920" t="s">
        <v>18079</v>
      </c>
      <c r="AB3920" t="s">
        <v>22753</v>
      </c>
    </row>
    <row r="3921" spans="1:28" x14ac:dyDescent="0.25">
      <c r="A3921" t="s">
        <v>3925</v>
      </c>
      <c r="B3921">
        <v>0.99904790336628502</v>
      </c>
      <c r="C3921">
        <v>0.91901273163761199</v>
      </c>
      <c r="D3921">
        <v>0.93693681436724396</v>
      </c>
      <c r="E3921">
        <v>0.88671388415807495</v>
      </c>
      <c r="F3921">
        <v>0.83397036657424295</v>
      </c>
      <c r="G3921">
        <v>0.686000621493977</v>
      </c>
      <c r="H3921">
        <v>0.58512792753996201</v>
      </c>
      <c r="I3921">
        <v>0.54450036155216297</v>
      </c>
      <c r="J3921">
        <v>0.41867405795169299</v>
      </c>
      <c r="K3921">
        <v>0.44463501615060802</v>
      </c>
      <c r="L3921">
        <v>494.00307015747001</v>
      </c>
      <c r="M3921">
        <v>8.2387516713688491</v>
      </c>
      <c r="N3921">
        <v>65.077908767559904</v>
      </c>
      <c r="O3921">
        <v>56.739414022809299</v>
      </c>
      <c r="P3921">
        <v>-2.7674621251962499E-2</v>
      </c>
      <c r="Q3921">
        <v>0.23840281334010099</v>
      </c>
      <c r="R3921">
        <v>0.98258372433680896</v>
      </c>
      <c r="S3921" t="s">
        <v>8661</v>
      </c>
      <c r="T3921" t="s">
        <v>9478</v>
      </c>
      <c r="U3921" t="s">
        <v>9478</v>
      </c>
      <c r="V3921" t="s">
        <v>9478</v>
      </c>
      <c r="W3921">
        <v>1</v>
      </c>
      <c r="X3921" t="s">
        <v>13399</v>
      </c>
      <c r="Y3921">
        <v>0.73518465113952303</v>
      </c>
      <c r="Z3921" t="str">
        <f>HYPERLINK("Melting_Curves/meltCurve_sp_Q9Y6M5_ZNT1_HUMAN_.pdf", "Melting_Curves/meltCurve_sp_Q9Y6M5_ZNT1_HUMAN_.pdf")</f>
        <v>Melting_Curves/meltCurve_sp_Q9Y6M5_ZNT1_HUMAN_.pdf</v>
      </c>
      <c r="AA3921" t="s">
        <v>18080</v>
      </c>
      <c r="AB3921" t="s">
        <v>22754</v>
      </c>
    </row>
    <row r="3922" spans="1:28" x14ac:dyDescent="0.25">
      <c r="A3922" t="s">
        <v>3926</v>
      </c>
      <c r="B3922">
        <v>0.99904790336628502</v>
      </c>
      <c r="C3922">
        <v>1.01584045028477</v>
      </c>
      <c r="D3922">
        <v>0.87164792095017696</v>
      </c>
      <c r="E3922">
        <v>0.65266865814516195</v>
      </c>
      <c r="F3922">
        <v>0.41167231164086698</v>
      </c>
      <c r="G3922">
        <v>0.23925258899449101</v>
      </c>
      <c r="H3922">
        <v>9.7990926899830702E-2</v>
      </c>
      <c r="I3922">
        <v>8.1504090413528102E-2</v>
      </c>
      <c r="J3922">
        <v>4.38738737070564E-2</v>
      </c>
      <c r="K3922">
        <v>6.1504892144659699E-2</v>
      </c>
      <c r="L3922">
        <v>845.54128131082996</v>
      </c>
      <c r="M3922">
        <v>16.347070437935599</v>
      </c>
      <c r="N3922">
        <v>51.9738345132794</v>
      </c>
      <c r="O3922">
        <v>50.968856423062697</v>
      </c>
      <c r="P3922">
        <v>-7.7161355285745803E-2</v>
      </c>
      <c r="Q3922">
        <v>3.7737431605239298E-2</v>
      </c>
      <c r="R3922">
        <v>0.99712774501157397</v>
      </c>
      <c r="S3922" t="s">
        <v>8662</v>
      </c>
      <c r="T3922" t="s">
        <v>9478</v>
      </c>
      <c r="U3922" t="s">
        <v>9478</v>
      </c>
      <c r="V3922" t="s">
        <v>9478</v>
      </c>
      <c r="W3922">
        <v>5</v>
      </c>
      <c r="X3922" t="s">
        <v>13400</v>
      </c>
      <c r="Y3922">
        <v>0.43271544672530832</v>
      </c>
      <c r="Z3922" t="str">
        <f>HYPERLINK("Melting_Curves/meltCurve_sp_Q9Y6N5_SQRD_HUMAN_.pdf", "Melting_Curves/meltCurve_sp_Q9Y6N5_SQRD_HUMAN_.pdf")</f>
        <v>Melting_Curves/meltCurve_sp_Q9Y6N5_SQRD_HUMAN_.pdf</v>
      </c>
      <c r="AA3922" t="s">
        <v>18081</v>
      </c>
      <c r="AB3922" t="s">
        <v>22755</v>
      </c>
    </row>
    <row r="3923" spans="1:28" x14ac:dyDescent="0.25">
      <c r="A3923" t="s">
        <v>3927</v>
      </c>
      <c r="B3923">
        <v>0.99904790336628502</v>
      </c>
      <c r="C3923">
        <v>0.75709350849174095</v>
      </c>
      <c r="D3923">
        <v>0.98773241395316302</v>
      </c>
      <c r="E3923">
        <v>0.64749772712611497</v>
      </c>
      <c r="F3923">
        <v>0.32240575216188899</v>
      </c>
      <c r="G3923">
        <v>0.16283620376171101</v>
      </c>
      <c r="H3923">
        <v>0.16369183737915199</v>
      </c>
      <c r="I3923">
        <v>0.100374960073447</v>
      </c>
      <c r="J3923">
        <v>0.18969827719759899</v>
      </c>
      <c r="K3923">
        <v>0.13855851903897701</v>
      </c>
      <c r="L3923">
        <v>1461.26317328656</v>
      </c>
      <c r="M3923">
        <v>28.877250154228399</v>
      </c>
      <c r="N3923">
        <v>51.197957297817403</v>
      </c>
      <c r="O3923">
        <v>50.361753208665398</v>
      </c>
      <c r="P3923">
        <v>-0.122905222186613</v>
      </c>
      <c r="Q3923">
        <v>0.142622335872825</v>
      </c>
      <c r="R3923">
        <v>0.94771676407190897</v>
      </c>
      <c r="S3923" t="s">
        <v>8663</v>
      </c>
      <c r="T3923" t="s">
        <v>9478</v>
      </c>
      <c r="U3923" t="s">
        <v>9478</v>
      </c>
      <c r="V3923" t="s">
        <v>9478</v>
      </c>
      <c r="W3923">
        <v>2</v>
      </c>
      <c r="X3923" t="s">
        <v>13401</v>
      </c>
      <c r="Y3923">
        <v>0.45141816801517071</v>
      </c>
      <c r="Z3923" t="str">
        <f>HYPERLINK("Melting_Curves/meltCurve_sp_Q9Y6P5_SESN1_HUMAN_.pdf", "Melting_Curves/meltCurve_sp_Q9Y6P5_SESN1_HUMAN_.pdf")</f>
        <v>Melting_Curves/meltCurve_sp_Q9Y6P5_SESN1_HUMAN_.pdf</v>
      </c>
      <c r="AA3923" t="s">
        <v>18082</v>
      </c>
      <c r="AB3923" t="s">
        <v>22756</v>
      </c>
    </row>
    <row r="3924" spans="1:28" x14ac:dyDescent="0.25">
      <c r="A3924" t="s">
        <v>3928</v>
      </c>
      <c r="B3924">
        <v>0.99904790336628502</v>
      </c>
      <c r="C3924">
        <v>0.90691524845025695</v>
      </c>
      <c r="D3924">
        <v>0.99380031647901501</v>
      </c>
      <c r="E3924">
        <v>0.95032253148233203</v>
      </c>
      <c r="F3924">
        <v>0.88342867929121405</v>
      </c>
      <c r="G3924">
        <v>0.85781790733355401</v>
      </c>
      <c r="H3924">
        <v>0.65191050374355097</v>
      </c>
      <c r="I3924">
        <v>0.49682455061807701</v>
      </c>
      <c r="J3924">
        <v>0.47658684043769001</v>
      </c>
      <c r="K3924">
        <v>0.24300620113572599</v>
      </c>
      <c r="L3924">
        <v>723.08766724596205</v>
      </c>
      <c r="M3924">
        <v>11.190393834060499</v>
      </c>
      <c r="N3924">
        <v>64.616845097616107</v>
      </c>
      <c r="O3924">
        <v>62.6563565720867</v>
      </c>
      <c r="P3924">
        <v>-4.4663976405808999E-2</v>
      </c>
      <c r="Q3924">
        <v>0</v>
      </c>
      <c r="R3924">
        <v>0.96650050164044399</v>
      </c>
      <c r="S3924" t="s">
        <v>8664</v>
      </c>
      <c r="T3924" t="s">
        <v>9478</v>
      </c>
      <c r="U3924" t="s">
        <v>9478</v>
      </c>
      <c r="V3924" t="s">
        <v>9478</v>
      </c>
      <c r="W3924">
        <v>2</v>
      </c>
      <c r="X3924" t="s">
        <v>13402</v>
      </c>
      <c r="Y3924">
        <v>0.77986726715646593</v>
      </c>
      <c r="Z3924" t="str">
        <f>HYPERLINK("Melting_Curves/meltCurve_sp_Q9Y6V0_2_PCLO_HUMAN_.pdf", "Melting_Curves/meltCurve_sp_Q9Y6V0_2_PCLO_HUMAN_.pdf")</f>
        <v>Melting_Curves/meltCurve_sp_Q9Y6V0_2_PCLO_HUMAN_.pdf</v>
      </c>
      <c r="AA3924" t="s">
        <v>18083</v>
      </c>
      <c r="AB3924" t="s">
        <v>22757</v>
      </c>
    </row>
    <row r="3925" spans="1:28" x14ac:dyDescent="0.25">
      <c r="A3925" t="s">
        <v>3929</v>
      </c>
      <c r="B3925">
        <v>0.99904790336628502</v>
      </c>
      <c r="C3925">
        <v>1.03444475886202</v>
      </c>
      <c r="D3925">
        <v>0.96501234713697204</v>
      </c>
      <c r="E3925">
        <v>0.65863517905207603</v>
      </c>
      <c r="F3925">
        <v>0.33220120623906002</v>
      </c>
      <c r="G3925">
        <v>0.21844789571201001</v>
      </c>
      <c r="H3925">
        <v>0.105383622162669</v>
      </c>
      <c r="I3925">
        <v>9.2997228113847502E-2</v>
      </c>
      <c r="J3925">
        <v>5.51100750023132E-2</v>
      </c>
      <c r="K3925">
        <v>4.3018041268922599E-2</v>
      </c>
      <c r="L3925">
        <v>1179.93429518016</v>
      </c>
      <c r="M3925">
        <v>23.047468067225701</v>
      </c>
      <c r="N3925">
        <v>51.554743221576203</v>
      </c>
      <c r="O3925">
        <v>50.815096095384497</v>
      </c>
      <c r="P3925">
        <v>-0.104986163127663</v>
      </c>
      <c r="Q3925">
        <v>7.4122808843376006E-2</v>
      </c>
      <c r="R3925">
        <v>0.99387424846578898</v>
      </c>
      <c r="S3925" t="s">
        <v>8665</v>
      </c>
      <c r="T3925" t="s">
        <v>9478</v>
      </c>
      <c r="U3925" t="s">
        <v>9478</v>
      </c>
      <c r="V3925" t="s">
        <v>9478</v>
      </c>
      <c r="W3925">
        <v>5</v>
      </c>
      <c r="X3925" t="s">
        <v>13403</v>
      </c>
      <c r="Y3925">
        <v>0.42947354488843742</v>
      </c>
      <c r="Z3925" t="str">
        <f>HYPERLINK("Melting_Curves/meltCurve_sp_Q9Y6W3_CAN7_HUMAN_.pdf", "Melting_Curves/meltCurve_sp_Q9Y6W3_CAN7_HUMAN_.pdf")</f>
        <v>Melting_Curves/meltCurve_sp_Q9Y6W3_CAN7_HUMAN_.pdf</v>
      </c>
      <c r="AA3925" t="s">
        <v>18084</v>
      </c>
      <c r="AB3925" t="s">
        <v>22758</v>
      </c>
    </row>
    <row r="3926" spans="1:28" x14ac:dyDescent="0.25">
      <c r="A3926" t="s">
        <v>3930</v>
      </c>
      <c r="B3926">
        <v>0.99904790336628502</v>
      </c>
      <c r="C3926">
        <v>1.00658137298992</v>
      </c>
      <c r="D3926">
        <v>0.96714168512500998</v>
      </c>
      <c r="E3926">
        <v>0.87825388016253403</v>
      </c>
      <c r="F3926">
        <v>0.664304013248737</v>
      </c>
      <c r="G3926">
        <v>0.44020148874464898</v>
      </c>
      <c r="H3926">
        <v>0.37433488403200299</v>
      </c>
      <c r="I3926">
        <v>0.38430361585995598</v>
      </c>
      <c r="J3926">
        <v>0.428050475799922</v>
      </c>
      <c r="K3926">
        <v>0.40157348086967398</v>
      </c>
      <c r="L3926">
        <v>1520.6294479328201</v>
      </c>
      <c r="M3926">
        <v>28.968141488977501</v>
      </c>
      <c r="N3926">
        <v>55.4350383753562</v>
      </c>
      <c r="O3926">
        <v>52.244915758846602</v>
      </c>
      <c r="P3926">
        <v>-8.4207679494397697E-2</v>
      </c>
      <c r="Q3926">
        <v>0.39252020303089602</v>
      </c>
      <c r="R3926">
        <v>0.995749570706983</v>
      </c>
      <c r="S3926" t="s">
        <v>8666</v>
      </c>
      <c r="T3926" t="s">
        <v>9478</v>
      </c>
      <c r="U3926" t="s">
        <v>9478</v>
      </c>
      <c r="V3926" t="s">
        <v>9478</v>
      </c>
      <c r="W3926">
        <v>6</v>
      </c>
      <c r="X3926" t="s">
        <v>13404</v>
      </c>
      <c r="Y3926">
        <v>0.64968781681167986</v>
      </c>
      <c r="Z3926" t="str">
        <f>HYPERLINK("Melting_Curves/meltCurve_sp_Q9Y6W5_WASF2_HUMAN_.pdf", "Melting_Curves/meltCurve_sp_Q9Y6W5_WASF2_HUMAN_.pdf")</f>
        <v>Melting_Curves/meltCurve_sp_Q9Y6W5_WASF2_HUMAN_.pdf</v>
      </c>
      <c r="AA3926" t="s">
        <v>18085</v>
      </c>
      <c r="AB3926" t="s">
        <v>22759</v>
      </c>
    </row>
    <row r="3927" spans="1:28" x14ac:dyDescent="0.25">
      <c r="A3927" t="s">
        <v>3931</v>
      </c>
      <c r="B3927">
        <v>0.99904790336628502</v>
      </c>
      <c r="C3927">
        <v>0.86373669856275603</v>
      </c>
      <c r="D3927">
        <v>0.85290248461833595</v>
      </c>
      <c r="E3927">
        <v>0.80539219382512395</v>
      </c>
      <c r="F3927">
        <v>0.50363812350732495</v>
      </c>
      <c r="G3927">
        <v>0.26957656937977598</v>
      </c>
      <c r="H3927">
        <v>0.15731625694518001</v>
      </c>
      <c r="I3927">
        <v>0.12970927828564199</v>
      </c>
      <c r="J3927">
        <v>7.4318446292591198E-2</v>
      </c>
      <c r="K3927">
        <v>9.4146617767676896E-2</v>
      </c>
      <c r="L3927">
        <v>765.80725828932202</v>
      </c>
      <c r="M3927">
        <v>14.4461592373692</v>
      </c>
      <c r="N3927">
        <v>53.3415727585243</v>
      </c>
      <c r="O3927">
        <v>52.026374502488999</v>
      </c>
      <c r="P3927">
        <v>-6.6453991185321401E-2</v>
      </c>
      <c r="Q3927">
        <v>4.2802864848292099E-2</v>
      </c>
      <c r="R3927">
        <v>0.98091789034621402</v>
      </c>
      <c r="S3927" t="s">
        <v>8667</v>
      </c>
      <c r="T3927" t="s">
        <v>9478</v>
      </c>
      <c r="U3927" t="s">
        <v>9478</v>
      </c>
      <c r="V3927" t="s">
        <v>9478</v>
      </c>
      <c r="W3927">
        <v>3</v>
      </c>
      <c r="X3927" t="s">
        <v>13405</v>
      </c>
      <c r="Y3927">
        <v>0.47961826305645427</v>
      </c>
      <c r="Z3927" t="str">
        <f>HYPERLINK("Melting_Curves/meltCurve_sp_Q9Y6X5_ENPP4_HUMAN_.pdf", "Melting_Curves/meltCurve_sp_Q9Y6X5_ENPP4_HUMAN_.pdf")</f>
        <v>Melting_Curves/meltCurve_sp_Q9Y6X5_ENPP4_HUMAN_.pdf</v>
      </c>
      <c r="AA3927" t="s">
        <v>18086</v>
      </c>
      <c r="AB3927" t="s">
        <v>22760</v>
      </c>
    </row>
    <row r="3928" spans="1:28" x14ac:dyDescent="0.25">
      <c r="A3928" t="s">
        <v>3932</v>
      </c>
      <c r="B3928">
        <v>0.99904790336628502</v>
      </c>
      <c r="C3928">
        <v>0.98599292920725701</v>
      </c>
      <c r="D3928">
        <v>0.93098845747574199</v>
      </c>
      <c r="E3928">
        <v>0.84165071947213499</v>
      </c>
      <c r="F3928">
        <v>0.79778096853004199</v>
      </c>
      <c r="G3928">
        <v>0.56682959911941599</v>
      </c>
      <c r="H3928">
        <v>0.51575122027975695</v>
      </c>
      <c r="I3928">
        <v>0.49697206171339497</v>
      </c>
      <c r="J3928">
        <v>0.54709956892846801</v>
      </c>
      <c r="K3928">
        <v>0.49010816979496602</v>
      </c>
      <c r="L3928">
        <v>897.80703398299204</v>
      </c>
      <c r="M3928">
        <v>16.9564891372899</v>
      </c>
      <c r="N3928">
        <v>67.199109806845698</v>
      </c>
      <c r="O3928">
        <v>52.227730294955997</v>
      </c>
      <c r="P3928">
        <v>-4.1698893150836899E-2</v>
      </c>
      <c r="Q3928">
        <v>0.48628459454211798</v>
      </c>
      <c r="R3928">
        <v>0.97826104828699001</v>
      </c>
      <c r="S3928" t="s">
        <v>8668</v>
      </c>
      <c r="T3928" t="s">
        <v>9478</v>
      </c>
      <c r="U3928" t="s">
        <v>9478</v>
      </c>
      <c r="V3928" t="s">
        <v>9478</v>
      </c>
      <c r="W3928">
        <v>2</v>
      </c>
      <c r="X3928" t="s">
        <v>13406</v>
      </c>
      <c r="Y3928">
        <v>0.71724902642027677</v>
      </c>
      <c r="Z3928" t="str">
        <f>HYPERLINK("Melting_Curves/meltCurve_sp_Q9Y6X8_ZHX2_HUMAN_.pdf", "Melting_Curves/meltCurve_sp_Q9Y6X8_ZHX2_HUMAN_.pdf")</f>
        <v>Melting_Curves/meltCurve_sp_Q9Y6X8_ZHX2_HUMAN_.pdf</v>
      </c>
      <c r="AA3928" t="s">
        <v>18087</v>
      </c>
      <c r="AB3928" t="s">
        <v>22761</v>
      </c>
    </row>
    <row r="3929" spans="1:28" x14ac:dyDescent="0.25">
      <c r="A3929" t="s">
        <v>3933</v>
      </c>
      <c r="B3929">
        <v>0.99904790336628502</v>
      </c>
      <c r="C3929">
        <v>1.0562098851494599</v>
      </c>
      <c r="D3929">
        <v>0.97111518591074497</v>
      </c>
      <c r="E3929">
        <v>0.73560677574995603</v>
      </c>
      <c r="F3929">
        <v>0.58343976307689804</v>
      </c>
      <c r="G3929">
        <v>0.39250615106834802</v>
      </c>
      <c r="H3929">
        <v>0.35378047761032499</v>
      </c>
      <c r="I3929">
        <v>0.31194126953566598</v>
      </c>
      <c r="J3929">
        <v>0.37514564677755402</v>
      </c>
      <c r="K3929">
        <v>0.34856638032944698</v>
      </c>
      <c r="L3929">
        <v>1172.0380590856</v>
      </c>
      <c r="M3929">
        <v>22.846642006136801</v>
      </c>
      <c r="N3929">
        <v>54.005802563341902</v>
      </c>
      <c r="O3929">
        <v>50.912029616955799</v>
      </c>
      <c r="P3929">
        <v>-7.3952843324488898E-2</v>
      </c>
      <c r="Q3929">
        <v>0.340818891736894</v>
      </c>
      <c r="R3929">
        <v>0.98978146485368501</v>
      </c>
      <c r="S3929" t="s">
        <v>8669</v>
      </c>
      <c r="T3929" t="s">
        <v>9478</v>
      </c>
      <c r="U3929" t="s">
        <v>9478</v>
      </c>
      <c r="V3929" t="s">
        <v>9478</v>
      </c>
      <c r="W3929">
        <v>2</v>
      </c>
      <c r="X3929" t="s">
        <v>13407</v>
      </c>
      <c r="Y3929">
        <v>0.59622956094078428</v>
      </c>
      <c r="Z3929" t="str">
        <f>HYPERLINK("Melting_Curves/meltCurve_sp_Q9Y6X9_2_MORC2_HUMAN_.pdf", "Melting_Curves/meltCurve_sp_Q9Y6X9_2_MORC2_HUMAN_.pdf")</f>
        <v>Melting_Curves/meltCurve_sp_Q9Y6X9_2_MORC2_HUMAN_.pdf</v>
      </c>
      <c r="AA3929" t="s">
        <v>18088</v>
      </c>
      <c r="AB3929" t="s">
        <v>22762</v>
      </c>
    </row>
    <row r="3930" spans="1:28" x14ac:dyDescent="0.25">
      <c r="A3930" t="s">
        <v>3934</v>
      </c>
      <c r="B3930">
        <v>0.99904790336628502</v>
      </c>
      <c r="C3930">
        <v>0.93833944991403995</v>
      </c>
      <c r="D3930">
        <v>0.85454130321275001</v>
      </c>
      <c r="E3930">
        <v>0.64885435482831499</v>
      </c>
      <c r="F3930">
        <v>0.58294334769614198</v>
      </c>
      <c r="G3930">
        <v>0.320512644602441</v>
      </c>
      <c r="H3930">
        <v>0.31596161335767797</v>
      </c>
      <c r="I3930">
        <v>0.20392241311722001</v>
      </c>
      <c r="J3930">
        <v>0.340541085208379</v>
      </c>
      <c r="K3930">
        <v>0.38713882206441302</v>
      </c>
      <c r="L3930">
        <v>806.88950873669398</v>
      </c>
      <c r="M3930">
        <v>16.037085042732901</v>
      </c>
      <c r="N3930">
        <v>53.1693915888251</v>
      </c>
      <c r="O3930">
        <v>49.551148910981802</v>
      </c>
      <c r="P3930">
        <v>-5.7558244171788703E-2</v>
      </c>
      <c r="Q3930">
        <v>0.28868483124854</v>
      </c>
      <c r="R3930">
        <v>0.95759118728555004</v>
      </c>
      <c r="S3930" t="s">
        <v>8670</v>
      </c>
      <c r="T3930" t="s">
        <v>9478</v>
      </c>
      <c r="U3930" t="s">
        <v>9478</v>
      </c>
      <c r="V3930" t="s">
        <v>9478</v>
      </c>
      <c r="W3930">
        <v>3</v>
      </c>
      <c r="X3930" t="s">
        <v>13408</v>
      </c>
      <c r="Y3930">
        <v>0.54816088669585816</v>
      </c>
      <c r="Z3930" t="str">
        <f>HYPERLINK("Melting_Curves/meltCurve_tr_A1A5A8_A1A5A8_HUMAN_.pdf", "Melting_Curves/meltCurve_tr_A1A5A8_A1A5A8_HUMAN_.pdf")</f>
        <v>Melting_Curves/meltCurve_tr_A1A5A8_A1A5A8_HUMAN_.pdf</v>
      </c>
      <c r="AA3930" t="s">
        <v>18089</v>
      </c>
      <c r="AB3930" t="s">
        <v>22763</v>
      </c>
    </row>
    <row r="3931" spans="1:28" x14ac:dyDescent="0.25">
      <c r="A3931" t="s">
        <v>3935</v>
      </c>
      <c r="B3931">
        <v>0.99904790336628502</v>
      </c>
      <c r="C3931">
        <v>1.1189889067324601</v>
      </c>
      <c r="D3931">
        <v>1.0519688162804199</v>
      </c>
      <c r="E3931">
        <v>1.05519054745062</v>
      </c>
      <c r="F3931">
        <v>0.972725825863612</v>
      </c>
      <c r="G3931">
        <v>0.83534394535166201</v>
      </c>
      <c r="H3931">
        <v>0.58649445856095295</v>
      </c>
      <c r="I3931">
        <v>0.43454689421396198</v>
      </c>
      <c r="J3931">
        <v>0.39653620207315998</v>
      </c>
      <c r="K3931">
        <v>0.375322637770167</v>
      </c>
      <c r="L3931">
        <v>1585.15036584021</v>
      </c>
      <c r="M3931">
        <v>26.680326353874101</v>
      </c>
      <c r="N3931">
        <v>62.451357769447</v>
      </c>
      <c r="O3931">
        <v>59.081956171015001</v>
      </c>
      <c r="P3931">
        <v>-7.1860356160010699E-2</v>
      </c>
      <c r="Q3931">
        <v>0.36348522758613899</v>
      </c>
      <c r="R3931">
        <v>0.97469180649141296</v>
      </c>
      <c r="S3931" t="s">
        <v>8671</v>
      </c>
      <c r="T3931" t="s">
        <v>9478</v>
      </c>
      <c r="U3931" t="s">
        <v>9478</v>
      </c>
      <c r="V3931" t="s">
        <v>9478</v>
      </c>
      <c r="W3931">
        <v>2</v>
      </c>
      <c r="X3931" t="s">
        <v>13409</v>
      </c>
      <c r="Y3931">
        <v>0.7800440632444553</v>
      </c>
      <c r="Z3931" t="str">
        <f>HYPERLINK("Melting_Curves/meltCurve_tr_A1BQX2_A1BQX2_HUMAN_.pdf", "Melting_Curves/meltCurve_tr_A1BQX2_A1BQX2_HUMAN_.pdf")</f>
        <v>Melting_Curves/meltCurve_tr_A1BQX2_A1BQX2_HUMAN_.pdf</v>
      </c>
      <c r="AA3931" t="s">
        <v>18090</v>
      </c>
      <c r="AB3931" t="s">
        <v>22764</v>
      </c>
    </row>
    <row r="3932" spans="1:28" x14ac:dyDescent="0.25">
      <c r="A3932" t="s">
        <v>3936</v>
      </c>
      <c r="B3932">
        <v>0.99904790336628502</v>
      </c>
      <c r="C3932">
        <v>0.86308535439071898</v>
      </c>
      <c r="D3932">
        <v>0.92929241283361597</v>
      </c>
      <c r="E3932">
        <v>0.95754342803034898</v>
      </c>
      <c r="F3932">
        <v>0.81345234134642497</v>
      </c>
      <c r="G3932">
        <v>0.74373346731490397</v>
      </c>
      <c r="H3932">
        <v>0.61657843219900199</v>
      </c>
      <c r="I3932">
        <v>0.59802546629800502</v>
      </c>
      <c r="J3932">
        <v>0.47745639900098702</v>
      </c>
      <c r="K3932">
        <v>0.26520948087733498</v>
      </c>
      <c r="L3932">
        <v>504.87313696685197</v>
      </c>
      <c r="M3932">
        <v>7.7834963665679204</v>
      </c>
      <c r="N3932">
        <v>64.864568083907002</v>
      </c>
      <c r="O3932">
        <v>61.000499653711799</v>
      </c>
      <c r="P3932">
        <v>-3.1939276978037799E-2</v>
      </c>
      <c r="Q3932">
        <v>0</v>
      </c>
      <c r="R3932">
        <v>0.93051575565506495</v>
      </c>
      <c r="S3932" t="s">
        <v>8672</v>
      </c>
      <c r="T3932" t="s">
        <v>9478</v>
      </c>
      <c r="U3932" t="s">
        <v>9478</v>
      </c>
      <c r="V3932" t="s">
        <v>9478</v>
      </c>
      <c r="W3932">
        <v>7</v>
      </c>
      <c r="X3932" t="s">
        <v>13410</v>
      </c>
      <c r="Y3932">
        <v>0.75242230985817893</v>
      </c>
      <c r="Z3932" t="str">
        <f>HYPERLINK("Melting_Curves/meltCurve_tr_A2ACR1_A2ACR1_HUMAN_.pdf", "Melting_Curves/meltCurve_tr_A2ACR1_A2ACR1_HUMAN_.pdf")</f>
        <v>Melting_Curves/meltCurve_tr_A2ACR1_A2ACR1_HUMAN_.pdf</v>
      </c>
      <c r="AA3932" t="s">
        <v>18091</v>
      </c>
      <c r="AB3932" t="s">
        <v>22765</v>
      </c>
    </row>
    <row r="3933" spans="1:28" x14ac:dyDescent="0.25">
      <c r="A3933" t="s">
        <v>3937</v>
      </c>
      <c r="B3933">
        <v>0.99904790336628502</v>
      </c>
      <c r="C3933">
        <v>1.0300458468548801</v>
      </c>
      <c r="D3933">
        <v>1.05911074059559</v>
      </c>
      <c r="E3933">
        <v>0.51955337436631999</v>
      </c>
      <c r="F3933">
        <v>0.289109698602878</v>
      </c>
      <c r="G3933">
        <v>0.18589351987313099</v>
      </c>
      <c r="H3933">
        <v>9.5106334529512296E-2</v>
      </c>
      <c r="I3933">
        <v>4.651424036435E-2</v>
      </c>
      <c r="J3933">
        <v>3.5136688260340498E-2</v>
      </c>
      <c r="K3933">
        <v>3.51373275493558E-2</v>
      </c>
      <c r="L3933">
        <v>1431.4849141837501</v>
      </c>
      <c r="M3933">
        <v>28.427178989630399</v>
      </c>
      <c r="N3933">
        <v>50.633898275695898</v>
      </c>
      <c r="O3933">
        <v>50.108997168667301</v>
      </c>
      <c r="P3933">
        <v>-0.131590912445117</v>
      </c>
      <c r="Q3933">
        <v>7.2178880363406903E-2</v>
      </c>
      <c r="R3933">
        <v>0.98214909552132501</v>
      </c>
      <c r="S3933" t="s">
        <v>8673</v>
      </c>
      <c r="T3933" t="s">
        <v>9478</v>
      </c>
      <c r="U3933" t="s">
        <v>9478</v>
      </c>
      <c r="V3933" t="s">
        <v>9478</v>
      </c>
      <c r="W3933">
        <v>10</v>
      </c>
      <c r="X3933" t="s">
        <v>13411</v>
      </c>
      <c r="Y3933">
        <v>0.39890264630702099</v>
      </c>
      <c r="Z3933" t="str">
        <f>HYPERLINK("Melting_Curves/meltCurve_tr_A6H8Z3_A6H8Z3_HUMAN_.pdf", "Melting_Curves/meltCurve_tr_A6H8Z3_A6H8Z3_HUMAN_.pdf")</f>
        <v>Melting_Curves/meltCurve_tr_A6H8Z3_A6H8Z3_HUMAN_.pdf</v>
      </c>
      <c r="AA3933" t="s">
        <v>18092</v>
      </c>
      <c r="AB3933" t="s">
        <v>22766</v>
      </c>
    </row>
    <row r="3934" spans="1:28" x14ac:dyDescent="0.25">
      <c r="A3934" t="s">
        <v>3938</v>
      </c>
      <c r="B3934">
        <v>0.99904790336628502</v>
      </c>
      <c r="C3934">
        <v>0.89533054767310705</v>
      </c>
      <c r="D3934">
        <v>0.73194485860000202</v>
      </c>
      <c r="E3934">
        <v>0.54148620616395904</v>
      </c>
      <c r="F3934">
        <v>0.445954293436025</v>
      </c>
      <c r="G3934">
        <v>0.39816055408825402</v>
      </c>
      <c r="H3934">
        <v>0.18302589135590999</v>
      </c>
      <c r="I3934">
        <v>7.06217367636537E-2</v>
      </c>
      <c r="J3934">
        <v>7.6456804449338306E-2</v>
      </c>
      <c r="K3934">
        <v>1.94715559494852E-2</v>
      </c>
      <c r="L3934">
        <v>511.80734240151298</v>
      </c>
      <c r="M3934">
        <v>9.90063054042297</v>
      </c>
      <c r="N3934">
        <v>51.6944086073958</v>
      </c>
      <c r="O3934">
        <v>49.718022489601502</v>
      </c>
      <c r="P3934">
        <v>-4.9809067937809003E-2</v>
      </c>
      <c r="Q3934">
        <v>0</v>
      </c>
      <c r="R3934">
        <v>0.97741779308141696</v>
      </c>
      <c r="S3934" t="s">
        <v>8674</v>
      </c>
      <c r="T3934" t="s">
        <v>9478</v>
      </c>
      <c r="U3934" t="s">
        <v>9478</v>
      </c>
      <c r="V3934" t="s">
        <v>9478</v>
      </c>
      <c r="W3934">
        <v>1</v>
      </c>
      <c r="X3934" t="s">
        <v>13412</v>
      </c>
      <c r="Y3934">
        <v>0.42933922992091272</v>
      </c>
      <c r="Z3934" t="str">
        <f>HYPERLINK("Melting_Curves/meltCurve_tr_A6ND22_A6ND22_HUMAN_.pdf", "Melting_Curves/meltCurve_tr_A6ND22_A6ND22_HUMAN_.pdf")</f>
        <v>Melting_Curves/meltCurve_tr_A6ND22_A6ND22_HUMAN_.pdf</v>
      </c>
      <c r="AA3934" t="s">
        <v>18093</v>
      </c>
      <c r="AB3934" t="s">
        <v>22767</v>
      </c>
    </row>
    <row r="3935" spans="1:28" x14ac:dyDescent="0.25">
      <c r="A3935" t="s">
        <v>3939</v>
      </c>
      <c r="B3935">
        <v>0.99904790336628502</v>
      </c>
      <c r="C3935">
        <v>0.90233816627600905</v>
      </c>
      <c r="D3935">
        <v>0.88302231960109501</v>
      </c>
      <c r="E3935">
        <v>0.80173803113167197</v>
      </c>
      <c r="F3935">
        <v>0.69568822717282497</v>
      </c>
      <c r="G3935">
        <v>0.524063953228039</v>
      </c>
      <c r="H3935">
        <v>0.42760958073194</v>
      </c>
      <c r="I3935">
        <v>0.37053285869381702</v>
      </c>
      <c r="J3935">
        <v>0.36891912382560299</v>
      </c>
      <c r="K3935">
        <v>0.37146030248633499</v>
      </c>
      <c r="L3935">
        <v>575.44153115563597</v>
      </c>
      <c r="M3935">
        <v>10.716432464847401</v>
      </c>
      <c r="N3935">
        <v>58.407242192891701</v>
      </c>
      <c r="O3935">
        <v>51.928615451097301</v>
      </c>
      <c r="P3935">
        <v>-3.6679875998093497E-2</v>
      </c>
      <c r="Q3935">
        <v>0.28930644475815098</v>
      </c>
      <c r="R3935">
        <v>0.98852141880162203</v>
      </c>
      <c r="S3935" t="s">
        <v>8675</v>
      </c>
      <c r="T3935" t="s">
        <v>9478</v>
      </c>
      <c r="U3935" t="s">
        <v>9478</v>
      </c>
      <c r="V3935" t="s">
        <v>9478</v>
      </c>
      <c r="W3935">
        <v>9</v>
      </c>
      <c r="X3935" t="s">
        <v>13413</v>
      </c>
      <c r="Y3935">
        <v>0.63494812067026607</v>
      </c>
      <c r="Z3935" t="str">
        <f>HYPERLINK("Melting_Curves/meltCurve_tr_A6NDT1_A6NDT1_HUMAN_.pdf", "Melting_Curves/meltCurve_tr_A6NDT1_A6NDT1_HUMAN_.pdf")</f>
        <v>Melting_Curves/meltCurve_tr_A6NDT1_A6NDT1_HUMAN_.pdf</v>
      </c>
      <c r="AA3935" t="s">
        <v>16382</v>
      </c>
      <c r="AB3935" t="s">
        <v>21040</v>
      </c>
    </row>
    <row r="3936" spans="1:28" x14ac:dyDescent="0.25">
      <c r="A3936" t="s">
        <v>3940</v>
      </c>
      <c r="B3936">
        <v>0.99904790336628502</v>
      </c>
      <c r="C3936">
        <v>0.92269194064988602</v>
      </c>
      <c r="D3936">
        <v>0.83770172737876203</v>
      </c>
      <c r="E3936">
        <v>0.326346709356864</v>
      </c>
      <c r="F3936">
        <v>0.15654592180846599</v>
      </c>
      <c r="G3936">
        <v>0.118869698088683</v>
      </c>
      <c r="H3936">
        <v>6.3034105120254105E-2</v>
      </c>
      <c r="I3936">
        <v>5.5402558642429899E-2</v>
      </c>
      <c r="J3936">
        <v>5.2620392477759903E-2</v>
      </c>
      <c r="K3936">
        <v>4.70965010012597E-2</v>
      </c>
      <c r="L3936">
        <v>1277.3955465105601</v>
      </c>
      <c r="M3936">
        <v>26.385837942333001</v>
      </c>
      <c r="N3936">
        <v>48.656395060348203</v>
      </c>
      <c r="O3936">
        <v>48.136645699527897</v>
      </c>
      <c r="P3936">
        <v>-0.128538024751046</v>
      </c>
      <c r="Q3936">
        <v>6.20236137543956E-2</v>
      </c>
      <c r="R3936">
        <v>0.99632696763637696</v>
      </c>
      <c r="S3936" t="s">
        <v>8676</v>
      </c>
      <c r="T3936" t="s">
        <v>9478</v>
      </c>
      <c r="U3936" t="s">
        <v>9478</v>
      </c>
      <c r="V3936" t="s">
        <v>9478</v>
      </c>
      <c r="W3936">
        <v>4</v>
      </c>
      <c r="X3936" t="s">
        <v>13414</v>
      </c>
      <c r="Y3936">
        <v>0.33244246224049051</v>
      </c>
      <c r="Z3936" t="str">
        <f>HYPERLINK("Melting_Curves/meltCurve_tr_A6NG64_A6NG64_HUMAN_.pdf", "Melting_Curves/meltCurve_tr_A6NG64_A6NG64_HUMAN_.pdf")</f>
        <v>Melting_Curves/meltCurve_tr_A6NG64_A6NG64_HUMAN_.pdf</v>
      </c>
      <c r="AA3936" t="s">
        <v>18094</v>
      </c>
      <c r="AB3936" t="s">
        <v>22768</v>
      </c>
    </row>
    <row r="3937" spans="1:28" x14ac:dyDescent="0.25">
      <c r="A3937" t="s">
        <v>3941</v>
      </c>
      <c r="B3937">
        <v>0.99904790336628502</v>
      </c>
      <c r="C3937">
        <v>1.0291577512850101</v>
      </c>
      <c r="D3937">
        <v>1.0582635390841799</v>
      </c>
      <c r="E3937">
        <v>1.1976650577550101</v>
      </c>
      <c r="F3937">
        <v>0.85286135617774095</v>
      </c>
      <c r="G3937">
        <v>0.78745532968480003</v>
      </c>
      <c r="H3937">
        <v>0.56566948106614501</v>
      </c>
      <c r="I3937">
        <v>0.52530436379454903</v>
      </c>
      <c r="J3937">
        <v>0.46760894915013901</v>
      </c>
      <c r="K3937">
        <v>0.60988163705417298</v>
      </c>
      <c r="L3937">
        <v>1699.7782917171201</v>
      </c>
      <c r="M3937">
        <v>29.891056644558599</v>
      </c>
      <c r="O3937">
        <v>56.613082915635701</v>
      </c>
      <c r="P3937">
        <v>-6.2595527841426093E-2</v>
      </c>
      <c r="Q3937">
        <v>0.52578426547135804</v>
      </c>
      <c r="R3937">
        <v>0.88481451562000202</v>
      </c>
      <c r="S3937" t="s">
        <v>8677</v>
      </c>
      <c r="T3937" t="s">
        <v>9478</v>
      </c>
      <c r="U3937" t="s">
        <v>9478</v>
      </c>
      <c r="V3937" t="s">
        <v>9478</v>
      </c>
      <c r="W3937">
        <v>1</v>
      </c>
      <c r="X3937" t="s">
        <v>13415</v>
      </c>
      <c r="Y3937">
        <v>0.79556526718081011</v>
      </c>
      <c r="Z3937" t="str">
        <f>HYPERLINK("Melting_Curves/meltCurve_tr_A6NG79_A6NG79_HUMAN_.pdf", "Melting_Curves/meltCurve_tr_A6NG79_A6NG79_HUMAN_.pdf")</f>
        <v>Melting_Curves/meltCurve_tr_A6NG79_A6NG79_HUMAN_.pdf</v>
      </c>
      <c r="AA3937" t="s">
        <v>18095</v>
      </c>
      <c r="AB3937" t="s">
        <v>22769</v>
      </c>
    </row>
    <row r="3938" spans="1:28" x14ac:dyDescent="0.25">
      <c r="A3938" t="s">
        <v>3942</v>
      </c>
      <c r="B3938">
        <v>0.99904790336628502</v>
      </c>
      <c r="C3938">
        <v>1.01440594735304</v>
      </c>
      <c r="D3938">
        <v>0.95063260324874099</v>
      </c>
      <c r="E3938">
        <v>0.93466471851288202</v>
      </c>
      <c r="F3938">
        <v>0.95138010674753404</v>
      </c>
      <c r="G3938">
        <v>0.74874994452807997</v>
      </c>
      <c r="H3938">
        <v>0.69012934954722904</v>
      </c>
      <c r="I3938">
        <v>0.668281620495489</v>
      </c>
      <c r="J3938">
        <v>0.71974036320177903</v>
      </c>
      <c r="K3938">
        <v>0.77025736231821595</v>
      </c>
      <c r="L3938">
        <v>2425.0145145084198</v>
      </c>
      <c r="M3938">
        <v>44.375003985005897</v>
      </c>
      <c r="O3938">
        <v>54.537584939351703</v>
      </c>
      <c r="P3938">
        <v>-5.8769917376539402E-2</v>
      </c>
      <c r="Q3938">
        <v>0.71108380120502301</v>
      </c>
      <c r="R3938">
        <v>0.92631338538749497</v>
      </c>
      <c r="S3938" t="s">
        <v>8678</v>
      </c>
      <c r="T3938" t="s">
        <v>9478</v>
      </c>
      <c r="U3938" t="s">
        <v>9478</v>
      </c>
      <c r="V3938" t="s">
        <v>9478</v>
      </c>
      <c r="W3938">
        <v>12</v>
      </c>
      <c r="X3938" t="s">
        <v>13416</v>
      </c>
      <c r="Y3938">
        <v>0.85303829327960523</v>
      </c>
      <c r="Z3938" t="str">
        <f>HYPERLINK("Melting_Curves/meltCurve_tr_A6NGP5_A6NGP5_HUMAN_.pdf", "Melting_Curves/meltCurve_tr_A6NGP5_A6NGP5_HUMAN_.pdf")</f>
        <v>Melting_Curves/meltCurve_tr_A6NGP5_A6NGP5_HUMAN_.pdf</v>
      </c>
      <c r="AA3938" t="s">
        <v>18096</v>
      </c>
      <c r="AB3938" t="s">
        <v>22770</v>
      </c>
    </row>
    <row r="3939" spans="1:28" x14ac:dyDescent="0.25">
      <c r="A3939" t="s">
        <v>3943</v>
      </c>
      <c r="B3939">
        <v>0.99904790336628502</v>
      </c>
      <c r="C3939">
        <v>0.94052115798618996</v>
      </c>
      <c r="D3939">
        <v>0.93838130817649801</v>
      </c>
      <c r="E3939">
        <v>0.86290587413376296</v>
      </c>
      <c r="F3939">
        <v>0.722016804712309</v>
      </c>
      <c r="G3939">
        <v>0.48765861476608702</v>
      </c>
      <c r="H3939">
        <v>0.38334395592193099</v>
      </c>
      <c r="I3939">
        <v>0.30945673828799902</v>
      </c>
      <c r="J3939">
        <v>0.35310242583794599</v>
      </c>
      <c r="K3939">
        <v>0.32855074579436599</v>
      </c>
      <c r="L3939">
        <v>949.11825461960996</v>
      </c>
      <c r="M3939">
        <v>17.611943302784699</v>
      </c>
      <c r="N3939">
        <v>56.944242159120797</v>
      </c>
      <c r="O3939">
        <v>53.210218545288598</v>
      </c>
      <c r="P3939">
        <v>-5.7466602945880699E-2</v>
      </c>
      <c r="Q3939">
        <v>0.30555163588950202</v>
      </c>
      <c r="R3939">
        <v>0.99170800992299402</v>
      </c>
      <c r="S3939" t="s">
        <v>8679</v>
      </c>
      <c r="T3939" t="s">
        <v>9478</v>
      </c>
      <c r="U3939" t="s">
        <v>9478</v>
      </c>
      <c r="V3939" t="s">
        <v>9478</v>
      </c>
      <c r="W3939">
        <v>1</v>
      </c>
      <c r="X3939" t="s">
        <v>13417</v>
      </c>
      <c r="Y3939">
        <v>0.63860574605465636</v>
      </c>
      <c r="Z3939" t="str">
        <f>HYPERLINK("Melting_Curves/meltCurve_tr_A6NJX6_A6NJX6_HUMAN_.pdf", "Melting_Curves/meltCurve_tr_A6NJX6_A6NJX6_HUMAN_.pdf")</f>
        <v>Melting_Curves/meltCurve_tr_A6NJX6_A6NJX6_HUMAN_.pdf</v>
      </c>
      <c r="AA3939" t="s">
        <v>18097</v>
      </c>
      <c r="AB3939" t="s">
        <v>22771</v>
      </c>
    </row>
    <row r="3940" spans="1:28" x14ac:dyDescent="0.25">
      <c r="A3940" t="s">
        <v>3944</v>
      </c>
      <c r="B3940">
        <v>0.99904790336628502</v>
      </c>
      <c r="C3940">
        <v>1.0448585258306999</v>
      </c>
      <c r="D3940">
        <v>1.1173537281475601</v>
      </c>
      <c r="E3940">
        <v>1.0520295790268701</v>
      </c>
      <c r="F3940">
        <v>1.0523371658296401</v>
      </c>
      <c r="G3940">
        <v>0.52715794593251197</v>
      </c>
      <c r="H3940">
        <v>0.247453875793854</v>
      </c>
      <c r="I3940">
        <v>0.207700358572104</v>
      </c>
      <c r="J3940">
        <v>0.13381127092185099</v>
      </c>
      <c r="K3940">
        <v>0.36436157209063802</v>
      </c>
      <c r="L3940">
        <v>14221.9026304978</v>
      </c>
      <c r="M3940">
        <v>250</v>
      </c>
      <c r="N3940">
        <v>57.035339388890598</v>
      </c>
      <c r="O3940">
        <v>56.883970537534701</v>
      </c>
      <c r="P3940">
        <v>-0.83686608088208803</v>
      </c>
      <c r="Q3940">
        <v>0.23833175903431</v>
      </c>
      <c r="R3940">
        <v>0.96802633790124504</v>
      </c>
      <c r="S3940" t="s">
        <v>8680</v>
      </c>
      <c r="T3940" t="s">
        <v>9478</v>
      </c>
      <c r="U3940" t="s">
        <v>9478</v>
      </c>
      <c r="V3940" t="s">
        <v>9478</v>
      </c>
      <c r="W3940">
        <v>1</v>
      </c>
      <c r="X3940" t="s">
        <v>13418</v>
      </c>
      <c r="Y3940">
        <v>0.66716635495492749</v>
      </c>
      <c r="Z3940" t="str">
        <f>HYPERLINK("Melting_Curves/meltCurve_tr_A6NKZ2_A6NKZ2_HUMAN_.pdf", "Melting_Curves/meltCurve_tr_A6NKZ2_A6NKZ2_HUMAN_.pdf")</f>
        <v>Melting_Curves/meltCurve_tr_A6NKZ2_A6NKZ2_HUMAN_.pdf</v>
      </c>
      <c r="AA3940" t="s">
        <v>18098</v>
      </c>
      <c r="AB3940" t="s">
        <v>22772</v>
      </c>
    </row>
    <row r="3941" spans="1:28" x14ac:dyDescent="0.25">
      <c r="A3941" t="s">
        <v>3945</v>
      </c>
      <c r="B3941">
        <v>0.99904790336628502</v>
      </c>
      <c r="C3941">
        <v>0.98552714677829201</v>
      </c>
      <c r="D3941">
        <v>0.92127728270329001</v>
      </c>
      <c r="E3941">
        <v>0.59225761826398404</v>
      </c>
      <c r="F3941">
        <v>0.43053284449546098</v>
      </c>
      <c r="G3941">
        <v>0.24573542314118399</v>
      </c>
      <c r="H3941">
        <v>0.19961905284030099</v>
      </c>
      <c r="I3941">
        <v>0.14002709305727801</v>
      </c>
      <c r="J3941">
        <v>0.13574073930406799</v>
      </c>
      <c r="K3941">
        <v>0.109931107817458</v>
      </c>
      <c r="L3941">
        <v>907.94936975309304</v>
      </c>
      <c r="M3941">
        <v>17.838765162769</v>
      </c>
      <c r="N3941">
        <v>51.741831268047903</v>
      </c>
      <c r="O3941">
        <v>50.270872550499199</v>
      </c>
      <c r="P3941">
        <v>-7.7515263289874403E-2</v>
      </c>
      <c r="Q3941">
        <v>0.12627143940798599</v>
      </c>
      <c r="R3941">
        <v>0.99601734521632701</v>
      </c>
      <c r="S3941" t="s">
        <v>8681</v>
      </c>
      <c r="T3941" t="s">
        <v>9478</v>
      </c>
      <c r="U3941" t="s">
        <v>9478</v>
      </c>
      <c r="V3941" t="s">
        <v>9478</v>
      </c>
      <c r="W3941">
        <v>17</v>
      </c>
      <c r="X3941" t="s">
        <v>13419</v>
      </c>
      <c r="Y3941">
        <v>0.45863607316131177</v>
      </c>
      <c r="Z3941" t="str">
        <f>HYPERLINK("Melting_Curves/meltCurve_tr_A6NML8_A6NML8_HUMAN_.pdf", "Melting_Curves/meltCurve_tr_A6NML8_A6NML8_HUMAN_.pdf")</f>
        <v>Melting_Curves/meltCurve_tr_A6NML8_A6NML8_HUMAN_.pdf</v>
      </c>
      <c r="AA3941" t="s">
        <v>18099</v>
      </c>
      <c r="AB3941" t="s">
        <v>22773</v>
      </c>
    </row>
    <row r="3942" spans="1:28" x14ac:dyDescent="0.25">
      <c r="A3942" t="s">
        <v>3946</v>
      </c>
      <c r="B3942">
        <v>0.99904790336628502</v>
      </c>
      <c r="C3942">
        <v>0.99132490863104705</v>
      </c>
      <c r="D3942">
        <v>0.92767261532201595</v>
      </c>
      <c r="E3942">
        <v>0.86448634469736796</v>
      </c>
      <c r="F3942">
        <v>0.73870763303194797</v>
      </c>
      <c r="G3942">
        <v>0.50368421696147603</v>
      </c>
      <c r="H3942">
        <v>0.43004638896791197</v>
      </c>
      <c r="I3942">
        <v>0.43181884565343998</v>
      </c>
      <c r="J3942">
        <v>0.44531715317328502</v>
      </c>
      <c r="K3942">
        <v>0.48653669475444999</v>
      </c>
      <c r="L3942">
        <v>1192.62558283319</v>
      </c>
      <c r="M3942">
        <v>22.5899042809287</v>
      </c>
      <c r="N3942">
        <v>58.102876000534401</v>
      </c>
      <c r="O3942">
        <v>52.386119204624798</v>
      </c>
      <c r="P3942">
        <v>-6.0747630218651302E-2</v>
      </c>
      <c r="Q3942">
        <v>0.43651483844677802</v>
      </c>
      <c r="R3942">
        <v>0.98510955084471796</v>
      </c>
      <c r="S3942" t="s">
        <v>8682</v>
      </c>
      <c r="T3942" t="s">
        <v>9478</v>
      </c>
      <c r="U3942" t="s">
        <v>9478</v>
      </c>
      <c r="V3942" t="s">
        <v>9478</v>
      </c>
      <c r="W3942">
        <v>5</v>
      </c>
      <c r="X3942" t="s">
        <v>13420</v>
      </c>
      <c r="Y3942">
        <v>0.6830874343735942</v>
      </c>
      <c r="Z3942" t="str">
        <f>HYPERLINK("Melting_Curves/meltCurve_tr_A6NN40_A6NN40_HUMAN_.pdf", "Melting_Curves/meltCurve_tr_A6NN40_A6NN40_HUMAN_.pdf")</f>
        <v>Melting_Curves/meltCurve_tr_A6NN40_A6NN40_HUMAN_.pdf</v>
      </c>
      <c r="AA3942" t="s">
        <v>18100</v>
      </c>
      <c r="AB3942" t="s">
        <v>22774</v>
      </c>
    </row>
    <row r="3943" spans="1:28" x14ac:dyDescent="0.25">
      <c r="A3943" t="s">
        <v>3947</v>
      </c>
      <c r="B3943">
        <v>0.99904790336628502</v>
      </c>
      <c r="C3943">
        <v>0.84272217625600798</v>
      </c>
      <c r="D3943">
        <v>0.95186833859679598</v>
      </c>
      <c r="E3943">
        <v>0.87116188795262395</v>
      </c>
      <c r="F3943">
        <v>0.645207073067804</v>
      </c>
      <c r="G3943">
        <v>0.47949071231378998</v>
      </c>
      <c r="H3943">
        <v>0.35027988532089799</v>
      </c>
      <c r="I3943">
        <v>0.27658586093076998</v>
      </c>
      <c r="J3943">
        <v>8.7330169019663201E-2</v>
      </c>
      <c r="K3943">
        <v>4.3728372542410597E-2</v>
      </c>
      <c r="L3943">
        <v>645.58698701997605</v>
      </c>
      <c r="M3943">
        <v>11.3835712746305</v>
      </c>
      <c r="N3943">
        <v>56.7121662784145</v>
      </c>
      <c r="O3943">
        <v>55.046645391988498</v>
      </c>
      <c r="P3943">
        <v>-5.1714950073792301E-2</v>
      </c>
      <c r="Q3943">
        <v>0</v>
      </c>
      <c r="R3943">
        <v>0.96956414782301004</v>
      </c>
      <c r="S3943" t="s">
        <v>8683</v>
      </c>
      <c r="T3943" t="s">
        <v>9478</v>
      </c>
      <c r="U3943" t="s">
        <v>9478</v>
      </c>
      <c r="V3943" t="s">
        <v>9478</v>
      </c>
      <c r="W3943">
        <v>2</v>
      </c>
      <c r="X3943" t="s">
        <v>13421</v>
      </c>
      <c r="Y3943">
        <v>0.57500975173217417</v>
      </c>
      <c r="Z3943" t="str">
        <f>HYPERLINK("Melting_Curves/meltCurve_tr_A6ZJ12_A6ZJ12_HUMAN_.pdf", "Melting_Curves/meltCurve_tr_A6ZJ12_A6ZJ12_HUMAN_.pdf")</f>
        <v>Melting_Curves/meltCurve_tr_A6ZJ12_A6ZJ12_HUMAN_.pdf</v>
      </c>
      <c r="AA3943" t="s">
        <v>18101</v>
      </c>
      <c r="AB3943" t="s">
        <v>22775</v>
      </c>
    </row>
    <row r="3944" spans="1:28" x14ac:dyDescent="0.25">
      <c r="A3944" t="s">
        <v>3948</v>
      </c>
      <c r="B3944">
        <v>0.99904790336628502</v>
      </c>
      <c r="C3944">
        <v>1.0133627954138</v>
      </c>
      <c r="D3944">
        <v>1.00144203177765</v>
      </c>
      <c r="E3944">
        <v>0.90457224390662805</v>
      </c>
      <c r="F3944">
        <v>0.79382946621526596</v>
      </c>
      <c r="G3944">
        <v>0.57307669899182101</v>
      </c>
      <c r="H3944">
        <v>0.45042603000832798</v>
      </c>
      <c r="I3944">
        <v>0.39499146001139801</v>
      </c>
      <c r="J3944">
        <v>0.38085951717689998</v>
      </c>
      <c r="K3944">
        <v>0.33288871542288501</v>
      </c>
      <c r="L3944">
        <v>981.39723205591804</v>
      </c>
      <c r="M3944">
        <v>17.7513663492558</v>
      </c>
      <c r="N3944">
        <v>59.016418470641099</v>
      </c>
      <c r="O3944">
        <v>54.598432648276898</v>
      </c>
      <c r="P3944">
        <v>-5.3875430698620497E-2</v>
      </c>
      <c r="Q3944">
        <v>0.337209185320969</v>
      </c>
      <c r="R3944">
        <v>0.99792762530679702</v>
      </c>
      <c r="S3944" t="s">
        <v>8684</v>
      </c>
      <c r="T3944" t="s">
        <v>9478</v>
      </c>
      <c r="U3944" t="s">
        <v>9478</v>
      </c>
      <c r="V3944" t="s">
        <v>9478</v>
      </c>
      <c r="W3944">
        <v>20</v>
      </c>
      <c r="X3944" t="s">
        <v>13422</v>
      </c>
      <c r="Y3944">
        <v>0.68523056352448763</v>
      </c>
      <c r="Z3944" t="str">
        <f>HYPERLINK("Melting_Curves/meltCurve_tr_A8CTX8_A8CTX8_HUMAN_.pdf", "Melting_Curves/meltCurve_tr_A8CTX8_A8CTX8_HUMAN_.pdf")</f>
        <v>Melting_Curves/meltCurve_tr_A8CTX8_A8CTX8_HUMAN_.pdf</v>
      </c>
      <c r="AA3944" t="s">
        <v>18102</v>
      </c>
      <c r="AB3944" t="s">
        <v>22776</v>
      </c>
    </row>
    <row r="3945" spans="1:28" x14ac:dyDescent="0.25">
      <c r="A3945" t="s">
        <v>3949</v>
      </c>
      <c r="B3945">
        <v>0.99904790336628502</v>
      </c>
      <c r="C3945">
        <v>1.0250937427324101</v>
      </c>
      <c r="D3945">
        <v>0.93913697646085803</v>
      </c>
      <c r="E3945">
        <v>0.86888500743431396</v>
      </c>
      <c r="F3945">
        <v>0.90128263715601498</v>
      </c>
      <c r="G3945">
        <v>0.43341518490326197</v>
      </c>
      <c r="H3945">
        <v>0.31965514064404799</v>
      </c>
      <c r="I3945">
        <v>0.297250203024638</v>
      </c>
      <c r="J3945">
        <v>0.307379477246426</v>
      </c>
      <c r="K3945">
        <v>0.30943211331853998</v>
      </c>
      <c r="L3945">
        <v>2158.83323944012</v>
      </c>
      <c r="M3945">
        <v>39.226738493256498</v>
      </c>
      <c r="N3945">
        <v>56.366756916600202</v>
      </c>
      <c r="O3945">
        <v>54.892289287802399</v>
      </c>
      <c r="P3945">
        <v>-0.12467767587446101</v>
      </c>
      <c r="Q3945">
        <v>0.30212625614306798</v>
      </c>
      <c r="R3945">
        <v>0.98013096011864598</v>
      </c>
      <c r="S3945" t="s">
        <v>8685</v>
      </c>
      <c r="T3945" t="s">
        <v>9478</v>
      </c>
      <c r="U3945" t="s">
        <v>9478</v>
      </c>
      <c r="V3945" t="s">
        <v>9478</v>
      </c>
      <c r="W3945">
        <v>6</v>
      </c>
      <c r="X3945" t="s">
        <v>13423</v>
      </c>
      <c r="Y3945">
        <v>0.65462059826677232</v>
      </c>
      <c r="Z3945" t="str">
        <f>HYPERLINK("Melting_Curves/meltCurve_tr_A8MQB8_A8MQB8_HUMAN_.pdf", "Melting_Curves/meltCurve_tr_A8MQB8_A8MQB8_HUMAN_.pdf")</f>
        <v>Melting_Curves/meltCurve_tr_A8MQB8_A8MQB8_HUMAN_.pdf</v>
      </c>
      <c r="AA3945" t="s">
        <v>18103</v>
      </c>
      <c r="AB3945" t="s">
        <v>22777</v>
      </c>
    </row>
    <row r="3946" spans="1:28" x14ac:dyDescent="0.25">
      <c r="A3946" t="s">
        <v>3950</v>
      </c>
      <c r="B3946">
        <v>0.99904790336628502</v>
      </c>
      <c r="C3946">
        <v>1.00933129808727</v>
      </c>
      <c r="D3946">
        <v>1.00417056173873</v>
      </c>
      <c r="E3946">
        <v>0.76494486567883602</v>
      </c>
      <c r="F3946">
        <v>0.201492795119215</v>
      </c>
      <c r="G3946">
        <v>7.6493667096732595E-2</v>
      </c>
      <c r="H3946">
        <v>4.18468976361221E-2</v>
      </c>
      <c r="I3946">
        <v>2.1376101275297401E-2</v>
      </c>
      <c r="J3946">
        <v>1.3812732573893E-2</v>
      </c>
      <c r="K3946">
        <v>1.1520019465256701E-2</v>
      </c>
      <c r="L3946">
        <v>2327.9604664937301</v>
      </c>
      <c r="M3946">
        <v>45.428445919573001</v>
      </c>
      <c r="N3946">
        <v>51.314725394524103</v>
      </c>
      <c r="O3946">
        <v>51.145552375228597</v>
      </c>
      <c r="P3946">
        <v>-0.21536937897268199</v>
      </c>
      <c r="Q3946">
        <v>3.01079859462914E-2</v>
      </c>
      <c r="R3946">
        <v>0.99878376877814201</v>
      </c>
      <c r="S3946" t="s">
        <v>8686</v>
      </c>
      <c r="T3946" t="s">
        <v>9478</v>
      </c>
      <c r="U3946" t="s">
        <v>9478</v>
      </c>
      <c r="V3946" t="s">
        <v>9478</v>
      </c>
      <c r="W3946">
        <v>7</v>
      </c>
      <c r="X3946" t="s">
        <v>13424</v>
      </c>
      <c r="Y3946">
        <v>0.39630010398113519</v>
      </c>
      <c r="Z3946" t="str">
        <f>HYPERLINK("Melting_Curves/meltCurve_tr_A8MTY9_A8MTY9_HUMAN_.pdf", "Melting_Curves/meltCurve_tr_A8MTY9_A8MTY9_HUMAN_.pdf")</f>
        <v>Melting_Curves/meltCurve_tr_A8MTY9_A8MTY9_HUMAN_.pdf</v>
      </c>
      <c r="AA3946" t="s">
        <v>18104</v>
      </c>
      <c r="AB3946" t="s">
        <v>22778</v>
      </c>
    </row>
    <row r="3947" spans="1:28" x14ac:dyDescent="0.25">
      <c r="A3947" t="s">
        <v>3951</v>
      </c>
      <c r="B3947">
        <v>0.99904790336628502</v>
      </c>
      <c r="C3947">
        <v>0.91588530811498403</v>
      </c>
      <c r="D3947">
        <v>0.94191441972141399</v>
      </c>
      <c r="E3947">
        <v>0.86218093336674495</v>
      </c>
      <c r="F3947">
        <v>0.46246319957305898</v>
      </c>
      <c r="G3947">
        <v>0.14674423901058001</v>
      </c>
      <c r="H3947">
        <v>7.4127723675710494E-2</v>
      </c>
      <c r="I3947">
        <v>4.5237935681600401E-2</v>
      </c>
      <c r="J3947">
        <v>2.4454021136494201E-2</v>
      </c>
      <c r="K3947">
        <v>2.3049368936601901E-2</v>
      </c>
      <c r="L3947">
        <v>1520.1628566562499</v>
      </c>
      <c r="M3947">
        <v>28.833766469362502</v>
      </c>
      <c r="N3947">
        <v>52.857774482837101</v>
      </c>
      <c r="O3947">
        <v>52.469982803251298</v>
      </c>
      <c r="P3947">
        <v>-0.132466225233803</v>
      </c>
      <c r="Q3947">
        <v>3.5790633603256503E-2</v>
      </c>
      <c r="R3947">
        <v>0.99358596908129504</v>
      </c>
      <c r="S3947" t="s">
        <v>8687</v>
      </c>
      <c r="T3947" t="s">
        <v>9478</v>
      </c>
      <c r="U3947" t="s">
        <v>9478</v>
      </c>
      <c r="V3947" t="s">
        <v>9478</v>
      </c>
      <c r="W3947">
        <v>14</v>
      </c>
      <c r="X3947" t="s">
        <v>13425</v>
      </c>
      <c r="Y3947">
        <v>0.45139892713889401</v>
      </c>
      <c r="Z3947" t="str">
        <f>HYPERLINK("Melting_Curves/meltCurve_tr_A8MU28_A8MU28_HUMAN_.pdf", "Melting_Curves/meltCurve_tr_A8MU28_A8MU28_HUMAN_.pdf")</f>
        <v>Melting_Curves/meltCurve_tr_A8MU28_A8MU28_HUMAN_.pdf</v>
      </c>
      <c r="AA3947" t="s">
        <v>18105</v>
      </c>
      <c r="AB3947" t="s">
        <v>22779</v>
      </c>
    </row>
    <row r="3948" spans="1:28" x14ac:dyDescent="0.25">
      <c r="A3948" t="s">
        <v>3952</v>
      </c>
      <c r="B3948">
        <v>0.99904790336628502</v>
      </c>
      <c r="C3948">
        <v>1.05398215638223</v>
      </c>
      <c r="D3948">
        <v>1.0973203270340299</v>
      </c>
      <c r="E3948">
        <v>0.81843307513680597</v>
      </c>
      <c r="F3948">
        <v>0.54340541462903802</v>
      </c>
      <c r="G3948">
        <v>0.25258644971941002</v>
      </c>
      <c r="H3948">
        <v>0.150283159913422</v>
      </c>
      <c r="I3948">
        <v>0.10493098192716301</v>
      </c>
      <c r="J3948">
        <v>9.0660904866413303E-2</v>
      </c>
      <c r="K3948">
        <v>7.6436103740714606E-2</v>
      </c>
      <c r="L3948">
        <v>1311.22911755158</v>
      </c>
      <c r="M3948">
        <v>24.702989434029799</v>
      </c>
      <c r="N3948">
        <v>53.529555054489897</v>
      </c>
      <c r="O3948">
        <v>52.735600466426703</v>
      </c>
      <c r="P3948">
        <v>-0.10613423997372801</v>
      </c>
      <c r="Q3948">
        <v>9.3717148756004107E-2</v>
      </c>
      <c r="R3948">
        <v>0.98900248629015597</v>
      </c>
      <c r="S3948" t="s">
        <v>8688</v>
      </c>
      <c r="T3948" t="s">
        <v>9478</v>
      </c>
      <c r="U3948" t="s">
        <v>9478</v>
      </c>
      <c r="V3948" t="s">
        <v>9478</v>
      </c>
      <c r="W3948">
        <v>27</v>
      </c>
      <c r="X3948" t="s">
        <v>13426</v>
      </c>
      <c r="Y3948">
        <v>0.49738725979112969</v>
      </c>
      <c r="Z3948" t="str">
        <f>HYPERLINK("Melting_Curves/meltCurve_tr_A8MU44_A8MU44_HUMAN_.pdf", "Melting_Curves/meltCurve_tr_A8MU44_A8MU44_HUMAN_.pdf")</f>
        <v>Melting_Curves/meltCurve_tr_A8MU44_A8MU44_HUMAN_.pdf</v>
      </c>
      <c r="AA3948" t="s">
        <v>18106</v>
      </c>
      <c r="AB3948" t="s">
        <v>22780</v>
      </c>
    </row>
    <row r="3949" spans="1:28" x14ac:dyDescent="0.25">
      <c r="A3949" t="s">
        <v>3953</v>
      </c>
      <c r="B3949">
        <v>0.99904790336628502</v>
      </c>
      <c r="C3949">
        <v>0.84421432552109998</v>
      </c>
      <c r="D3949">
        <v>0.630694694868141</v>
      </c>
      <c r="E3949">
        <v>0.37558069091851298</v>
      </c>
      <c r="F3949">
        <v>0.19894229787760501</v>
      </c>
      <c r="G3949">
        <v>0.12310323422799101</v>
      </c>
      <c r="H3949">
        <v>5.44156743561778E-2</v>
      </c>
      <c r="I3949">
        <v>3.5145095768252699E-2</v>
      </c>
      <c r="J3949">
        <v>3.7848144616406301E-2</v>
      </c>
      <c r="K3949">
        <v>2.8001857160122198E-2</v>
      </c>
      <c r="L3949">
        <v>712.57807719736297</v>
      </c>
      <c r="M3949">
        <v>14.8954009713287</v>
      </c>
      <c r="N3949">
        <v>47.984729282318298</v>
      </c>
      <c r="O3949">
        <v>47.0013955180777</v>
      </c>
      <c r="P3949">
        <v>-7.7482102171533299E-2</v>
      </c>
      <c r="Q3949">
        <v>2.21441732690086E-2</v>
      </c>
      <c r="R3949">
        <v>0.99685510616245598</v>
      </c>
      <c r="S3949" t="s">
        <v>8689</v>
      </c>
      <c r="T3949" t="s">
        <v>9478</v>
      </c>
      <c r="U3949" t="s">
        <v>9478</v>
      </c>
      <c r="V3949" t="s">
        <v>9478</v>
      </c>
      <c r="W3949">
        <v>15</v>
      </c>
      <c r="X3949" t="s">
        <v>13427</v>
      </c>
      <c r="Y3949">
        <v>0.30336681780123509</v>
      </c>
      <c r="Z3949" t="str">
        <f>HYPERLINK("Melting_Curves/meltCurve_tr_A8MUB1_A8MUB1_HUMAN_.pdf", "Melting_Curves/meltCurve_tr_A8MUB1_A8MUB1_HUMAN_.pdf")</f>
        <v>Melting_Curves/meltCurve_tr_A8MUB1_A8MUB1_HUMAN_.pdf</v>
      </c>
      <c r="AA3949" t="s">
        <v>18107</v>
      </c>
      <c r="AB3949" t="s">
        <v>22781</v>
      </c>
    </row>
    <row r="3950" spans="1:28" x14ac:dyDescent="0.25">
      <c r="A3950" t="s">
        <v>3954</v>
      </c>
      <c r="B3950">
        <v>0.99904790336628502</v>
      </c>
      <c r="C3950">
        <v>1.08885676930833</v>
      </c>
      <c r="D3950">
        <v>1.16607089829675</v>
      </c>
      <c r="E3950">
        <v>0.75743169953996603</v>
      </c>
      <c r="F3950">
        <v>0.175004911461552</v>
      </c>
      <c r="G3950">
        <v>5.8120368433468801E-2</v>
      </c>
      <c r="H3950">
        <v>1.9431369595888599E-2</v>
      </c>
      <c r="I3950">
        <v>4.5166533614468797E-2</v>
      </c>
      <c r="J3950">
        <v>0</v>
      </c>
      <c r="K3950">
        <v>3.1006344408730801E-2</v>
      </c>
      <c r="L3950">
        <v>2585.4261323749101</v>
      </c>
      <c r="M3950">
        <v>50.568131442134202</v>
      </c>
      <c r="N3950">
        <v>51.190873218128303</v>
      </c>
      <c r="O3950">
        <v>51.047799583245201</v>
      </c>
      <c r="P3950">
        <v>-0.24014600737390701</v>
      </c>
      <c r="Q3950">
        <v>3.0304852651807199E-2</v>
      </c>
      <c r="R3950">
        <v>0.983044407521386</v>
      </c>
      <c r="S3950" t="s">
        <v>8690</v>
      </c>
      <c r="T3950" t="s">
        <v>9478</v>
      </c>
      <c r="U3950" t="s">
        <v>9478</v>
      </c>
      <c r="V3950" t="s">
        <v>9478</v>
      </c>
      <c r="W3950">
        <v>3</v>
      </c>
      <c r="X3950" t="s">
        <v>13428</v>
      </c>
      <c r="Y3950">
        <v>0.39212121534585748</v>
      </c>
      <c r="Z3950" t="str">
        <f>HYPERLINK("Melting_Curves/meltCurve_tr_A8MVQ8_A8MVQ8_HUMAN_.pdf", "Melting_Curves/meltCurve_tr_A8MVQ8_A8MVQ8_HUMAN_.pdf")</f>
        <v>Melting_Curves/meltCurve_tr_A8MVQ8_A8MVQ8_HUMAN_.pdf</v>
      </c>
      <c r="AA3950" t="s">
        <v>18108</v>
      </c>
      <c r="AB3950" t="s">
        <v>22782</v>
      </c>
    </row>
    <row r="3951" spans="1:28" x14ac:dyDescent="0.25">
      <c r="A3951" t="s">
        <v>3955</v>
      </c>
      <c r="B3951">
        <v>0.99904790336628502</v>
      </c>
      <c r="C3951">
        <v>0.98716297011815701</v>
      </c>
      <c r="D3951">
        <v>1.02978590840484</v>
      </c>
      <c r="E3951">
        <v>0.92370875134159103</v>
      </c>
      <c r="F3951">
        <v>0.87069718582584898</v>
      </c>
      <c r="G3951">
        <v>0.565422272147177</v>
      </c>
      <c r="H3951">
        <v>0.41604662196587899</v>
      </c>
      <c r="I3951">
        <v>0.52034986231908897</v>
      </c>
      <c r="J3951">
        <v>0.52340006713541598</v>
      </c>
      <c r="K3951">
        <v>0.448378755826639</v>
      </c>
      <c r="L3951">
        <v>1940.6460281243801</v>
      </c>
      <c r="M3951">
        <v>35.643641809230601</v>
      </c>
      <c r="N3951">
        <v>59.417180414331902</v>
      </c>
      <c r="O3951">
        <v>54.275258765078398</v>
      </c>
      <c r="P3951">
        <v>-8.6250356184331994E-2</v>
      </c>
      <c r="Q3951">
        <v>0.47466141911934201</v>
      </c>
      <c r="R3951">
        <v>0.97557220888025498</v>
      </c>
      <c r="S3951" t="s">
        <v>8691</v>
      </c>
      <c r="T3951" t="s">
        <v>9478</v>
      </c>
      <c r="U3951" t="s">
        <v>9478</v>
      </c>
      <c r="V3951" t="s">
        <v>9478</v>
      </c>
      <c r="W3951">
        <v>2</v>
      </c>
      <c r="X3951" t="s">
        <v>13429</v>
      </c>
      <c r="Y3951">
        <v>0.73010474703289818</v>
      </c>
      <c r="Z3951" t="str">
        <f>HYPERLINK("Melting_Curves/meltCurve_tr_A8MWK3_A8MWK3_HUMAN_.pdf", "Melting_Curves/meltCurve_tr_A8MWK3_A8MWK3_HUMAN_.pdf")</f>
        <v>Melting_Curves/meltCurve_tr_A8MWK3_A8MWK3_HUMAN_.pdf</v>
      </c>
      <c r="AA3951" t="s">
        <v>18109</v>
      </c>
      <c r="AB3951" t="s">
        <v>22783</v>
      </c>
    </row>
    <row r="3952" spans="1:28" x14ac:dyDescent="0.25">
      <c r="A3952" t="s">
        <v>3956</v>
      </c>
      <c r="B3952">
        <v>0.99904790336628502</v>
      </c>
      <c r="C3952">
        <v>1.0884187318048</v>
      </c>
      <c r="D3952">
        <v>0.96810114006310699</v>
      </c>
      <c r="E3952">
        <v>0.99283512166111099</v>
      </c>
      <c r="F3952">
        <v>1.0042160621476801</v>
      </c>
      <c r="G3952">
        <v>0.61232038035090897</v>
      </c>
      <c r="H3952">
        <v>0.50924678932040601</v>
      </c>
      <c r="I3952">
        <v>0.39390957553752298</v>
      </c>
      <c r="J3952">
        <v>0.41391433988867998</v>
      </c>
      <c r="K3952">
        <v>0.33124800955040201</v>
      </c>
      <c r="L3952">
        <v>2217.1324162690898</v>
      </c>
      <c r="M3952">
        <v>39.286904964490702</v>
      </c>
      <c r="N3952">
        <v>58.818485803758001</v>
      </c>
      <c r="O3952">
        <v>56.2887619412936</v>
      </c>
      <c r="P3952">
        <v>-0.104992477685381</v>
      </c>
      <c r="Q3952">
        <v>0.39828465152460202</v>
      </c>
      <c r="R3952">
        <v>0.97208315174078297</v>
      </c>
      <c r="S3952" t="s">
        <v>8692</v>
      </c>
      <c r="T3952" t="s">
        <v>9478</v>
      </c>
      <c r="U3952" t="s">
        <v>9478</v>
      </c>
      <c r="V3952" t="s">
        <v>9478</v>
      </c>
      <c r="W3952">
        <v>2</v>
      </c>
      <c r="X3952" t="s">
        <v>13430</v>
      </c>
      <c r="Y3952">
        <v>0.73032339518769462</v>
      </c>
      <c r="Z3952" t="str">
        <f>HYPERLINK("Melting_Curves/meltCurve_tr_A8MWR6_A8MWR6_HUMAN_.pdf", "Melting_Curves/meltCurve_tr_A8MWR6_A8MWR6_HUMAN_.pdf")</f>
        <v>Melting_Curves/meltCurve_tr_A8MWR6_A8MWR6_HUMAN_.pdf</v>
      </c>
      <c r="AA3952" t="s">
        <v>18110</v>
      </c>
      <c r="AB3952" t="s">
        <v>22784</v>
      </c>
    </row>
    <row r="3953" spans="1:28" x14ac:dyDescent="0.25">
      <c r="A3953" t="s">
        <v>3957</v>
      </c>
      <c r="B3953">
        <v>0.99904790336628502</v>
      </c>
      <c r="C3953">
        <v>0.91849923400542699</v>
      </c>
      <c r="D3953">
        <v>0.87720284920462499</v>
      </c>
      <c r="E3953">
        <v>0.76724431442839802</v>
      </c>
      <c r="F3953">
        <v>0.59348951260187</v>
      </c>
      <c r="G3953">
        <v>0.33105318402642098</v>
      </c>
      <c r="H3953">
        <v>0.27823254512559797</v>
      </c>
      <c r="I3953">
        <v>0.240345429182627</v>
      </c>
      <c r="J3953">
        <v>0.22599608061328499</v>
      </c>
      <c r="K3953">
        <v>0.21780051956414501</v>
      </c>
      <c r="L3953">
        <v>774.19528803384298</v>
      </c>
      <c r="M3953">
        <v>14.741759482756899</v>
      </c>
      <c r="N3953">
        <v>54.228966734317503</v>
      </c>
      <c r="O3953">
        <v>51.579164727390399</v>
      </c>
      <c r="P3953">
        <v>-5.8165422292650301E-2</v>
      </c>
      <c r="Q3953">
        <v>0.186040307624426</v>
      </c>
      <c r="R3953">
        <v>0.99113801707018001</v>
      </c>
      <c r="S3953" t="s">
        <v>8693</v>
      </c>
      <c r="T3953" t="s">
        <v>9478</v>
      </c>
      <c r="U3953" t="s">
        <v>9478</v>
      </c>
      <c r="V3953" t="s">
        <v>9478</v>
      </c>
      <c r="W3953">
        <v>15</v>
      </c>
      <c r="X3953" t="s">
        <v>13431</v>
      </c>
      <c r="Y3953">
        <v>0.54396853059968697</v>
      </c>
      <c r="Z3953" t="str">
        <f>HYPERLINK("Melting_Curves/meltCurve_tr_A8MXP9_A8MXP9_HUMAN_.pdf", "Melting_Curves/meltCurve_tr_A8MXP9_A8MXP9_HUMAN_.pdf")</f>
        <v>Melting_Curves/meltCurve_tr_A8MXP9_A8MXP9_HUMAN_.pdf</v>
      </c>
      <c r="AA3953" t="s">
        <v>18111</v>
      </c>
      <c r="AB3953" t="s">
        <v>22785</v>
      </c>
    </row>
    <row r="3954" spans="1:28" x14ac:dyDescent="0.25">
      <c r="A3954" t="s">
        <v>3958</v>
      </c>
      <c r="B3954">
        <v>0.99904790336628502</v>
      </c>
      <c r="C3954">
        <v>0.98294163934517298</v>
      </c>
      <c r="D3954">
        <v>1.1081169832356701</v>
      </c>
      <c r="E3954">
        <v>0.98238336120245495</v>
      </c>
      <c r="F3954">
        <v>0.720076497686716</v>
      </c>
      <c r="G3954">
        <v>0.44627207963356103</v>
      </c>
      <c r="H3954">
        <v>0.111815639537167</v>
      </c>
      <c r="I3954">
        <v>3.9882589502980403E-2</v>
      </c>
      <c r="J3954">
        <v>9.6774965410355799E-3</v>
      </c>
      <c r="K3954">
        <v>0</v>
      </c>
      <c r="L3954">
        <v>1281.5688320259501</v>
      </c>
      <c r="M3954">
        <v>22.8894572951105</v>
      </c>
      <c r="N3954">
        <v>55.989480847737603</v>
      </c>
      <c r="O3954">
        <v>55.567382002160699</v>
      </c>
      <c r="P3954">
        <v>-0.102982601235021</v>
      </c>
      <c r="Q3954">
        <v>0</v>
      </c>
      <c r="R3954">
        <v>0.98859550904052096</v>
      </c>
      <c r="S3954" t="s">
        <v>8694</v>
      </c>
      <c r="T3954" t="s">
        <v>9478</v>
      </c>
      <c r="U3954" t="s">
        <v>9478</v>
      </c>
      <c r="V3954" t="s">
        <v>9478</v>
      </c>
      <c r="W3954">
        <v>1</v>
      </c>
      <c r="X3954" t="s">
        <v>13432</v>
      </c>
      <c r="Y3954">
        <v>0.54356443833430979</v>
      </c>
      <c r="Z3954" t="str">
        <f>HYPERLINK("Melting_Curves/meltCurve_tr_A8MYC1_A8MYC1_HUMAN_.pdf", "Melting_Curves/meltCurve_tr_A8MYC1_A8MYC1_HUMAN_.pdf")</f>
        <v>Melting_Curves/meltCurve_tr_A8MYC1_A8MYC1_HUMAN_.pdf</v>
      </c>
      <c r="AA3954" t="s">
        <v>18112</v>
      </c>
      <c r="AB3954" t="s">
        <v>22786</v>
      </c>
    </row>
    <row r="3955" spans="1:28" x14ac:dyDescent="0.25">
      <c r="A3955" t="s">
        <v>3959</v>
      </c>
      <c r="B3955">
        <v>0.99904790336628502</v>
      </c>
      <c r="C3955">
        <v>1.0102674635187201</v>
      </c>
      <c r="D3955">
        <v>0.98569815875011602</v>
      </c>
      <c r="E3955">
        <v>0.97963108622927197</v>
      </c>
      <c r="F3955">
        <v>0.82108457510724997</v>
      </c>
      <c r="G3955">
        <v>0.58443209981160704</v>
      </c>
      <c r="H3955">
        <v>0.46505340652714999</v>
      </c>
      <c r="I3955">
        <v>0.377832983074252</v>
      </c>
      <c r="J3955">
        <v>0.37444702209743602</v>
      </c>
      <c r="K3955">
        <v>0.311763257948936</v>
      </c>
      <c r="L3955">
        <v>1117.9912949677</v>
      </c>
      <c r="M3955">
        <v>19.993434059136</v>
      </c>
      <c r="N3955">
        <v>59.119166858147103</v>
      </c>
      <c r="O3955">
        <v>55.367531473918298</v>
      </c>
      <c r="P3955">
        <v>-6.0428450042742998E-2</v>
      </c>
      <c r="Q3955">
        <v>0.33064723327839102</v>
      </c>
      <c r="R3955">
        <v>0.99474132470413401</v>
      </c>
      <c r="S3955" t="s">
        <v>8695</v>
      </c>
      <c r="T3955" t="s">
        <v>9478</v>
      </c>
      <c r="U3955" t="s">
        <v>9478</v>
      </c>
      <c r="V3955" t="s">
        <v>9478</v>
      </c>
      <c r="W3955">
        <v>7</v>
      </c>
      <c r="X3955" t="s">
        <v>13433</v>
      </c>
      <c r="Y3955">
        <v>0.69445875361215426</v>
      </c>
      <c r="Z3955" t="str">
        <f>HYPERLINK("Melting_Curves/meltCurve_tr_A8MYV2_A8MYV2_HUMAN_.pdf", "Melting_Curves/meltCurve_tr_A8MYV2_A8MYV2_HUMAN_.pdf")</f>
        <v>Melting_Curves/meltCurve_tr_A8MYV2_A8MYV2_HUMAN_.pdf</v>
      </c>
      <c r="AA3955" t="s">
        <v>18113</v>
      </c>
      <c r="AB3955" t="s">
        <v>22787</v>
      </c>
    </row>
    <row r="3956" spans="1:28" x14ac:dyDescent="0.25">
      <c r="A3956" t="s">
        <v>3960</v>
      </c>
      <c r="B3956">
        <v>0.99904790336628502</v>
      </c>
      <c r="C3956">
        <v>1.12404562964124</v>
      </c>
      <c r="D3956">
        <v>1.06867064887138</v>
      </c>
      <c r="E3956">
        <v>1.1010486167656399</v>
      </c>
      <c r="F3956">
        <v>1.0708096548239601</v>
      </c>
      <c r="G3956">
        <v>0.84487972402793898</v>
      </c>
      <c r="H3956">
        <v>0.75858545138537503</v>
      </c>
      <c r="I3956">
        <v>0.76432460342976105</v>
      </c>
      <c r="J3956">
        <v>0.70066958033450799</v>
      </c>
      <c r="K3956">
        <v>0.60509135556434301</v>
      </c>
      <c r="L3956">
        <v>1423.46186302211</v>
      </c>
      <c r="M3956">
        <v>24.0850919646692</v>
      </c>
      <c r="O3956">
        <v>58.698453066583902</v>
      </c>
      <c r="P3956">
        <v>-3.51186802721161E-2</v>
      </c>
      <c r="Q3956">
        <v>0.65765042478743496</v>
      </c>
      <c r="R3956">
        <v>0.84520085148714597</v>
      </c>
      <c r="S3956" t="s">
        <v>8696</v>
      </c>
      <c r="T3956" t="s">
        <v>9478</v>
      </c>
      <c r="U3956" t="s">
        <v>9478</v>
      </c>
      <c r="V3956" t="s">
        <v>9478</v>
      </c>
      <c r="W3956">
        <v>5</v>
      </c>
      <c r="X3956" t="s">
        <v>13434</v>
      </c>
      <c r="Y3956">
        <v>0.87852976865095012</v>
      </c>
      <c r="Z3956" t="str">
        <f>HYPERLINK("Melting_Curves/meltCurve_tr_A9Z1X7_A9Z1X7_HUMAN_.pdf", "Melting_Curves/meltCurve_tr_A9Z1X7_A9Z1X7_HUMAN_.pdf")</f>
        <v>Melting_Curves/meltCurve_tr_A9Z1X7_A9Z1X7_HUMAN_.pdf</v>
      </c>
      <c r="AA3956" t="s">
        <v>18114</v>
      </c>
      <c r="AB3956" t="s">
        <v>22788</v>
      </c>
    </row>
    <row r="3957" spans="1:28" x14ac:dyDescent="0.25">
      <c r="A3957" t="s">
        <v>3961</v>
      </c>
      <c r="B3957">
        <v>0.99904790336628502</v>
      </c>
      <c r="C3957">
        <v>1.0813857793552699</v>
      </c>
      <c r="D3957">
        <v>0.98731886282175696</v>
      </c>
      <c r="E3957">
        <v>0.79297106776894</v>
      </c>
      <c r="F3957">
        <v>0.49795634263417199</v>
      </c>
      <c r="G3957">
        <v>0.227180940251063</v>
      </c>
      <c r="H3957">
        <v>0.13958886829441</v>
      </c>
      <c r="I3957">
        <v>7.4930369169734695E-2</v>
      </c>
      <c r="J3957">
        <v>6.7421615627502096E-2</v>
      </c>
      <c r="K3957">
        <v>3.2196925255179601E-2</v>
      </c>
      <c r="L3957">
        <v>1157.5292416022401</v>
      </c>
      <c r="M3957">
        <v>21.8959402080826</v>
      </c>
      <c r="N3957">
        <v>53.163034630905301</v>
      </c>
      <c r="O3957">
        <v>52.429983418162998</v>
      </c>
      <c r="P3957">
        <v>-9.8378135814078893E-2</v>
      </c>
      <c r="Q3957">
        <v>5.7752759963018797E-2</v>
      </c>
      <c r="R3957">
        <v>0.99380659740059396</v>
      </c>
      <c r="S3957" t="s">
        <v>8697</v>
      </c>
      <c r="T3957" t="s">
        <v>9478</v>
      </c>
      <c r="U3957" t="s">
        <v>9478</v>
      </c>
      <c r="V3957" t="s">
        <v>9478</v>
      </c>
      <c r="W3957">
        <v>6</v>
      </c>
      <c r="X3957" t="s">
        <v>13435</v>
      </c>
      <c r="Y3957">
        <v>0.47288457516591598</v>
      </c>
      <c r="Z3957" t="str">
        <f>HYPERLINK("Melting_Curves/meltCurve_tr_B0FLL2_B0FLL2_HUMAN_.pdf", "Melting_Curves/meltCurve_tr_B0FLL2_B0FLL2_HUMAN_.pdf")</f>
        <v>Melting_Curves/meltCurve_tr_B0FLL2_B0FLL2_HUMAN_.pdf</v>
      </c>
      <c r="AA3957" t="s">
        <v>18115</v>
      </c>
      <c r="AB3957" t="s">
        <v>22789</v>
      </c>
    </row>
    <row r="3958" spans="1:28" x14ac:dyDescent="0.25">
      <c r="A3958" t="s">
        <v>3962</v>
      </c>
      <c r="B3958">
        <v>0.99904790336628502</v>
      </c>
      <c r="C3958">
        <v>0.99138555403105899</v>
      </c>
      <c r="D3958">
        <v>0.92274960683487295</v>
      </c>
      <c r="E3958">
        <v>0.78257741565471794</v>
      </c>
      <c r="F3958">
        <v>0.65945828095157999</v>
      </c>
      <c r="G3958">
        <v>0.441599388137488</v>
      </c>
      <c r="H3958">
        <v>0.32412000498042598</v>
      </c>
      <c r="I3958">
        <v>0.26330253185417501</v>
      </c>
      <c r="J3958">
        <v>0.23789082338024001</v>
      </c>
      <c r="K3958">
        <v>0.21245930784341799</v>
      </c>
      <c r="L3958">
        <v>733.17446431409496</v>
      </c>
      <c r="M3958">
        <v>13.566542410428699</v>
      </c>
      <c r="N3958">
        <v>55.8527294169768</v>
      </c>
      <c r="O3958">
        <v>52.909183841029098</v>
      </c>
      <c r="P3958">
        <v>-5.2709575028264601E-2</v>
      </c>
      <c r="Q3958">
        <v>0.177859093355068</v>
      </c>
      <c r="R3958">
        <v>0.99914793196586005</v>
      </c>
      <c r="S3958" t="s">
        <v>8698</v>
      </c>
      <c r="T3958" t="s">
        <v>9478</v>
      </c>
      <c r="U3958" t="s">
        <v>9478</v>
      </c>
      <c r="V3958" t="s">
        <v>9478</v>
      </c>
      <c r="W3958">
        <v>17</v>
      </c>
      <c r="X3958" t="s">
        <v>13436</v>
      </c>
      <c r="Y3958">
        <v>0.58160992956640623</v>
      </c>
      <c r="Z3958" t="str">
        <f>HYPERLINK("Melting_Curves/meltCurve_tr_B0UX83_B0UX83_HUMAN_.pdf", "Melting_Curves/meltCurve_tr_B0UX83_B0UX83_HUMAN_.pdf")</f>
        <v>Melting_Curves/meltCurve_tr_B0UX83_B0UX83_HUMAN_.pdf</v>
      </c>
      <c r="AA3958" t="s">
        <v>18116</v>
      </c>
      <c r="AB3958" t="s">
        <v>22790</v>
      </c>
    </row>
    <row r="3959" spans="1:28" x14ac:dyDescent="0.25">
      <c r="A3959" t="s">
        <v>3963</v>
      </c>
      <c r="B3959">
        <v>0.99904790336628502</v>
      </c>
      <c r="C3959">
        <v>0.87667948830925302</v>
      </c>
      <c r="D3959">
        <v>0.85664874587532402</v>
      </c>
      <c r="E3959">
        <v>0.488459667523304</v>
      </c>
      <c r="F3959">
        <v>0.32930086324131802</v>
      </c>
      <c r="G3959">
        <v>0.217771225616915</v>
      </c>
      <c r="H3959">
        <v>0.172669473373152</v>
      </c>
      <c r="I3959">
        <v>0.14927968015757601</v>
      </c>
      <c r="J3959">
        <v>0.13622057065492399</v>
      </c>
      <c r="K3959">
        <v>6.8181530045854796E-2</v>
      </c>
      <c r="L3959">
        <v>812.18901153536603</v>
      </c>
      <c r="M3959">
        <v>16.414984802666002</v>
      </c>
      <c r="N3959">
        <v>50.2547591846633</v>
      </c>
      <c r="O3959">
        <v>48.761675309891302</v>
      </c>
      <c r="P3959">
        <v>-7.4740452907083005E-2</v>
      </c>
      <c r="Q3959">
        <v>0.111979389100198</v>
      </c>
      <c r="R3959">
        <v>0.98998053489430404</v>
      </c>
      <c r="S3959" t="s">
        <v>8699</v>
      </c>
      <c r="T3959" t="s">
        <v>9478</v>
      </c>
      <c r="U3959" t="s">
        <v>9478</v>
      </c>
      <c r="V3959" t="s">
        <v>9478</v>
      </c>
      <c r="W3959">
        <v>2</v>
      </c>
      <c r="X3959" t="s">
        <v>13437</v>
      </c>
      <c r="Y3959">
        <v>0.41076429235925782</v>
      </c>
      <c r="Z3959" t="str">
        <f>HYPERLINK("Melting_Curves/meltCurve_tr_B1AJY7_B1AJY7_HUMAN_.pdf", "Melting_Curves/meltCurve_tr_B1AJY7_B1AJY7_HUMAN_.pdf")</f>
        <v>Melting_Curves/meltCurve_tr_B1AJY7_B1AJY7_HUMAN_.pdf</v>
      </c>
      <c r="AA3959" t="s">
        <v>18117</v>
      </c>
      <c r="AB3959" t="s">
        <v>22791</v>
      </c>
    </row>
    <row r="3960" spans="1:28" x14ac:dyDescent="0.25">
      <c r="A3960" t="s">
        <v>3964</v>
      </c>
      <c r="B3960">
        <v>0.99904790336628502</v>
      </c>
      <c r="C3960">
        <v>0.95857204504068705</v>
      </c>
      <c r="D3960">
        <v>1.0038248007228601</v>
      </c>
      <c r="E3960">
        <v>0.98147029861114299</v>
      </c>
      <c r="F3960">
        <v>0.93035466154002699</v>
      </c>
      <c r="G3960">
        <v>0.62868243296002202</v>
      </c>
      <c r="H3960">
        <v>0.30073226196355801</v>
      </c>
      <c r="I3960">
        <v>0.11187208019282099</v>
      </c>
      <c r="J3960">
        <v>4.0760811267235797E-2</v>
      </c>
      <c r="K3960">
        <v>3.5214305755691698E-2</v>
      </c>
      <c r="L3960">
        <v>1340.7559299565901</v>
      </c>
      <c r="M3960">
        <v>22.926106782925402</v>
      </c>
      <c r="N3960">
        <v>58.488862344590402</v>
      </c>
      <c r="O3960">
        <v>58.0421123415518</v>
      </c>
      <c r="P3960">
        <v>-9.8609719250296199E-2</v>
      </c>
      <c r="Q3960">
        <v>1.4162739707433299E-3</v>
      </c>
      <c r="R3960">
        <v>0.99816864237057601</v>
      </c>
      <c r="S3960" t="s">
        <v>8700</v>
      </c>
      <c r="T3960" t="s">
        <v>9478</v>
      </c>
      <c r="U3960" t="s">
        <v>9478</v>
      </c>
      <c r="V3960" t="s">
        <v>9478</v>
      </c>
      <c r="W3960">
        <v>22</v>
      </c>
      <c r="X3960" t="s">
        <v>13438</v>
      </c>
      <c r="Y3960">
        <v>0.62600985125065478</v>
      </c>
      <c r="Z3960" t="str">
        <f>HYPERLINK("Melting_Curves/meltCurve_tr_B1AK87_B1AK87_HUMAN_.pdf", "Melting_Curves/meltCurve_tr_B1AK87_B1AK87_HUMAN_.pdf")</f>
        <v>Melting_Curves/meltCurve_tr_B1AK87_B1AK87_HUMAN_.pdf</v>
      </c>
      <c r="AA3960" t="s">
        <v>18118</v>
      </c>
      <c r="AB3960" t="s">
        <v>22792</v>
      </c>
    </row>
    <row r="3961" spans="1:28" x14ac:dyDescent="0.25">
      <c r="A3961" t="s">
        <v>3965</v>
      </c>
      <c r="B3961">
        <v>0.99904790336628502</v>
      </c>
      <c r="C3961">
        <v>0.71785327534502896</v>
      </c>
      <c r="D3961">
        <v>0.75540837370999303</v>
      </c>
      <c r="E3961">
        <v>0.95060032529728999</v>
      </c>
      <c r="F3961">
        <v>1.03011544016513</v>
      </c>
      <c r="G3961">
        <v>0.405878788142782</v>
      </c>
      <c r="H3961">
        <v>0.42912126036616399</v>
      </c>
      <c r="I3961">
        <v>0.36202869188072501</v>
      </c>
      <c r="J3961">
        <v>0.72827880847978899</v>
      </c>
      <c r="K3961">
        <v>0.54778740885933697</v>
      </c>
      <c r="L3961">
        <v>414.55300236245301</v>
      </c>
      <c r="M3961">
        <v>7.7040333875815703</v>
      </c>
      <c r="N3961">
        <v>68.698784798610703</v>
      </c>
      <c r="O3961">
        <v>50.544393126146502</v>
      </c>
      <c r="P3961">
        <v>-2.2669873877048601E-2</v>
      </c>
      <c r="Q3961">
        <v>0.40584597006218298</v>
      </c>
      <c r="R3961">
        <v>0.39617072314094598</v>
      </c>
      <c r="S3961" t="s">
        <v>8701</v>
      </c>
      <c r="T3961" t="s">
        <v>9478</v>
      </c>
      <c r="U3961" t="s">
        <v>9478</v>
      </c>
      <c r="V3961" t="s">
        <v>9478</v>
      </c>
      <c r="W3961">
        <v>2</v>
      </c>
      <c r="X3961" t="s">
        <v>13439</v>
      </c>
      <c r="Y3961">
        <v>0.70073729726069978</v>
      </c>
      <c r="Z3961" t="str">
        <f>HYPERLINK("Melting_Curves/meltCurve_tr_B1AKL4_B1AKL4_HUMAN_.pdf", "Melting_Curves/meltCurve_tr_B1AKL4_B1AKL4_HUMAN_.pdf")</f>
        <v>Melting_Curves/meltCurve_tr_B1AKL4_B1AKL4_HUMAN_.pdf</v>
      </c>
      <c r="AA3961" t="s">
        <v>18119</v>
      </c>
      <c r="AB3961" t="s">
        <v>22793</v>
      </c>
    </row>
    <row r="3962" spans="1:28" x14ac:dyDescent="0.25">
      <c r="A3962" t="s">
        <v>3966</v>
      </c>
      <c r="B3962">
        <v>0.99904790336628502</v>
      </c>
      <c r="C3962">
        <v>0.98210015444902099</v>
      </c>
      <c r="D3962">
        <v>1.00996704641909</v>
      </c>
      <c r="E3962">
        <v>0.91734431390015003</v>
      </c>
      <c r="F3962">
        <v>0.87658405539674999</v>
      </c>
      <c r="G3962">
        <v>0.66034353764904397</v>
      </c>
      <c r="H3962">
        <v>0.54862291200667002</v>
      </c>
      <c r="I3962">
        <v>0.50024945246798902</v>
      </c>
      <c r="J3962">
        <v>0.53378688183310097</v>
      </c>
      <c r="K3962">
        <v>0.49741509337804801</v>
      </c>
      <c r="L3962">
        <v>1208.3263847621599</v>
      </c>
      <c r="M3962">
        <v>21.895413833532199</v>
      </c>
      <c r="O3962">
        <v>54.732136719331102</v>
      </c>
      <c r="P3962">
        <v>-5.0327048983167998E-2</v>
      </c>
      <c r="Q3962">
        <v>0.49679986652315999</v>
      </c>
      <c r="R3962">
        <v>0.99232427900110898</v>
      </c>
      <c r="S3962" t="s">
        <v>8702</v>
      </c>
      <c r="T3962" t="s">
        <v>9478</v>
      </c>
      <c r="U3962" t="s">
        <v>9478</v>
      </c>
      <c r="V3962" t="s">
        <v>9478</v>
      </c>
      <c r="W3962">
        <v>8</v>
      </c>
      <c r="X3962" t="s">
        <v>13440</v>
      </c>
      <c r="Y3962">
        <v>0.75732634129300036</v>
      </c>
      <c r="Z3962" t="str">
        <f>HYPERLINK("Melting_Curves/meltCurve_tr_B1AKN7_B1AKN7_HUMAN_.pdf", "Melting_Curves/meltCurve_tr_B1AKN7_B1AKN7_HUMAN_.pdf")</f>
        <v>Melting_Curves/meltCurve_tr_B1AKN7_B1AKN7_HUMAN_.pdf</v>
      </c>
      <c r="AA3962" t="s">
        <v>18120</v>
      </c>
      <c r="AB3962" t="s">
        <v>22794</v>
      </c>
    </row>
    <row r="3963" spans="1:28" x14ac:dyDescent="0.25">
      <c r="A3963" t="s">
        <v>3967</v>
      </c>
      <c r="B3963">
        <v>0.99904790336628502</v>
      </c>
      <c r="C3963">
        <v>0.93283291653278699</v>
      </c>
      <c r="D3963">
        <v>0.91699885842347895</v>
      </c>
      <c r="E3963">
        <v>0.83001287071490604</v>
      </c>
      <c r="F3963">
        <v>0.61765771503724598</v>
      </c>
      <c r="G3963">
        <v>0.38450744351300098</v>
      </c>
      <c r="H3963">
        <v>0.166880978133609</v>
      </c>
      <c r="I3963">
        <v>8.1382139672942805E-2</v>
      </c>
      <c r="J3963">
        <v>0.132112623770512</v>
      </c>
      <c r="K3963">
        <v>3.2457647546309899E-2</v>
      </c>
      <c r="L3963">
        <v>804.42323934929402</v>
      </c>
      <c r="M3963">
        <v>14.6824430435796</v>
      </c>
      <c r="N3963">
        <v>54.858775245353598</v>
      </c>
      <c r="O3963">
        <v>53.801868931262597</v>
      </c>
      <c r="P3963">
        <v>-6.7592884770402997E-2</v>
      </c>
      <c r="Q3963">
        <v>9.3681661542046896E-3</v>
      </c>
      <c r="R3963">
        <v>0.99295967862474399</v>
      </c>
      <c r="S3963" t="s">
        <v>8703</v>
      </c>
      <c r="T3963" t="s">
        <v>9478</v>
      </c>
      <c r="U3963" t="s">
        <v>9478</v>
      </c>
      <c r="V3963" t="s">
        <v>9478</v>
      </c>
      <c r="W3963">
        <v>4</v>
      </c>
      <c r="X3963" t="s">
        <v>13441</v>
      </c>
      <c r="Y3963">
        <v>0.5175268264354731</v>
      </c>
      <c r="Z3963" t="str">
        <f>HYPERLINK("Melting_Curves/meltCurve_tr_B1AKV3_B1AKV3_HUMAN_.pdf", "Melting_Curves/meltCurve_tr_B1AKV3_B1AKV3_HUMAN_.pdf")</f>
        <v>Melting_Curves/meltCurve_tr_B1AKV3_B1AKV3_HUMAN_.pdf</v>
      </c>
      <c r="AA3963" t="s">
        <v>18121</v>
      </c>
      <c r="AB3963" t="s">
        <v>22795</v>
      </c>
    </row>
    <row r="3964" spans="1:28" x14ac:dyDescent="0.25">
      <c r="A3964" t="s">
        <v>3968</v>
      </c>
      <c r="B3964">
        <v>0.99904790336628502</v>
      </c>
      <c r="C3964">
        <v>1.0455924071557701</v>
      </c>
      <c r="D3964">
        <v>0.87808263993491598</v>
      </c>
      <c r="E3964">
        <v>0.95024364220189805</v>
      </c>
      <c r="F3964">
        <v>0.93495423203575601</v>
      </c>
      <c r="G3964">
        <v>0.76337680238297101</v>
      </c>
      <c r="H3964">
        <v>0.62475118865100299</v>
      </c>
      <c r="I3964">
        <v>0.68908386235903696</v>
      </c>
      <c r="J3964">
        <v>0.70114632586620396</v>
      </c>
      <c r="K3964">
        <v>0.685919218204317</v>
      </c>
      <c r="L3964">
        <v>1808.66106549235</v>
      </c>
      <c r="M3964">
        <v>32.888408774778902</v>
      </c>
      <c r="O3964">
        <v>54.7917499337386</v>
      </c>
      <c r="P3964">
        <v>-4.8940748120398503E-2</v>
      </c>
      <c r="Q3964">
        <v>0.67386234865783501</v>
      </c>
      <c r="R3964">
        <v>0.88759927256675997</v>
      </c>
      <c r="S3964" t="s">
        <v>8704</v>
      </c>
      <c r="T3964" t="s">
        <v>9478</v>
      </c>
      <c r="U3964" t="s">
        <v>9478</v>
      </c>
      <c r="V3964" t="s">
        <v>9478</v>
      </c>
      <c r="W3964">
        <v>3</v>
      </c>
      <c r="X3964" t="s">
        <v>13442</v>
      </c>
      <c r="Y3964">
        <v>0.83867918706373545</v>
      </c>
      <c r="Z3964" t="str">
        <f>HYPERLINK("Melting_Curves/meltCurve_tr_B1AKZ5_B1AKZ5_HUMAN_.pdf", "Melting_Curves/meltCurve_tr_B1AKZ5_B1AKZ5_HUMAN_.pdf")</f>
        <v>Melting_Curves/meltCurve_tr_B1AKZ5_B1AKZ5_HUMAN_.pdf</v>
      </c>
      <c r="AA3964" t="s">
        <v>18122</v>
      </c>
      <c r="AB3964" t="s">
        <v>22796</v>
      </c>
    </row>
    <row r="3965" spans="1:28" x14ac:dyDescent="0.25">
      <c r="A3965" t="s">
        <v>3969</v>
      </c>
      <c r="B3965">
        <v>0.99904790336628502</v>
      </c>
      <c r="C3965">
        <v>0.98749243382969099</v>
      </c>
      <c r="D3965">
        <v>0.93731756746363804</v>
      </c>
      <c r="E3965">
        <v>0.731288580602247</v>
      </c>
      <c r="F3965">
        <v>0.67568029657667195</v>
      </c>
      <c r="G3965">
        <v>0.49984249290792099</v>
      </c>
      <c r="H3965">
        <v>0.39092467231807398</v>
      </c>
      <c r="I3965">
        <v>0.30860761181992902</v>
      </c>
      <c r="J3965">
        <v>0.37683565927624502</v>
      </c>
      <c r="K3965">
        <v>0.37220870171013198</v>
      </c>
      <c r="L3965">
        <v>767.51985636155905</v>
      </c>
      <c r="M3965">
        <v>14.634355258289901</v>
      </c>
      <c r="N3965">
        <v>56.5292104809932</v>
      </c>
      <c r="O3965">
        <v>51.496325528890303</v>
      </c>
      <c r="P3965">
        <v>-4.7872789409630197E-2</v>
      </c>
      <c r="Q3965">
        <v>0.32624337570218098</v>
      </c>
      <c r="R3965">
        <v>0.98561176949825902</v>
      </c>
      <c r="S3965" t="s">
        <v>8705</v>
      </c>
      <c r="T3965" t="s">
        <v>9478</v>
      </c>
      <c r="U3965" t="s">
        <v>9478</v>
      </c>
      <c r="V3965" t="s">
        <v>9478</v>
      </c>
      <c r="W3965">
        <v>1</v>
      </c>
      <c r="X3965" t="s">
        <v>13443</v>
      </c>
      <c r="Y3965">
        <v>0.62113570602556034</v>
      </c>
      <c r="Z3965" t="str">
        <f>HYPERLINK("Melting_Curves/meltCurve_tr_B1AL33_B1AL33_HUMAN_.pdf", "Melting_Curves/meltCurve_tr_B1AL33_B1AL33_HUMAN_.pdf")</f>
        <v>Melting_Curves/meltCurve_tr_B1AL33_B1AL33_HUMAN_.pdf</v>
      </c>
      <c r="AA3965" t="s">
        <v>18123</v>
      </c>
      <c r="AB3965" t="s">
        <v>22797</v>
      </c>
    </row>
    <row r="3966" spans="1:28" x14ac:dyDescent="0.25">
      <c r="A3966" t="s">
        <v>3970</v>
      </c>
      <c r="B3966">
        <v>0.99904790336628502</v>
      </c>
      <c r="C3966">
        <v>0.94212897382496397</v>
      </c>
      <c r="D3966">
        <v>0.92135614498477403</v>
      </c>
      <c r="E3966">
        <v>0.88055137986230503</v>
      </c>
      <c r="F3966">
        <v>0.78120913130099101</v>
      </c>
      <c r="G3966">
        <v>0.46736358314954901</v>
      </c>
      <c r="H3966">
        <v>0.317331250416302</v>
      </c>
      <c r="I3966">
        <v>0.23859231111924301</v>
      </c>
      <c r="J3966">
        <v>0.21250879182786001</v>
      </c>
      <c r="K3966">
        <v>0.20861974255699101</v>
      </c>
      <c r="L3966">
        <v>962.36687075308998</v>
      </c>
      <c r="M3966">
        <v>17.3671376405117</v>
      </c>
      <c r="N3966">
        <v>56.819537368350602</v>
      </c>
      <c r="O3966">
        <v>54.694057866043401</v>
      </c>
      <c r="P3966">
        <v>-6.5517969824548397E-2</v>
      </c>
      <c r="Q3966">
        <v>0.17470797720036599</v>
      </c>
      <c r="R3966">
        <v>0.991961138928806</v>
      </c>
      <c r="S3966" t="s">
        <v>8706</v>
      </c>
      <c r="T3966" t="s">
        <v>9478</v>
      </c>
      <c r="U3966" t="s">
        <v>9478</v>
      </c>
      <c r="V3966" t="s">
        <v>9478</v>
      </c>
      <c r="W3966">
        <v>6</v>
      </c>
      <c r="X3966" t="s">
        <v>13444</v>
      </c>
      <c r="Y3966">
        <v>0.61183413481657589</v>
      </c>
      <c r="Z3966" t="str">
        <f>HYPERLINK("Melting_Curves/meltCurve_tr_B1AL69_B1AL69_HUMAN_.pdf", "Melting_Curves/meltCurve_tr_B1AL69_B1AL69_HUMAN_.pdf")</f>
        <v>Melting_Curves/meltCurve_tr_B1AL69_B1AL69_HUMAN_.pdf</v>
      </c>
      <c r="AA3966" t="s">
        <v>18124</v>
      </c>
      <c r="AB3966" t="s">
        <v>22798</v>
      </c>
    </row>
    <row r="3967" spans="1:28" x14ac:dyDescent="0.25">
      <c r="A3967" t="s">
        <v>3971</v>
      </c>
      <c r="B3967">
        <v>0.99904790336628502</v>
      </c>
      <c r="C3967">
        <v>0.76266691786344198</v>
      </c>
      <c r="D3967">
        <v>0.81352978306055601</v>
      </c>
      <c r="E3967">
        <v>0.70691099153699799</v>
      </c>
      <c r="F3967">
        <v>0.60575963938794497</v>
      </c>
      <c r="G3967">
        <v>0.40870129393430699</v>
      </c>
      <c r="H3967">
        <v>0.31784809217339</v>
      </c>
      <c r="I3967">
        <v>0.25438638899300298</v>
      </c>
      <c r="J3967">
        <v>0.226398721959779</v>
      </c>
      <c r="K3967">
        <v>0.225145412244907</v>
      </c>
      <c r="L3967">
        <v>395.40997339512001</v>
      </c>
      <c r="M3967">
        <v>7.2509834504507502</v>
      </c>
      <c r="N3967">
        <v>55.000846853441502</v>
      </c>
      <c r="O3967">
        <v>50.842705577997002</v>
      </c>
      <c r="P3967">
        <v>-3.46416096042549E-2</v>
      </c>
      <c r="Q3967">
        <v>2.9974858527846902E-2</v>
      </c>
      <c r="R3967">
        <v>0.96597657879527798</v>
      </c>
      <c r="S3967" t="s">
        <v>8707</v>
      </c>
      <c r="T3967" t="s">
        <v>9478</v>
      </c>
      <c r="U3967" t="s">
        <v>9478</v>
      </c>
      <c r="V3967" t="s">
        <v>9478</v>
      </c>
      <c r="W3967">
        <v>1</v>
      </c>
      <c r="X3967" t="s">
        <v>13445</v>
      </c>
      <c r="Y3967">
        <v>0.52994531383043286</v>
      </c>
      <c r="Z3967" t="str">
        <f>HYPERLINK("Melting_Curves/meltCurve_tr_B1ALB7_B1ALB7_HUMAN_.pdf", "Melting_Curves/meltCurve_tr_B1ALB7_B1ALB7_HUMAN_.pdf")</f>
        <v>Melting_Curves/meltCurve_tr_B1ALB7_B1ALB7_HUMAN_.pdf</v>
      </c>
      <c r="AA3967" t="s">
        <v>18125</v>
      </c>
      <c r="AB3967" t="s">
        <v>22799</v>
      </c>
    </row>
    <row r="3968" spans="1:28" x14ac:dyDescent="0.25">
      <c r="A3968" t="s">
        <v>3972</v>
      </c>
      <c r="B3968">
        <v>0.99904790336628502</v>
      </c>
      <c r="C3968">
        <v>0.94207333864624199</v>
      </c>
      <c r="D3968">
        <v>0.92477107731369101</v>
      </c>
      <c r="E3968">
        <v>0.85206724540976797</v>
      </c>
      <c r="F3968">
        <v>0.87827462717319704</v>
      </c>
      <c r="G3968">
        <v>0.65607324282035995</v>
      </c>
      <c r="H3968">
        <v>0.54126570424313503</v>
      </c>
      <c r="I3968">
        <v>0.52425987941680496</v>
      </c>
      <c r="J3968">
        <v>0.52497499033275297</v>
      </c>
      <c r="K3968">
        <v>0.47843982336373803</v>
      </c>
      <c r="L3968">
        <v>645.26669353159002</v>
      </c>
      <c r="M3968">
        <v>11.5721784460407</v>
      </c>
      <c r="N3968">
        <v>66.744256447830097</v>
      </c>
      <c r="O3968">
        <v>54.173062336264302</v>
      </c>
      <c r="P3968">
        <v>-3.0686489904497499E-2</v>
      </c>
      <c r="Q3968">
        <v>0.425546223761672</v>
      </c>
      <c r="R3968">
        <v>0.96644799772003498</v>
      </c>
      <c r="S3968" t="s">
        <v>8708</v>
      </c>
      <c r="T3968" t="s">
        <v>9478</v>
      </c>
      <c r="U3968" t="s">
        <v>9478</v>
      </c>
      <c r="V3968" t="s">
        <v>9478</v>
      </c>
      <c r="W3968">
        <v>21</v>
      </c>
      <c r="X3968" t="s">
        <v>13446</v>
      </c>
      <c r="Y3968">
        <v>0.73967803519396369</v>
      </c>
      <c r="Z3968" t="str">
        <f>HYPERLINK("Melting_Curves/meltCurve_tr_B1ALY0_B1ALY0_HUMAN_.pdf", "Melting_Curves/meltCurve_tr_B1ALY0_B1ALY0_HUMAN_.pdf")</f>
        <v>Melting_Curves/meltCurve_tr_B1ALY0_B1ALY0_HUMAN_.pdf</v>
      </c>
      <c r="AA3968" t="s">
        <v>18126</v>
      </c>
      <c r="AB3968" t="s">
        <v>22800</v>
      </c>
    </row>
    <row r="3969" spans="1:28" x14ac:dyDescent="0.25">
      <c r="A3969" t="s">
        <v>3973</v>
      </c>
      <c r="B3969">
        <v>0.99904790336628502</v>
      </c>
      <c r="C3969">
        <v>0.99981429831148105</v>
      </c>
      <c r="D3969">
        <v>0.87651700782369102</v>
      </c>
      <c r="E3969">
        <v>0.50390391260590806</v>
      </c>
      <c r="F3969">
        <v>0.21531186738861899</v>
      </c>
      <c r="G3969">
        <v>0.120619773630338</v>
      </c>
      <c r="H3969">
        <v>6.5484086972200803E-2</v>
      </c>
      <c r="I3969">
        <v>6.0833130123410899E-2</v>
      </c>
      <c r="J3969">
        <v>6.9720295014177897E-2</v>
      </c>
      <c r="K3969">
        <v>6.2483137182770501E-2</v>
      </c>
      <c r="L3969">
        <v>1227.55611506734</v>
      </c>
      <c r="M3969">
        <v>24.704328724235602</v>
      </c>
      <c r="N3969">
        <v>49.964801811672899</v>
      </c>
      <c r="O3969">
        <v>49.3677615067907</v>
      </c>
      <c r="P3969">
        <v>-0.117156173445626</v>
      </c>
      <c r="Q3969">
        <v>6.3539612976804993E-2</v>
      </c>
      <c r="R3969">
        <v>0.99923323669145903</v>
      </c>
      <c r="S3969" t="s">
        <v>8709</v>
      </c>
      <c r="T3969" t="s">
        <v>9478</v>
      </c>
      <c r="U3969" t="s">
        <v>9478</v>
      </c>
      <c r="V3969" t="s">
        <v>9478</v>
      </c>
      <c r="W3969">
        <v>7</v>
      </c>
      <c r="X3969" t="s">
        <v>13447</v>
      </c>
      <c r="Y3969">
        <v>0.37456179279030472</v>
      </c>
      <c r="Z3969" t="str">
        <f>HYPERLINK("Melting_Curves/meltCurve_tr_B1ANH0_B1ANH0_HUMAN_.pdf", "Melting_Curves/meltCurve_tr_B1ANH0_B1ANH0_HUMAN_.pdf")</f>
        <v>Melting_Curves/meltCurve_tr_B1ANH0_B1ANH0_HUMAN_.pdf</v>
      </c>
      <c r="AA3969" t="s">
        <v>18127</v>
      </c>
      <c r="AB3969" t="s">
        <v>22801</v>
      </c>
    </row>
    <row r="3970" spans="1:28" x14ac:dyDescent="0.25">
      <c r="A3970" t="s">
        <v>3974</v>
      </c>
      <c r="B3970">
        <v>0.99904790336628502</v>
      </c>
      <c r="C3970">
        <v>0.94994715505475702</v>
      </c>
      <c r="D3970">
        <v>0.85976174537286498</v>
      </c>
      <c r="E3970">
        <v>0.76114648960324505</v>
      </c>
      <c r="F3970">
        <v>0.605590142084107</v>
      </c>
      <c r="G3970">
        <v>0.477728247968424</v>
      </c>
      <c r="H3970">
        <v>0.26000868897136398</v>
      </c>
      <c r="I3970">
        <v>0.15531117971286101</v>
      </c>
      <c r="J3970">
        <v>9.8817679484195398E-2</v>
      </c>
      <c r="K3970">
        <v>5.4829645558378999E-2</v>
      </c>
      <c r="L3970">
        <v>616.758569023159</v>
      </c>
      <c r="M3970">
        <v>11.164259876639299</v>
      </c>
      <c r="N3970">
        <v>55.244017587445498</v>
      </c>
      <c r="O3970">
        <v>53.560457762760102</v>
      </c>
      <c r="P3970">
        <v>-5.2127156233972703E-2</v>
      </c>
      <c r="Q3970">
        <v>0</v>
      </c>
      <c r="R3970">
        <v>0.99286538834654303</v>
      </c>
      <c r="S3970" t="s">
        <v>8710</v>
      </c>
      <c r="T3970" t="s">
        <v>9478</v>
      </c>
      <c r="U3970" t="s">
        <v>9478</v>
      </c>
      <c r="V3970" t="s">
        <v>9478</v>
      </c>
      <c r="W3970">
        <v>1</v>
      </c>
      <c r="X3970" t="s">
        <v>13448</v>
      </c>
      <c r="Y3970">
        <v>0.53181606559114702</v>
      </c>
      <c r="Z3970" t="str">
        <f>HYPERLINK("Melting_Curves/meltCurve_tr_B1AT46_B1AT46_HUMAN_.pdf", "Melting_Curves/meltCurve_tr_B1AT46_B1AT46_HUMAN_.pdf")</f>
        <v>Melting_Curves/meltCurve_tr_B1AT46_B1AT46_HUMAN_.pdf</v>
      </c>
      <c r="AA3970" t="s">
        <v>18128</v>
      </c>
      <c r="AB3970" t="s">
        <v>22802</v>
      </c>
    </row>
    <row r="3971" spans="1:28" x14ac:dyDescent="0.25">
      <c r="A3971" t="s">
        <v>3975</v>
      </c>
      <c r="B3971">
        <v>0.99904790336628502</v>
      </c>
      <c r="C3971">
        <v>1.0907767306871501</v>
      </c>
      <c r="D3971">
        <v>1.07094526905902</v>
      </c>
      <c r="E3971">
        <v>0.70967915538231297</v>
      </c>
      <c r="F3971">
        <v>0.40280995509752499</v>
      </c>
      <c r="G3971">
        <v>0.21863410244362</v>
      </c>
      <c r="H3971">
        <v>9.3429456708497602E-2</v>
      </c>
      <c r="I3971">
        <v>4.1884547654524699E-2</v>
      </c>
      <c r="J3971">
        <v>0</v>
      </c>
      <c r="K3971">
        <v>3.8127101496987101E-2</v>
      </c>
      <c r="L3971">
        <v>1216.4483121020401</v>
      </c>
      <c r="M3971">
        <v>23.3370870259022</v>
      </c>
      <c r="N3971">
        <v>52.311612785207302</v>
      </c>
      <c r="O3971">
        <v>51.746884466216699</v>
      </c>
      <c r="P3971">
        <v>-0.10824769046279401</v>
      </c>
      <c r="Q3971">
        <v>3.99173275962066E-2</v>
      </c>
      <c r="R3971">
        <v>0.98389694739620004</v>
      </c>
      <c r="S3971" t="s">
        <v>8711</v>
      </c>
      <c r="T3971" t="s">
        <v>9478</v>
      </c>
      <c r="U3971" t="s">
        <v>9478</v>
      </c>
      <c r="V3971" t="s">
        <v>9478</v>
      </c>
      <c r="W3971">
        <v>2</v>
      </c>
      <c r="X3971" t="s">
        <v>13449</v>
      </c>
      <c r="Y3971">
        <v>0.43795725218044468</v>
      </c>
      <c r="Z3971" t="str">
        <f>HYPERLINK("Melting_Curves/meltCurve_tr_B2WTI3_B2WTI3_HUMAN_.pdf", "Melting_Curves/meltCurve_tr_B2WTI3_B2WTI3_HUMAN_.pdf")</f>
        <v>Melting_Curves/meltCurve_tr_B2WTI3_B2WTI3_HUMAN_.pdf</v>
      </c>
      <c r="AA3971" t="s">
        <v>18129</v>
      </c>
      <c r="AB3971" t="s">
        <v>22803</v>
      </c>
    </row>
    <row r="3972" spans="1:28" x14ac:dyDescent="0.25">
      <c r="A3972" t="s">
        <v>3976</v>
      </c>
      <c r="B3972">
        <v>0.99904790336628502</v>
      </c>
      <c r="C3972">
        <v>1.08130021111812</v>
      </c>
      <c r="D3972">
        <v>1.1739069799952799</v>
      </c>
      <c r="E3972">
        <v>1.1495896033264399</v>
      </c>
      <c r="F3972">
        <v>0.76277359253913302</v>
      </c>
      <c r="G3972">
        <v>0.220781147901179</v>
      </c>
      <c r="H3972">
        <v>0.20531939335709601</v>
      </c>
      <c r="I3972">
        <v>0.15884784435775701</v>
      </c>
      <c r="J3972">
        <v>8.2160698123356801E-2</v>
      </c>
      <c r="K3972">
        <v>0.10318453899411401</v>
      </c>
      <c r="L3972">
        <v>2881.3816054236399</v>
      </c>
      <c r="M3972">
        <v>53.2870014433487</v>
      </c>
      <c r="N3972">
        <v>54.4147041157971</v>
      </c>
      <c r="O3972">
        <v>53.996885807966002</v>
      </c>
      <c r="P3972">
        <v>-0.21162140797631801</v>
      </c>
      <c r="Q3972">
        <v>0.142238136836428</v>
      </c>
      <c r="R3972">
        <v>0.96457385273225604</v>
      </c>
      <c r="S3972" t="s">
        <v>8712</v>
      </c>
      <c r="T3972" t="s">
        <v>9478</v>
      </c>
      <c r="U3972" t="s">
        <v>9478</v>
      </c>
      <c r="V3972" t="s">
        <v>9478</v>
      </c>
      <c r="W3972">
        <v>3</v>
      </c>
      <c r="X3972" t="s">
        <v>13450</v>
      </c>
      <c r="Y3972">
        <v>0.54641058636496209</v>
      </c>
      <c r="Z3972" t="str">
        <f>HYPERLINK("Melting_Curves/meltCurve_tr_B3KRS5_B3KRS5_HUMAN_.pdf", "Melting_Curves/meltCurve_tr_B3KRS5_B3KRS5_HUMAN_.pdf")</f>
        <v>Melting_Curves/meltCurve_tr_B3KRS5_B3KRS5_HUMAN_.pdf</v>
      </c>
      <c r="AA3972" t="s">
        <v>18130</v>
      </c>
      <c r="AB3972" t="s">
        <v>22804</v>
      </c>
    </row>
    <row r="3973" spans="1:28" x14ac:dyDescent="0.25">
      <c r="A3973" t="s">
        <v>3977</v>
      </c>
      <c r="B3973">
        <v>0.99904790336628502</v>
      </c>
      <c r="C3973">
        <v>0.99229446864316295</v>
      </c>
      <c r="D3973">
        <v>0.92238369385719798</v>
      </c>
      <c r="E3973">
        <v>0.89681801183194598</v>
      </c>
      <c r="F3973">
        <v>0.76143981959923102</v>
      </c>
      <c r="G3973">
        <v>0.44721564775179101</v>
      </c>
      <c r="H3973">
        <v>0.27535989726955701</v>
      </c>
      <c r="I3973">
        <v>0.23451636616537799</v>
      </c>
      <c r="J3973">
        <v>0.23686340432705899</v>
      </c>
      <c r="K3973">
        <v>0.20967026904282601</v>
      </c>
      <c r="L3973">
        <v>1136.7234298375599</v>
      </c>
      <c r="M3973">
        <v>20.716139468884101</v>
      </c>
      <c r="N3973">
        <v>56.265302240030003</v>
      </c>
      <c r="O3973">
        <v>54.367746241120997</v>
      </c>
      <c r="P3973">
        <v>-7.6141311760519303E-2</v>
      </c>
      <c r="Q3973">
        <v>0.200716762894699</v>
      </c>
      <c r="R3973">
        <v>0.99523701829536304</v>
      </c>
      <c r="S3973" t="s">
        <v>8713</v>
      </c>
      <c r="T3973" t="s">
        <v>9478</v>
      </c>
      <c r="U3973" t="s">
        <v>9478</v>
      </c>
      <c r="V3973" t="s">
        <v>9478</v>
      </c>
      <c r="W3973">
        <v>11</v>
      </c>
      <c r="X3973" t="s">
        <v>13451</v>
      </c>
      <c r="Y3973">
        <v>0.60704737542732901</v>
      </c>
      <c r="Z3973" t="str">
        <f>HYPERLINK("Melting_Curves/meltCurve_tr_B3KSI9_B3KSI9_HUMAN_.pdf", "Melting_Curves/meltCurve_tr_B3KSI9_B3KSI9_HUMAN_.pdf")</f>
        <v>Melting_Curves/meltCurve_tr_B3KSI9_B3KSI9_HUMAN_.pdf</v>
      </c>
      <c r="AA3973" t="s">
        <v>18131</v>
      </c>
      <c r="AB3973" t="s">
        <v>22805</v>
      </c>
    </row>
    <row r="3974" spans="1:28" x14ac:dyDescent="0.25">
      <c r="A3974" t="s">
        <v>3978</v>
      </c>
      <c r="B3974">
        <v>0.99904790336628502</v>
      </c>
      <c r="C3974">
        <v>0.88072603145037798</v>
      </c>
      <c r="D3974">
        <v>0.82677681460889896</v>
      </c>
      <c r="E3974">
        <v>1.0375055822557</v>
      </c>
      <c r="F3974">
        <v>1.12517991794322</v>
      </c>
      <c r="G3974">
        <v>0.58838257940090499</v>
      </c>
      <c r="H3974">
        <v>0.646319355746383</v>
      </c>
      <c r="I3974">
        <v>0.73264179528461304</v>
      </c>
      <c r="J3974">
        <v>0.69448844188782699</v>
      </c>
      <c r="K3974">
        <v>0.77494012829205405</v>
      </c>
      <c r="L3974">
        <v>4927.7575439214897</v>
      </c>
      <c r="M3974">
        <v>89.585826393909301</v>
      </c>
      <c r="O3974">
        <v>54.978603210766899</v>
      </c>
      <c r="P3974">
        <v>-0.12775362686705499</v>
      </c>
      <c r="Q3974">
        <v>0.68639167091957498</v>
      </c>
      <c r="R3974">
        <v>0.69060327923120202</v>
      </c>
      <c r="S3974" t="s">
        <v>8714</v>
      </c>
      <c r="T3974" t="s">
        <v>9478</v>
      </c>
      <c r="U3974" t="s">
        <v>9478</v>
      </c>
      <c r="V3974" t="s">
        <v>9478</v>
      </c>
      <c r="W3974">
        <v>2</v>
      </c>
      <c r="X3974" t="s">
        <v>13452</v>
      </c>
      <c r="Y3974">
        <v>0.8434946241963075</v>
      </c>
      <c r="Z3974" t="str">
        <f>HYPERLINK("Melting_Curves/meltCurve_tr_B3KVH8_B3KVH8_HUMAN_.pdf", "Melting_Curves/meltCurve_tr_B3KVH8_B3KVH8_HUMAN_.pdf")</f>
        <v>Melting_Curves/meltCurve_tr_B3KVH8_B3KVH8_HUMAN_.pdf</v>
      </c>
      <c r="AA3974" t="s">
        <v>18132</v>
      </c>
      <c r="AB3974" t="s">
        <v>22806</v>
      </c>
    </row>
    <row r="3975" spans="1:28" x14ac:dyDescent="0.25">
      <c r="A3975" t="s">
        <v>3979</v>
      </c>
      <c r="B3975">
        <v>0.99904790336628502</v>
      </c>
      <c r="C3975">
        <v>1.10493873659649</v>
      </c>
      <c r="D3975">
        <v>0.99407167218683301</v>
      </c>
      <c r="E3975">
        <v>0.77624337483032302</v>
      </c>
      <c r="F3975">
        <v>0.30556977340169</v>
      </c>
      <c r="G3975">
        <v>0.15720605086783099</v>
      </c>
      <c r="H3975">
        <v>9.6778469619944102E-2</v>
      </c>
      <c r="I3975">
        <v>8.2344375559991898E-2</v>
      </c>
      <c r="J3975">
        <v>7.9422919286090798E-2</v>
      </c>
      <c r="K3975">
        <v>7.9853964969539004E-2</v>
      </c>
      <c r="L3975">
        <v>1952.6576018759799</v>
      </c>
      <c r="M3975">
        <v>37.962093815555797</v>
      </c>
      <c r="N3975">
        <v>51.716139237991101</v>
      </c>
      <c r="O3975">
        <v>51.294924042820099</v>
      </c>
      <c r="P3975">
        <v>-0.16788169913314799</v>
      </c>
      <c r="Q3975">
        <v>9.2625708140567406E-2</v>
      </c>
      <c r="R3975">
        <v>0.99234723963192095</v>
      </c>
      <c r="S3975" t="s">
        <v>8715</v>
      </c>
      <c r="T3975" t="s">
        <v>9478</v>
      </c>
      <c r="U3975" t="s">
        <v>9478</v>
      </c>
      <c r="V3975" t="s">
        <v>9478</v>
      </c>
      <c r="W3975">
        <v>7</v>
      </c>
      <c r="X3975" t="s">
        <v>13453</v>
      </c>
      <c r="Y3975">
        <v>0.44213149530986551</v>
      </c>
      <c r="Z3975" t="str">
        <f>HYPERLINK("Melting_Curves/meltCurve_tr_B3KY83_B3KY83_HUMAN_.pdf", "Melting_Curves/meltCurve_tr_B3KY83_B3KY83_HUMAN_.pdf")</f>
        <v>Melting_Curves/meltCurve_tr_B3KY83_B3KY83_HUMAN_.pdf</v>
      </c>
      <c r="AA3975" t="s">
        <v>18133</v>
      </c>
      <c r="AB3975" t="s">
        <v>22807</v>
      </c>
    </row>
    <row r="3976" spans="1:28" x14ac:dyDescent="0.25">
      <c r="A3976" t="s">
        <v>3980</v>
      </c>
      <c r="B3976">
        <v>0.99904790336628502</v>
      </c>
      <c r="C3976">
        <v>0.87044583098357298</v>
      </c>
      <c r="D3976">
        <v>0.90521067477547401</v>
      </c>
      <c r="E3976">
        <v>0.89599726432754701</v>
      </c>
      <c r="F3976">
        <v>0.97263340749285199</v>
      </c>
      <c r="G3976">
        <v>0.72706369850422503</v>
      </c>
      <c r="H3976">
        <v>0.38477436827893502</v>
      </c>
      <c r="I3976">
        <v>0.16392751090893401</v>
      </c>
      <c r="J3976">
        <v>0.137602824640948</v>
      </c>
      <c r="K3976">
        <v>0.15456727637208401</v>
      </c>
      <c r="L3976">
        <v>1554.8404614701001</v>
      </c>
      <c r="M3976">
        <v>26.437004736143699</v>
      </c>
      <c r="N3976">
        <v>59.383955942009997</v>
      </c>
      <c r="O3976">
        <v>58.479613790782899</v>
      </c>
      <c r="P3976">
        <v>-0.100336353111773</v>
      </c>
      <c r="Q3976">
        <v>0.11221894550789401</v>
      </c>
      <c r="R3976">
        <v>0.96827276501890702</v>
      </c>
      <c r="S3976" t="s">
        <v>8716</v>
      </c>
      <c r="T3976" t="s">
        <v>9478</v>
      </c>
      <c r="U3976" t="s">
        <v>9478</v>
      </c>
      <c r="V3976" t="s">
        <v>9478</v>
      </c>
      <c r="W3976">
        <v>6</v>
      </c>
      <c r="X3976" t="s">
        <v>13454</v>
      </c>
      <c r="Y3976">
        <v>0.67581293127677511</v>
      </c>
      <c r="Z3976" t="str">
        <f>HYPERLINK("Melting_Curves/meltCurve_tr_B4DDD1_B4DDD1_HUMAN_.pdf", "Melting_Curves/meltCurve_tr_B4DDD1_B4DDD1_HUMAN_.pdf")</f>
        <v>Melting_Curves/meltCurve_tr_B4DDD1_B4DDD1_HUMAN_.pdf</v>
      </c>
      <c r="AA3976" t="s">
        <v>18134</v>
      </c>
      <c r="AB3976" t="s">
        <v>22808</v>
      </c>
    </row>
    <row r="3977" spans="1:28" x14ac:dyDescent="0.25">
      <c r="A3977" t="s">
        <v>3981</v>
      </c>
      <c r="B3977">
        <v>0.99904790336628502</v>
      </c>
      <c r="C3977">
        <v>1.04316560321836</v>
      </c>
      <c r="D3977">
        <v>0.92635465150731</v>
      </c>
      <c r="E3977">
        <v>0.90845454260051695</v>
      </c>
      <c r="F3977">
        <v>0.82136076633815303</v>
      </c>
      <c r="G3977">
        <v>0.47425714527337998</v>
      </c>
      <c r="H3977">
        <v>0.29248763572146402</v>
      </c>
      <c r="I3977">
        <v>0.228029257624703</v>
      </c>
      <c r="J3977">
        <v>0.214366624669935</v>
      </c>
      <c r="K3977">
        <v>0.18246542817613301</v>
      </c>
      <c r="L3977">
        <v>1184.6928462644701</v>
      </c>
      <c r="M3977">
        <v>21.282061379925999</v>
      </c>
      <c r="N3977">
        <v>56.861634954081801</v>
      </c>
      <c r="O3977">
        <v>55.181762815779202</v>
      </c>
      <c r="P3977">
        <v>-7.90304198907157E-2</v>
      </c>
      <c r="Q3977">
        <v>0.180356269996892</v>
      </c>
      <c r="R3977">
        <v>0.99309432384541996</v>
      </c>
      <c r="S3977" t="s">
        <v>8717</v>
      </c>
      <c r="T3977" t="s">
        <v>9478</v>
      </c>
      <c r="U3977" t="s">
        <v>9478</v>
      </c>
      <c r="V3977" t="s">
        <v>9478</v>
      </c>
      <c r="W3977">
        <v>10</v>
      </c>
      <c r="X3977" t="s">
        <v>13455</v>
      </c>
      <c r="Y3977">
        <v>0.61815152684849417</v>
      </c>
      <c r="Z3977" t="str">
        <f>HYPERLINK("Melting_Curves/meltCurve_tr_B4DDF4_B4DDF4_HUMAN_.pdf", "Melting_Curves/meltCurve_tr_B4DDF4_B4DDF4_HUMAN_.pdf")</f>
        <v>Melting_Curves/meltCurve_tr_B4DDF4_B4DDF4_HUMAN_.pdf</v>
      </c>
      <c r="AA3977" t="s">
        <v>18135</v>
      </c>
      <c r="AB3977" t="s">
        <v>22809</v>
      </c>
    </row>
    <row r="3978" spans="1:28" x14ac:dyDescent="0.25">
      <c r="A3978" t="s">
        <v>3982</v>
      </c>
      <c r="B3978">
        <v>0.99904790336628502</v>
      </c>
      <c r="C3978">
        <v>1.0739728737833001</v>
      </c>
      <c r="D3978">
        <v>0.91318170255162201</v>
      </c>
      <c r="E3978">
        <v>0.67440236526071595</v>
      </c>
      <c r="F3978">
        <v>0.34804878257247901</v>
      </c>
      <c r="G3978">
        <v>0.194122965454185</v>
      </c>
      <c r="H3978">
        <v>4.3943895846388699E-2</v>
      </c>
      <c r="I3978">
        <v>2.13010930720655E-2</v>
      </c>
      <c r="J3978">
        <v>1.6522263270564198E-2</v>
      </c>
      <c r="K3978">
        <v>0</v>
      </c>
      <c r="L3978">
        <v>1035.2305822359899</v>
      </c>
      <c r="M3978">
        <v>20.0270767098703</v>
      </c>
      <c r="N3978">
        <v>51.730242280978999</v>
      </c>
      <c r="O3978">
        <v>51.184436413031698</v>
      </c>
      <c r="P3978">
        <v>-9.7094018395422796E-2</v>
      </c>
      <c r="Q3978">
        <v>7.4354243126292397E-3</v>
      </c>
      <c r="R3978">
        <v>0.99281204286033098</v>
      </c>
      <c r="S3978" t="s">
        <v>8718</v>
      </c>
      <c r="T3978" t="s">
        <v>9478</v>
      </c>
      <c r="U3978" t="s">
        <v>9478</v>
      </c>
      <c r="V3978" t="s">
        <v>9478</v>
      </c>
      <c r="W3978">
        <v>2</v>
      </c>
      <c r="X3978" t="s">
        <v>13456</v>
      </c>
      <c r="Y3978">
        <v>0.40797390673567863</v>
      </c>
      <c r="Z3978" t="str">
        <f>HYPERLINK("Melting_Curves/meltCurve_tr_B4DDZ0_B4DDZ0_HUMAN_.pdf", "Melting_Curves/meltCurve_tr_B4DDZ0_B4DDZ0_HUMAN_.pdf")</f>
        <v>Melting_Curves/meltCurve_tr_B4DDZ0_B4DDZ0_HUMAN_.pdf</v>
      </c>
      <c r="AA3978" t="s">
        <v>18136</v>
      </c>
      <c r="AB3978" t="s">
        <v>22810</v>
      </c>
    </row>
    <row r="3979" spans="1:28" x14ac:dyDescent="0.25">
      <c r="A3979" t="s">
        <v>3983</v>
      </c>
      <c r="B3979">
        <v>0.99904790336628502</v>
      </c>
      <c r="C3979">
        <v>0.92932801733672299</v>
      </c>
      <c r="D3979">
        <v>0.79235309761494599</v>
      </c>
      <c r="E3979">
        <v>0.53362659691203096</v>
      </c>
      <c r="F3979">
        <v>0.32126407691091202</v>
      </c>
      <c r="G3979">
        <v>0.17989604000046899</v>
      </c>
      <c r="H3979">
        <v>0.117468474181487</v>
      </c>
      <c r="I3979">
        <v>8.8590350831739495E-2</v>
      </c>
      <c r="J3979">
        <v>8.0005420521439496E-2</v>
      </c>
      <c r="K3979">
        <v>7.6286673435711896E-2</v>
      </c>
      <c r="L3979">
        <v>781.06641108592305</v>
      </c>
      <c r="M3979">
        <v>15.663543486866301</v>
      </c>
      <c r="N3979">
        <v>50.303095436621703</v>
      </c>
      <c r="O3979">
        <v>49.073688163144297</v>
      </c>
      <c r="P3979">
        <v>-7.4717251837242593E-2</v>
      </c>
      <c r="Q3979">
        <v>6.3726908447896899E-2</v>
      </c>
      <c r="R3979">
        <v>0.99946870592486903</v>
      </c>
      <c r="S3979" t="s">
        <v>8719</v>
      </c>
      <c r="T3979" t="s">
        <v>9478</v>
      </c>
      <c r="U3979" t="s">
        <v>9478</v>
      </c>
      <c r="V3979" t="s">
        <v>9478</v>
      </c>
      <c r="W3979">
        <v>8</v>
      </c>
      <c r="X3979" t="s">
        <v>13457</v>
      </c>
      <c r="Y3979">
        <v>0.3923526440619976</v>
      </c>
      <c r="Z3979" t="str">
        <f>HYPERLINK("Melting_Curves/meltCurve_tr_B4DE16_B4DE16_HUMAN_.pdf", "Melting_Curves/meltCurve_tr_B4DE16_B4DE16_HUMAN_.pdf")</f>
        <v>Melting_Curves/meltCurve_tr_B4DE16_B4DE16_HUMAN_.pdf</v>
      </c>
      <c r="AA3979" t="s">
        <v>18137</v>
      </c>
      <c r="AB3979" t="s">
        <v>22811</v>
      </c>
    </row>
    <row r="3980" spans="1:28" x14ac:dyDescent="0.25">
      <c r="A3980" t="s">
        <v>3984</v>
      </c>
      <c r="B3980">
        <v>0.99904790336628502</v>
      </c>
      <c r="C3980">
        <v>1.06924704849031</v>
      </c>
      <c r="D3980">
        <v>1.08764010350865</v>
      </c>
      <c r="E3980">
        <v>0.99234281611411401</v>
      </c>
      <c r="F3980">
        <v>0.72887033275214896</v>
      </c>
      <c r="G3980">
        <v>0.29237423365528697</v>
      </c>
      <c r="H3980">
        <v>0.10274245979201201</v>
      </c>
      <c r="I3980">
        <v>6.3620330161279798E-2</v>
      </c>
      <c r="J3980">
        <v>4.3292652978339501E-2</v>
      </c>
      <c r="K3980">
        <v>3.7521250778069101E-2</v>
      </c>
      <c r="L3980">
        <v>1625.4603034176</v>
      </c>
      <c r="M3980">
        <v>29.619300162573602</v>
      </c>
      <c r="N3980">
        <v>55.057072431197497</v>
      </c>
      <c r="O3980">
        <v>54.630098037908503</v>
      </c>
      <c r="P3980">
        <v>-0.12933518573516001</v>
      </c>
      <c r="Q3980">
        <v>4.5818900652993703E-2</v>
      </c>
      <c r="R3980">
        <v>0.99214102726049502</v>
      </c>
      <c r="S3980" t="s">
        <v>8720</v>
      </c>
      <c r="T3980" t="s">
        <v>9478</v>
      </c>
      <c r="U3980" t="s">
        <v>9478</v>
      </c>
      <c r="V3980" t="s">
        <v>9478</v>
      </c>
      <c r="W3980">
        <v>35</v>
      </c>
      <c r="X3980" t="s">
        <v>13458</v>
      </c>
      <c r="Y3980">
        <v>0.52552001188844344</v>
      </c>
      <c r="Z3980" t="str">
        <f>HYPERLINK("Melting_Curves/meltCurve_tr_B4DEM7_B4DEM7_HUMAN_.pdf", "Melting_Curves/meltCurve_tr_B4DEM7_B4DEM7_HUMAN_.pdf")</f>
        <v>Melting_Curves/meltCurve_tr_B4DEM7_B4DEM7_HUMAN_.pdf</v>
      </c>
      <c r="AA3980" t="s">
        <v>18138</v>
      </c>
      <c r="AB3980" t="s">
        <v>22812</v>
      </c>
    </row>
    <row r="3981" spans="1:28" x14ac:dyDescent="0.25">
      <c r="A3981" t="s">
        <v>3985</v>
      </c>
      <c r="B3981">
        <v>0.99904790336628502</v>
      </c>
      <c r="C3981">
        <v>0.95550431897336197</v>
      </c>
      <c r="D3981">
        <v>0.88449191662063498</v>
      </c>
      <c r="E3981">
        <v>0.35422536522682502</v>
      </c>
      <c r="F3981">
        <v>0.21423912987573701</v>
      </c>
      <c r="G3981">
        <v>0.16587392902245399</v>
      </c>
      <c r="H3981">
        <v>1.5989410188545501E-2</v>
      </c>
      <c r="I3981">
        <v>0</v>
      </c>
      <c r="J3981">
        <v>0</v>
      </c>
      <c r="K3981">
        <v>0</v>
      </c>
      <c r="L3981">
        <v>1104.9514468243201</v>
      </c>
      <c r="M3981">
        <v>22.4750980986427</v>
      </c>
      <c r="N3981">
        <v>49.262758836038103</v>
      </c>
      <c r="O3981">
        <v>48.779095107718</v>
      </c>
      <c r="P3981">
        <v>-0.11263707976427199</v>
      </c>
      <c r="Q3981">
        <v>2.2166812838269399E-2</v>
      </c>
      <c r="R3981">
        <v>0.98684487693024503</v>
      </c>
      <c r="S3981" t="s">
        <v>8721</v>
      </c>
      <c r="T3981" t="s">
        <v>9478</v>
      </c>
      <c r="U3981" t="s">
        <v>9478</v>
      </c>
      <c r="V3981" t="s">
        <v>9478</v>
      </c>
      <c r="W3981">
        <v>2</v>
      </c>
      <c r="X3981" t="s">
        <v>13459</v>
      </c>
      <c r="Y3981">
        <v>0.33163078216282421</v>
      </c>
      <c r="Z3981" t="str">
        <f>HYPERLINK("Melting_Curves/meltCurve_tr_B4DEW9_B4DEW9_HUMAN_.pdf", "Melting_Curves/meltCurve_tr_B4DEW9_B4DEW9_HUMAN_.pdf")</f>
        <v>Melting_Curves/meltCurve_tr_B4DEW9_B4DEW9_HUMAN_.pdf</v>
      </c>
      <c r="AA3981" t="s">
        <v>18139</v>
      </c>
      <c r="AB3981" t="s">
        <v>22813</v>
      </c>
    </row>
    <row r="3982" spans="1:28" x14ac:dyDescent="0.25">
      <c r="A3982" t="s">
        <v>3986</v>
      </c>
      <c r="B3982">
        <v>0.99904790336628502</v>
      </c>
      <c r="C3982">
        <v>0.93718399784551099</v>
      </c>
      <c r="D3982">
        <v>0.75559754309767702</v>
      </c>
      <c r="E3982">
        <v>0.48955212681890597</v>
      </c>
      <c r="F3982">
        <v>0.29313696882675</v>
      </c>
      <c r="G3982">
        <v>0.12148088438162501</v>
      </c>
      <c r="H3982">
        <v>6.1477785755537799E-2</v>
      </c>
      <c r="I3982">
        <v>4.6554547807905799E-2</v>
      </c>
      <c r="J3982">
        <v>4.9194115876211898E-2</v>
      </c>
      <c r="K3982">
        <v>4.2302137626258597E-2</v>
      </c>
      <c r="L3982">
        <v>785.95639521576504</v>
      </c>
      <c r="M3982">
        <v>15.8529230387678</v>
      </c>
      <c r="N3982">
        <v>49.736089606956597</v>
      </c>
      <c r="O3982">
        <v>48.809227435465701</v>
      </c>
      <c r="P3982">
        <v>-7.9209881285482703E-2</v>
      </c>
      <c r="Q3982">
        <v>2.4568863980578198E-2</v>
      </c>
      <c r="R3982">
        <v>0.99863130948680301</v>
      </c>
      <c r="S3982" t="s">
        <v>8722</v>
      </c>
      <c r="T3982" t="s">
        <v>9478</v>
      </c>
      <c r="U3982" t="s">
        <v>9478</v>
      </c>
      <c r="V3982" t="s">
        <v>9478</v>
      </c>
      <c r="W3982">
        <v>10</v>
      </c>
      <c r="X3982" t="s">
        <v>13460</v>
      </c>
      <c r="Y3982">
        <v>0.35729632819335921</v>
      </c>
      <c r="Z3982" t="str">
        <f>HYPERLINK("Melting_Curves/meltCurve_tr_B4DFA2_B4DFA2_HUMAN_.pdf", "Melting_Curves/meltCurve_tr_B4DFA2_B4DFA2_HUMAN_.pdf")</f>
        <v>Melting_Curves/meltCurve_tr_B4DFA2_B4DFA2_HUMAN_.pdf</v>
      </c>
      <c r="AA3982" t="s">
        <v>18140</v>
      </c>
      <c r="AB3982" t="s">
        <v>22814</v>
      </c>
    </row>
    <row r="3983" spans="1:28" x14ac:dyDescent="0.25">
      <c r="A3983" t="s">
        <v>3987</v>
      </c>
      <c r="B3983">
        <v>0.99904790336628502</v>
      </c>
      <c r="C3983">
        <v>1.09298946332047</v>
      </c>
      <c r="D3983">
        <v>0.83049168104530302</v>
      </c>
      <c r="E3983">
        <v>0.450359608087326</v>
      </c>
      <c r="F3983">
        <v>0.30327390654865299</v>
      </c>
      <c r="G3983">
        <v>0.169408275597771</v>
      </c>
      <c r="H3983">
        <v>0.13923715545733301</v>
      </c>
      <c r="I3983">
        <v>0.128278933323797</v>
      </c>
      <c r="J3983">
        <v>0.117895274108628</v>
      </c>
      <c r="K3983">
        <v>8.8535486349726994E-2</v>
      </c>
      <c r="L3983">
        <v>1136.3138553451499</v>
      </c>
      <c r="M3983">
        <v>23.103521092461001</v>
      </c>
      <c r="N3983">
        <v>49.785013809781901</v>
      </c>
      <c r="O3983">
        <v>48.819536509914101</v>
      </c>
      <c r="P3983">
        <v>-0.103906155303835</v>
      </c>
      <c r="Q3983">
        <v>0.121768873178803</v>
      </c>
      <c r="R3983">
        <v>0.98620025995831395</v>
      </c>
      <c r="S3983" t="s">
        <v>8723</v>
      </c>
      <c r="T3983" t="s">
        <v>9478</v>
      </c>
      <c r="U3983" t="s">
        <v>9478</v>
      </c>
      <c r="V3983" t="s">
        <v>9478</v>
      </c>
      <c r="W3983">
        <v>3</v>
      </c>
      <c r="X3983" t="s">
        <v>13461</v>
      </c>
      <c r="Y3983">
        <v>0.39977158437210542</v>
      </c>
      <c r="Z3983" t="str">
        <f>HYPERLINK("Melting_Curves/meltCurve_tr_B4DFG6_B4DFG6_HUMAN_.pdf", "Melting_Curves/meltCurve_tr_B4DFG6_B4DFG6_HUMAN_.pdf")</f>
        <v>Melting_Curves/meltCurve_tr_B4DFG6_B4DFG6_HUMAN_.pdf</v>
      </c>
      <c r="AA3983" t="s">
        <v>18141</v>
      </c>
      <c r="AB3983" t="s">
        <v>22815</v>
      </c>
    </row>
    <row r="3984" spans="1:28" x14ac:dyDescent="0.25">
      <c r="A3984" t="s">
        <v>3988</v>
      </c>
      <c r="B3984">
        <v>0.99904790336628502</v>
      </c>
      <c r="C3984">
        <v>1.0357618029434901</v>
      </c>
      <c r="D3984">
        <v>1.0132305796101799</v>
      </c>
      <c r="E3984">
        <v>0.77695178316094204</v>
      </c>
      <c r="F3984">
        <v>0.47549388699113398</v>
      </c>
      <c r="G3984">
        <v>0.28700624935730101</v>
      </c>
      <c r="H3984">
        <v>0.17678994613000801</v>
      </c>
      <c r="I3984">
        <v>0.112716710336212</v>
      </c>
      <c r="J3984">
        <v>0.102310722637684</v>
      </c>
      <c r="K3984">
        <v>7.99689425386544E-2</v>
      </c>
      <c r="L3984">
        <v>1111.99943808017</v>
      </c>
      <c r="M3984">
        <v>21.145346893412398</v>
      </c>
      <c r="N3984">
        <v>53.158347245292198</v>
      </c>
      <c r="O3984">
        <v>52.124809596581301</v>
      </c>
      <c r="P3984">
        <v>-9.1132661074901894E-2</v>
      </c>
      <c r="Q3984">
        <v>0.101428979644953</v>
      </c>
      <c r="R3984">
        <v>0.99366766908132897</v>
      </c>
      <c r="S3984" t="s">
        <v>8724</v>
      </c>
      <c r="T3984" t="s">
        <v>9478</v>
      </c>
      <c r="U3984" t="s">
        <v>9478</v>
      </c>
      <c r="V3984" t="s">
        <v>9478</v>
      </c>
      <c r="W3984">
        <v>5</v>
      </c>
      <c r="X3984" t="s">
        <v>13462</v>
      </c>
      <c r="Y3984">
        <v>0.48971632165701801</v>
      </c>
      <c r="Z3984" t="str">
        <f>HYPERLINK("Melting_Curves/meltCurve_tr_B4DFQ4_B4DFQ4_HUMAN_.pdf", "Melting_Curves/meltCurve_tr_B4DFQ4_B4DFQ4_HUMAN_.pdf")</f>
        <v>Melting_Curves/meltCurve_tr_B4DFQ4_B4DFQ4_HUMAN_.pdf</v>
      </c>
      <c r="AA3984" t="s">
        <v>18142</v>
      </c>
      <c r="AB3984" t="s">
        <v>22816</v>
      </c>
    </row>
    <row r="3985" spans="1:28" x14ac:dyDescent="0.25">
      <c r="A3985" t="s">
        <v>3989</v>
      </c>
      <c r="B3985">
        <v>0.99904790336628502</v>
      </c>
      <c r="C3985">
        <v>1.04358064251427</v>
      </c>
      <c r="D3985">
        <v>1.03151023964364</v>
      </c>
      <c r="E3985">
        <v>0.97664695475172603</v>
      </c>
      <c r="F3985">
        <v>0.90186240711661503</v>
      </c>
      <c r="G3985">
        <v>0.59145910476117203</v>
      </c>
      <c r="H3985">
        <v>0.23813580863903999</v>
      </c>
      <c r="I3985">
        <v>0.10893021902552601</v>
      </c>
      <c r="J3985">
        <v>6.55822839488613E-2</v>
      </c>
      <c r="K3985">
        <v>4.5367403156212897E-2</v>
      </c>
      <c r="L3985">
        <v>1422.0401237021299</v>
      </c>
      <c r="M3985">
        <v>24.634771861493601</v>
      </c>
      <c r="N3985">
        <v>57.884441302529098</v>
      </c>
      <c r="O3985">
        <v>57.348567529111101</v>
      </c>
      <c r="P3985">
        <v>-0.10386768478695201</v>
      </c>
      <c r="Q3985">
        <v>3.2817825375262198E-2</v>
      </c>
      <c r="R3985">
        <v>0.99824682383213104</v>
      </c>
      <c r="S3985" t="s">
        <v>8725</v>
      </c>
      <c r="T3985" t="s">
        <v>9478</v>
      </c>
      <c r="U3985" t="s">
        <v>9478</v>
      </c>
      <c r="V3985" t="s">
        <v>9478</v>
      </c>
      <c r="W3985">
        <v>18</v>
      </c>
      <c r="X3985" t="s">
        <v>13463</v>
      </c>
      <c r="Y3985">
        <v>0.6129505926578348</v>
      </c>
      <c r="Z3985" t="str">
        <f>HYPERLINK("Melting_Curves/meltCurve_tr_B4DGU4_B4DGU4_HUMAN_.pdf", "Melting_Curves/meltCurve_tr_B4DGU4_B4DGU4_HUMAN_.pdf")</f>
        <v>Melting_Curves/meltCurve_tr_B4DGU4_B4DGU4_HUMAN_.pdf</v>
      </c>
      <c r="AA3985" t="s">
        <v>18143</v>
      </c>
      <c r="AB3985" t="s">
        <v>22817</v>
      </c>
    </row>
    <row r="3986" spans="1:28" x14ac:dyDescent="0.25">
      <c r="A3986" t="s">
        <v>3990</v>
      </c>
      <c r="B3986">
        <v>0.99904790336628502</v>
      </c>
      <c r="C3986">
        <v>1.0170434059873099</v>
      </c>
      <c r="D3986">
        <v>1.0034979315246899</v>
      </c>
      <c r="E3986">
        <v>0.82581150686125004</v>
      </c>
      <c r="F3986">
        <v>0.78261253187083901</v>
      </c>
      <c r="G3986">
        <v>0.54701782846968905</v>
      </c>
      <c r="H3986">
        <v>0.35236741148786899</v>
      </c>
      <c r="I3986">
        <v>0.32863674808047799</v>
      </c>
      <c r="J3986">
        <v>0.30114490099649299</v>
      </c>
      <c r="K3986">
        <v>0.264311677197059</v>
      </c>
      <c r="L3986">
        <v>877.60334410236101</v>
      </c>
      <c r="M3986">
        <v>15.8460792249716</v>
      </c>
      <c r="N3986">
        <v>57.783796039042002</v>
      </c>
      <c r="O3986">
        <v>54.523473984480603</v>
      </c>
      <c r="P3986">
        <v>-5.5140164432939703E-2</v>
      </c>
      <c r="Q3986">
        <v>0.24115275021330601</v>
      </c>
      <c r="R3986">
        <v>0.99180360996184003</v>
      </c>
      <c r="S3986" t="s">
        <v>8726</v>
      </c>
      <c r="T3986" t="s">
        <v>9478</v>
      </c>
      <c r="U3986" t="s">
        <v>9478</v>
      </c>
      <c r="V3986" t="s">
        <v>9478</v>
      </c>
      <c r="W3986">
        <v>3</v>
      </c>
      <c r="X3986" t="s">
        <v>13464</v>
      </c>
      <c r="Y3986">
        <v>0.64369562318635509</v>
      </c>
      <c r="Z3986" t="str">
        <f>HYPERLINK("Melting_Curves/meltCurve_tr_B4DGX2_B4DGX2_HUMAN_.pdf", "Melting_Curves/meltCurve_tr_B4DGX2_B4DGX2_HUMAN_.pdf")</f>
        <v>Melting_Curves/meltCurve_tr_B4DGX2_B4DGX2_HUMAN_.pdf</v>
      </c>
      <c r="AA3986" t="s">
        <v>18144</v>
      </c>
      <c r="AB3986" t="s">
        <v>22818</v>
      </c>
    </row>
    <row r="3987" spans="1:28" x14ac:dyDescent="0.25">
      <c r="A3987" t="s">
        <v>3991</v>
      </c>
      <c r="B3987">
        <v>0.99904790336628502</v>
      </c>
      <c r="C3987">
        <v>0.93418655891601399</v>
      </c>
      <c r="D3987">
        <v>0.86589689705192796</v>
      </c>
      <c r="E3987">
        <v>0.55940404879828098</v>
      </c>
      <c r="F3987">
        <v>0.33255190622514103</v>
      </c>
      <c r="G3987">
        <v>0.230328949294653</v>
      </c>
      <c r="H3987">
        <v>0.19208612110881201</v>
      </c>
      <c r="I3987">
        <v>0.222558596280199</v>
      </c>
      <c r="J3987">
        <v>0.241407433944725</v>
      </c>
      <c r="K3987">
        <v>0.224617084107127</v>
      </c>
      <c r="L3987">
        <v>1109.3249025503801</v>
      </c>
      <c r="M3987">
        <v>22.5141868874057</v>
      </c>
      <c r="N3987">
        <v>50.504406521342098</v>
      </c>
      <c r="O3987">
        <v>48.888464160864402</v>
      </c>
      <c r="P3987">
        <v>-9.0803153386089894E-2</v>
      </c>
      <c r="Q3987">
        <v>0.21131728340535</v>
      </c>
      <c r="R3987">
        <v>0.99579597424810695</v>
      </c>
      <c r="S3987" t="s">
        <v>8727</v>
      </c>
      <c r="T3987" t="s">
        <v>9478</v>
      </c>
      <c r="U3987" t="s">
        <v>9478</v>
      </c>
      <c r="V3987" t="s">
        <v>9478</v>
      </c>
      <c r="W3987">
        <v>14</v>
      </c>
      <c r="X3987" t="s">
        <v>13465</v>
      </c>
      <c r="Y3987">
        <v>0.46375220233603293</v>
      </c>
      <c r="Z3987" t="str">
        <f>HYPERLINK("Melting_Curves/meltCurve_tr_B4DH53_B4DH53_HUMAN_.pdf", "Melting_Curves/meltCurve_tr_B4DH53_B4DH53_HUMAN_.pdf")</f>
        <v>Melting_Curves/meltCurve_tr_B4DH53_B4DH53_HUMAN_.pdf</v>
      </c>
      <c r="AA3987" t="s">
        <v>18145</v>
      </c>
      <c r="AB3987" t="s">
        <v>22819</v>
      </c>
    </row>
    <row r="3988" spans="1:28" x14ac:dyDescent="0.25">
      <c r="A3988" t="s">
        <v>3992</v>
      </c>
      <c r="B3988">
        <v>0.99904790336628502</v>
      </c>
      <c r="C3988">
        <v>1.59309606998537</v>
      </c>
      <c r="D3988">
        <v>1.00497825836829</v>
      </c>
      <c r="E3988">
        <v>1.1803658937166399</v>
      </c>
      <c r="F3988">
        <v>1.2471346723622101</v>
      </c>
      <c r="G3988">
        <v>0.76148697268726095</v>
      </c>
      <c r="H3988">
        <v>0.69490547574636896</v>
      </c>
      <c r="I3988">
        <v>0.848091437486022</v>
      </c>
      <c r="J3988">
        <v>0.90540139731121705</v>
      </c>
      <c r="K3988">
        <v>1.1321355740147401</v>
      </c>
      <c r="L3988">
        <v>1938.68380627646</v>
      </c>
      <c r="M3988">
        <v>34.8993904548175</v>
      </c>
      <c r="O3988">
        <v>55.369212913047498</v>
      </c>
      <c r="P3988">
        <v>-1.8872767657387501E-2</v>
      </c>
      <c r="Q3988">
        <v>0.88023098483248197</v>
      </c>
      <c r="R3988">
        <v>7.9911263897762E-2</v>
      </c>
      <c r="S3988" t="s">
        <v>8728</v>
      </c>
      <c r="T3988" t="s">
        <v>9478</v>
      </c>
      <c r="U3988" t="s">
        <v>9478</v>
      </c>
      <c r="V3988" t="s">
        <v>9478</v>
      </c>
      <c r="W3988">
        <v>2</v>
      </c>
      <c r="X3988" t="s">
        <v>13466</v>
      </c>
      <c r="Y3988">
        <v>0.94291176045872394</v>
      </c>
      <c r="Z3988" t="str">
        <f>HYPERLINK("Melting_Curves/meltCurve_tr_B4DHJ7_B4DHJ7_HUMAN_.pdf", "Melting_Curves/meltCurve_tr_B4DHJ7_B4DHJ7_HUMAN_.pdf")</f>
        <v>Melting_Curves/meltCurve_tr_B4DHJ7_B4DHJ7_HUMAN_.pdf</v>
      </c>
      <c r="AA3988" t="s">
        <v>18146</v>
      </c>
      <c r="AB3988" t="s">
        <v>22820</v>
      </c>
    </row>
    <row r="3989" spans="1:28" x14ac:dyDescent="0.25">
      <c r="A3989" t="s">
        <v>3993</v>
      </c>
      <c r="B3989">
        <v>0.99904790336628502</v>
      </c>
      <c r="C3989">
        <v>0.76045371638318204</v>
      </c>
      <c r="D3989">
        <v>0.47165992988495098</v>
      </c>
      <c r="E3989">
        <v>0.187843525000989</v>
      </c>
      <c r="F3989">
        <v>8.4853689379330396E-2</v>
      </c>
      <c r="G3989">
        <v>5.0866135599134998E-2</v>
      </c>
      <c r="H3989">
        <v>2.9468713266816798E-2</v>
      </c>
      <c r="I3989">
        <v>2.1691941923623899E-2</v>
      </c>
      <c r="J3989">
        <v>1.8862055505626599E-2</v>
      </c>
      <c r="K3989">
        <v>1.50179929911862E-2</v>
      </c>
      <c r="L3989">
        <v>892.79519943344906</v>
      </c>
      <c r="M3989">
        <v>19.5510722674051</v>
      </c>
      <c r="N3989">
        <v>45.771234875352398</v>
      </c>
      <c r="O3989">
        <v>45.195084875829998</v>
      </c>
      <c r="P3989">
        <v>-0.10574795604661701</v>
      </c>
      <c r="Q3989">
        <v>2.22291438075914E-2</v>
      </c>
      <c r="R3989">
        <v>0.99635476009701995</v>
      </c>
      <c r="S3989" t="s">
        <v>8729</v>
      </c>
      <c r="T3989" t="s">
        <v>9478</v>
      </c>
      <c r="U3989" t="s">
        <v>9478</v>
      </c>
      <c r="V3989" t="s">
        <v>9478</v>
      </c>
      <c r="W3989">
        <v>28</v>
      </c>
      <c r="X3989" t="s">
        <v>13467</v>
      </c>
      <c r="Y3989">
        <v>0.22320089279631569</v>
      </c>
      <c r="Z3989" t="str">
        <f>HYPERLINK("Melting_Curves/meltCurve_tr_B4DHT5_B4DHT5_HUMAN_.pdf", "Melting_Curves/meltCurve_tr_B4DHT5_B4DHT5_HUMAN_.pdf")</f>
        <v>Melting_Curves/meltCurve_tr_B4DHT5_B4DHT5_HUMAN_.pdf</v>
      </c>
      <c r="AA3989" t="s">
        <v>18147</v>
      </c>
      <c r="AB3989" t="s">
        <v>22821</v>
      </c>
    </row>
    <row r="3990" spans="1:28" x14ac:dyDescent="0.25">
      <c r="A3990" t="s">
        <v>3994</v>
      </c>
      <c r="B3990">
        <v>0.99904790336628502</v>
      </c>
      <c r="C3990">
        <v>1.0172394393361399</v>
      </c>
      <c r="D3990">
        <v>0.90549020918460799</v>
      </c>
      <c r="E3990">
        <v>0.72055486472334496</v>
      </c>
      <c r="F3990">
        <v>0.461373092831391</v>
      </c>
      <c r="G3990">
        <v>0.24513166055510299</v>
      </c>
      <c r="H3990">
        <v>4.8829685473157303E-2</v>
      </c>
      <c r="I3990">
        <v>3.2312976849793298E-2</v>
      </c>
      <c r="J3990">
        <v>0</v>
      </c>
      <c r="K3990">
        <v>0</v>
      </c>
      <c r="L3990">
        <v>932.27448453598504</v>
      </c>
      <c r="M3990">
        <v>17.706083125226801</v>
      </c>
      <c r="N3990">
        <v>52.652779166772</v>
      </c>
      <c r="O3990">
        <v>51.994954438470401</v>
      </c>
      <c r="P3990">
        <v>-8.5138183153743899E-2</v>
      </c>
      <c r="Q3990">
        <v>0</v>
      </c>
      <c r="R3990">
        <v>0.99693609197705102</v>
      </c>
      <c r="S3990" t="s">
        <v>8730</v>
      </c>
      <c r="T3990" t="s">
        <v>9478</v>
      </c>
      <c r="U3990" t="s">
        <v>9478</v>
      </c>
      <c r="V3990" t="s">
        <v>9478</v>
      </c>
      <c r="W3990">
        <v>3</v>
      </c>
      <c r="X3990" t="s">
        <v>13468</v>
      </c>
      <c r="Y3990">
        <v>0.43868381515932281</v>
      </c>
      <c r="Z3990" t="str">
        <f>HYPERLINK("Melting_Curves/meltCurve_tr_B4DJA5_B4DJA5_HUMAN_.pdf", "Melting_Curves/meltCurve_tr_B4DJA5_B4DJA5_HUMAN_.pdf")</f>
        <v>Melting_Curves/meltCurve_tr_B4DJA5_B4DJA5_HUMAN_.pdf</v>
      </c>
      <c r="AA3990" t="s">
        <v>18148</v>
      </c>
      <c r="AB3990" t="s">
        <v>22822</v>
      </c>
    </row>
    <row r="3991" spans="1:28" x14ac:dyDescent="0.25">
      <c r="A3991" t="s">
        <v>3995</v>
      </c>
      <c r="B3991">
        <v>0.99904790336628502</v>
      </c>
      <c r="C3991">
        <v>0.99180562906176595</v>
      </c>
      <c r="D3991">
        <v>0.85380769522153599</v>
      </c>
      <c r="E3991">
        <v>0.55974305992356799</v>
      </c>
      <c r="F3991">
        <v>0.34326220248658101</v>
      </c>
      <c r="G3991">
        <v>0.235704887346322</v>
      </c>
      <c r="H3991">
        <v>0.16464659186834801</v>
      </c>
      <c r="I3991">
        <v>0.126566618053366</v>
      </c>
      <c r="J3991">
        <v>0.10774047557286801</v>
      </c>
      <c r="K3991">
        <v>8.3547826360968094E-2</v>
      </c>
      <c r="L3991">
        <v>888.15708301131804</v>
      </c>
      <c r="M3991">
        <v>17.6890057866914</v>
      </c>
      <c r="N3991">
        <v>50.895044429329502</v>
      </c>
      <c r="O3991">
        <v>49.581047387833401</v>
      </c>
      <c r="P3991">
        <v>-7.9742548919120804E-2</v>
      </c>
      <c r="Q3991">
        <v>0.105996151057177</v>
      </c>
      <c r="R3991">
        <v>0.99687222178141799</v>
      </c>
      <c r="S3991" t="s">
        <v>8731</v>
      </c>
      <c r="T3991" t="s">
        <v>9478</v>
      </c>
      <c r="U3991" t="s">
        <v>9478</v>
      </c>
      <c r="V3991" t="s">
        <v>9478</v>
      </c>
      <c r="W3991">
        <v>1</v>
      </c>
      <c r="X3991" t="s">
        <v>13469</v>
      </c>
      <c r="Y3991">
        <v>0.42595215439919148</v>
      </c>
      <c r="Z3991" t="str">
        <f>HYPERLINK("Melting_Curves/meltCurve_tr_B4DJE5_B4DJE5_HUMAN_.pdf", "Melting_Curves/meltCurve_tr_B4DJE5_B4DJE5_HUMAN_.pdf")</f>
        <v>Melting_Curves/meltCurve_tr_B4DJE5_B4DJE5_HUMAN_.pdf</v>
      </c>
      <c r="AA3991" t="s">
        <v>18149</v>
      </c>
      <c r="AB3991" t="s">
        <v>22823</v>
      </c>
    </row>
    <row r="3992" spans="1:28" x14ac:dyDescent="0.25">
      <c r="A3992" t="s">
        <v>3996</v>
      </c>
      <c r="B3992">
        <v>0.99904790336628502</v>
      </c>
      <c r="C3992">
        <v>0.89905782002629797</v>
      </c>
      <c r="D3992">
        <v>0.927546774643766</v>
      </c>
      <c r="E3992">
        <v>0.90621476677712398</v>
      </c>
      <c r="F3992">
        <v>0.86335138585158899</v>
      </c>
      <c r="G3992">
        <v>0.71056870322799004</v>
      </c>
      <c r="H3992">
        <v>0.52706991391299896</v>
      </c>
      <c r="I3992">
        <v>0.41793230512801</v>
      </c>
      <c r="J3992">
        <v>0.28053721223020101</v>
      </c>
      <c r="K3992">
        <v>0.157971567248612</v>
      </c>
      <c r="L3992">
        <v>682.77616733871503</v>
      </c>
      <c r="M3992">
        <v>11.1163575838813</v>
      </c>
      <c r="N3992">
        <v>61.420853229957899</v>
      </c>
      <c r="O3992">
        <v>59.533703060041397</v>
      </c>
      <c r="P3992">
        <v>-4.6696066609792301E-2</v>
      </c>
      <c r="Q3992">
        <v>0</v>
      </c>
      <c r="R3992">
        <v>0.98226096392455997</v>
      </c>
      <c r="S3992" t="s">
        <v>8732</v>
      </c>
      <c r="T3992" t="s">
        <v>9478</v>
      </c>
      <c r="U3992" t="s">
        <v>9478</v>
      </c>
      <c r="V3992" t="s">
        <v>9478</v>
      </c>
      <c r="W3992">
        <v>4</v>
      </c>
      <c r="X3992" t="s">
        <v>13470</v>
      </c>
      <c r="Y3992">
        <v>0.70364557225777091</v>
      </c>
      <c r="Z3992" t="str">
        <f>HYPERLINK("Melting_Curves/meltCurve_tr_B4DJP7_B4DJP7_HUMAN_.pdf", "Melting_Curves/meltCurve_tr_B4DJP7_B4DJP7_HUMAN_.pdf")</f>
        <v>Melting_Curves/meltCurve_tr_B4DJP7_B4DJP7_HUMAN_.pdf</v>
      </c>
      <c r="AA3992" t="s">
        <v>18150</v>
      </c>
      <c r="AB3992" t="s">
        <v>22824</v>
      </c>
    </row>
    <row r="3993" spans="1:28" x14ac:dyDescent="0.25">
      <c r="A3993" t="s">
        <v>3997</v>
      </c>
      <c r="B3993">
        <v>0.99904790336628502</v>
      </c>
      <c r="C3993">
        <v>0.99483748057798205</v>
      </c>
      <c r="D3993">
        <v>0.92999841261867799</v>
      </c>
      <c r="E3993">
        <v>0.64671109487515799</v>
      </c>
      <c r="F3993">
        <v>0.25533873883837599</v>
      </c>
      <c r="G3993">
        <v>0.13956584372536401</v>
      </c>
      <c r="H3993">
        <v>8.02378374000976E-2</v>
      </c>
      <c r="I3993">
        <v>5.98767884130652E-2</v>
      </c>
      <c r="J3993">
        <v>4.1311124017615997E-2</v>
      </c>
      <c r="K3993">
        <v>3.4044154482020701E-2</v>
      </c>
      <c r="L3993">
        <v>1377.5868253168201</v>
      </c>
      <c r="M3993">
        <v>27.121815779560901</v>
      </c>
      <c r="N3993">
        <v>51.011306665387799</v>
      </c>
      <c r="O3993">
        <v>50.518837616050398</v>
      </c>
      <c r="P3993">
        <v>-0.12684990313331501</v>
      </c>
      <c r="Q3993">
        <v>5.4893796604648E-2</v>
      </c>
      <c r="R3993">
        <v>0.99757069307550605</v>
      </c>
      <c r="S3993" t="s">
        <v>8733</v>
      </c>
      <c r="T3993" t="s">
        <v>9478</v>
      </c>
      <c r="U3993" t="s">
        <v>9478</v>
      </c>
      <c r="V3993" t="s">
        <v>9478</v>
      </c>
      <c r="W3993">
        <v>20</v>
      </c>
      <c r="X3993" t="s">
        <v>13471</v>
      </c>
      <c r="Y3993">
        <v>0.4021445493703979</v>
      </c>
      <c r="Z3993" t="str">
        <f>HYPERLINK("Melting_Curves/meltCurve_tr_B4DJV2_B4DJV2_HUMAN_.pdf", "Melting_Curves/meltCurve_tr_B4DJV2_B4DJV2_HUMAN_.pdf")</f>
        <v>Melting_Curves/meltCurve_tr_B4DJV2_B4DJV2_HUMAN_.pdf</v>
      </c>
      <c r="AA3993" t="s">
        <v>18151</v>
      </c>
      <c r="AB3993" t="s">
        <v>22825</v>
      </c>
    </row>
    <row r="3994" spans="1:28" x14ac:dyDescent="0.25">
      <c r="A3994" t="s">
        <v>3998</v>
      </c>
      <c r="B3994">
        <v>0.99904790336628502</v>
      </c>
      <c r="C3994">
        <v>0.95291987413100399</v>
      </c>
      <c r="D3994">
        <v>0.97163384316152601</v>
      </c>
      <c r="E3994">
        <v>0.70859476966635304</v>
      </c>
      <c r="F3994">
        <v>0.54828951202193499</v>
      </c>
      <c r="G3994">
        <v>0.15164621738228801</v>
      </c>
      <c r="H3994">
        <v>6.7290541243864202E-2</v>
      </c>
      <c r="I3994">
        <v>7.7392137276689796E-2</v>
      </c>
      <c r="J3994">
        <v>7.1527131935967395E-2</v>
      </c>
      <c r="K3994">
        <v>2.6246567051644999E-2</v>
      </c>
      <c r="L3994">
        <v>1077.32917578459</v>
      </c>
      <c r="M3994">
        <v>20.454704576541001</v>
      </c>
      <c r="N3994">
        <v>52.8365729614831</v>
      </c>
      <c r="O3994">
        <v>52.173372500354297</v>
      </c>
      <c r="P3994">
        <v>-9.4938314007203595E-2</v>
      </c>
      <c r="Q3994">
        <v>3.1400636082430801E-2</v>
      </c>
      <c r="R3994">
        <v>0.99233151909285</v>
      </c>
      <c r="S3994" t="s">
        <v>8734</v>
      </c>
      <c r="T3994" t="s">
        <v>9478</v>
      </c>
      <c r="U3994" t="s">
        <v>9478</v>
      </c>
      <c r="V3994" t="s">
        <v>9478</v>
      </c>
      <c r="W3994">
        <v>1</v>
      </c>
      <c r="X3994" t="s">
        <v>13472</v>
      </c>
      <c r="Y3994">
        <v>0.4532825484280672</v>
      </c>
      <c r="Z3994" t="str">
        <f>HYPERLINK("Melting_Curves/meltCurve_tr_B4DK95_B4DK95_HUMAN_.pdf", "Melting_Curves/meltCurve_tr_B4DK95_B4DK95_HUMAN_.pdf")</f>
        <v>Melting_Curves/meltCurve_tr_B4DK95_B4DK95_HUMAN_.pdf</v>
      </c>
      <c r="AA3994" t="s">
        <v>18152</v>
      </c>
      <c r="AB3994" t="s">
        <v>22826</v>
      </c>
    </row>
    <row r="3995" spans="1:28" x14ac:dyDescent="0.25">
      <c r="A3995" t="s">
        <v>3999</v>
      </c>
      <c r="B3995">
        <v>0.99904790336628502</v>
      </c>
      <c r="C3995">
        <v>0.91967932828130206</v>
      </c>
      <c r="D3995">
        <v>0.72776092855143304</v>
      </c>
      <c r="E3995">
        <v>0.60324884613970797</v>
      </c>
      <c r="F3995">
        <v>0.35145688737682002</v>
      </c>
      <c r="G3995">
        <v>0.21199755637146001</v>
      </c>
      <c r="H3995">
        <v>0.191405258800041</v>
      </c>
      <c r="I3995">
        <v>0.122215887094539</v>
      </c>
      <c r="J3995">
        <v>0.123680642573084</v>
      </c>
      <c r="K3995">
        <v>8.3089115352347406E-2</v>
      </c>
      <c r="L3995">
        <v>653.84708991856803</v>
      </c>
      <c r="M3995">
        <v>13.0514816518392</v>
      </c>
      <c r="N3995">
        <v>50.752815238553303</v>
      </c>
      <c r="O3995">
        <v>48.965193270479297</v>
      </c>
      <c r="P3995">
        <v>-6.14803251302877E-2</v>
      </c>
      <c r="Q3995">
        <v>7.7538486700032994E-2</v>
      </c>
      <c r="R3995">
        <v>0.99066661711993498</v>
      </c>
      <c r="S3995" t="s">
        <v>8735</v>
      </c>
      <c r="T3995" t="s">
        <v>9478</v>
      </c>
      <c r="U3995" t="s">
        <v>9478</v>
      </c>
      <c r="V3995" t="s">
        <v>9478</v>
      </c>
      <c r="W3995">
        <v>4</v>
      </c>
      <c r="X3995" t="s">
        <v>13473</v>
      </c>
      <c r="Y3995">
        <v>0.41580022817374451</v>
      </c>
      <c r="Z3995" t="str">
        <f>HYPERLINK("Melting_Curves/meltCurve_tr_B4DKG8_B4DKG8_HUMAN_.pdf", "Melting_Curves/meltCurve_tr_B4DKG8_B4DKG8_HUMAN_.pdf")</f>
        <v>Melting_Curves/meltCurve_tr_B4DKG8_B4DKG8_HUMAN_.pdf</v>
      </c>
      <c r="AA3995" t="s">
        <v>18153</v>
      </c>
      <c r="AB3995" t="s">
        <v>22827</v>
      </c>
    </row>
    <row r="3996" spans="1:28" x14ac:dyDescent="0.25">
      <c r="A3996" t="s">
        <v>4000</v>
      </c>
      <c r="B3996">
        <v>0.99904790336628502</v>
      </c>
      <c r="C3996">
        <v>0.97080646986351005</v>
      </c>
      <c r="D3996">
        <v>1.00757631660897</v>
      </c>
      <c r="E3996">
        <v>0.98179818334143099</v>
      </c>
      <c r="F3996">
        <v>0.93954228067973999</v>
      </c>
      <c r="G3996">
        <v>0.57805588061800195</v>
      </c>
      <c r="H3996">
        <v>0.32981332048324902</v>
      </c>
      <c r="I3996">
        <v>0.21639296647478801</v>
      </c>
      <c r="J3996">
        <v>0.111544150584064</v>
      </c>
      <c r="K3996">
        <v>7.1161066750163607E-2</v>
      </c>
      <c r="L3996">
        <v>1231.64657946236</v>
      </c>
      <c r="M3996">
        <v>21.216762264349999</v>
      </c>
      <c r="N3996">
        <v>58.455808363071199</v>
      </c>
      <c r="O3996">
        <v>57.542316381531101</v>
      </c>
      <c r="P3996">
        <v>-8.5878361935589106E-2</v>
      </c>
      <c r="Q3996">
        <v>6.8375752509346202E-2</v>
      </c>
      <c r="R3996">
        <v>0.99485880875911303</v>
      </c>
      <c r="S3996" t="s">
        <v>8736</v>
      </c>
      <c r="T3996" t="s">
        <v>9478</v>
      </c>
      <c r="U3996" t="s">
        <v>9478</v>
      </c>
      <c r="V3996" t="s">
        <v>9478</v>
      </c>
      <c r="W3996">
        <v>3</v>
      </c>
      <c r="X3996" t="s">
        <v>13474</v>
      </c>
      <c r="Y3996">
        <v>0.63881986583290506</v>
      </c>
      <c r="Z3996" t="str">
        <f>HYPERLINK("Melting_Curves/meltCurve_tr_B4DKJ3_B4DKJ3_HUMAN_.pdf", "Melting_Curves/meltCurve_tr_B4DKJ3_B4DKJ3_HUMAN_.pdf")</f>
        <v>Melting_Curves/meltCurve_tr_B4DKJ3_B4DKJ3_HUMAN_.pdf</v>
      </c>
      <c r="AA3996" t="s">
        <v>18154</v>
      </c>
      <c r="AB3996" t="s">
        <v>22828</v>
      </c>
    </row>
    <row r="3997" spans="1:28" x14ac:dyDescent="0.25">
      <c r="A3997" t="s">
        <v>4001</v>
      </c>
      <c r="B3997">
        <v>0.99904790336628502</v>
      </c>
      <c r="C3997">
        <v>1.0451830311250401</v>
      </c>
      <c r="D3997">
        <v>0.98820429577854896</v>
      </c>
      <c r="E3997">
        <v>0.967149582898579</v>
      </c>
      <c r="F3997">
        <v>0.942734593381921</v>
      </c>
      <c r="G3997">
        <v>0.75575583074692199</v>
      </c>
      <c r="H3997">
        <v>0.59308330033677503</v>
      </c>
      <c r="I3997">
        <v>0.61705194808921604</v>
      </c>
      <c r="J3997">
        <v>0.66217791155987504</v>
      </c>
      <c r="K3997">
        <v>0.84058225841678802</v>
      </c>
      <c r="L3997">
        <v>2355.8248985697101</v>
      </c>
      <c r="M3997">
        <v>42.823116787270202</v>
      </c>
      <c r="O3997">
        <v>54.893363002675898</v>
      </c>
      <c r="P3997">
        <v>-6.23477582180441E-2</v>
      </c>
      <c r="Q3997">
        <v>0.68031540314693395</v>
      </c>
      <c r="R3997">
        <v>0.84230273444398596</v>
      </c>
      <c r="S3997" t="s">
        <v>8737</v>
      </c>
      <c r="T3997" t="s">
        <v>9478</v>
      </c>
      <c r="U3997" t="s">
        <v>9478</v>
      </c>
      <c r="V3997" t="s">
        <v>9478</v>
      </c>
      <c r="W3997">
        <v>10</v>
      </c>
      <c r="X3997" t="s">
        <v>13475</v>
      </c>
      <c r="Y3997">
        <v>0.84135271942066747</v>
      </c>
      <c r="Z3997" t="str">
        <f>HYPERLINK("Melting_Curves/meltCurve_tr_B4DKL4_B4DKL4_HUMAN_.pdf", "Melting_Curves/meltCurve_tr_B4DKL4_B4DKL4_HUMAN_.pdf")</f>
        <v>Melting_Curves/meltCurve_tr_B4DKL4_B4DKL4_HUMAN_.pdf</v>
      </c>
      <c r="AA3997" t="s">
        <v>18155</v>
      </c>
      <c r="AB3997" t="s">
        <v>22829</v>
      </c>
    </row>
    <row r="3998" spans="1:28" x14ac:dyDescent="0.25">
      <c r="A3998" t="s">
        <v>4002</v>
      </c>
      <c r="B3998">
        <v>0.99904790336628502</v>
      </c>
      <c r="C3998">
        <v>1.00181854214657</v>
      </c>
      <c r="D3998">
        <v>0.840675599298215</v>
      </c>
      <c r="E3998">
        <v>0.60198680679765104</v>
      </c>
      <c r="F3998">
        <v>0.44399933816947701</v>
      </c>
      <c r="G3998">
        <v>0.25522687856307302</v>
      </c>
      <c r="H3998">
        <v>0.14258285694815601</v>
      </c>
      <c r="I3998">
        <v>0.111427283271953</v>
      </c>
      <c r="J3998">
        <v>9.4100483973351995E-2</v>
      </c>
      <c r="K3998">
        <v>0.10152815779218601</v>
      </c>
      <c r="L3998">
        <v>764.87863429074798</v>
      </c>
      <c r="M3998">
        <v>14.918461227414101</v>
      </c>
      <c r="N3998">
        <v>51.825878781681403</v>
      </c>
      <c r="O3998">
        <v>50.375827495082703</v>
      </c>
      <c r="P3998">
        <v>-6.8574701328158197E-2</v>
      </c>
      <c r="Q3998">
        <v>7.3858697048795899E-2</v>
      </c>
      <c r="R3998">
        <v>0.996724875657378</v>
      </c>
      <c r="S3998" t="s">
        <v>8738</v>
      </c>
      <c r="T3998" t="s">
        <v>9478</v>
      </c>
      <c r="U3998" t="s">
        <v>9478</v>
      </c>
      <c r="V3998" t="s">
        <v>9478</v>
      </c>
      <c r="W3998">
        <v>2</v>
      </c>
      <c r="X3998" t="s">
        <v>13476</v>
      </c>
      <c r="Y3998">
        <v>0.44320076966708388</v>
      </c>
      <c r="Z3998" t="str">
        <f>HYPERLINK("Melting_Curves/meltCurve_tr_B4DL14_B4DL14_HUMAN_.pdf", "Melting_Curves/meltCurve_tr_B4DL14_B4DL14_HUMAN_.pdf")</f>
        <v>Melting_Curves/meltCurve_tr_B4DL14_B4DL14_HUMAN_.pdf</v>
      </c>
      <c r="AA3998" t="s">
        <v>18156</v>
      </c>
      <c r="AB3998" t="s">
        <v>22830</v>
      </c>
    </row>
    <row r="3999" spans="1:28" x14ac:dyDescent="0.25">
      <c r="A3999" t="s">
        <v>4003</v>
      </c>
      <c r="B3999">
        <v>0.99904790336628502</v>
      </c>
      <c r="C3999">
        <v>0.95339903266872605</v>
      </c>
      <c r="D3999">
        <v>0.95694171090848801</v>
      </c>
      <c r="E3999">
        <v>0.89222148480906105</v>
      </c>
      <c r="F3999">
        <v>0.78701410167332198</v>
      </c>
      <c r="G3999">
        <v>0.43242110386636301</v>
      </c>
      <c r="H3999">
        <v>0.28989803502524603</v>
      </c>
      <c r="I3999">
        <v>0.23421325045102101</v>
      </c>
      <c r="J3999">
        <v>0.23358909670160999</v>
      </c>
      <c r="K3999">
        <v>0.218606322826953</v>
      </c>
      <c r="L3999">
        <v>1233.9603076854701</v>
      </c>
      <c r="M3999">
        <v>22.480706880585</v>
      </c>
      <c r="N3999">
        <v>56.262820254593201</v>
      </c>
      <c r="O3999">
        <v>54.460951147114301</v>
      </c>
      <c r="P3999">
        <v>-8.14103260684787E-2</v>
      </c>
      <c r="Q3999">
        <v>0.211129275415887</v>
      </c>
      <c r="R3999">
        <v>0.99493029429398505</v>
      </c>
      <c r="S3999" t="s">
        <v>8739</v>
      </c>
      <c r="T3999" t="s">
        <v>9478</v>
      </c>
      <c r="U3999" t="s">
        <v>9478</v>
      </c>
      <c r="V3999" t="s">
        <v>9478</v>
      </c>
      <c r="W3999">
        <v>5</v>
      </c>
      <c r="X3999" t="s">
        <v>13477</v>
      </c>
      <c r="Y3999">
        <v>0.61141839514705376</v>
      </c>
      <c r="Z3999" t="str">
        <f>HYPERLINK("Melting_Curves/meltCurve_tr_B4DL54_B4DL54_HUMAN_.pdf", "Melting_Curves/meltCurve_tr_B4DL54_B4DL54_HUMAN_.pdf")</f>
        <v>Melting_Curves/meltCurve_tr_B4DL54_B4DL54_HUMAN_.pdf</v>
      </c>
      <c r="AA3999" t="s">
        <v>18157</v>
      </c>
      <c r="AB3999" t="s">
        <v>22831</v>
      </c>
    </row>
    <row r="4000" spans="1:28" x14ac:dyDescent="0.25">
      <c r="A4000" t="s">
        <v>4004</v>
      </c>
      <c r="B4000">
        <v>0.99904790336628502</v>
      </c>
      <c r="C4000">
        <v>0.67519776386205999</v>
      </c>
      <c r="D4000">
        <v>0.65355366471640897</v>
      </c>
      <c r="E4000">
        <v>0.71795344725154897</v>
      </c>
      <c r="F4000">
        <v>0.58960781399766304</v>
      </c>
      <c r="G4000">
        <v>0.65661671073084105</v>
      </c>
      <c r="H4000">
        <v>0.56964277433891997</v>
      </c>
      <c r="I4000">
        <v>0.56922019027471704</v>
      </c>
      <c r="J4000">
        <v>0.353935303679911</v>
      </c>
      <c r="K4000">
        <v>0.32508197413261902</v>
      </c>
      <c r="L4000">
        <v>200.19123264323801</v>
      </c>
      <c r="M4000">
        <v>3.2439567369381299</v>
      </c>
      <c r="N4000">
        <v>61.712065275594</v>
      </c>
      <c r="O4000">
        <v>46.969400342643198</v>
      </c>
      <c r="P4000">
        <v>-1.7690609689894901E-2</v>
      </c>
      <c r="Q4000">
        <v>0</v>
      </c>
      <c r="R4000">
        <v>0.73437982221661802</v>
      </c>
      <c r="S4000" t="s">
        <v>8740</v>
      </c>
      <c r="T4000" t="s">
        <v>9478</v>
      </c>
      <c r="U4000" t="s">
        <v>9478</v>
      </c>
      <c r="V4000" t="s">
        <v>9478</v>
      </c>
      <c r="W4000">
        <v>3</v>
      </c>
      <c r="X4000" t="s">
        <v>13478</v>
      </c>
      <c r="Y4000">
        <v>0.60956176317073918</v>
      </c>
      <c r="Z4000" t="str">
        <f>HYPERLINK("Melting_Curves/meltCurve_tr_B4DLN1_B4DLN1_HUMAN_.pdf", "Melting_Curves/meltCurve_tr_B4DLN1_B4DLN1_HUMAN_.pdf")</f>
        <v>Melting_Curves/meltCurve_tr_B4DLN1_B4DLN1_HUMAN_.pdf</v>
      </c>
      <c r="AA4000" t="s">
        <v>18158</v>
      </c>
      <c r="AB4000" t="s">
        <v>22832</v>
      </c>
    </row>
    <row r="4001" spans="1:28" x14ac:dyDescent="0.25">
      <c r="A4001" t="s">
        <v>4005</v>
      </c>
      <c r="B4001">
        <v>0.99904790336628502</v>
      </c>
      <c r="C4001">
        <v>1.0016289940960901</v>
      </c>
      <c r="D4001">
        <v>1.0014125837361101</v>
      </c>
      <c r="E4001">
        <v>0.79297130252189496</v>
      </c>
      <c r="F4001">
        <v>0.39451338150069098</v>
      </c>
      <c r="G4001">
        <v>0.23134475103852301</v>
      </c>
      <c r="H4001">
        <v>0.10403998337378501</v>
      </c>
      <c r="I4001">
        <v>7.9108542377024998E-2</v>
      </c>
      <c r="J4001">
        <v>6.3912853571753803E-2</v>
      </c>
      <c r="K4001">
        <v>5.2354679840145801E-2</v>
      </c>
      <c r="L4001">
        <v>1352.8855453377701</v>
      </c>
      <c r="M4001">
        <v>25.9546141479723</v>
      </c>
      <c r="N4001">
        <v>52.458696988861398</v>
      </c>
      <c r="O4001">
        <v>51.818566157207002</v>
      </c>
      <c r="P4001">
        <v>-0.115692834089217</v>
      </c>
      <c r="Q4001">
        <v>7.6084541724589394E-2</v>
      </c>
      <c r="R4001">
        <v>0.99470309035466198</v>
      </c>
      <c r="S4001" t="s">
        <v>8741</v>
      </c>
      <c r="T4001" t="s">
        <v>9478</v>
      </c>
      <c r="U4001" t="s">
        <v>9478</v>
      </c>
      <c r="V4001" t="s">
        <v>9478</v>
      </c>
      <c r="W4001">
        <v>21</v>
      </c>
      <c r="X4001" t="s">
        <v>13479</v>
      </c>
      <c r="Y4001">
        <v>0.45735808499447139</v>
      </c>
      <c r="Z4001" t="str">
        <f>HYPERLINK("Melting_Curves/meltCurve_tr_B4DLW8_B4DLW8_HUMAN_.pdf", "Melting_Curves/meltCurve_tr_B4DLW8_B4DLW8_HUMAN_.pdf")</f>
        <v>Melting_Curves/meltCurve_tr_B4DLW8_B4DLW8_HUMAN_.pdf</v>
      </c>
      <c r="AA4001" t="s">
        <v>18159</v>
      </c>
      <c r="AB4001" t="s">
        <v>22833</v>
      </c>
    </row>
    <row r="4002" spans="1:28" x14ac:dyDescent="0.25">
      <c r="A4002" t="s">
        <v>4006</v>
      </c>
      <c r="B4002">
        <v>0.99904790336628502</v>
      </c>
      <c r="C4002">
        <v>0.96156795852938703</v>
      </c>
      <c r="D4002">
        <v>0.91234237445200295</v>
      </c>
      <c r="E4002">
        <v>0.74938590971073504</v>
      </c>
      <c r="F4002">
        <v>0.55216839799711703</v>
      </c>
      <c r="G4002">
        <v>0.46554993664555699</v>
      </c>
      <c r="H4002">
        <v>0.27414174031045802</v>
      </c>
      <c r="I4002">
        <v>0.25488764679176201</v>
      </c>
      <c r="J4002">
        <v>0.24765812205326301</v>
      </c>
      <c r="K4002">
        <v>0.233158088208097</v>
      </c>
      <c r="L4002">
        <v>718.93190552050805</v>
      </c>
      <c r="M4002">
        <v>13.6298741335871</v>
      </c>
      <c r="N4002">
        <v>54.782531187639997</v>
      </c>
      <c r="O4002">
        <v>51.650195499799501</v>
      </c>
      <c r="P4002">
        <v>-5.2871234213084303E-2</v>
      </c>
      <c r="Q4002">
        <v>0.19869885841788201</v>
      </c>
      <c r="R4002">
        <v>0.993704119976489</v>
      </c>
      <c r="S4002" t="s">
        <v>8742</v>
      </c>
      <c r="T4002" t="s">
        <v>9478</v>
      </c>
      <c r="U4002" t="s">
        <v>9478</v>
      </c>
      <c r="V4002" t="s">
        <v>9478</v>
      </c>
      <c r="W4002">
        <v>2</v>
      </c>
      <c r="X4002" t="s">
        <v>13480</v>
      </c>
      <c r="Y4002">
        <v>0.55903409660958281</v>
      </c>
      <c r="Z4002" t="str">
        <f>HYPERLINK("Melting_Curves/meltCurve_tr_B4DLZ9_B4DLZ9_HUMAN_.pdf", "Melting_Curves/meltCurve_tr_B4DLZ9_B4DLZ9_HUMAN_.pdf")</f>
        <v>Melting_Curves/meltCurve_tr_B4DLZ9_B4DLZ9_HUMAN_.pdf</v>
      </c>
      <c r="AA4002" t="s">
        <v>18160</v>
      </c>
      <c r="AB4002" t="s">
        <v>22834</v>
      </c>
    </row>
    <row r="4003" spans="1:28" x14ac:dyDescent="0.25">
      <c r="A4003" t="s">
        <v>4007</v>
      </c>
      <c r="B4003">
        <v>0.99904790336628502</v>
      </c>
      <c r="C4003">
        <v>1.0712715351955999</v>
      </c>
      <c r="D4003">
        <v>0.922996820102156</v>
      </c>
      <c r="E4003">
        <v>0.59579408174880599</v>
      </c>
      <c r="F4003">
        <v>0.35760257450426602</v>
      </c>
      <c r="G4003">
        <v>0.22230661281156999</v>
      </c>
      <c r="H4003">
        <v>0.14935445444849299</v>
      </c>
      <c r="I4003">
        <v>0.109037208610592</v>
      </c>
      <c r="J4003">
        <v>8.6447768021920404E-2</v>
      </c>
      <c r="K4003">
        <v>4.9125286054726103E-2</v>
      </c>
      <c r="L4003">
        <v>1044.1107942312999</v>
      </c>
      <c r="M4003">
        <v>20.543482113436902</v>
      </c>
      <c r="N4003">
        <v>51.331786965427497</v>
      </c>
      <c r="O4003">
        <v>50.350204189225501</v>
      </c>
      <c r="P4003">
        <v>-9.2633599370603406E-2</v>
      </c>
      <c r="Q4003">
        <v>9.1880660954468701E-2</v>
      </c>
      <c r="R4003">
        <v>0.99045083786466104</v>
      </c>
      <c r="S4003" t="s">
        <v>8743</v>
      </c>
      <c r="T4003" t="s">
        <v>9478</v>
      </c>
      <c r="U4003" t="s">
        <v>9478</v>
      </c>
      <c r="V4003" t="s">
        <v>9478</v>
      </c>
      <c r="W4003">
        <v>2</v>
      </c>
      <c r="X4003" t="s">
        <v>13481</v>
      </c>
      <c r="Y4003">
        <v>0.43153066379737848</v>
      </c>
      <c r="Z4003" t="str">
        <f>HYPERLINK("Melting_Curves/meltCurve_tr_B4DMX0_B4DMX0_HUMAN_.pdf", "Melting_Curves/meltCurve_tr_B4DMX0_B4DMX0_HUMAN_.pdf")</f>
        <v>Melting_Curves/meltCurve_tr_B4DMX0_B4DMX0_HUMAN_.pdf</v>
      </c>
      <c r="AA4003" t="s">
        <v>18161</v>
      </c>
      <c r="AB4003" t="s">
        <v>22835</v>
      </c>
    </row>
    <row r="4004" spans="1:28" x14ac:dyDescent="0.25">
      <c r="A4004" t="s">
        <v>4008</v>
      </c>
      <c r="B4004">
        <v>0.99904790336628502</v>
      </c>
      <c r="C4004">
        <v>1.34133849618908</v>
      </c>
      <c r="D4004">
        <v>1.2297660216348101</v>
      </c>
      <c r="E4004">
        <v>1.07772591154912</v>
      </c>
      <c r="F4004">
        <v>0.76234112694515099</v>
      </c>
      <c r="G4004">
        <v>0.44781986350360697</v>
      </c>
      <c r="H4004">
        <v>0.43816630547636098</v>
      </c>
      <c r="I4004">
        <v>0.40701503341513501</v>
      </c>
      <c r="J4004">
        <v>0.45336379017625</v>
      </c>
      <c r="K4004">
        <v>0.33054941921669201</v>
      </c>
      <c r="L4004">
        <v>13270.053538354299</v>
      </c>
      <c r="M4004">
        <v>250</v>
      </c>
      <c r="N4004">
        <v>53.460093321011399</v>
      </c>
      <c r="O4004">
        <v>53.076817392808501</v>
      </c>
      <c r="P4004">
        <v>-0.68840921808331801</v>
      </c>
      <c r="Q4004">
        <v>0.41538287516106698</v>
      </c>
      <c r="R4004">
        <v>0.85932488545063501</v>
      </c>
      <c r="S4004" t="s">
        <v>8744</v>
      </c>
      <c r="T4004" t="s">
        <v>9478</v>
      </c>
      <c r="U4004" t="s">
        <v>9478</v>
      </c>
      <c r="V4004" t="s">
        <v>9478</v>
      </c>
      <c r="W4004">
        <v>9</v>
      </c>
      <c r="X4004" t="s">
        <v>13482</v>
      </c>
      <c r="Y4004">
        <v>0.67033457482821768</v>
      </c>
      <c r="Z4004" t="str">
        <f>HYPERLINK("Melting_Curves/meltCurve_tr_B4DNC9_B4DNC9_HUMAN_.pdf", "Melting_Curves/meltCurve_tr_B4DNC9_B4DNC9_HUMAN_.pdf")</f>
        <v>Melting_Curves/meltCurve_tr_B4DNC9_B4DNC9_HUMAN_.pdf</v>
      </c>
      <c r="AA4004" t="s">
        <v>17449</v>
      </c>
      <c r="AB4004" t="s">
        <v>22117</v>
      </c>
    </row>
    <row r="4005" spans="1:28" x14ac:dyDescent="0.25">
      <c r="A4005" t="s">
        <v>4009</v>
      </c>
      <c r="B4005">
        <v>0.99904790336628502</v>
      </c>
      <c r="C4005">
        <v>1.0061862213333801</v>
      </c>
      <c r="D4005">
        <v>0.97033864549471105</v>
      </c>
      <c r="E4005">
        <v>0.98287377411114296</v>
      </c>
      <c r="F4005">
        <v>0.97073943960392595</v>
      </c>
      <c r="G4005">
        <v>0.67247188132388003</v>
      </c>
      <c r="H4005">
        <v>0.44755323474101999</v>
      </c>
      <c r="I4005">
        <v>0.38922634242576898</v>
      </c>
      <c r="J4005">
        <v>0.418075807729334</v>
      </c>
      <c r="K4005">
        <v>0.38815738041938802</v>
      </c>
      <c r="L4005">
        <v>2168.8673486145199</v>
      </c>
      <c r="M4005">
        <v>38.2039333453464</v>
      </c>
      <c r="N4005">
        <v>59.232417462140099</v>
      </c>
      <c r="O4005">
        <v>56.615909993191202</v>
      </c>
      <c r="P4005">
        <v>-0.101589504756666</v>
      </c>
      <c r="Q4005">
        <v>0.397803601116204</v>
      </c>
      <c r="R4005">
        <v>0.99730892105159696</v>
      </c>
      <c r="S4005" t="s">
        <v>8745</v>
      </c>
      <c r="T4005" t="s">
        <v>9478</v>
      </c>
      <c r="U4005" t="s">
        <v>9478</v>
      </c>
      <c r="V4005" t="s">
        <v>9478</v>
      </c>
      <c r="W4005">
        <v>9</v>
      </c>
      <c r="X4005" t="s">
        <v>13483</v>
      </c>
      <c r="Y4005">
        <v>0.73700513166183623</v>
      </c>
      <c r="Z4005" t="str">
        <f>HYPERLINK("Melting_Curves/meltCurve_tr_B4DP21_B4DP21_HUMAN_.pdf", "Melting_Curves/meltCurve_tr_B4DP21_B4DP21_HUMAN_.pdf")</f>
        <v>Melting_Curves/meltCurve_tr_B4DP21_B4DP21_HUMAN_.pdf</v>
      </c>
      <c r="AA4005" t="s">
        <v>18162</v>
      </c>
      <c r="AB4005" t="s">
        <v>22836</v>
      </c>
    </row>
    <row r="4006" spans="1:28" x14ac:dyDescent="0.25">
      <c r="A4006" t="s">
        <v>4010</v>
      </c>
      <c r="B4006">
        <v>0.99904790336628502</v>
      </c>
      <c r="C4006">
        <v>0.93329696892524305</v>
      </c>
      <c r="D4006">
        <v>0.85196855304873897</v>
      </c>
      <c r="E4006">
        <v>0.87451060922293</v>
      </c>
      <c r="F4006">
        <v>0.719357509674314</v>
      </c>
      <c r="G4006">
        <v>0.74790883737513703</v>
      </c>
      <c r="H4006">
        <v>0.28605859789412302</v>
      </c>
      <c r="I4006">
        <v>0.19621447516294399</v>
      </c>
      <c r="J4006">
        <v>0.108978767452466</v>
      </c>
      <c r="K4006">
        <v>0.35939966573779503</v>
      </c>
      <c r="L4006">
        <v>791.41312028105597</v>
      </c>
      <c r="M4006">
        <v>13.894039396339799</v>
      </c>
      <c r="N4006">
        <v>58.171728171482698</v>
      </c>
      <c r="O4006">
        <v>55.819567532213199</v>
      </c>
      <c r="P4006">
        <v>-5.44195514214319E-2</v>
      </c>
      <c r="Q4006">
        <v>0.12559289338007301</v>
      </c>
      <c r="R4006">
        <v>0.88770288377776396</v>
      </c>
      <c r="S4006" t="s">
        <v>8746</v>
      </c>
      <c r="T4006" t="s">
        <v>9478</v>
      </c>
      <c r="U4006" t="s">
        <v>9478</v>
      </c>
      <c r="V4006" t="s">
        <v>9478</v>
      </c>
      <c r="W4006">
        <v>3</v>
      </c>
      <c r="X4006" t="s">
        <v>13484</v>
      </c>
      <c r="Y4006">
        <v>0.63437848066639801</v>
      </c>
      <c r="Z4006" t="str">
        <f>HYPERLINK("Melting_Curves/meltCurve_tr_B4DPR4_B4DPR4_HUMAN_.pdf", "Melting_Curves/meltCurve_tr_B4DPR4_B4DPR4_HUMAN_.pdf")</f>
        <v>Melting_Curves/meltCurve_tr_B4DPR4_B4DPR4_HUMAN_.pdf</v>
      </c>
      <c r="AA4006" t="s">
        <v>18163</v>
      </c>
      <c r="AB4006" t="s">
        <v>22837</v>
      </c>
    </row>
    <row r="4007" spans="1:28" x14ac:dyDescent="0.25">
      <c r="A4007" t="s">
        <v>4011</v>
      </c>
      <c r="B4007">
        <v>0.99904790336628502</v>
      </c>
      <c r="C4007">
        <v>1.0336860184766401</v>
      </c>
      <c r="D4007">
        <v>0.99511023938149001</v>
      </c>
      <c r="E4007">
        <v>0.95743046806868304</v>
      </c>
      <c r="F4007">
        <v>0.90903889819704098</v>
      </c>
      <c r="G4007">
        <v>0.63128961040381004</v>
      </c>
      <c r="H4007">
        <v>0.57799057073112003</v>
      </c>
      <c r="I4007">
        <v>0.57040671340398996</v>
      </c>
      <c r="J4007">
        <v>0.60100066108344496</v>
      </c>
      <c r="K4007">
        <v>0.60431291696088396</v>
      </c>
      <c r="L4007">
        <v>2428.0357042579499</v>
      </c>
      <c r="M4007">
        <v>44.632728386477197</v>
      </c>
      <c r="O4007">
        <v>54.291450472207302</v>
      </c>
      <c r="P4007">
        <v>-8.4894825553048295E-2</v>
      </c>
      <c r="Q4007">
        <v>0.58693459659840197</v>
      </c>
      <c r="R4007">
        <v>0.99111077297197503</v>
      </c>
      <c r="S4007" t="s">
        <v>8747</v>
      </c>
      <c r="T4007" t="s">
        <v>9478</v>
      </c>
      <c r="U4007" t="s">
        <v>9478</v>
      </c>
      <c r="V4007" t="s">
        <v>9478</v>
      </c>
      <c r="W4007">
        <v>4</v>
      </c>
      <c r="X4007" t="s">
        <v>13485</v>
      </c>
      <c r="Y4007">
        <v>0.78645501159310183</v>
      </c>
      <c r="Z4007" t="str">
        <f>HYPERLINK("Melting_Curves/meltCurve_tr_B4DPY8_B4DPY8_HUMAN_.pdf", "Melting_Curves/meltCurve_tr_B4DPY8_B4DPY8_HUMAN_.pdf")</f>
        <v>Melting_Curves/meltCurve_tr_B4DPY8_B4DPY8_HUMAN_.pdf</v>
      </c>
      <c r="AA4007" t="s">
        <v>18164</v>
      </c>
      <c r="AB4007" t="s">
        <v>22838</v>
      </c>
    </row>
    <row r="4008" spans="1:28" x14ac:dyDescent="0.25">
      <c r="A4008" t="s">
        <v>4012</v>
      </c>
      <c r="B4008">
        <v>0.99904790336628502</v>
      </c>
      <c r="C4008">
        <v>0.89774337711298002</v>
      </c>
      <c r="D4008">
        <v>0.90322415230400299</v>
      </c>
      <c r="E4008">
        <v>0.87156959627847597</v>
      </c>
      <c r="F4008">
        <v>0.74176110642764204</v>
      </c>
      <c r="G4008">
        <v>0.30690052477764401</v>
      </c>
      <c r="H4008">
        <v>0.155238288949331</v>
      </c>
      <c r="I4008">
        <v>0.14465877734858601</v>
      </c>
      <c r="J4008">
        <v>0.14164241096308899</v>
      </c>
      <c r="K4008">
        <v>0.147878382242007</v>
      </c>
      <c r="L4008">
        <v>1399.6082906218001</v>
      </c>
      <c r="M4008">
        <v>25.761390348766099</v>
      </c>
      <c r="N4008">
        <v>54.954033265659</v>
      </c>
      <c r="O4008">
        <v>54.005479309915103</v>
      </c>
      <c r="P4008">
        <v>-0.104125134499171</v>
      </c>
      <c r="Q4008">
        <v>0.126870003018134</v>
      </c>
      <c r="R4008">
        <v>0.98213287521206705</v>
      </c>
      <c r="S4008" t="s">
        <v>8748</v>
      </c>
      <c r="T4008" t="s">
        <v>9478</v>
      </c>
      <c r="U4008" t="s">
        <v>9478</v>
      </c>
      <c r="V4008" t="s">
        <v>9478</v>
      </c>
      <c r="W4008">
        <v>17</v>
      </c>
      <c r="X4008" t="s">
        <v>13486</v>
      </c>
      <c r="Y4008">
        <v>0.55158297114574495</v>
      </c>
      <c r="Z4008" t="str">
        <f>HYPERLINK("Melting_Curves/meltCurve_tr_B4DQ14_B4DQ14_HUMAN_.pdf", "Melting_Curves/meltCurve_tr_B4DQ14_B4DQ14_HUMAN_.pdf")</f>
        <v>Melting_Curves/meltCurve_tr_B4DQ14_B4DQ14_HUMAN_.pdf</v>
      </c>
      <c r="AA4008" t="s">
        <v>18165</v>
      </c>
      <c r="AB4008" t="s">
        <v>19406</v>
      </c>
    </row>
    <row r="4009" spans="1:28" x14ac:dyDescent="0.25">
      <c r="A4009" t="s">
        <v>4013</v>
      </c>
      <c r="B4009">
        <v>0.99904790336628502</v>
      </c>
      <c r="C4009">
        <v>1.0352613077030699</v>
      </c>
      <c r="D4009">
        <v>1.0011789194060099</v>
      </c>
      <c r="E4009">
        <v>0.9436005331799</v>
      </c>
      <c r="F4009">
        <v>0.91200131050869104</v>
      </c>
      <c r="G4009">
        <v>0.66008044865891302</v>
      </c>
      <c r="H4009">
        <v>0.54162347636292096</v>
      </c>
      <c r="I4009">
        <v>0.48448137635474298</v>
      </c>
      <c r="J4009">
        <v>0.491170608288443</v>
      </c>
      <c r="K4009">
        <v>0.38017627654525799</v>
      </c>
      <c r="L4009">
        <v>1120.4263275777901</v>
      </c>
      <c r="M4009">
        <v>19.792085982404299</v>
      </c>
      <c r="N4009">
        <v>62.368356030993503</v>
      </c>
      <c r="O4009">
        <v>56.0413913519223</v>
      </c>
      <c r="P4009">
        <v>-5.1247735835062001E-2</v>
      </c>
      <c r="Q4009">
        <v>0.41958660963402</v>
      </c>
      <c r="R4009">
        <v>0.98554147549534299</v>
      </c>
      <c r="S4009" t="s">
        <v>8749</v>
      </c>
      <c r="T4009" t="s">
        <v>9478</v>
      </c>
      <c r="U4009" t="s">
        <v>9478</v>
      </c>
      <c r="V4009" t="s">
        <v>9478</v>
      </c>
      <c r="W4009">
        <v>1</v>
      </c>
      <c r="X4009" t="s">
        <v>13487</v>
      </c>
      <c r="Y4009">
        <v>0.74830044396817585</v>
      </c>
      <c r="Z4009" t="str">
        <f>HYPERLINK("Melting_Curves/meltCurve_tr_B4DQ94_B4DQ94_HUMAN_.pdf", "Melting_Curves/meltCurve_tr_B4DQ94_B4DQ94_HUMAN_.pdf")</f>
        <v>Melting_Curves/meltCurve_tr_B4DQ94_B4DQ94_HUMAN_.pdf</v>
      </c>
      <c r="AA4009" t="s">
        <v>18166</v>
      </c>
      <c r="AB4009" t="s">
        <v>22839</v>
      </c>
    </row>
    <row r="4010" spans="1:28" x14ac:dyDescent="0.25">
      <c r="A4010" t="s">
        <v>4014</v>
      </c>
      <c r="B4010">
        <v>0.99904790336628502</v>
      </c>
      <c r="C4010">
        <v>0.92772678223035299</v>
      </c>
      <c r="D4010">
        <v>0.84639301614148799</v>
      </c>
      <c r="E4010">
        <v>0.81386760382065504</v>
      </c>
      <c r="F4010">
        <v>0.75587548509957903</v>
      </c>
      <c r="G4010">
        <v>0.60462596275014402</v>
      </c>
      <c r="H4010">
        <v>0.55455737007005601</v>
      </c>
      <c r="I4010">
        <v>0.51533875842288301</v>
      </c>
      <c r="J4010">
        <v>0.47260845435432097</v>
      </c>
      <c r="K4010">
        <v>0.47462279000722302</v>
      </c>
      <c r="L4010">
        <v>444.84049705481999</v>
      </c>
      <c r="M4010">
        <v>8.1587124909848701</v>
      </c>
      <c r="N4010">
        <v>65.375021075566906</v>
      </c>
      <c r="O4010">
        <v>51.541375033269098</v>
      </c>
      <c r="P4010">
        <v>-2.4920651246634101E-2</v>
      </c>
      <c r="Q4010">
        <v>0.37093197853224802</v>
      </c>
      <c r="R4010">
        <v>0.98540708270519095</v>
      </c>
      <c r="S4010" t="s">
        <v>8750</v>
      </c>
      <c r="T4010" t="s">
        <v>9478</v>
      </c>
      <c r="U4010" t="s">
        <v>9478</v>
      </c>
      <c r="V4010" t="s">
        <v>9478</v>
      </c>
      <c r="W4010">
        <v>4</v>
      </c>
      <c r="X4010" t="s">
        <v>13488</v>
      </c>
      <c r="Y4010">
        <v>0.69457089041751885</v>
      </c>
      <c r="Z4010" t="str">
        <f>HYPERLINK("Melting_Curves/meltCurve_tr_B4DQA8_B4DQA8_HUMAN_.pdf", "Melting_Curves/meltCurve_tr_B4DQA8_B4DQA8_HUMAN_.pdf")</f>
        <v>Melting_Curves/meltCurve_tr_B4DQA8_B4DQA8_HUMAN_.pdf</v>
      </c>
      <c r="AA4010" t="s">
        <v>18167</v>
      </c>
      <c r="AB4010" t="s">
        <v>22840</v>
      </c>
    </row>
    <row r="4011" spans="1:28" x14ac:dyDescent="0.25">
      <c r="A4011" t="s">
        <v>4015</v>
      </c>
      <c r="B4011">
        <v>0.99904790336628502</v>
      </c>
      <c r="C4011">
        <v>1.0274137585391501</v>
      </c>
      <c r="D4011">
        <v>1.0779321932567001</v>
      </c>
      <c r="E4011">
        <v>1.0237748535267199</v>
      </c>
      <c r="F4011">
        <v>0.75791811468437797</v>
      </c>
      <c r="G4011">
        <v>0.19538493096382401</v>
      </c>
      <c r="H4011">
        <v>7.5947580011252305E-2</v>
      </c>
      <c r="I4011">
        <v>4.91731231280787E-2</v>
      </c>
      <c r="J4011">
        <v>4.3580228710870299E-2</v>
      </c>
      <c r="K4011">
        <v>3.5465172971965601E-2</v>
      </c>
      <c r="L4011">
        <v>2185.61644993251</v>
      </c>
      <c r="M4011">
        <v>40.091793805833497</v>
      </c>
      <c r="N4011">
        <v>54.652327228073297</v>
      </c>
      <c r="O4011">
        <v>54.380214291085103</v>
      </c>
      <c r="P4011">
        <v>-0.17550003106867801</v>
      </c>
      <c r="Q4011">
        <v>4.7814359838227301E-2</v>
      </c>
      <c r="R4011">
        <v>0.99528420822422503</v>
      </c>
      <c r="S4011" t="s">
        <v>8751</v>
      </c>
      <c r="T4011" t="s">
        <v>9478</v>
      </c>
      <c r="U4011" t="s">
        <v>9478</v>
      </c>
      <c r="V4011" t="s">
        <v>9478</v>
      </c>
      <c r="W4011">
        <v>26</v>
      </c>
      <c r="X4011" t="s">
        <v>13489</v>
      </c>
      <c r="Y4011">
        <v>0.51208509352086762</v>
      </c>
      <c r="Z4011" t="str">
        <f>HYPERLINK("Melting_Curves/meltCurve_tr_B4DQJ8_B4DQJ8_HUMAN_.pdf", "Melting_Curves/meltCurve_tr_B4DQJ8_B4DQJ8_HUMAN_.pdf")</f>
        <v>Melting_Curves/meltCurve_tr_B4DQJ8_B4DQJ8_HUMAN_.pdf</v>
      </c>
      <c r="AA4011" t="s">
        <v>18168</v>
      </c>
      <c r="AB4011" t="s">
        <v>22841</v>
      </c>
    </row>
    <row r="4012" spans="1:28" x14ac:dyDescent="0.25">
      <c r="A4012" t="s">
        <v>4016</v>
      </c>
      <c r="B4012">
        <v>0.99904790336628502</v>
      </c>
      <c r="C4012">
        <v>0.98011119554362003</v>
      </c>
      <c r="D4012">
        <v>0.96804686754946301</v>
      </c>
      <c r="E4012">
        <v>0.71333548440046601</v>
      </c>
      <c r="F4012">
        <v>0.40004419519602602</v>
      </c>
      <c r="G4012">
        <v>0.197818448219373</v>
      </c>
      <c r="H4012">
        <v>9.9615915374432901E-2</v>
      </c>
      <c r="I4012">
        <v>7.2052157685329896E-2</v>
      </c>
      <c r="J4012">
        <v>6.4537456088090903E-2</v>
      </c>
      <c r="K4012">
        <v>4.7518618875417501E-2</v>
      </c>
      <c r="L4012">
        <v>1140.03057427614</v>
      </c>
      <c r="M4012">
        <v>21.990304628766498</v>
      </c>
      <c r="N4012">
        <v>52.143811792801998</v>
      </c>
      <c r="O4012">
        <v>51.419398623668499</v>
      </c>
      <c r="P4012">
        <v>-0.100537949469792</v>
      </c>
      <c r="Q4012">
        <v>5.9678968590841402E-2</v>
      </c>
      <c r="R4012">
        <v>0.99879428595115005</v>
      </c>
      <c r="S4012" t="s">
        <v>8752</v>
      </c>
      <c r="T4012" t="s">
        <v>9478</v>
      </c>
      <c r="U4012" t="s">
        <v>9478</v>
      </c>
      <c r="V4012" t="s">
        <v>9478</v>
      </c>
      <c r="W4012">
        <v>12</v>
      </c>
      <c r="X4012" t="s">
        <v>13490</v>
      </c>
      <c r="Y4012">
        <v>0.44180642281578653</v>
      </c>
      <c r="Z4012" t="str">
        <f>HYPERLINK("Melting_Curves/meltCurve_tr_B4DR80_B4DR80_HUMAN_.pdf", "Melting_Curves/meltCurve_tr_B4DR80_B4DR80_HUMAN_.pdf")</f>
        <v>Melting_Curves/meltCurve_tr_B4DR80_B4DR80_HUMAN_.pdf</v>
      </c>
      <c r="AA4012" t="s">
        <v>18169</v>
      </c>
      <c r="AB4012" t="s">
        <v>22842</v>
      </c>
    </row>
    <row r="4013" spans="1:28" x14ac:dyDescent="0.25">
      <c r="A4013" t="s">
        <v>4017</v>
      </c>
      <c r="B4013">
        <v>0.99904790336628502</v>
      </c>
      <c r="C4013">
        <v>1.1806498373562999</v>
      </c>
      <c r="D4013">
        <v>1.28558248794356</v>
      </c>
      <c r="E4013">
        <v>1.03323269241491</v>
      </c>
      <c r="F4013">
        <v>0.84140714941424499</v>
      </c>
      <c r="G4013">
        <v>0.27415076087296802</v>
      </c>
      <c r="H4013">
        <v>0.112907566489515</v>
      </c>
      <c r="I4013">
        <v>8.8873531412009099E-2</v>
      </c>
      <c r="J4013">
        <v>4.6036174789042199E-2</v>
      </c>
      <c r="K4013">
        <v>0.11916594862919599</v>
      </c>
      <c r="L4013">
        <v>2278.5780254390302</v>
      </c>
      <c r="M4013">
        <v>41.352367627105998</v>
      </c>
      <c r="N4013">
        <v>55.357728992182302</v>
      </c>
      <c r="O4013">
        <v>54.973122292535699</v>
      </c>
      <c r="P4013">
        <v>-0.17167835488233699</v>
      </c>
      <c r="Q4013">
        <v>8.7096713528512296E-2</v>
      </c>
      <c r="R4013">
        <v>0.94927697730150695</v>
      </c>
      <c r="S4013" t="s">
        <v>8753</v>
      </c>
      <c r="T4013" t="s">
        <v>9478</v>
      </c>
      <c r="U4013" t="s">
        <v>9478</v>
      </c>
      <c r="V4013" t="s">
        <v>9478</v>
      </c>
      <c r="W4013">
        <v>4</v>
      </c>
      <c r="X4013" t="s">
        <v>13491</v>
      </c>
      <c r="Y4013">
        <v>0.549879307091098</v>
      </c>
      <c r="Z4013" t="str">
        <f>HYPERLINK("Melting_Curves/meltCurve_tr_B4DRL9_B4DRL9_HUMAN_.pdf", "Melting_Curves/meltCurve_tr_B4DRL9_B4DRL9_HUMAN_.pdf")</f>
        <v>Melting_Curves/meltCurve_tr_B4DRL9_B4DRL9_HUMAN_.pdf</v>
      </c>
      <c r="AA4013" t="s">
        <v>18170</v>
      </c>
      <c r="AB4013" t="s">
        <v>22843</v>
      </c>
    </row>
    <row r="4014" spans="1:28" x14ac:dyDescent="0.25">
      <c r="A4014" t="s">
        <v>4018</v>
      </c>
      <c r="B4014">
        <v>0.99904790336628502</v>
      </c>
      <c r="C4014">
        <v>1.0744024107453101</v>
      </c>
      <c r="D4014">
        <v>1.0129960321235201</v>
      </c>
      <c r="E4014">
        <v>0.83888791260678797</v>
      </c>
      <c r="F4014">
        <v>0.49132063806841703</v>
      </c>
      <c r="G4014">
        <v>0.26618133880908001</v>
      </c>
      <c r="H4014">
        <v>0.147727685425948</v>
      </c>
      <c r="I4014">
        <v>9.9457920025442695E-2</v>
      </c>
      <c r="J4014">
        <v>0.111430426347844</v>
      </c>
      <c r="K4014">
        <v>7.5474137805293301E-2</v>
      </c>
      <c r="L4014">
        <v>1310.5576621689299</v>
      </c>
      <c r="M4014">
        <v>24.825972214743601</v>
      </c>
      <c r="N4014">
        <v>53.276187015128798</v>
      </c>
      <c r="O4014">
        <v>52.4508373063791</v>
      </c>
      <c r="P4014">
        <v>-0.106332209617911</v>
      </c>
      <c r="Q4014">
        <v>0.101403001915516</v>
      </c>
      <c r="R4014">
        <v>0.99268869460915599</v>
      </c>
      <c r="S4014" t="s">
        <v>8754</v>
      </c>
      <c r="T4014" t="s">
        <v>9478</v>
      </c>
      <c r="U4014" t="s">
        <v>9478</v>
      </c>
      <c r="V4014" t="s">
        <v>9478</v>
      </c>
      <c r="W4014">
        <v>5</v>
      </c>
      <c r="X4014" t="s">
        <v>13492</v>
      </c>
      <c r="Y4014">
        <v>0.49286857341181362</v>
      </c>
      <c r="Z4014" t="str">
        <f>HYPERLINK("Melting_Curves/meltCurve_tr_B4DT77_B4DT77_HUMAN_.pdf", "Melting_Curves/meltCurve_tr_B4DT77_B4DT77_HUMAN_.pdf")</f>
        <v>Melting_Curves/meltCurve_tr_B4DT77_B4DT77_HUMAN_.pdf</v>
      </c>
      <c r="AA4014" t="s">
        <v>18171</v>
      </c>
      <c r="AB4014" t="s">
        <v>22844</v>
      </c>
    </row>
    <row r="4015" spans="1:28" x14ac:dyDescent="0.25">
      <c r="A4015" t="s">
        <v>4019</v>
      </c>
      <c r="B4015">
        <v>0.99904790336628502</v>
      </c>
      <c r="C4015">
        <v>0.97869460534008601</v>
      </c>
      <c r="D4015">
        <v>0.99167852727415695</v>
      </c>
      <c r="E4015">
        <v>0.90403223184192705</v>
      </c>
      <c r="F4015">
        <v>0.82291712311126697</v>
      </c>
      <c r="G4015">
        <v>0.64416913180115398</v>
      </c>
      <c r="H4015">
        <v>0.494962648934553</v>
      </c>
      <c r="I4015">
        <v>0.45837791612776402</v>
      </c>
      <c r="J4015">
        <v>0.52620505147762697</v>
      </c>
      <c r="K4015">
        <v>0.54160413916429495</v>
      </c>
      <c r="L4015">
        <v>1203.82558990456</v>
      </c>
      <c r="M4015">
        <v>22.201826532571001</v>
      </c>
      <c r="N4015">
        <v>67.700179852816007</v>
      </c>
      <c r="O4015">
        <v>53.7877744869784</v>
      </c>
      <c r="P4015">
        <v>-5.2217872000544403E-2</v>
      </c>
      <c r="Q4015">
        <v>0.49398352392179201</v>
      </c>
      <c r="R4015">
        <v>0.98097896096523196</v>
      </c>
      <c r="S4015" t="s">
        <v>8755</v>
      </c>
      <c r="T4015" t="s">
        <v>9478</v>
      </c>
      <c r="U4015" t="s">
        <v>9478</v>
      </c>
      <c r="V4015" t="s">
        <v>9478</v>
      </c>
      <c r="W4015">
        <v>7</v>
      </c>
      <c r="X4015" t="s">
        <v>13493</v>
      </c>
      <c r="Y4015">
        <v>0.73963801415902208</v>
      </c>
      <c r="Z4015" t="str">
        <f>HYPERLINK("Melting_Curves/meltCurve_tr_B4DTG6_B4DTG6_HUMAN_.pdf", "Melting_Curves/meltCurve_tr_B4DTG6_B4DTG6_HUMAN_.pdf")</f>
        <v>Melting_Curves/meltCurve_tr_B4DTG6_B4DTG6_HUMAN_.pdf</v>
      </c>
      <c r="AA4015" t="s">
        <v>18172</v>
      </c>
      <c r="AB4015" t="s">
        <v>22845</v>
      </c>
    </row>
    <row r="4016" spans="1:28" x14ac:dyDescent="0.25">
      <c r="A4016" t="s">
        <v>4020</v>
      </c>
      <c r="B4016">
        <v>0.99904790336628502</v>
      </c>
      <c r="C4016">
        <v>1.0053553365741299</v>
      </c>
      <c r="D4016">
        <v>0.90816753230000302</v>
      </c>
      <c r="E4016">
        <v>0.53846528991977205</v>
      </c>
      <c r="F4016">
        <v>0.292936691081706</v>
      </c>
      <c r="G4016">
        <v>0.20865701243256701</v>
      </c>
      <c r="H4016">
        <v>0.135213420147129</v>
      </c>
      <c r="I4016">
        <v>8.8257536210741602E-2</v>
      </c>
      <c r="J4016">
        <v>5.9665078525567003E-2</v>
      </c>
      <c r="K4016">
        <v>4.5357561266063801E-2</v>
      </c>
      <c r="L4016">
        <v>1053.3502055423401</v>
      </c>
      <c r="M4016">
        <v>20.983928485387501</v>
      </c>
      <c r="N4016">
        <v>50.625429241997303</v>
      </c>
      <c r="O4016">
        <v>49.748728287781503</v>
      </c>
      <c r="P4016">
        <v>-9.6890903755461902E-2</v>
      </c>
      <c r="Q4016">
        <v>8.1188344689481107E-2</v>
      </c>
      <c r="R4016">
        <v>0.99386852675109205</v>
      </c>
      <c r="S4016" t="s">
        <v>8756</v>
      </c>
      <c r="T4016" t="s">
        <v>9478</v>
      </c>
      <c r="U4016" t="s">
        <v>9478</v>
      </c>
      <c r="V4016" t="s">
        <v>9478</v>
      </c>
      <c r="W4016">
        <v>6</v>
      </c>
      <c r="X4016" t="s">
        <v>13494</v>
      </c>
      <c r="Y4016">
        <v>0.40516368365477812</v>
      </c>
      <c r="Z4016" t="str">
        <f>HYPERLINK("Melting_Curves/meltCurve_tr_B4DTU4_B4DTU4_HUMAN_.pdf", "Melting_Curves/meltCurve_tr_B4DTU4_B4DTU4_HUMAN_.pdf")</f>
        <v>Melting_Curves/meltCurve_tr_B4DTU4_B4DTU4_HUMAN_.pdf</v>
      </c>
      <c r="AA4016" t="s">
        <v>18173</v>
      </c>
      <c r="AB4016" t="s">
        <v>22846</v>
      </c>
    </row>
    <row r="4017" spans="1:28" x14ac:dyDescent="0.25">
      <c r="A4017" t="s">
        <v>4021</v>
      </c>
      <c r="B4017">
        <v>0.99904790336628502</v>
      </c>
      <c r="C4017">
        <v>0.87767073856731703</v>
      </c>
      <c r="D4017">
        <v>0.84612421967579599</v>
      </c>
      <c r="E4017">
        <v>0.81043056722076701</v>
      </c>
      <c r="F4017">
        <v>0.55846635070293305</v>
      </c>
      <c r="G4017">
        <v>0.176780620796266</v>
      </c>
      <c r="H4017">
        <v>8.37670116359025E-2</v>
      </c>
      <c r="I4017">
        <v>6.03193010330208E-2</v>
      </c>
      <c r="J4017">
        <v>4.60622707033463E-2</v>
      </c>
      <c r="K4017">
        <v>3.7628662668407101E-2</v>
      </c>
      <c r="L4017">
        <v>1004.60384941323</v>
      </c>
      <c r="M4017">
        <v>18.8889129099008</v>
      </c>
      <c r="N4017">
        <v>53.264262516708101</v>
      </c>
      <c r="O4017">
        <v>52.599489589576599</v>
      </c>
      <c r="P4017">
        <v>-8.85340551816549E-2</v>
      </c>
      <c r="Q4017">
        <v>1.3885807723499099E-2</v>
      </c>
      <c r="R4017">
        <v>0.979928570036803</v>
      </c>
      <c r="S4017" t="s">
        <v>8757</v>
      </c>
      <c r="T4017" t="s">
        <v>9478</v>
      </c>
      <c r="U4017" t="s">
        <v>9478</v>
      </c>
      <c r="V4017" t="s">
        <v>9478</v>
      </c>
      <c r="W4017">
        <v>15</v>
      </c>
      <c r="X4017" t="s">
        <v>13495</v>
      </c>
      <c r="Y4017">
        <v>0.4621666501669951</v>
      </c>
      <c r="Z4017" t="str">
        <f>HYPERLINK("Melting_Curves/meltCurve_tr_B4DUS9_B4DUS9_HUMAN_.pdf", "Melting_Curves/meltCurve_tr_B4DUS9_B4DUS9_HUMAN_.pdf")</f>
        <v>Melting_Curves/meltCurve_tr_B4DUS9_B4DUS9_HUMAN_.pdf</v>
      </c>
      <c r="AA4017" t="s">
        <v>18174</v>
      </c>
      <c r="AB4017" t="s">
        <v>22847</v>
      </c>
    </row>
    <row r="4018" spans="1:28" x14ac:dyDescent="0.25">
      <c r="A4018" t="s">
        <v>4022</v>
      </c>
      <c r="B4018">
        <v>0.99904790336628502</v>
      </c>
      <c r="C4018">
        <v>0.874305752228838</v>
      </c>
      <c r="D4018">
        <v>0.83379689840136995</v>
      </c>
      <c r="E4018">
        <v>0.39227445363374802</v>
      </c>
      <c r="F4018">
        <v>0.16574340298551199</v>
      </c>
      <c r="G4018">
        <v>9.1004316772505395E-2</v>
      </c>
      <c r="H4018">
        <v>6.0846073285757897E-2</v>
      </c>
      <c r="I4018">
        <v>4.1921176061396198E-2</v>
      </c>
      <c r="J4018">
        <v>3.8122676212882997E-2</v>
      </c>
      <c r="K4018">
        <v>2.4696665463094101E-2</v>
      </c>
      <c r="L4018">
        <v>1051.11474906837</v>
      </c>
      <c r="M4018">
        <v>21.534730142530702</v>
      </c>
      <c r="N4018">
        <v>48.977277798277903</v>
      </c>
      <c r="O4018">
        <v>48.395162263272297</v>
      </c>
      <c r="P4018">
        <v>-0.10730748950437601</v>
      </c>
      <c r="Q4018">
        <v>3.5411809431933297E-2</v>
      </c>
      <c r="R4018">
        <v>0.99399162121773599</v>
      </c>
      <c r="S4018" t="s">
        <v>8758</v>
      </c>
      <c r="T4018" t="s">
        <v>9478</v>
      </c>
      <c r="U4018" t="s">
        <v>9478</v>
      </c>
      <c r="V4018" t="s">
        <v>9478</v>
      </c>
      <c r="W4018">
        <v>11</v>
      </c>
      <c r="X4018" t="s">
        <v>13496</v>
      </c>
      <c r="Y4018">
        <v>0.33031360204970089</v>
      </c>
      <c r="Z4018" t="str">
        <f>HYPERLINK("Melting_Curves/meltCurve_tr_B4DVY1_B4DVY1_HUMAN_.pdf", "Melting_Curves/meltCurve_tr_B4DVY1_B4DVY1_HUMAN_.pdf")</f>
        <v>Melting_Curves/meltCurve_tr_B4DVY1_B4DVY1_HUMAN_.pdf</v>
      </c>
      <c r="AA4018" t="s">
        <v>18175</v>
      </c>
      <c r="AB4018" t="s">
        <v>22848</v>
      </c>
    </row>
    <row r="4019" spans="1:28" x14ac:dyDescent="0.25">
      <c r="A4019" t="s">
        <v>4023</v>
      </c>
      <c r="B4019">
        <v>0.99904790336628502</v>
      </c>
      <c r="C4019">
        <v>1.0171390428235501</v>
      </c>
      <c r="D4019">
        <v>1.09130453101673</v>
      </c>
      <c r="E4019">
        <v>1.0781417269162199</v>
      </c>
      <c r="F4019">
        <v>1.0034521336589901</v>
      </c>
      <c r="G4019">
        <v>0.83336196283743802</v>
      </c>
      <c r="H4019">
        <v>0.53481397223287197</v>
      </c>
      <c r="I4019">
        <v>0.32402695114587798</v>
      </c>
      <c r="J4019">
        <v>0.10392339542932499</v>
      </c>
      <c r="K4019">
        <v>5.07588064338323E-2</v>
      </c>
      <c r="L4019">
        <v>1404.93589348725</v>
      </c>
      <c r="M4019">
        <v>22.857420560027901</v>
      </c>
      <c r="N4019">
        <v>61.4652192232803</v>
      </c>
      <c r="O4019">
        <v>61.000533842641502</v>
      </c>
      <c r="P4019">
        <v>-9.3678929004651398E-2</v>
      </c>
      <c r="Q4019">
        <v>0</v>
      </c>
      <c r="R4019">
        <v>0.98751337465079403</v>
      </c>
      <c r="S4019" t="s">
        <v>8759</v>
      </c>
      <c r="T4019" t="s">
        <v>9478</v>
      </c>
      <c r="U4019" t="s">
        <v>9478</v>
      </c>
      <c r="V4019" t="s">
        <v>9478</v>
      </c>
      <c r="W4019">
        <v>23</v>
      </c>
      <c r="X4019" t="s">
        <v>13497</v>
      </c>
      <c r="Y4019">
        <v>0.72098364342504695</v>
      </c>
      <c r="Z4019" t="str">
        <f>HYPERLINK("Melting_Curves/meltCurve_tr_B4DWI1_B4DWI1_HUMAN_.pdf", "Melting_Curves/meltCurve_tr_B4DWI1_B4DWI1_HUMAN_.pdf")</f>
        <v>Melting_Curves/meltCurve_tr_B4DWI1_B4DWI1_HUMAN_.pdf</v>
      </c>
      <c r="AA4019" t="s">
        <v>18176</v>
      </c>
      <c r="AB4019" t="s">
        <v>22849</v>
      </c>
    </row>
    <row r="4020" spans="1:28" x14ac:dyDescent="0.25">
      <c r="A4020" t="s">
        <v>4024</v>
      </c>
      <c r="B4020">
        <v>0.99904790336628502</v>
      </c>
      <c r="C4020">
        <v>1.0491815439443899</v>
      </c>
      <c r="D4020">
        <v>0.97366130305334098</v>
      </c>
      <c r="E4020">
        <v>0.83672246343018797</v>
      </c>
      <c r="F4020">
        <v>0.45935727505388702</v>
      </c>
      <c r="G4020">
        <v>0.14593445329980001</v>
      </c>
      <c r="H4020">
        <v>6.6076689008197895E-2</v>
      </c>
      <c r="I4020">
        <v>5.0236237034068897E-2</v>
      </c>
      <c r="J4020">
        <v>3.4726189692766203E-2</v>
      </c>
      <c r="K4020">
        <v>3.5165538231217E-2</v>
      </c>
      <c r="L4020">
        <v>1521.4747788801501</v>
      </c>
      <c r="M4020">
        <v>28.921479370630301</v>
      </c>
      <c r="N4020">
        <v>52.7656651808216</v>
      </c>
      <c r="O4020">
        <v>52.357515150630903</v>
      </c>
      <c r="P4020">
        <v>-0.13234901910545599</v>
      </c>
      <c r="Q4020">
        <v>4.1624168935077602E-2</v>
      </c>
      <c r="R4020">
        <v>0.998239912781266</v>
      </c>
      <c r="S4020" t="s">
        <v>8760</v>
      </c>
      <c r="T4020" t="s">
        <v>9478</v>
      </c>
      <c r="U4020" t="s">
        <v>9478</v>
      </c>
      <c r="V4020" t="s">
        <v>9478</v>
      </c>
      <c r="W4020">
        <v>2</v>
      </c>
      <c r="X4020" t="s">
        <v>13498</v>
      </c>
      <c r="Y4020">
        <v>0.45100917720389511</v>
      </c>
      <c r="Z4020" t="str">
        <f>HYPERLINK("Melting_Curves/meltCurve_tr_B4DXK4_B4DXK4_HUMAN_.pdf", "Melting_Curves/meltCurve_tr_B4DXK4_B4DXK4_HUMAN_.pdf")</f>
        <v>Melting_Curves/meltCurve_tr_B4DXK4_B4DXK4_HUMAN_.pdf</v>
      </c>
      <c r="AA4020" t="s">
        <v>18177</v>
      </c>
      <c r="AB4020" t="s">
        <v>22850</v>
      </c>
    </row>
    <row r="4021" spans="1:28" x14ac:dyDescent="0.25">
      <c r="A4021" t="s">
        <v>4025</v>
      </c>
      <c r="B4021">
        <v>0.99904790336628502</v>
      </c>
      <c r="C4021">
        <v>0.88645948719499401</v>
      </c>
      <c r="D4021">
        <v>0.688112351188232</v>
      </c>
      <c r="E4021">
        <v>0.30653450090267298</v>
      </c>
      <c r="F4021">
        <v>0.20876226107724</v>
      </c>
      <c r="G4021">
        <v>0.14188300846801</v>
      </c>
      <c r="H4021">
        <v>0.12261488721937799</v>
      </c>
      <c r="I4021">
        <v>9.44381224960366E-2</v>
      </c>
      <c r="J4021">
        <v>0.10583519176551499</v>
      </c>
      <c r="K4021">
        <v>9.8255084534073098E-2</v>
      </c>
      <c r="L4021">
        <v>968.48762683057805</v>
      </c>
      <c r="M4021">
        <v>20.486523559948601</v>
      </c>
      <c r="N4021">
        <v>47.822543406132397</v>
      </c>
      <c r="O4021">
        <v>46.8308483178809</v>
      </c>
      <c r="P4021">
        <v>-9.7922783550408093E-2</v>
      </c>
      <c r="Q4021">
        <v>0.104646276267716</v>
      </c>
      <c r="R4021">
        <v>0.99835840288289202</v>
      </c>
      <c r="S4021" t="s">
        <v>8761</v>
      </c>
      <c r="T4021" t="s">
        <v>9478</v>
      </c>
      <c r="U4021" t="s">
        <v>9478</v>
      </c>
      <c r="V4021" t="s">
        <v>9478</v>
      </c>
      <c r="W4021">
        <v>24</v>
      </c>
      <c r="X4021" t="s">
        <v>13499</v>
      </c>
      <c r="Y4021">
        <v>0.33406115656926122</v>
      </c>
      <c r="Z4021" t="str">
        <f>HYPERLINK("Melting_Curves/meltCurve_tr_B4DXX7_B4DXX7_HUMAN_.pdf", "Melting_Curves/meltCurve_tr_B4DXX7_B4DXX7_HUMAN_.pdf")</f>
        <v>Melting_Curves/meltCurve_tr_B4DXX7_B4DXX7_HUMAN_.pdf</v>
      </c>
      <c r="AA4021" t="s">
        <v>18178</v>
      </c>
      <c r="AB4021" t="s">
        <v>22851</v>
      </c>
    </row>
    <row r="4022" spans="1:28" x14ac:dyDescent="0.25">
      <c r="A4022" t="s">
        <v>4026</v>
      </c>
      <c r="B4022">
        <v>0.99904790336628502</v>
      </c>
      <c r="C4022">
        <v>0.97411899625029197</v>
      </c>
      <c r="D4022">
        <v>0.87319271337628102</v>
      </c>
      <c r="E4022">
        <v>0.51595969390619301</v>
      </c>
      <c r="F4022">
        <v>0.31874838352969997</v>
      </c>
      <c r="G4022">
        <v>0.19344012444028599</v>
      </c>
      <c r="H4022">
        <v>0.13454032717911699</v>
      </c>
      <c r="I4022">
        <v>0.115670460737098</v>
      </c>
      <c r="J4022">
        <v>0.103467215552806</v>
      </c>
      <c r="K4022">
        <v>9.5493363652185304E-2</v>
      </c>
      <c r="L4022">
        <v>999.01130239245299</v>
      </c>
      <c r="M4022">
        <v>20.055773826128501</v>
      </c>
      <c r="N4022">
        <v>50.413174228448597</v>
      </c>
      <c r="O4022">
        <v>49.3243738192403</v>
      </c>
      <c r="P4022">
        <v>-9.0838519240611898E-2</v>
      </c>
      <c r="Q4022">
        <v>0.10641038976025401</v>
      </c>
      <c r="R4022">
        <v>0.99881579196526005</v>
      </c>
      <c r="S4022" t="s">
        <v>8762</v>
      </c>
      <c r="T4022" t="s">
        <v>9478</v>
      </c>
      <c r="U4022" t="s">
        <v>9478</v>
      </c>
      <c r="V4022" t="s">
        <v>9478</v>
      </c>
      <c r="W4022">
        <v>11</v>
      </c>
      <c r="X4022" t="s">
        <v>13500</v>
      </c>
      <c r="Y4022">
        <v>0.41104523824626571</v>
      </c>
      <c r="Z4022" t="str">
        <f>HYPERLINK("Melting_Curves/meltCurve_tr_B4DXZ6_B4DXZ6_HUMAN_.pdf", "Melting_Curves/meltCurve_tr_B4DXZ6_B4DXZ6_HUMAN_.pdf")</f>
        <v>Melting_Curves/meltCurve_tr_B4DXZ6_B4DXZ6_HUMAN_.pdf</v>
      </c>
      <c r="AA4022" t="s">
        <v>18179</v>
      </c>
      <c r="AB4022" t="s">
        <v>22852</v>
      </c>
    </row>
    <row r="4023" spans="1:28" x14ac:dyDescent="0.25">
      <c r="A4023" t="s">
        <v>4027</v>
      </c>
      <c r="B4023">
        <v>0.99904790336628502</v>
      </c>
      <c r="C4023">
        <v>0.98130746953904702</v>
      </c>
      <c r="D4023">
        <v>0.84441962819041205</v>
      </c>
      <c r="E4023">
        <v>0.69934649956281703</v>
      </c>
      <c r="F4023">
        <v>0.64734903071425498</v>
      </c>
      <c r="G4023">
        <v>0.49770190408297299</v>
      </c>
      <c r="H4023">
        <v>0.42392000021572201</v>
      </c>
      <c r="I4023">
        <v>0.345391151310531</v>
      </c>
      <c r="J4023">
        <v>0.342722423652004</v>
      </c>
      <c r="K4023">
        <v>0.35143464365231702</v>
      </c>
      <c r="L4023">
        <v>582.69101241029</v>
      </c>
      <c r="M4023">
        <v>11.174032199795001</v>
      </c>
      <c r="N4023">
        <v>56.697749120298397</v>
      </c>
      <c r="O4023">
        <v>50.560348539021703</v>
      </c>
      <c r="P4023">
        <v>-3.8904534277376203E-2</v>
      </c>
      <c r="Q4023">
        <v>0.29608131517991898</v>
      </c>
      <c r="R4023">
        <v>0.99003092155596595</v>
      </c>
      <c r="S4023" t="s">
        <v>8763</v>
      </c>
      <c r="T4023" t="s">
        <v>9478</v>
      </c>
      <c r="U4023" t="s">
        <v>9478</v>
      </c>
      <c r="V4023" t="s">
        <v>9478</v>
      </c>
      <c r="W4023">
        <v>4</v>
      </c>
      <c r="X4023" t="s">
        <v>13501</v>
      </c>
      <c r="Y4023">
        <v>0.60436350380472881</v>
      </c>
      <c r="Z4023" t="str">
        <f>HYPERLINK("Melting_Curves/meltCurve_tr_B4DYB4_B4DYB4_HUMAN_.pdf", "Melting_Curves/meltCurve_tr_B4DYB4_B4DYB4_HUMAN_.pdf")</f>
        <v>Melting_Curves/meltCurve_tr_B4DYB4_B4DYB4_HUMAN_.pdf</v>
      </c>
      <c r="AA4023" t="s">
        <v>18180</v>
      </c>
      <c r="AB4023" t="s">
        <v>22853</v>
      </c>
    </row>
    <row r="4024" spans="1:28" x14ac:dyDescent="0.25">
      <c r="A4024" t="s">
        <v>4028</v>
      </c>
      <c r="B4024">
        <v>0.99904790336628502</v>
      </c>
      <c r="C4024">
        <v>1.01462678235181</v>
      </c>
      <c r="D4024">
        <v>1.0257748343019499</v>
      </c>
      <c r="E4024">
        <v>0.53778028180395199</v>
      </c>
      <c r="F4024">
        <v>0.21790868272616001</v>
      </c>
      <c r="G4024">
        <v>0.136824764322342</v>
      </c>
      <c r="H4024">
        <v>0.10163204305401601</v>
      </c>
      <c r="I4024">
        <v>6.4189093224684995E-2</v>
      </c>
      <c r="J4024">
        <v>6.5568101008330701E-2</v>
      </c>
      <c r="K4024">
        <v>6.2184923679760598E-2</v>
      </c>
      <c r="L4024">
        <v>1825.4010834782</v>
      </c>
      <c r="M4024">
        <v>36.441244167839699</v>
      </c>
      <c r="N4024">
        <v>50.352301047240402</v>
      </c>
      <c r="O4024">
        <v>49.941494857065102</v>
      </c>
      <c r="P4024">
        <v>-0.16673794584121501</v>
      </c>
      <c r="Q4024">
        <v>8.5967854270949301E-2</v>
      </c>
      <c r="R4024">
        <v>0.99514328429534404</v>
      </c>
      <c r="S4024" t="s">
        <v>8764</v>
      </c>
      <c r="T4024" t="s">
        <v>9478</v>
      </c>
      <c r="U4024" t="s">
        <v>9478</v>
      </c>
      <c r="V4024" t="s">
        <v>9478</v>
      </c>
      <c r="W4024">
        <v>3</v>
      </c>
      <c r="X4024" t="s">
        <v>13502</v>
      </c>
      <c r="Y4024">
        <v>0.39725782303047918</v>
      </c>
      <c r="Z4024" t="str">
        <f>HYPERLINK("Melting_Curves/meltCurve_tr_B4DZ67_B4DZ67_HUMAN_.pdf", "Melting_Curves/meltCurve_tr_B4DZ67_B4DZ67_HUMAN_.pdf")</f>
        <v>Melting_Curves/meltCurve_tr_B4DZ67_B4DZ67_HUMAN_.pdf</v>
      </c>
      <c r="AA4024" t="s">
        <v>18181</v>
      </c>
      <c r="AB4024" t="s">
        <v>22854</v>
      </c>
    </row>
    <row r="4025" spans="1:28" x14ac:dyDescent="0.25">
      <c r="A4025" t="s">
        <v>4029</v>
      </c>
      <c r="B4025">
        <v>0.99904790336628502</v>
      </c>
      <c r="C4025">
        <v>0.818831807721358</v>
      </c>
      <c r="D4025">
        <v>0.78336249946889003</v>
      </c>
      <c r="E4025">
        <v>0.80799451146692503</v>
      </c>
      <c r="F4025">
        <v>0.430013399248169</v>
      </c>
      <c r="G4025">
        <v>0.136623389398391</v>
      </c>
      <c r="H4025">
        <v>8.8360742799014805E-2</v>
      </c>
      <c r="I4025">
        <v>6.5729555226979597E-2</v>
      </c>
      <c r="J4025">
        <v>5.1242284414671699E-2</v>
      </c>
      <c r="K4025">
        <v>4.3241399711576201E-2</v>
      </c>
      <c r="L4025">
        <v>798.48551430771499</v>
      </c>
      <c r="M4025">
        <v>15.288490486000001</v>
      </c>
      <c r="N4025">
        <v>52.227900778730003</v>
      </c>
      <c r="O4025">
        <v>51.358782668151697</v>
      </c>
      <c r="P4025">
        <v>-7.4427017250282002E-2</v>
      </c>
      <c r="Q4025">
        <v>0</v>
      </c>
      <c r="R4025">
        <v>0.955492085429691</v>
      </c>
      <c r="S4025" t="s">
        <v>8765</v>
      </c>
      <c r="T4025" t="s">
        <v>9478</v>
      </c>
      <c r="U4025" t="s">
        <v>9478</v>
      </c>
      <c r="V4025" t="s">
        <v>9478</v>
      </c>
      <c r="W4025">
        <v>5</v>
      </c>
      <c r="X4025" t="s">
        <v>13503</v>
      </c>
      <c r="Y4025">
        <v>0.42914425096781389</v>
      </c>
      <c r="Z4025" t="str">
        <f>HYPERLINK("Melting_Curves/meltCurve_tr_B4DZW6_B4DZW6_HUMAN_.pdf", "Melting_Curves/meltCurve_tr_B4DZW6_B4DZW6_HUMAN_.pdf")</f>
        <v>Melting_Curves/meltCurve_tr_B4DZW6_B4DZW6_HUMAN_.pdf</v>
      </c>
      <c r="AA4025" t="s">
        <v>18182</v>
      </c>
      <c r="AB4025" t="s">
        <v>22855</v>
      </c>
    </row>
    <row r="4026" spans="1:28" x14ac:dyDescent="0.25">
      <c r="A4026" t="s">
        <v>4030</v>
      </c>
      <c r="B4026">
        <v>0.99904790336628502</v>
      </c>
      <c r="C4026">
        <v>0.95584525836137901</v>
      </c>
      <c r="D4026">
        <v>1.27299462454097</v>
      </c>
      <c r="E4026">
        <v>0.94703673249321896</v>
      </c>
      <c r="F4026">
        <v>0.81564456536137198</v>
      </c>
      <c r="G4026">
        <v>0.92445437955730003</v>
      </c>
      <c r="H4026">
        <v>0.62676337457715703</v>
      </c>
      <c r="I4026">
        <v>0.36685992479579099</v>
      </c>
      <c r="J4026">
        <v>0.25402240914105301</v>
      </c>
      <c r="K4026">
        <v>0.31880839051924298</v>
      </c>
      <c r="L4026">
        <v>1889.44268881576</v>
      </c>
      <c r="M4026">
        <v>31.098733633401299</v>
      </c>
      <c r="N4026">
        <v>62.2153808399379</v>
      </c>
      <c r="O4026">
        <v>60.506681353067101</v>
      </c>
      <c r="P4026">
        <v>-9.5228130798597793E-2</v>
      </c>
      <c r="Q4026">
        <v>0.25888857870124798</v>
      </c>
      <c r="R4026">
        <v>0.88956141217663698</v>
      </c>
      <c r="S4026" t="s">
        <v>8766</v>
      </c>
      <c r="T4026" t="s">
        <v>9478</v>
      </c>
      <c r="U4026" t="s">
        <v>9478</v>
      </c>
      <c r="V4026" t="s">
        <v>9478</v>
      </c>
      <c r="W4026">
        <v>13</v>
      </c>
      <c r="X4026" t="s">
        <v>13504</v>
      </c>
      <c r="Y4026">
        <v>0.77569213599024056</v>
      </c>
      <c r="Z4026" t="str">
        <f>HYPERLINK("Melting_Curves/meltCurve_tr_B4E072_B4E072_HUMAN_.pdf", "Melting_Curves/meltCurve_tr_B4E072_B4E072_HUMAN_.pdf")</f>
        <v>Melting_Curves/meltCurve_tr_B4E072_B4E072_HUMAN_.pdf</v>
      </c>
      <c r="AA4026" t="s">
        <v>14859</v>
      </c>
      <c r="AB4026" t="s">
        <v>19490</v>
      </c>
    </row>
    <row r="4027" spans="1:28" x14ac:dyDescent="0.25">
      <c r="A4027" t="s">
        <v>4031</v>
      </c>
      <c r="B4027">
        <v>0.99904790336628502</v>
      </c>
      <c r="C4027">
        <v>1.00552904535896</v>
      </c>
      <c r="D4027">
        <v>1.00663396349737</v>
      </c>
      <c r="E4027">
        <v>0.923568629392157</v>
      </c>
      <c r="F4027">
        <v>0.63056220593613299</v>
      </c>
      <c r="G4027">
        <v>0.38020291258674699</v>
      </c>
      <c r="H4027">
        <v>0.28404701194912702</v>
      </c>
      <c r="I4027">
        <v>0.21649000074587399</v>
      </c>
      <c r="J4027">
        <v>0.194427783916268</v>
      </c>
      <c r="K4027">
        <v>0.14182332090292599</v>
      </c>
      <c r="L4027">
        <v>1188.3393789193799</v>
      </c>
      <c r="M4027">
        <v>22.018343799414001</v>
      </c>
      <c r="N4027">
        <v>55.099616602068899</v>
      </c>
      <c r="O4027">
        <v>53.531158129817598</v>
      </c>
      <c r="P4027">
        <v>-8.4159956759728705E-2</v>
      </c>
      <c r="Q4027">
        <v>0.18157698463240499</v>
      </c>
      <c r="R4027">
        <v>0.99336378227321298</v>
      </c>
      <c r="S4027" t="s">
        <v>8767</v>
      </c>
      <c r="T4027" t="s">
        <v>9478</v>
      </c>
      <c r="U4027" t="s">
        <v>9478</v>
      </c>
      <c r="V4027" t="s">
        <v>9478</v>
      </c>
      <c r="W4027">
        <v>8</v>
      </c>
      <c r="X4027" t="s">
        <v>13505</v>
      </c>
      <c r="Y4027">
        <v>0.57218348771342387</v>
      </c>
      <c r="Z4027" t="str">
        <f>HYPERLINK("Melting_Curves/meltCurve_tr_B4E107_B4E107_HUMAN_.pdf", "Melting_Curves/meltCurve_tr_B4E107_B4E107_HUMAN_.pdf")</f>
        <v>Melting_Curves/meltCurve_tr_B4E107_B4E107_HUMAN_.pdf</v>
      </c>
      <c r="AA4027" t="s">
        <v>18183</v>
      </c>
      <c r="AB4027" t="s">
        <v>22856</v>
      </c>
    </row>
    <row r="4028" spans="1:28" x14ac:dyDescent="0.25">
      <c r="A4028" t="s">
        <v>4032</v>
      </c>
      <c r="B4028">
        <v>0.99904790336628502</v>
      </c>
      <c r="C4028">
        <v>0.74522293465251999</v>
      </c>
      <c r="D4028">
        <v>0.52949828264121002</v>
      </c>
      <c r="E4028">
        <v>0.240535828919613</v>
      </c>
      <c r="F4028">
        <v>9.8177567977952795E-2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797.82845112373798</v>
      </c>
      <c r="M4028">
        <v>17.2524611409514</v>
      </c>
      <c r="N4028">
        <v>46.244326795731098</v>
      </c>
      <c r="O4028">
        <v>45.636432359675801</v>
      </c>
      <c r="P4028">
        <v>-9.45158636346803E-2</v>
      </c>
      <c r="Q4028">
        <v>0</v>
      </c>
      <c r="R4028">
        <v>0.99292627084082796</v>
      </c>
      <c r="S4028" t="s">
        <v>8768</v>
      </c>
      <c r="T4028" t="s">
        <v>9478</v>
      </c>
      <c r="U4028" t="s">
        <v>9478</v>
      </c>
      <c r="V4028" t="s">
        <v>9478</v>
      </c>
      <c r="W4028">
        <v>1</v>
      </c>
      <c r="X4028" t="s">
        <v>13506</v>
      </c>
      <c r="Y4028">
        <v>0.22933236452716499</v>
      </c>
      <c r="Z4028" t="str">
        <f>HYPERLINK("Melting_Curves/meltCurve_tr_B4E1N1_B4E1N1_HUMAN_.pdf", "Melting_Curves/meltCurve_tr_B4E1N1_B4E1N1_HUMAN_.pdf")</f>
        <v>Melting_Curves/meltCurve_tr_B4E1N1_B4E1N1_HUMAN_.pdf</v>
      </c>
      <c r="AA4028" t="s">
        <v>18184</v>
      </c>
      <c r="AB4028" t="s">
        <v>22857</v>
      </c>
    </row>
    <row r="4029" spans="1:28" x14ac:dyDescent="0.25">
      <c r="A4029" t="s">
        <v>4033</v>
      </c>
      <c r="B4029">
        <v>0.99904790336628502</v>
      </c>
      <c r="C4029">
        <v>1.0031684166106101</v>
      </c>
      <c r="D4029">
        <v>1.0369530033777701</v>
      </c>
      <c r="E4029">
        <v>0.80998206761624403</v>
      </c>
      <c r="F4029">
        <v>0.452600246081031</v>
      </c>
      <c r="G4029">
        <v>0.23678738133718399</v>
      </c>
      <c r="H4029">
        <v>0.112271897424065</v>
      </c>
      <c r="I4029">
        <v>7.4794686770515803E-2</v>
      </c>
      <c r="J4029">
        <v>5.6203578274027201E-2</v>
      </c>
      <c r="K4029">
        <v>4.4048936508321201E-2</v>
      </c>
      <c r="L4029">
        <v>1283.28362936182</v>
      </c>
      <c r="M4029">
        <v>24.384750015076399</v>
      </c>
      <c r="N4029">
        <v>52.928561662837602</v>
      </c>
      <c r="O4029">
        <v>52.2763819502714</v>
      </c>
      <c r="P4029">
        <v>-0.10904102185082901</v>
      </c>
      <c r="Q4029">
        <v>6.4958969263418001E-2</v>
      </c>
      <c r="R4029">
        <v>0.99462411140992901</v>
      </c>
      <c r="S4029" t="s">
        <v>8769</v>
      </c>
      <c r="T4029" t="s">
        <v>9478</v>
      </c>
      <c r="U4029" t="s">
        <v>9478</v>
      </c>
      <c r="V4029" t="s">
        <v>9478</v>
      </c>
      <c r="W4029">
        <v>36</v>
      </c>
      <c r="X4029" t="s">
        <v>13507</v>
      </c>
      <c r="Y4029">
        <v>0.46749989881628351</v>
      </c>
      <c r="Z4029" t="str">
        <f>HYPERLINK("Melting_Curves/meltCurve_tr_B4E1Z4_B4E1Z4_HUMAN_.pdf", "Melting_Curves/meltCurve_tr_B4E1Z4_B4E1Z4_HUMAN_.pdf")</f>
        <v>Melting_Curves/meltCurve_tr_B4E1Z4_B4E1Z4_HUMAN_.pdf</v>
      </c>
      <c r="AA4029" t="s">
        <v>18185</v>
      </c>
      <c r="AB4029" t="s">
        <v>22858</v>
      </c>
    </row>
    <row r="4030" spans="1:28" x14ac:dyDescent="0.25">
      <c r="A4030" t="s">
        <v>4034</v>
      </c>
      <c r="B4030">
        <v>0.99904790336628502</v>
      </c>
      <c r="C4030">
        <v>1.0613976999541199</v>
      </c>
      <c r="D4030">
        <v>1.08711517671641</v>
      </c>
      <c r="E4030">
        <v>1.0650624155391799</v>
      </c>
      <c r="F4030">
        <v>1.07213915998317</v>
      </c>
      <c r="G4030">
        <v>0.79248348104528499</v>
      </c>
      <c r="H4030">
        <v>0.736205339376381</v>
      </c>
      <c r="I4030">
        <v>0.708380751922287</v>
      </c>
      <c r="J4030">
        <v>0.69243495343917505</v>
      </c>
      <c r="K4030">
        <v>0.57840616769839504</v>
      </c>
      <c r="L4030">
        <v>9064.0661224186606</v>
      </c>
      <c r="M4030">
        <v>159.62087032770501</v>
      </c>
      <c r="O4030">
        <v>56.776074977822802</v>
      </c>
      <c r="P4030">
        <v>-0.22571824140778399</v>
      </c>
      <c r="Q4030">
        <v>0.67885423933242195</v>
      </c>
      <c r="R4030">
        <v>0.89789708140156499</v>
      </c>
      <c r="S4030" t="s">
        <v>8770</v>
      </c>
      <c r="T4030" t="s">
        <v>9478</v>
      </c>
      <c r="U4030" t="s">
        <v>9478</v>
      </c>
      <c r="V4030" t="s">
        <v>9478</v>
      </c>
      <c r="W4030">
        <v>6</v>
      </c>
      <c r="X4030" t="s">
        <v>13508</v>
      </c>
      <c r="Y4030">
        <v>0.85861348962531348</v>
      </c>
      <c r="Z4030" t="str">
        <f>HYPERLINK("Melting_Curves/meltCurve_tr_B4E241_B4E241_HUMAN_.pdf", "Melting_Curves/meltCurve_tr_B4E241_B4E241_HUMAN_.pdf")</f>
        <v>Melting_Curves/meltCurve_tr_B4E241_B4E241_HUMAN_.pdf</v>
      </c>
      <c r="AA4030" t="s">
        <v>18186</v>
      </c>
      <c r="AB4030" t="s">
        <v>22859</v>
      </c>
    </row>
    <row r="4031" spans="1:28" x14ac:dyDescent="0.25">
      <c r="A4031" t="s">
        <v>4035</v>
      </c>
      <c r="B4031">
        <v>0.99904790336628502</v>
      </c>
      <c r="C4031">
        <v>1.32106620196068</v>
      </c>
      <c r="D4031">
        <v>0.97355538341840897</v>
      </c>
      <c r="E4031">
        <v>0.64903893596781304</v>
      </c>
      <c r="F4031">
        <v>0.63282917666927796</v>
      </c>
      <c r="G4031">
        <v>0.32035706789121599</v>
      </c>
      <c r="H4031">
        <v>9.1269386696058996E-2</v>
      </c>
      <c r="I4031">
        <v>0</v>
      </c>
      <c r="J4031">
        <v>0</v>
      </c>
      <c r="K4031">
        <v>0</v>
      </c>
      <c r="L4031">
        <v>946.71024975998603</v>
      </c>
      <c r="M4031">
        <v>17.589224597406499</v>
      </c>
      <c r="N4031">
        <v>53.823308391174102</v>
      </c>
      <c r="O4031">
        <v>53.142049268373597</v>
      </c>
      <c r="P4031">
        <v>-8.2750726961593801E-2</v>
      </c>
      <c r="Q4031">
        <v>0</v>
      </c>
      <c r="R4031">
        <v>0.93301707486778596</v>
      </c>
      <c r="S4031" t="s">
        <v>8771</v>
      </c>
      <c r="T4031" t="s">
        <v>9478</v>
      </c>
      <c r="U4031" t="s">
        <v>9478</v>
      </c>
      <c r="V4031" t="s">
        <v>9478</v>
      </c>
      <c r="W4031">
        <v>2</v>
      </c>
      <c r="X4031" t="s">
        <v>13509</v>
      </c>
      <c r="Y4031">
        <v>0.47741609397457202</v>
      </c>
      <c r="Z4031" t="str">
        <f>HYPERLINK("Melting_Curves/meltCurve_tr_B4E2V5_B4E2V5_HUMAN_.pdf", "Melting_Curves/meltCurve_tr_B4E2V5_B4E2V5_HUMAN_.pdf")</f>
        <v>Melting_Curves/meltCurve_tr_B4E2V5_B4E2V5_HUMAN_.pdf</v>
      </c>
      <c r="AA4031" t="s">
        <v>18187</v>
      </c>
      <c r="AB4031" t="s">
        <v>22860</v>
      </c>
    </row>
    <row r="4032" spans="1:28" x14ac:dyDescent="0.25">
      <c r="A4032" t="s">
        <v>4036</v>
      </c>
      <c r="B4032">
        <v>0.99904790336628502</v>
      </c>
      <c r="C4032">
        <v>1.0090608251436799</v>
      </c>
      <c r="D4032">
        <v>0.86656629749758096</v>
      </c>
      <c r="E4032">
        <v>0.78343295412877501</v>
      </c>
      <c r="F4032">
        <v>0.80389428642584304</v>
      </c>
      <c r="G4032">
        <v>0.54995380992990195</v>
      </c>
      <c r="H4032">
        <v>0.45604587648530798</v>
      </c>
      <c r="I4032">
        <v>0.42843820116577502</v>
      </c>
      <c r="J4032">
        <v>0.369087325104688</v>
      </c>
      <c r="K4032">
        <v>0.42441957933536001</v>
      </c>
      <c r="L4032">
        <v>629.29298494581496</v>
      </c>
      <c r="M4032">
        <v>11.587082520606399</v>
      </c>
      <c r="N4032">
        <v>59.988929417420998</v>
      </c>
      <c r="O4032">
        <v>52.767839104158803</v>
      </c>
      <c r="P4032">
        <v>-3.6623184579308098E-2</v>
      </c>
      <c r="Q4032">
        <v>0.33305280969996498</v>
      </c>
      <c r="R4032">
        <v>0.96630286045765901</v>
      </c>
      <c r="S4032" t="s">
        <v>8772</v>
      </c>
      <c r="T4032" t="s">
        <v>9478</v>
      </c>
      <c r="U4032" t="s">
        <v>9478</v>
      </c>
      <c r="V4032" t="s">
        <v>9478</v>
      </c>
      <c r="W4032">
        <v>6</v>
      </c>
      <c r="X4032" t="s">
        <v>13510</v>
      </c>
      <c r="Y4032">
        <v>0.66857534928253337</v>
      </c>
      <c r="Z4032" t="str">
        <f>HYPERLINK("Melting_Curves/meltCurve_tr_B4E351_B4E351_HUMAN_.pdf", "Melting_Curves/meltCurve_tr_B4E351_B4E351_HUMAN_.pdf")</f>
        <v>Melting_Curves/meltCurve_tr_B4E351_B4E351_HUMAN_.pdf</v>
      </c>
      <c r="AA4032" t="s">
        <v>18188</v>
      </c>
      <c r="AB4032" t="s">
        <v>22861</v>
      </c>
    </row>
    <row r="4033" spans="1:28" x14ac:dyDescent="0.25">
      <c r="A4033" t="s">
        <v>4037</v>
      </c>
      <c r="B4033">
        <v>0.99904790336628502</v>
      </c>
      <c r="C4033">
        <v>1.02547733070304</v>
      </c>
      <c r="D4033">
        <v>1.1236503951435699</v>
      </c>
      <c r="E4033">
        <v>0.98625000776399097</v>
      </c>
      <c r="F4033">
        <v>0.61592794151587504</v>
      </c>
      <c r="G4033">
        <v>0.18732677307781001</v>
      </c>
      <c r="H4033">
        <v>0.133113851650521</v>
      </c>
      <c r="I4033">
        <v>7.4634148449683302E-2</v>
      </c>
      <c r="J4033">
        <v>3.9095020471078899E-2</v>
      </c>
      <c r="K4033">
        <v>1.7074247020326599E-2</v>
      </c>
      <c r="L4033">
        <v>1924.50341216791</v>
      </c>
      <c r="M4033">
        <v>35.8387823315188</v>
      </c>
      <c r="N4033">
        <v>53.905945810024498</v>
      </c>
      <c r="O4033">
        <v>53.5325380137729</v>
      </c>
      <c r="P4033">
        <v>-0.15660799315008</v>
      </c>
      <c r="Q4033">
        <v>6.4298976607794794E-2</v>
      </c>
      <c r="R4033">
        <v>0.98716252971988305</v>
      </c>
      <c r="S4033" t="s">
        <v>8773</v>
      </c>
      <c r="T4033" t="s">
        <v>9478</v>
      </c>
      <c r="U4033" t="s">
        <v>9478</v>
      </c>
      <c r="V4033" t="s">
        <v>9478</v>
      </c>
      <c r="W4033">
        <v>4</v>
      </c>
      <c r="X4033" t="s">
        <v>13511</v>
      </c>
      <c r="Y4033">
        <v>0.49588533569130833</v>
      </c>
      <c r="Z4033" t="str">
        <f>HYPERLINK("Melting_Curves/meltCurve_tr_B4E3Q4_B4E3Q4_HUMAN_.pdf", "Melting_Curves/meltCurve_tr_B4E3Q4_B4E3Q4_HUMAN_.pdf")</f>
        <v>Melting_Curves/meltCurve_tr_B4E3Q4_B4E3Q4_HUMAN_.pdf</v>
      </c>
      <c r="AA4033" t="s">
        <v>18189</v>
      </c>
      <c r="AB4033" t="s">
        <v>22862</v>
      </c>
    </row>
    <row r="4034" spans="1:28" x14ac:dyDescent="0.25">
      <c r="A4034" t="s">
        <v>4038</v>
      </c>
      <c r="B4034">
        <v>0.99904790336628502</v>
      </c>
      <c r="C4034">
        <v>0.98673342527472396</v>
      </c>
      <c r="D4034">
        <v>1.0330814074524901</v>
      </c>
      <c r="E4034">
        <v>0.96306353686636403</v>
      </c>
      <c r="F4034">
        <v>0.79008859191867298</v>
      </c>
      <c r="G4034">
        <v>0.42408095083920899</v>
      </c>
      <c r="H4034">
        <v>0.139369488057937</v>
      </c>
      <c r="I4034">
        <v>8.1883030857412997E-2</v>
      </c>
      <c r="J4034">
        <v>4.8094818606278102E-2</v>
      </c>
      <c r="K4034">
        <v>2.4204982150469401E-2</v>
      </c>
      <c r="L4034">
        <v>1337.1756174275799</v>
      </c>
      <c r="M4034">
        <v>23.8537690277991</v>
      </c>
      <c r="N4034">
        <v>56.1747328817331</v>
      </c>
      <c r="O4034">
        <v>55.667686933166301</v>
      </c>
      <c r="P4034">
        <v>-0.10451990435443401</v>
      </c>
      <c r="Q4034">
        <v>2.4340840708545801E-2</v>
      </c>
      <c r="R4034">
        <v>0.99870602708637901</v>
      </c>
      <c r="S4034" t="s">
        <v>8774</v>
      </c>
      <c r="T4034" t="s">
        <v>9478</v>
      </c>
      <c r="U4034" t="s">
        <v>9478</v>
      </c>
      <c r="V4034" t="s">
        <v>9478</v>
      </c>
      <c r="W4034">
        <v>2</v>
      </c>
      <c r="X4034" t="s">
        <v>13512</v>
      </c>
      <c r="Y4034">
        <v>0.55621305044307456</v>
      </c>
      <c r="Z4034" t="str">
        <f>HYPERLINK("Melting_Curves/meltCurve_tr_B5MC59_B5MC59_HUMAN_.pdf", "Melting_Curves/meltCurve_tr_B5MC59_B5MC59_HUMAN_.pdf")</f>
        <v>Melting_Curves/meltCurve_tr_B5MC59_B5MC59_HUMAN_.pdf</v>
      </c>
      <c r="AA4034" t="s">
        <v>18190</v>
      </c>
      <c r="AB4034" t="s">
        <v>22863</v>
      </c>
    </row>
    <row r="4035" spans="1:28" x14ac:dyDescent="0.25">
      <c r="A4035" t="s">
        <v>4039</v>
      </c>
      <c r="B4035">
        <v>0.99904790336628502</v>
      </c>
      <c r="C4035">
        <v>1.1353264559656</v>
      </c>
      <c r="D4035">
        <v>1.3449410550257499</v>
      </c>
      <c r="E4035">
        <v>0.97102535184565397</v>
      </c>
      <c r="F4035">
        <v>1.07211263699836</v>
      </c>
      <c r="G4035">
        <v>0.71505785022146495</v>
      </c>
      <c r="H4035">
        <v>0.67283672918448401</v>
      </c>
      <c r="I4035">
        <v>0.73636247684558898</v>
      </c>
      <c r="J4035">
        <v>0.90270684425478198</v>
      </c>
      <c r="K4035">
        <v>0.81348063631705403</v>
      </c>
      <c r="L4035">
        <v>4407.2987155491601</v>
      </c>
      <c r="M4035">
        <v>80.093256722931599</v>
      </c>
      <c r="O4035">
        <v>54.992814070747698</v>
      </c>
      <c r="P4035">
        <v>-8.4881858579022001E-2</v>
      </c>
      <c r="Q4035">
        <v>0.766877178615606</v>
      </c>
      <c r="R4035">
        <v>0.556125340809559</v>
      </c>
      <c r="S4035" t="s">
        <v>8775</v>
      </c>
      <c r="T4035" t="s">
        <v>9478</v>
      </c>
      <c r="U4035" t="s">
        <v>9478</v>
      </c>
      <c r="V4035" t="s">
        <v>9478</v>
      </c>
      <c r="W4035">
        <v>2</v>
      </c>
      <c r="X4035" t="s">
        <v>13513</v>
      </c>
      <c r="Y4035">
        <v>0.88386885484643207</v>
      </c>
      <c r="Z4035" t="str">
        <f>HYPERLINK("Melting_Curves/meltCurve_tr_B5MCF9_B5MCF9_HUMAN_.pdf", "Melting_Curves/meltCurve_tr_B5MCF9_B5MCF9_HUMAN_.pdf")</f>
        <v>Melting_Curves/meltCurve_tr_B5MCF9_B5MCF9_HUMAN_.pdf</v>
      </c>
      <c r="AA4035" t="s">
        <v>18191</v>
      </c>
      <c r="AB4035" t="s">
        <v>22864</v>
      </c>
    </row>
    <row r="4036" spans="1:28" x14ac:dyDescent="0.25">
      <c r="A4036" t="s">
        <v>4040</v>
      </c>
      <c r="B4036">
        <v>0.99904790336628502</v>
      </c>
      <c r="C4036">
        <v>1.00595652472936</v>
      </c>
      <c r="D4036">
        <v>1.0389444628184801</v>
      </c>
      <c r="E4036">
        <v>1.0191650724174</v>
      </c>
      <c r="F4036">
        <v>1.04437589199596</v>
      </c>
      <c r="G4036">
        <v>0.56856619045465995</v>
      </c>
      <c r="H4036">
        <v>9.6193965746312393E-2</v>
      </c>
      <c r="I4036">
        <v>5.8056646060044598E-2</v>
      </c>
      <c r="J4036">
        <v>3.5997917157475703E-2</v>
      </c>
      <c r="K4036">
        <v>3.4987394441876402E-2</v>
      </c>
      <c r="L4036">
        <v>3367.8061499390901</v>
      </c>
      <c r="M4036">
        <v>58.880852694744497</v>
      </c>
      <c r="N4036">
        <v>57.298202185753098</v>
      </c>
      <c r="O4036">
        <v>57.131103037144698</v>
      </c>
      <c r="P4036">
        <v>-0.244928132975229</v>
      </c>
      <c r="Q4036">
        <v>4.9401813858292599E-2</v>
      </c>
      <c r="R4036">
        <v>0.99722298741478899</v>
      </c>
      <c r="S4036" t="s">
        <v>8776</v>
      </c>
      <c r="T4036" t="s">
        <v>9478</v>
      </c>
      <c r="U4036" t="s">
        <v>9478</v>
      </c>
      <c r="V4036" t="s">
        <v>9478</v>
      </c>
      <c r="W4036">
        <v>16</v>
      </c>
      <c r="X4036" t="s">
        <v>13514</v>
      </c>
      <c r="Y4036">
        <v>0.59604102282948512</v>
      </c>
      <c r="Z4036" t="str">
        <f>HYPERLINK("Melting_Curves/meltCurve_tr_B5MCQ5_B5MCQ5_HUMAN_.pdf", "Melting_Curves/meltCurve_tr_B5MCQ5_B5MCQ5_HUMAN_.pdf")</f>
        <v>Melting_Curves/meltCurve_tr_B5MCQ5_B5MCQ5_HUMAN_.pdf</v>
      </c>
      <c r="AA4036" t="s">
        <v>18192</v>
      </c>
      <c r="AB4036" t="s">
        <v>22865</v>
      </c>
    </row>
    <row r="4037" spans="1:28" x14ac:dyDescent="0.25">
      <c r="A4037" t="s">
        <v>4041</v>
      </c>
      <c r="B4037">
        <v>0.99904790336628502</v>
      </c>
      <c r="C4037">
        <v>0.83493822557172304</v>
      </c>
      <c r="D4037">
        <v>0.85987754942843198</v>
      </c>
      <c r="E4037">
        <v>0.68058279008834799</v>
      </c>
      <c r="F4037">
        <v>0.34449656813044599</v>
      </c>
      <c r="G4037">
        <v>0.15765056079138201</v>
      </c>
      <c r="H4037">
        <v>0.11786446230417</v>
      </c>
      <c r="I4037">
        <v>9.5091962514954498E-2</v>
      </c>
      <c r="J4037">
        <v>6.7858619716872695E-2</v>
      </c>
      <c r="K4037">
        <v>3.8798880543181202E-2</v>
      </c>
      <c r="L4037">
        <v>808.49092866224998</v>
      </c>
      <c r="M4037">
        <v>15.806357028156899</v>
      </c>
      <c r="N4037">
        <v>51.3876885432596</v>
      </c>
      <c r="O4037">
        <v>50.352018455739099</v>
      </c>
      <c r="P4037">
        <v>-7.5716020137014894E-2</v>
      </c>
      <c r="Q4037">
        <v>3.5289241077652501E-2</v>
      </c>
      <c r="R4037">
        <v>0.98121145504439899</v>
      </c>
      <c r="S4037" t="s">
        <v>8777</v>
      </c>
      <c r="T4037" t="s">
        <v>9478</v>
      </c>
      <c r="U4037" t="s">
        <v>9478</v>
      </c>
      <c r="V4037" t="s">
        <v>9478</v>
      </c>
      <c r="W4037">
        <v>4</v>
      </c>
      <c r="X4037" t="s">
        <v>13515</v>
      </c>
      <c r="Y4037">
        <v>0.41416909775478339</v>
      </c>
      <c r="Z4037" t="str">
        <f>HYPERLINK("Melting_Curves/meltCurve_tr_B5MCT7_B5MCT7_HUMAN_.pdf", "Melting_Curves/meltCurve_tr_B5MCT7_B5MCT7_HUMAN_.pdf")</f>
        <v>Melting_Curves/meltCurve_tr_B5MCT7_B5MCT7_HUMAN_.pdf</v>
      </c>
      <c r="AA4037" t="s">
        <v>18193</v>
      </c>
      <c r="AB4037" t="s">
        <v>22866</v>
      </c>
    </row>
    <row r="4038" spans="1:28" x14ac:dyDescent="0.25">
      <c r="A4038" t="s">
        <v>4042</v>
      </c>
      <c r="B4038">
        <v>0.99904790336628502</v>
      </c>
      <c r="C4038">
        <v>0.99033608890581504</v>
      </c>
      <c r="D4038">
        <v>0.95593053409612105</v>
      </c>
      <c r="E4038">
        <v>0.99612811747998897</v>
      </c>
      <c r="F4038">
        <v>0.97230571264476096</v>
      </c>
      <c r="G4038">
        <v>0.83865638667632503</v>
      </c>
      <c r="H4038">
        <v>0.73410972183553402</v>
      </c>
      <c r="I4038">
        <v>0.61844263668043598</v>
      </c>
      <c r="J4038">
        <v>0.63980547414758704</v>
      </c>
      <c r="K4038">
        <v>0.65341644105444996</v>
      </c>
      <c r="L4038">
        <v>1483.42199583913</v>
      </c>
      <c r="M4038">
        <v>25.6620762501793</v>
      </c>
      <c r="O4038">
        <v>57.458381188630497</v>
      </c>
      <c r="P4038">
        <v>-4.1324128592546097E-2</v>
      </c>
      <c r="Q4038">
        <v>0.62989908162402497</v>
      </c>
      <c r="R4038">
        <v>0.97965511901809499</v>
      </c>
      <c r="S4038" t="s">
        <v>8778</v>
      </c>
      <c r="T4038" t="s">
        <v>9478</v>
      </c>
      <c r="U4038" t="s">
        <v>9478</v>
      </c>
      <c r="V4038" t="s">
        <v>9478</v>
      </c>
      <c r="W4038">
        <v>7</v>
      </c>
      <c r="X4038" t="s">
        <v>13516</v>
      </c>
      <c r="Y4038">
        <v>0.85269234982534781</v>
      </c>
      <c r="Z4038" t="str">
        <f>HYPERLINK("Melting_Curves/meltCurve_tr_B5MCU0_B5MCU0_HUMAN_.pdf", "Melting_Curves/meltCurve_tr_B5MCU0_B5MCU0_HUMAN_.pdf")</f>
        <v>Melting_Curves/meltCurve_tr_B5MCU0_B5MCU0_HUMAN_.pdf</v>
      </c>
      <c r="AA4038" t="s">
        <v>18194</v>
      </c>
      <c r="AB4038" t="s">
        <v>22867</v>
      </c>
    </row>
    <row r="4039" spans="1:28" x14ac:dyDescent="0.25">
      <c r="A4039" t="s">
        <v>4043</v>
      </c>
      <c r="B4039">
        <v>0.99904790336628502</v>
      </c>
      <c r="C4039">
        <v>0.93998698278381898</v>
      </c>
      <c r="D4039">
        <v>0.817961129831977</v>
      </c>
      <c r="E4039">
        <v>0.724876933156827</v>
      </c>
      <c r="F4039">
        <v>0.41219355676469399</v>
      </c>
      <c r="G4039">
        <v>0.33177111474301202</v>
      </c>
      <c r="H4039">
        <v>0.192575286931191</v>
      </c>
      <c r="I4039">
        <v>0.20191478704110999</v>
      </c>
      <c r="J4039">
        <v>0.16091233310971101</v>
      </c>
      <c r="K4039">
        <v>0.10456171204348901</v>
      </c>
      <c r="L4039">
        <v>684.25107475962102</v>
      </c>
      <c r="M4039">
        <v>13.2354130630352</v>
      </c>
      <c r="N4039">
        <v>52.642614054170899</v>
      </c>
      <c r="O4039">
        <v>50.561057740261901</v>
      </c>
      <c r="P4039">
        <v>-5.8538391395608097E-2</v>
      </c>
      <c r="Q4039">
        <v>0.105649225445041</v>
      </c>
      <c r="R4039">
        <v>0.98654007684865497</v>
      </c>
      <c r="S4039" t="s">
        <v>8779</v>
      </c>
      <c r="T4039" t="s">
        <v>9478</v>
      </c>
      <c r="U4039" t="s">
        <v>9478</v>
      </c>
      <c r="V4039" t="s">
        <v>9478</v>
      </c>
      <c r="W4039">
        <v>2</v>
      </c>
      <c r="X4039" t="s">
        <v>13517</v>
      </c>
      <c r="Y4039">
        <v>0.47878196938922929</v>
      </c>
      <c r="Z4039" t="str">
        <f>HYPERLINK("Melting_Curves/meltCurve_tr_B5MEB3_B5MEB3_HUMAN_.pdf", "Melting_Curves/meltCurve_tr_B5MEB3_B5MEB3_HUMAN_.pdf")</f>
        <v>Melting_Curves/meltCurve_tr_B5MEB3_B5MEB3_HUMAN_.pdf</v>
      </c>
      <c r="AA4039" t="s">
        <v>18195</v>
      </c>
      <c r="AB4039" t="s">
        <v>22868</v>
      </c>
    </row>
    <row r="4040" spans="1:28" x14ac:dyDescent="0.25">
      <c r="A4040" t="s">
        <v>4044</v>
      </c>
      <c r="B4040">
        <v>0.99904790336628502</v>
      </c>
      <c r="C4040">
        <v>1.13161949639432</v>
      </c>
      <c r="D4040">
        <v>1.0926618886899999</v>
      </c>
      <c r="E4040">
        <v>0.66488345295668105</v>
      </c>
      <c r="F4040">
        <v>0.34279373999479701</v>
      </c>
      <c r="G4040">
        <v>0.16283958016515199</v>
      </c>
      <c r="H4040">
        <v>0.10006055170063601</v>
      </c>
      <c r="I4040">
        <v>7.8918254984694E-2</v>
      </c>
      <c r="J4040">
        <v>3.8347082432338898E-2</v>
      </c>
      <c r="K4040">
        <v>6.5705538375390199E-2</v>
      </c>
      <c r="L4040">
        <v>1533.7431987955599</v>
      </c>
      <c r="M4040">
        <v>29.9210256927154</v>
      </c>
      <c r="N4040">
        <v>51.552532366161898</v>
      </c>
      <c r="O4040">
        <v>51.032379314907899</v>
      </c>
      <c r="P4040">
        <v>-0.135124802733224</v>
      </c>
      <c r="Q4040">
        <v>7.8147276041497099E-2</v>
      </c>
      <c r="R4040">
        <v>0.979708577604395</v>
      </c>
      <c r="S4040" t="s">
        <v>8780</v>
      </c>
      <c r="T4040" t="s">
        <v>9478</v>
      </c>
      <c r="U4040" t="s">
        <v>9478</v>
      </c>
      <c r="V4040" t="s">
        <v>9478</v>
      </c>
      <c r="W4040">
        <v>3</v>
      </c>
      <c r="X4040" t="s">
        <v>13518</v>
      </c>
      <c r="Y4040">
        <v>0.4299920100806725</v>
      </c>
      <c r="Z4040" t="str">
        <f>HYPERLINK("Melting_Curves/meltCurve_tr_B7WP27_B7WP27_HUMAN_.pdf", "Melting_Curves/meltCurve_tr_B7WP27_B7WP27_HUMAN_.pdf")</f>
        <v>Melting_Curves/meltCurve_tr_B7WP27_B7WP27_HUMAN_.pdf</v>
      </c>
      <c r="AA4040" t="s">
        <v>18196</v>
      </c>
      <c r="AB4040" t="s">
        <v>22869</v>
      </c>
    </row>
    <row r="4041" spans="1:28" x14ac:dyDescent="0.25">
      <c r="A4041" t="s">
        <v>4045</v>
      </c>
      <c r="B4041">
        <v>0.99904790336628502</v>
      </c>
      <c r="C4041">
        <v>1.14528338064137</v>
      </c>
      <c r="D4041">
        <v>1.03172947611243</v>
      </c>
      <c r="E4041">
        <v>0.98353435885130502</v>
      </c>
      <c r="F4041">
        <v>0.69528985207828797</v>
      </c>
      <c r="G4041">
        <v>0.24833143784710901</v>
      </c>
      <c r="H4041">
        <v>5.5153133253271799E-2</v>
      </c>
      <c r="I4041">
        <v>0</v>
      </c>
      <c r="J4041">
        <v>0</v>
      </c>
      <c r="K4041">
        <v>0</v>
      </c>
      <c r="L4041">
        <v>1604.3791815002501</v>
      </c>
      <c r="M4041">
        <v>29.324682372683402</v>
      </c>
      <c r="N4041">
        <v>54.710874067223401</v>
      </c>
      <c r="O4041">
        <v>54.458348188762301</v>
      </c>
      <c r="P4041">
        <v>-0.13462073657419299</v>
      </c>
      <c r="Q4041">
        <v>0</v>
      </c>
      <c r="R4041">
        <v>0.98860420070221799</v>
      </c>
      <c r="S4041" t="s">
        <v>8781</v>
      </c>
      <c r="T4041" t="s">
        <v>9478</v>
      </c>
      <c r="U4041" t="s">
        <v>9478</v>
      </c>
      <c r="V4041" t="s">
        <v>9478</v>
      </c>
      <c r="W4041">
        <v>1</v>
      </c>
      <c r="X4041" t="s">
        <v>13519</v>
      </c>
      <c r="Y4041">
        <v>0.49727151697946692</v>
      </c>
      <c r="Z4041" t="str">
        <f>HYPERLINK("Melting_Curves/meltCurve_tr_B7Z1T4_B7Z1T4_HUMAN_.pdf", "Melting_Curves/meltCurve_tr_B7Z1T4_B7Z1T4_HUMAN_.pdf")</f>
        <v>Melting_Curves/meltCurve_tr_B7Z1T4_B7Z1T4_HUMAN_.pdf</v>
      </c>
      <c r="AA4041" t="s">
        <v>18197</v>
      </c>
      <c r="AB4041" t="s">
        <v>22870</v>
      </c>
    </row>
    <row r="4042" spans="1:28" x14ac:dyDescent="0.25">
      <c r="A4042" t="s">
        <v>4046</v>
      </c>
      <c r="B4042">
        <v>0.99904790336628502</v>
      </c>
      <c r="C4042">
        <v>0.77255047421291601</v>
      </c>
      <c r="D4042">
        <v>0.696930848301752</v>
      </c>
      <c r="E4042">
        <v>0.37379851047210899</v>
      </c>
      <c r="F4042">
        <v>0.19496748786472101</v>
      </c>
      <c r="G4042">
        <v>0.13137247545578101</v>
      </c>
      <c r="H4042">
        <v>8.9610811406337906E-2</v>
      </c>
      <c r="I4042">
        <v>7.9278413533622999E-2</v>
      </c>
      <c r="J4042">
        <v>6.9650396503161197E-2</v>
      </c>
      <c r="K4042">
        <v>6.2397288996029997E-2</v>
      </c>
      <c r="L4042">
        <v>715.64545917906605</v>
      </c>
      <c r="M4042">
        <v>15.014960406509701</v>
      </c>
      <c r="N4042">
        <v>48.027318947173498</v>
      </c>
      <c r="O4042">
        <v>46.840706149548303</v>
      </c>
      <c r="P4042">
        <v>-7.5823139366825804E-2</v>
      </c>
      <c r="Q4042">
        <v>5.3943038512414401E-2</v>
      </c>
      <c r="R4042">
        <v>0.98960096522455798</v>
      </c>
      <c r="S4042" t="s">
        <v>8782</v>
      </c>
      <c r="T4042" t="s">
        <v>9478</v>
      </c>
      <c r="U4042" t="s">
        <v>9478</v>
      </c>
      <c r="V4042" t="s">
        <v>9478</v>
      </c>
      <c r="W4042">
        <v>9</v>
      </c>
      <c r="X4042" t="s">
        <v>13520</v>
      </c>
      <c r="Y4042">
        <v>0.32027621647813459</v>
      </c>
      <c r="Z4042" t="str">
        <f>HYPERLINK("Melting_Curves/meltCurve_tr_B7Z1W9_B7Z1W9_HUMAN_.pdf", "Melting_Curves/meltCurve_tr_B7Z1W9_B7Z1W9_HUMAN_.pdf")</f>
        <v>Melting_Curves/meltCurve_tr_B7Z1W9_B7Z1W9_HUMAN_.pdf</v>
      </c>
      <c r="AA4042" t="s">
        <v>18198</v>
      </c>
      <c r="AB4042" t="s">
        <v>22871</v>
      </c>
    </row>
    <row r="4043" spans="1:28" x14ac:dyDescent="0.25">
      <c r="A4043" t="s">
        <v>4047</v>
      </c>
      <c r="B4043">
        <v>0.99904790336628502</v>
      </c>
      <c r="C4043">
        <v>1.16122915308652</v>
      </c>
      <c r="D4043">
        <v>0.876254599773167</v>
      </c>
      <c r="E4043">
        <v>0.48432306501143602</v>
      </c>
      <c r="F4043">
        <v>0.27789247820649399</v>
      </c>
      <c r="G4043">
        <v>0.12100473180615499</v>
      </c>
      <c r="H4043">
        <v>7.5466422655513898E-2</v>
      </c>
      <c r="I4043">
        <v>5.0591415473437797E-2</v>
      </c>
      <c r="J4043">
        <v>4.1461621299775202E-2</v>
      </c>
      <c r="K4043">
        <v>4.0993513650845602E-2</v>
      </c>
      <c r="L4043">
        <v>1198.77141134675</v>
      </c>
      <c r="M4043">
        <v>24.016422438787199</v>
      </c>
      <c r="N4043">
        <v>50.159367986737799</v>
      </c>
      <c r="O4043">
        <v>49.572446659801599</v>
      </c>
      <c r="P4043">
        <v>-0.11442386845131899</v>
      </c>
      <c r="Q4043">
        <v>5.5282829454588102E-2</v>
      </c>
      <c r="R4043">
        <v>0.97946655447230901</v>
      </c>
      <c r="S4043" t="s">
        <v>8783</v>
      </c>
      <c r="T4043" t="s">
        <v>9478</v>
      </c>
      <c r="U4043" t="s">
        <v>9478</v>
      </c>
      <c r="V4043" t="s">
        <v>9478</v>
      </c>
      <c r="W4043">
        <v>5</v>
      </c>
      <c r="X4043" t="s">
        <v>13521</v>
      </c>
      <c r="Y4043">
        <v>0.37664688685142023</v>
      </c>
      <c r="Z4043" t="str">
        <f>HYPERLINK("Melting_Curves/meltCurve_tr_B7Z242_B7Z242_HUMAN_.pdf", "Melting_Curves/meltCurve_tr_B7Z242_B7Z242_HUMAN_.pdf")</f>
        <v>Melting_Curves/meltCurve_tr_B7Z242_B7Z242_HUMAN_.pdf</v>
      </c>
      <c r="AA4043" t="s">
        <v>18199</v>
      </c>
      <c r="AB4043" t="s">
        <v>22872</v>
      </c>
    </row>
    <row r="4044" spans="1:28" x14ac:dyDescent="0.25">
      <c r="A4044" t="s">
        <v>4048</v>
      </c>
      <c r="B4044">
        <v>0.99904790336628502</v>
      </c>
      <c r="C4044">
        <v>1.04640043613793</v>
      </c>
      <c r="D4044">
        <v>1.01805421518976</v>
      </c>
      <c r="E4044">
        <v>0.843556642162827</v>
      </c>
      <c r="F4044">
        <v>0.53113965475299596</v>
      </c>
      <c r="G4044">
        <v>0.31118590221068199</v>
      </c>
      <c r="H4044">
        <v>0.220279366161275</v>
      </c>
      <c r="I4044">
        <v>0.18964375654270599</v>
      </c>
      <c r="J4044">
        <v>0.15161254996990101</v>
      </c>
      <c r="K4044">
        <v>0.101170008758209</v>
      </c>
      <c r="L4044">
        <v>1228.1377418623299</v>
      </c>
      <c r="M4044">
        <v>23.210557273648899</v>
      </c>
      <c r="N4044">
        <v>53.749849245377803</v>
      </c>
      <c r="O4044">
        <v>52.524817311609098</v>
      </c>
      <c r="P4044">
        <v>-9.3721803962864295E-2</v>
      </c>
      <c r="Q4044">
        <v>0.15165645989773899</v>
      </c>
      <c r="R4044">
        <v>0.99216044741053899</v>
      </c>
      <c r="S4044" t="s">
        <v>8784</v>
      </c>
      <c r="T4044" t="s">
        <v>9478</v>
      </c>
      <c r="U4044" t="s">
        <v>9478</v>
      </c>
      <c r="V4044" t="s">
        <v>9478</v>
      </c>
      <c r="W4044">
        <v>6</v>
      </c>
      <c r="X4044" t="s">
        <v>13522</v>
      </c>
      <c r="Y4044">
        <v>0.52577047288743184</v>
      </c>
      <c r="Z4044" t="str">
        <f>HYPERLINK("Melting_Curves/meltCurve_tr_B7Z291_B7Z291_HUMAN_.pdf", "Melting_Curves/meltCurve_tr_B7Z291_B7Z291_HUMAN_.pdf")</f>
        <v>Melting_Curves/meltCurve_tr_B7Z291_B7Z291_HUMAN_.pdf</v>
      </c>
      <c r="AA4044" t="s">
        <v>18200</v>
      </c>
      <c r="AB4044" t="s">
        <v>22873</v>
      </c>
    </row>
    <row r="4045" spans="1:28" x14ac:dyDescent="0.25">
      <c r="A4045" t="s">
        <v>4049</v>
      </c>
      <c r="B4045">
        <v>0.99904790336628502</v>
      </c>
      <c r="C4045">
        <v>1.0761028494149201</v>
      </c>
      <c r="D4045">
        <v>0.886812560710736</v>
      </c>
      <c r="E4045">
        <v>0.47867883835429198</v>
      </c>
      <c r="F4045">
        <v>0.37536604109379901</v>
      </c>
      <c r="G4045">
        <v>0.22449526059385999</v>
      </c>
      <c r="H4045">
        <v>0.18029179240968499</v>
      </c>
      <c r="I4045">
        <v>0.17548402818905301</v>
      </c>
      <c r="J4045">
        <v>0.173445818765117</v>
      </c>
      <c r="K4045">
        <v>0.222274652202546</v>
      </c>
      <c r="L4045">
        <v>1231.43024587273</v>
      </c>
      <c r="M4045">
        <v>25.002407894367099</v>
      </c>
      <c r="N4045">
        <v>50.240145397508201</v>
      </c>
      <c r="O4045">
        <v>48.9406312305928</v>
      </c>
      <c r="P4045">
        <v>-0.102922197745941</v>
      </c>
      <c r="Q4045">
        <v>0.194156076307551</v>
      </c>
      <c r="R4045">
        <v>0.98573478857990005</v>
      </c>
      <c r="S4045" t="s">
        <v>8785</v>
      </c>
      <c r="T4045" t="s">
        <v>9478</v>
      </c>
      <c r="U4045" t="s">
        <v>9478</v>
      </c>
      <c r="V4045" t="s">
        <v>9478</v>
      </c>
      <c r="W4045">
        <v>8</v>
      </c>
      <c r="X4045" t="s">
        <v>13523</v>
      </c>
      <c r="Y4045">
        <v>0.44984314832040312</v>
      </c>
      <c r="Z4045" t="str">
        <f>HYPERLINK("Melting_Curves/meltCurve_tr_B7Z2Y2_B7Z2Y2_HUMAN_.pdf", "Melting_Curves/meltCurve_tr_B7Z2Y2_B7Z2Y2_HUMAN_.pdf")</f>
        <v>Melting_Curves/meltCurve_tr_B7Z2Y2_B7Z2Y2_HUMAN_.pdf</v>
      </c>
      <c r="AA4045" t="s">
        <v>18201</v>
      </c>
      <c r="AB4045" t="s">
        <v>22874</v>
      </c>
    </row>
    <row r="4046" spans="1:28" x14ac:dyDescent="0.25">
      <c r="A4046" t="s">
        <v>4050</v>
      </c>
      <c r="B4046">
        <v>0.99904790336628502</v>
      </c>
      <c r="C4046">
        <v>0.99995470493813499</v>
      </c>
      <c r="D4046">
        <v>0.86472686754692496</v>
      </c>
      <c r="E4046">
        <v>0.84597948306753501</v>
      </c>
      <c r="F4046">
        <v>0.64716620164744798</v>
      </c>
      <c r="G4046">
        <v>0.22786842964151299</v>
      </c>
      <c r="H4046">
        <v>0.112373156367467</v>
      </c>
      <c r="I4046">
        <v>6.0367175285126799E-2</v>
      </c>
      <c r="J4046">
        <v>5.5304826201106397E-2</v>
      </c>
      <c r="K4046">
        <v>3.5207646559446901E-2</v>
      </c>
      <c r="L4046">
        <v>1138.85555130855</v>
      </c>
      <c r="M4046">
        <v>21.096789278806298</v>
      </c>
      <c r="N4046">
        <v>54.126195788812801</v>
      </c>
      <c r="O4046">
        <v>53.5044040463101</v>
      </c>
      <c r="P4046">
        <v>-9.5891306915988198E-2</v>
      </c>
      <c r="Q4046">
        <v>2.72507037028079E-2</v>
      </c>
      <c r="R4046">
        <v>0.99025463800504898</v>
      </c>
      <c r="S4046" t="s">
        <v>8786</v>
      </c>
      <c r="T4046" t="s">
        <v>9478</v>
      </c>
      <c r="U4046" t="s">
        <v>9478</v>
      </c>
      <c r="V4046" t="s">
        <v>9478</v>
      </c>
      <c r="W4046">
        <v>3</v>
      </c>
      <c r="X4046" t="s">
        <v>13524</v>
      </c>
      <c r="Y4046">
        <v>0.49274514945777009</v>
      </c>
      <c r="Z4046" t="str">
        <f>HYPERLINK("Melting_Curves/meltCurve_tr_B7Z341_B7Z341_HUMAN_.pdf", "Melting_Curves/meltCurve_tr_B7Z341_B7Z341_HUMAN_.pdf")</f>
        <v>Melting_Curves/meltCurve_tr_B7Z341_B7Z341_HUMAN_.pdf</v>
      </c>
      <c r="AA4046" t="s">
        <v>18202</v>
      </c>
      <c r="AB4046" t="s">
        <v>22875</v>
      </c>
    </row>
    <row r="4047" spans="1:28" x14ac:dyDescent="0.25">
      <c r="A4047" t="s">
        <v>4051</v>
      </c>
      <c r="B4047">
        <v>0.99904790336628502</v>
      </c>
      <c r="C4047">
        <v>0.95505871419592803</v>
      </c>
      <c r="D4047">
        <v>0.90466348063242696</v>
      </c>
      <c r="E4047">
        <v>0.79896703278671999</v>
      </c>
      <c r="F4047">
        <v>0.70305246700396096</v>
      </c>
      <c r="G4047">
        <v>0.53826895167000999</v>
      </c>
      <c r="H4047">
        <v>0.41302638294305899</v>
      </c>
      <c r="I4047">
        <v>0.39052080280760598</v>
      </c>
      <c r="J4047">
        <v>0.35843242628411498</v>
      </c>
      <c r="K4047">
        <v>0.38895391043533301</v>
      </c>
      <c r="L4047">
        <v>676.63318582158604</v>
      </c>
      <c r="M4047">
        <v>12.663045988674099</v>
      </c>
      <c r="N4047">
        <v>58.230731055963197</v>
      </c>
      <c r="O4047">
        <v>52.1536699197014</v>
      </c>
      <c r="P4047">
        <v>-4.1051739697635703E-2</v>
      </c>
      <c r="Q4047">
        <v>0.32383407601652298</v>
      </c>
      <c r="R4047">
        <v>0.99443988277598105</v>
      </c>
      <c r="S4047" t="s">
        <v>8787</v>
      </c>
      <c r="T4047" t="s">
        <v>9478</v>
      </c>
      <c r="U4047" t="s">
        <v>9478</v>
      </c>
      <c r="V4047" t="s">
        <v>9478</v>
      </c>
      <c r="W4047">
        <v>4</v>
      </c>
      <c r="X4047" t="s">
        <v>13525</v>
      </c>
      <c r="Y4047">
        <v>0.64415628008383929</v>
      </c>
      <c r="Z4047" t="str">
        <f>HYPERLINK("Melting_Curves/meltCurve_tr_B7Z3B9_B7Z3B9_HUMAN_.pdf", "Melting_Curves/meltCurve_tr_B7Z3B9_B7Z3B9_HUMAN_.pdf")</f>
        <v>Melting_Curves/meltCurve_tr_B7Z3B9_B7Z3B9_HUMAN_.pdf</v>
      </c>
      <c r="AA4047" t="s">
        <v>18203</v>
      </c>
      <c r="AB4047" t="s">
        <v>22876</v>
      </c>
    </row>
    <row r="4048" spans="1:28" x14ac:dyDescent="0.25">
      <c r="A4048" t="s">
        <v>4052</v>
      </c>
      <c r="B4048">
        <v>0.99904790336628502</v>
      </c>
      <c r="C4048">
        <v>1.0668109175022</v>
      </c>
      <c r="D4048">
        <v>1.0857173661123301</v>
      </c>
      <c r="E4048">
        <v>1.0485431053510801</v>
      </c>
      <c r="F4048">
        <v>0.82639857393978799</v>
      </c>
      <c r="G4048">
        <v>0.76727444342228102</v>
      </c>
      <c r="H4048">
        <v>0.56453762006610197</v>
      </c>
      <c r="I4048">
        <v>0.51738413387948501</v>
      </c>
      <c r="J4048">
        <v>0.46015081812948999</v>
      </c>
      <c r="K4048">
        <v>0.32180628702962699</v>
      </c>
      <c r="L4048">
        <v>867.90127564741897</v>
      </c>
      <c r="M4048">
        <v>14.558230494655501</v>
      </c>
      <c r="N4048">
        <v>63.551615023774502</v>
      </c>
      <c r="O4048">
        <v>58.524857583532302</v>
      </c>
      <c r="P4048">
        <v>-4.3720895902445399E-2</v>
      </c>
      <c r="Q4048">
        <v>0.29703840700663497</v>
      </c>
      <c r="R4048">
        <v>0.95378454178289096</v>
      </c>
      <c r="S4048" t="s">
        <v>8788</v>
      </c>
      <c r="T4048" t="s">
        <v>9478</v>
      </c>
      <c r="U4048" t="s">
        <v>9478</v>
      </c>
      <c r="V4048" t="s">
        <v>9478</v>
      </c>
      <c r="W4048">
        <v>27</v>
      </c>
      <c r="X4048" t="s">
        <v>13526</v>
      </c>
      <c r="Y4048">
        <v>0.76232215599439479</v>
      </c>
      <c r="Z4048" t="str">
        <f>HYPERLINK("Melting_Curves/meltCurve_tr_B7Z3I9_B7Z3I9_HUMAN_.pdf", "Melting_Curves/meltCurve_tr_B7Z3I9_B7Z3I9_HUMAN_.pdf")</f>
        <v>Melting_Curves/meltCurve_tr_B7Z3I9_B7Z3I9_HUMAN_.pdf</v>
      </c>
      <c r="AA4048" t="s">
        <v>18204</v>
      </c>
      <c r="AB4048" t="s">
        <v>22877</v>
      </c>
    </row>
    <row r="4049" spans="1:28" x14ac:dyDescent="0.25">
      <c r="A4049" t="s">
        <v>4053</v>
      </c>
      <c r="B4049">
        <v>0.99904790336628502</v>
      </c>
      <c r="C4049">
        <v>1.01081956593487</v>
      </c>
      <c r="D4049">
        <v>0.968169695414831</v>
      </c>
      <c r="E4049">
        <v>0.917228464964011</v>
      </c>
      <c r="F4049">
        <v>0.89985696889629996</v>
      </c>
      <c r="G4049">
        <v>0.78087901965208195</v>
      </c>
      <c r="H4049">
        <v>0.64264084611046401</v>
      </c>
      <c r="I4049">
        <v>0.59496202672437504</v>
      </c>
      <c r="J4049">
        <v>0.60325126196873702</v>
      </c>
      <c r="K4049">
        <v>0.56564110916474697</v>
      </c>
      <c r="L4049">
        <v>833.842622757806</v>
      </c>
      <c r="M4049">
        <v>14.6665401755695</v>
      </c>
      <c r="O4049">
        <v>55.827825533808898</v>
      </c>
      <c r="P4049">
        <v>-3.0397435609804301E-2</v>
      </c>
      <c r="Q4049">
        <v>0.53722268466487699</v>
      </c>
      <c r="R4049">
        <v>0.98973132975994005</v>
      </c>
      <c r="S4049" t="s">
        <v>8789</v>
      </c>
      <c r="T4049" t="s">
        <v>9478</v>
      </c>
      <c r="U4049" t="s">
        <v>9478</v>
      </c>
      <c r="V4049" t="s">
        <v>9478</v>
      </c>
      <c r="W4049">
        <v>7</v>
      </c>
      <c r="X4049" t="s">
        <v>13527</v>
      </c>
      <c r="Y4049">
        <v>0.80476523546173295</v>
      </c>
      <c r="Z4049" t="str">
        <f>HYPERLINK("Melting_Curves/meltCurve_tr_B7Z4K6_B7Z4K6_HUMAN_.pdf", "Melting_Curves/meltCurve_tr_B7Z4K6_B7Z4K6_HUMAN_.pdf")</f>
        <v>Melting_Curves/meltCurve_tr_B7Z4K6_B7Z4K6_HUMAN_.pdf</v>
      </c>
      <c r="AA4049" t="s">
        <v>18205</v>
      </c>
      <c r="AB4049" t="s">
        <v>22878</v>
      </c>
    </row>
    <row r="4050" spans="1:28" x14ac:dyDescent="0.25">
      <c r="A4050" t="s">
        <v>4054</v>
      </c>
      <c r="B4050">
        <v>0.99904790336628502</v>
      </c>
      <c r="C4050">
        <v>1.0961411969422401</v>
      </c>
      <c r="D4050">
        <v>1.08930855036028</v>
      </c>
      <c r="E4050">
        <v>0.947778456265567</v>
      </c>
      <c r="F4050">
        <v>0.89428198705330497</v>
      </c>
      <c r="G4050">
        <v>0.44815562829650801</v>
      </c>
      <c r="H4050">
        <v>0.37476243247227697</v>
      </c>
      <c r="I4050">
        <v>0.44661906574691401</v>
      </c>
      <c r="J4050">
        <v>0.63129046747427597</v>
      </c>
      <c r="K4050">
        <v>0.53992128095635095</v>
      </c>
      <c r="L4050">
        <v>13321.3328564558</v>
      </c>
      <c r="M4050">
        <v>250</v>
      </c>
      <c r="N4050">
        <v>54.095081818628003</v>
      </c>
      <c r="O4050">
        <v>53.281921523473798</v>
      </c>
      <c r="P4050">
        <v>-0.60040326289455004</v>
      </c>
      <c r="Q4050">
        <v>0.48814976807634303</v>
      </c>
      <c r="R4050">
        <v>0.919756689225532</v>
      </c>
      <c r="S4050" t="s">
        <v>8790</v>
      </c>
      <c r="T4050" t="s">
        <v>9478</v>
      </c>
      <c r="U4050" t="s">
        <v>9478</v>
      </c>
      <c r="V4050" t="s">
        <v>9478</v>
      </c>
      <c r="W4050">
        <v>3</v>
      </c>
      <c r="X4050" t="s">
        <v>13528</v>
      </c>
      <c r="Y4050">
        <v>0.71486763276326992</v>
      </c>
      <c r="Z4050" t="str">
        <f>HYPERLINK("Melting_Curves/meltCurve_tr_B7Z4M2_B7Z4M2_HUMAN_.pdf", "Melting_Curves/meltCurve_tr_B7Z4M2_B7Z4M2_HUMAN_.pdf")</f>
        <v>Melting_Curves/meltCurve_tr_B7Z4M2_B7Z4M2_HUMAN_.pdf</v>
      </c>
      <c r="AA4050" t="s">
        <v>18206</v>
      </c>
      <c r="AB4050" t="s">
        <v>22879</v>
      </c>
    </row>
    <row r="4051" spans="1:28" x14ac:dyDescent="0.25">
      <c r="A4051" t="s">
        <v>4055</v>
      </c>
      <c r="B4051">
        <v>0.99904790336628502</v>
      </c>
      <c r="C4051">
        <v>0.83010262679248004</v>
      </c>
      <c r="D4051">
        <v>0.78294925981776797</v>
      </c>
      <c r="E4051">
        <v>0.79205517619240795</v>
      </c>
      <c r="F4051">
        <v>0.80818179481706298</v>
      </c>
      <c r="G4051">
        <v>0.67256516951059897</v>
      </c>
      <c r="H4051">
        <v>0.61599276086520904</v>
      </c>
      <c r="I4051">
        <v>0.47926702382742098</v>
      </c>
      <c r="J4051">
        <v>0.64277097440381004</v>
      </c>
      <c r="K4051">
        <v>0.65510492836736101</v>
      </c>
      <c r="L4051">
        <v>355.05393773329803</v>
      </c>
      <c r="M4051">
        <v>7.1190564961579099</v>
      </c>
      <c r="O4051">
        <v>46.387653759566597</v>
      </c>
      <c r="P4051">
        <v>-1.7732175084475301E-2</v>
      </c>
      <c r="Q4051">
        <v>0.53863377771529697</v>
      </c>
      <c r="R4051">
        <v>0.76342593769876299</v>
      </c>
      <c r="S4051" t="s">
        <v>8791</v>
      </c>
      <c r="T4051" t="s">
        <v>9478</v>
      </c>
      <c r="U4051" t="s">
        <v>9478</v>
      </c>
      <c r="V4051" t="s">
        <v>9478</v>
      </c>
      <c r="W4051">
        <v>1</v>
      </c>
      <c r="X4051" t="s">
        <v>13529</v>
      </c>
      <c r="Y4051">
        <v>0.72207624077926447</v>
      </c>
      <c r="Z4051" t="str">
        <f>HYPERLINK("Melting_Curves/meltCurve_tr_B7Z4R0_B7Z4R0_HUMAN_.pdf", "Melting_Curves/meltCurve_tr_B7Z4R0_B7Z4R0_HUMAN_.pdf")</f>
        <v>Melting_Curves/meltCurve_tr_B7Z4R0_B7Z4R0_HUMAN_.pdf</v>
      </c>
      <c r="AA4051" t="s">
        <v>18207</v>
      </c>
      <c r="AB4051" t="s">
        <v>22880</v>
      </c>
    </row>
    <row r="4052" spans="1:28" x14ac:dyDescent="0.25">
      <c r="A4052" t="s">
        <v>4056</v>
      </c>
      <c r="B4052">
        <v>0.99904790336628502</v>
      </c>
      <c r="C4052">
        <v>3.1398450243598099</v>
      </c>
      <c r="D4052">
        <v>2.97540469196568</v>
      </c>
      <c r="E4052">
        <v>2.7685603488239301</v>
      </c>
      <c r="F4052">
        <v>2.6808076725537502</v>
      </c>
      <c r="G4052">
        <v>1.4946834295896301</v>
      </c>
      <c r="H4052">
        <v>0.428456237514734</v>
      </c>
      <c r="I4052">
        <v>0.29803034669733902</v>
      </c>
      <c r="J4052">
        <v>0.126483982838165</v>
      </c>
      <c r="K4052">
        <v>0.11241463507058</v>
      </c>
      <c r="L4052">
        <v>9118.9178308478695</v>
      </c>
      <c r="M4052">
        <v>150.316456902977</v>
      </c>
      <c r="N4052">
        <v>60.843899420038802</v>
      </c>
      <c r="O4052">
        <v>60.6540523545181</v>
      </c>
      <c r="P4052">
        <v>-0.50880136174836998</v>
      </c>
      <c r="Q4052">
        <v>0.178776013315703</v>
      </c>
      <c r="R4052">
        <v>-1.2038549616472299E-2</v>
      </c>
      <c r="S4052" t="s">
        <v>8792</v>
      </c>
      <c r="T4052" t="s">
        <v>9478</v>
      </c>
      <c r="U4052" t="s">
        <v>9478</v>
      </c>
      <c r="V4052" t="s">
        <v>9478</v>
      </c>
      <c r="W4052">
        <v>2</v>
      </c>
      <c r="X4052" t="s">
        <v>13530</v>
      </c>
      <c r="Y4052">
        <v>0.74469894162488326</v>
      </c>
      <c r="Z4052" t="str">
        <f>HYPERLINK("Melting_Curves/meltCurve_tr_B7Z583_B7Z583_HUMAN_.pdf", "Melting_Curves/meltCurve_tr_B7Z583_B7Z583_HUMAN_.pdf")</f>
        <v>Melting_Curves/meltCurve_tr_B7Z583_B7Z583_HUMAN_.pdf</v>
      </c>
      <c r="AA4052" t="s">
        <v>18208</v>
      </c>
      <c r="AB4052" t="s">
        <v>22881</v>
      </c>
    </row>
    <row r="4053" spans="1:28" x14ac:dyDescent="0.25">
      <c r="A4053" t="s">
        <v>4057</v>
      </c>
      <c r="B4053">
        <v>0.99904790336628502</v>
      </c>
      <c r="C4053">
        <v>1.0451250220289301</v>
      </c>
      <c r="D4053">
        <v>0.92471430252130404</v>
      </c>
      <c r="E4053">
        <v>0.71216168942844005</v>
      </c>
      <c r="F4053">
        <v>0.31984878087784602</v>
      </c>
      <c r="G4053">
        <v>0.148066212662784</v>
      </c>
      <c r="H4053">
        <v>9.9173474443914306E-2</v>
      </c>
      <c r="I4053">
        <v>9.7376050420022106E-2</v>
      </c>
      <c r="J4053">
        <v>8.3595792134866398E-2</v>
      </c>
      <c r="K4053">
        <v>6.58691290872781E-2</v>
      </c>
      <c r="L4053">
        <v>1457.13896091623</v>
      </c>
      <c r="M4053">
        <v>28.453980608414302</v>
      </c>
      <c r="N4053">
        <v>51.5458651248804</v>
      </c>
      <c r="O4053">
        <v>50.959430534151302</v>
      </c>
      <c r="P4053">
        <v>-0.127792810833677</v>
      </c>
      <c r="Q4053">
        <v>8.4529290356597994E-2</v>
      </c>
      <c r="R4053">
        <v>0.99660864266401294</v>
      </c>
      <c r="S4053" t="s">
        <v>8793</v>
      </c>
      <c r="T4053" t="s">
        <v>9478</v>
      </c>
      <c r="U4053" t="s">
        <v>9478</v>
      </c>
      <c r="V4053" t="s">
        <v>9478</v>
      </c>
      <c r="W4053">
        <v>4</v>
      </c>
      <c r="X4053" t="s">
        <v>13531</v>
      </c>
      <c r="Y4053">
        <v>0.43304032933811121</v>
      </c>
      <c r="Z4053" t="str">
        <f>HYPERLINK("Melting_Curves/meltCurve_tr_B7Z5N6_B7Z5N6_HUMAN_.pdf", "Melting_Curves/meltCurve_tr_B7Z5N6_B7Z5N6_HUMAN_.pdf")</f>
        <v>Melting_Curves/meltCurve_tr_B7Z5N6_B7Z5N6_HUMAN_.pdf</v>
      </c>
      <c r="AA4053" t="s">
        <v>18209</v>
      </c>
      <c r="AB4053" t="s">
        <v>22882</v>
      </c>
    </row>
    <row r="4054" spans="1:28" x14ac:dyDescent="0.25">
      <c r="A4054" t="s">
        <v>4058</v>
      </c>
      <c r="B4054">
        <v>0.99904790336628502</v>
      </c>
      <c r="C4054">
        <v>1.11501458757433</v>
      </c>
      <c r="D4054">
        <v>1.02833537476235</v>
      </c>
      <c r="E4054">
        <v>0.71865875833250703</v>
      </c>
      <c r="F4054">
        <v>0.36547547168972599</v>
      </c>
      <c r="G4054">
        <v>0.17228254851975799</v>
      </c>
      <c r="H4054">
        <v>4.1588267912466198E-2</v>
      </c>
      <c r="I4054">
        <v>2.8377393381230302E-2</v>
      </c>
      <c r="J4054">
        <v>2.2450165275130302E-2</v>
      </c>
      <c r="K4054">
        <v>1.52178658263574E-2</v>
      </c>
      <c r="L4054">
        <v>1342.08431173758</v>
      </c>
      <c r="M4054">
        <v>25.874225224792902</v>
      </c>
      <c r="N4054">
        <v>51.989812220579701</v>
      </c>
      <c r="O4054">
        <v>51.562679186026003</v>
      </c>
      <c r="P4054">
        <v>-0.12180756239938401</v>
      </c>
      <c r="Q4054">
        <v>2.90489792700214E-2</v>
      </c>
      <c r="R4054">
        <v>0.98851669162821998</v>
      </c>
      <c r="S4054" t="s">
        <v>8794</v>
      </c>
      <c r="T4054" t="s">
        <v>9478</v>
      </c>
      <c r="U4054" t="s">
        <v>9478</v>
      </c>
      <c r="V4054" t="s">
        <v>9478</v>
      </c>
      <c r="W4054">
        <v>4</v>
      </c>
      <c r="X4054" t="s">
        <v>13532</v>
      </c>
      <c r="Y4054">
        <v>0.42148935893472272</v>
      </c>
      <c r="Z4054" t="str">
        <f>HYPERLINK("Melting_Curves/meltCurve_tr_B7Z637_B7Z637_HUMAN_.pdf", "Melting_Curves/meltCurve_tr_B7Z637_B7Z637_HUMAN_.pdf")</f>
        <v>Melting_Curves/meltCurve_tr_B7Z637_B7Z637_HUMAN_.pdf</v>
      </c>
      <c r="AA4054" t="s">
        <v>18210</v>
      </c>
      <c r="AB4054" t="s">
        <v>22883</v>
      </c>
    </row>
    <row r="4055" spans="1:28" x14ac:dyDescent="0.25">
      <c r="A4055" t="s">
        <v>4059</v>
      </c>
      <c r="B4055">
        <v>0.99904790336628502</v>
      </c>
      <c r="C4055">
        <v>0.99638559283032302</v>
      </c>
      <c r="D4055">
        <v>0.99162565719057105</v>
      </c>
      <c r="E4055">
        <v>0.746153584433631</v>
      </c>
      <c r="F4055">
        <v>0.406313606945296</v>
      </c>
      <c r="G4055">
        <v>0.14021043770566699</v>
      </c>
      <c r="H4055">
        <v>6.0238334237546202E-2</v>
      </c>
      <c r="I4055">
        <v>3.78194416490314E-2</v>
      </c>
      <c r="J4055">
        <v>2.79387433577712E-2</v>
      </c>
      <c r="K4055">
        <v>2.0130512802846501E-2</v>
      </c>
      <c r="L4055">
        <v>1309.8202850610401</v>
      </c>
      <c r="M4055">
        <v>25.1400022465413</v>
      </c>
      <c r="N4055">
        <v>52.223144774491701</v>
      </c>
      <c r="O4055">
        <v>51.774752606453703</v>
      </c>
      <c r="P4055">
        <v>-0.117927948800927</v>
      </c>
      <c r="Q4055">
        <v>2.8542981437183E-2</v>
      </c>
      <c r="R4055">
        <v>0.99944689128534403</v>
      </c>
      <c r="S4055" t="s">
        <v>8795</v>
      </c>
      <c r="T4055" t="s">
        <v>9478</v>
      </c>
      <c r="U4055" t="s">
        <v>9478</v>
      </c>
      <c r="V4055" t="s">
        <v>9478</v>
      </c>
      <c r="W4055">
        <v>25</v>
      </c>
      <c r="X4055" t="s">
        <v>13533</v>
      </c>
      <c r="Y4055">
        <v>0.42918003568704322</v>
      </c>
      <c r="Z4055" t="str">
        <f>HYPERLINK("Melting_Curves/meltCurve_tr_B7Z6B8_B7Z6B8_HUMAN_.pdf", "Melting_Curves/meltCurve_tr_B7Z6B8_B7Z6B8_HUMAN_.pdf")</f>
        <v>Melting_Curves/meltCurve_tr_B7Z6B8_B7Z6B8_HUMAN_.pdf</v>
      </c>
      <c r="AA4055" t="s">
        <v>18211</v>
      </c>
      <c r="AB4055" t="s">
        <v>22884</v>
      </c>
    </row>
    <row r="4056" spans="1:28" x14ac:dyDescent="0.25">
      <c r="A4056" t="s">
        <v>4060</v>
      </c>
      <c r="B4056">
        <v>0.99904790336628502</v>
      </c>
      <c r="C4056">
        <v>1.0646661381127001</v>
      </c>
      <c r="D4056">
        <v>0.97166171336183205</v>
      </c>
      <c r="E4056">
        <v>0.95471745036328404</v>
      </c>
      <c r="F4056">
        <v>0.96399655290939701</v>
      </c>
      <c r="G4056">
        <v>0.82322704732562701</v>
      </c>
      <c r="H4056">
        <v>0.59472724532550603</v>
      </c>
      <c r="I4056">
        <v>0.34983495943947102</v>
      </c>
      <c r="J4056">
        <v>0.17354672026364601</v>
      </c>
      <c r="K4056">
        <v>0.13225450714951301</v>
      </c>
      <c r="L4056">
        <v>1176.63528280935</v>
      </c>
      <c r="M4056">
        <v>19.028632129596399</v>
      </c>
      <c r="N4056">
        <v>61.941664287854302</v>
      </c>
      <c r="O4056">
        <v>61.164214404476603</v>
      </c>
      <c r="P4056">
        <v>-7.6526144443883296E-2</v>
      </c>
      <c r="Q4056">
        <v>1.6119287650532901E-2</v>
      </c>
      <c r="R4056">
        <v>0.99322338836443802</v>
      </c>
      <c r="S4056" t="s">
        <v>8796</v>
      </c>
      <c r="T4056" t="s">
        <v>9478</v>
      </c>
      <c r="U4056" t="s">
        <v>9478</v>
      </c>
      <c r="V4056" t="s">
        <v>9478</v>
      </c>
      <c r="W4056">
        <v>5</v>
      </c>
      <c r="X4056" t="s">
        <v>13534</v>
      </c>
      <c r="Y4056">
        <v>0.73519351364444507</v>
      </c>
      <c r="Z4056" t="str">
        <f>HYPERLINK("Melting_Curves/meltCurve_tr_B7Z729_B7Z729_HUMAN_.pdf", "Melting_Curves/meltCurve_tr_B7Z729_B7Z729_HUMAN_.pdf")</f>
        <v>Melting_Curves/meltCurve_tr_B7Z729_B7Z729_HUMAN_.pdf</v>
      </c>
      <c r="AA4056" t="s">
        <v>18212</v>
      </c>
      <c r="AB4056" t="s">
        <v>22885</v>
      </c>
    </row>
    <row r="4057" spans="1:28" x14ac:dyDescent="0.25">
      <c r="A4057" t="s">
        <v>4061</v>
      </c>
      <c r="B4057">
        <v>0.99904790336628502</v>
      </c>
      <c r="C4057">
        <v>1.03771712114584</v>
      </c>
      <c r="D4057">
        <v>1.0071622685861501</v>
      </c>
      <c r="E4057">
        <v>0.99021590768860202</v>
      </c>
      <c r="F4057">
        <v>0.83697360074218496</v>
      </c>
      <c r="G4057">
        <v>0.71228466185610795</v>
      </c>
      <c r="H4057">
        <v>0.59723156756256401</v>
      </c>
      <c r="I4057">
        <v>0.52173270606350697</v>
      </c>
      <c r="J4057">
        <v>0.54178736352924295</v>
      </c>
      <c r="K4057">
        <v>0.44133163149079802</v>
      </c>
      <c r="L4057">
        <v>955.14628517519998</v>
      </c>
      <c r="M4057">
        <v>16.869636763765399</v>
      </c>
      <c r="N4057">
        <v>66.743160049533998</v>
      </c>
      <c r="O4057">
        <v>55.841594418812903</v>
      </c>
      <c r="P4057">
        <v>-4.0687371637947799E-2</v>
      </c>
      <c r="Q4057">
        <v>0.46130364431536097</v>
      </c>
      <c r="R4057">
        <v>0.98232711470039402</v>
      </c>
      <c r="S4057" t="s">
        <v>8797</v>
      </c>
      <c r="T4057" t="s">
        <v>9478</v>
      </c>
      <c r="U4057" t="s">
        <v>9478</v>
      </c>
      <c r="V4057" t="s">
        <v>9478</v>
      </c>
      <c r="W4057">
        <v>11</v>
      </c>
      <c r="X4057" t="s">
        <v>13535</v>
      </c>
      <c r="Y4057">
        <v>0.76785729199104391</v>
      </c>
      <c r="Z4057" t="str">
        <f>HYPERLINK("Melting_Curves/meltCurve_tr_B7Z7F3_B7Z7F3_HUMAN_.pdf", "Melting_Curves/meltCurve_tr_B7Z7F3_B7Z7F3_HUMAN_.pdf")</f>
        <v>Melting_Curves/meltCurve_tr_B7Z7F3_B7Z7F3_HUMAN_.pdf</v>
      </c>
      <c r="AA4057" t="s">
        <v>18213</v>
      </c>
      <c r="AB4057" t="s">
        <v>22886</v>
      </c>
    </row>
    <row r="4058" spans="1:28" x14ac:dyDescent="0.25">
      <c r="A4058" t="s">
        <v>4062</v>
      </c>
      <c r="B4058">
        <v>0.99904790336628502</v>
      </c>
      <c r="C4058">
        <v>1.0172448919544299</v>
      </c>
      <c r="D4058">
        <v>0.94477653629625502</v>
      </c>
      <c r="E4058">
        <v>0.85380189750765101</v>
      </c>
      <c r="F4058">
        <v>0.71489696586284102</v>
      </c>
      <c r="G4058">
        <v>0.493537586726435</v>
      </c>
      <c r="H4058">
        <v>0.28073690480979002</v>
      </c>
      <c r="I4058">
        <v>0.13766625777686201</v>
      </c>
      <c r="J4058">
        <v>4.92205850550856E-2</v>
      </c>
      <c r="K4058">
        <v>3.6946051117241502E-2</v>
      </c>
      <c r="L4058">
        <v>832.31079491869798</v>
      </c>
      <c r="M4058">
        <v>14.7246149336644</v>
      </c>
      <c r="N4058">
        <v>56.525113800823497</v>
      </c>
      <c r="O4058">
        <v>55.513271934619802</v>
      </c>
      <c r="P4058">
        <v>-6.6318440647004595E-2</v>
      </c>
      <c r="Q4058">
        <v>0</v>
      </c>
      <c r="R4058">
        <v>0.99636518888390702</v>
      </c>
      <c r="S4058" t="s">
        <v>8798</v>
      </c>
      <c r="T4058" t="s">
        <v>9478</v>
      </c>
      <c r="U4058" t="s">
        <v>9478</v>
      </c>
      <c r="V4058" t="s">
        <v>9478</v>
      </c>
      <c r="W4058">
        <v>13</v>
      </c>
      <c r="X4058" t="s">
        <v>13536</v>
      </c>
      <c r="Y4058">
        <v>0.56783972225517998</v>
      </c>
      <c r="Z4058" t="str">
        <f>HYPERLINK("Melting_Curves/meltCurve_tr_B7Z7F9_B7Z7F9_HUMAN_.pdf", "Melting_Curves/meltCurve_tr_B7Z7F9_B7Z7F9_HUMAN_.pdf")</f>
        <v>Melting_Curves/meltCurve_tr_B7Z7F9_B7Z7F9_HUMAN_.pdf</v>
      </c>
      <c r="AA4058" t="s">
        <v>18214</v>
      </c>
      <c r="AB4058" t="s">
        <v>22887</v>
      </c>
    </row>
    <row r="4059" spans="1:28" x14ac:dyDescent="0.25">
      <c r="A4059" t="s">
        <v>4063</v>
      </c>
      <c r="B4059">
        <v>0.99904790336628502</v>
      </c>
      <c r="C4059">
        <v>1.0999451037199299</v>
      </c>
      <c r="D4059">
        <v>1.09867808415176</v>
      </c>
      <c r="E4059">
        <v>0.63012376672846404</v>
      </c>
      <c r="F4059">
        <v>0.33268433246845203</v>
      </c>
      <c r="G4059">
        <v>0.12902954260805199</v>
      </c>
      <c r="H4059">
        <v>6.6484318437841194E-2</v>
      </c>
      <c r="I4059">
        <v>4.5739862532400997E-2</v>
      </c>
      <c r="J4059">
        <v>2.17161305036206E-2</v>
      </c>
      <c r="K4059">
        <v>2.5030114565831901E-2</v>
      </c>
      <c r="L4059">
        <v>1469.28111450804</v>
      </c>
      <c r="M4059">
        <v>28.6876305812516</v>
      </c>
      <c r="N4059">
        <v>51.387799753955498</v>
      </c>
      <c r="O4059">
        <v>50.9696038777059</v>
      </c>
      <c r="P4059">
        <v>-0.13429637545022499</v>
      </c>
      <c r="Q4059">
        <v>4.5584511753562103E-2</v>
      </c>
      <c r="R4059">
        <v>0.98248868696456204</v>
      </c>
      <c r="S4059" t="s">
        <v>8799</v>
      </c>
      <c r="T4059" t="s">
        <v>9478</v>
      </c>
      <c r="U4059" t="s">
        <v>9478</v>
      </c>
      <c r="V4059" t="s">
        <v>9478</v>
      </c>
      <c r="W4059">
        <v>2</v>
      </c>
      <c r="X4059" t="s">
        <v>13537</v>
      </c>
      <c r="Y4059">
        <v>0.409010114748798</v>
      </c>
      <c r="Z4059" t="str">
        <f>HYPERLINK("Melting_Curves/meltCurve_tr_B7Z7X8_B7Z7X8_HUMAN_.pdf", "Melting_Curves/meltCurve_tr_B7Z7X8_B7Z7X8_HUMAN_.pdf")</f>
        <v>Melting_Curves/meltCurve_tr_B7Z7X8_B7Z7X8_HUMAN_.pdf</v>
      </c>
      <c r="AA4059" t="s">
        <v>18215</v>
      </c>
      <c r="AB4059" t="s">
        <v>22888</v>
      </c>
    </row>
    <row r="4060" spans="1:28" x14ac:dyDescent="0.25">
      <c r="A4060" t="s">
        <v>4064</v>
      </c>
      <c r="B4060">
        <v>0.99904790336628502</v>
      </c>
      <c r="C4060">
        <v>0.961309901256994</v>
      </c>
      <c r="D4060">
        <v>0.94400635416931</v>
      </c>
      <c r="E4060">
        <v>0.51483246858362297</v>
      </c>
      <c r="F4060">
        <v>0.25126639889496399</v>
      </c>
      <c r="G4060">
        <v>0.12210537363596199</v>
      </c>
      <c r="H4060">
        <v>8.0360203574541406E-2</v>
      </c>
      <c r="I4060">
        <v>5.7886848799744497E-2</v>
      </c>
      <c r="J4060">
        <v>5.6405529352066698E-2</v>
      </c>
      <c r="K4060">
        <v>4.6068696624857901E-2</v>
      </c>
      <c r="L4060">
        <v>1284.85135202621</v>
      </c>
      <c r="M4060">
        <v>25.681728964478499</v>
      </c>
      <c r="N4060">
        <v>50.288322697756399</v>
      </c>
      <c r="O4060">
        <v>49.729398264574897</v>
      </c>
      <c r="P4060">
        <v>-0.12112433817141199</v>
      </c>
      <c r="Q4060">
        <v>6.18438973282028E-2</v>
      </c>
      <c r="R4060">
        <v>0.99794398539363605</v>
      </c>
      <c r="S4060" t="s">
        <v>8800</v>
      </c>
      <c r="T4060" t="s">
        <v>9478</v>
      </c>
      <c r="U4060" t="s">
        <v>9478</v>
      </c>
      <c r="V4060" t="s">
        <v>9478</v>
      </c>
      <c r="W4060">
        <v>23</v>
      </c>
      <c r="X4060" t="s">
        <v>13538</v>
      </c>
      <c r="Y4060">
        <v>0.38343972697623052</v>
      </c>
      <c r="Z4060" t="str">
        <f>HYPERLINK("Melting_Curves/meltCurve_tr_B7Z815_B7Z815_HUMAN_.pdf", "Melting_Curves/meltCurve_tr_B7Z815_B7Z815_HUMAN_.pdf")</f>
        <v>Melting_Curves/meltCurve_tr_B7Z815_B7Z815_HUMAN_.pdf</v>
      </c>
      <c r="AA4060" t="s">
        <v>18216</v>
      </c>
      <c r="AB4060" t="s">
        <v>22889</v>
      </c>
    </row>
    <row r="4061" spans="1:28" x14ac:dyDescent="0.25">
      <c r="A4061" t="s">
        <v>4065</v>
      </c>
      <c r="B4061">
        <v>0.99904790336628502</v>
      </c>
      <c r="C4061">
        <v>1.06471825930271</v>
      </c>
      <c r="D4061">
        <v>0.90788102724608</v>
      </c>
      <c r="E4061">
        <v>0.86664129545653901</v>
      </c>
      <c r="F4061">
        <v>0.65941159671781902</v>
      </c>
      <c r="G4061">
        <v>0.50181455104976902</v>
      </c>
      <c r="H4061">
        <v>0.50512361897251401</v>
      </c>
      <c r="I4061">
        <v>0.45860414194047999</v>
      </c>
      <c r="J4061">
        <v>0.55591661291919303</v>
      </c>
      <c r="K4061">
        <v>0.53338050003881698</v>
      </c>
      <c r="L4061">
        <v>1510.6414716141501</v>
      </c>
      <c r="M4061">
        <v>29.345810263848499</v>
      </c>
      <c r="O4061">
        <v>51.239977897447901</v>
      </c>
      <c r="P4061">
        <v>-7.0803893741176793E-2</v>
      </c>
      <c r="Q4061">
        <v>0.50548795654158696</v>
      </c>
      <c r="R4061">
        <v>0.96415465406255496</v>
      </c>
      <c r="S4061" t="s">
        <v>8801</v>
      </c>
      <c r="T4061" t="s">
        <v>9478</v>
      </c>
      <c r="U4061" t="s">
        <v>9478</v>
      </c>
      <c r="V4061" t="s">
        <v>9478</v>
      </c>
      <c r="W4061">
        <v>2</v>
      </c>
      <c r="X4061" t="s">
        <v>13539</v>
      </c>
      <c r="Y4061">
        <v>0.69794995564232598</v>
      </c>
      <c r="Z4061" t="str">
        <f>HYPERLINK("Melting_Curves/meltCurve_tr_B7Z848_B7Z848_HUMAN_.pdf", "Melting_Curves/meltCurve_tr_B7Z848_B7Z848_HUMAN_.pdf")</f>
        <v>Melting_Curves/meltCurve_tr_B7Z848_B7Z848_HUMAN_.pdf</v>
      </c>
      <c r="AA4061" t="s">
        <v>18217</v>
      </c>
      <c r="AB4061" t="s">
        <v>22890</v>
      </c>
    </row>
    <row r="4062" spans="1:28" x14ac:dyDescent="0.25">
      <c r="A4062" t="s">
        <v>4066</v>
      </c>
      <c r="B4062">
        <v>0.99904790336628502</v>
      </c>
      <c r="C4062">
        <v>0.95413832111068198</v>
      </c>
      <c r="D4062">
        <v>0.88898878614957899</v>
      </c>
      <c r="E4062">
        <v>0.51014965405656998</v>
      </c>
      <c r="F4062">
        <v>0.32595963857151899</v>
      </c>
      <c r="G4062">
        <v>0.19383628444363499</v>
      </c>
      <c r="H4062">
        <v>9.7099995061771499E-2</v>
      </c>
      <c r="I4062">
        <v>0.107724205934279</v>
      </c>
      <c r="J4062">
        <v>5.1348437917063901E-2</v>
      </c>
      <c r="K4062">
        <v>4.2191531939707899E-2</v>
      </c>
      <c r="L4062">
        <v>912.350552386142</v>
      </c>
      <c r="M4062">
        <v>18.1785865475983</v>
      </c>
      <c r="N4062">
        <v>50.562537783557801</v>
      </c>
      <c r="O4062">
        <v>49.592668779814502</v>
      </c>
      <c r="P4062">
        <v>-8.5873881519529696E-2</v>
      </c>
      <c r="Q4062">
        <v>6.2960309671322198E-2</v>
      </c>
      <c r="R4062">
        <v>0.99558695135891895</v>
      </c>
      <c r="S4062" t="s">
        <v>8802</v>
      </c>
      <c r="T4062" t="s">
        <v>9478</v>
      </c>
      <c r="U4062" t="s">
        <v>9478</v>
      </c>
      <c r="V4062" t="s">
        <v>9478</v>
      </c>
      <c r="W4062">
        <v>2</v>
      </c>
      <c r="X4062" t="s">
        <v>13540</v>
      </c>
      <c r="Y4062">
        <v>0.39683298653998472</v>
      </c>
      <c r="Z4062" t="str">
        <f>HYPERLINK("Melting_Curves/meltCurve_tr_B7Z8K9_B7Z8K9_HUMAN_.pdf", "Melting_Curves/meltCurve_tr_B7Z8K9_B7Z8K9_HUMAN_.pdf")</f>
        <v>Melting_Curves/meltCurve_tr_B7Z8K9_B7Z8K9_HUMAN_.pdf</v>
      </c>
      <c r="AA4062" t="s">
        <v>18218</v>
      </c>
      <c r="AB4062" t="s">
        <v>22891</v>
      </c>
    </row>
    <row r="4063" spans="1:28" x14ac:dyDescent="0.25">
      <c r="A4063" t="s">
        <v>4067</v>
      </c>
      <c r="B4063">
        <v>0.99904790336628502</v>
      </c>
      <c r="C4063">
        <v>0.808212534062275</v>
      </c>
      <c r="D4063">
        <v>0.82330576572089398</v>
      </c>
      <c r="E4063">
        <v>0.752017609512866</v>
      </c>
      <c r="F4063">
        <v>0.45173951795335099</v>
      </c>
      <c r="G4063">
        <v>0.174113764360601</v>
      </c>
      <c r="H4063">
        <v>9.4866403232858595E-2</v>
      </c>
      <c r="I4063">
        <v>5.5879727118360902E-2</v>
      </c>
      <c r="J4063">
        <v>3.4881914735379001E-2</v>
      </c>
      <c r="K4063">
        <v>3.0156006213925501E-2</v>
      </c>
      <c r="L4063">
        <v>759.90301015194495</v>
      </c>
      <c r="M4063">
        <v>14.5525798632984</v>
      </c>
      <c r="N4063">
        <v>52.217776877484098</v>
      </c>
      <c r="O4063">
        <v>51.261445016051297</v>
      </c>
      <c r="P4063">
        <v>-7.0980424206100901E-2</v>
      </c>
      <c r="Q4063">
        <v>0</v>
      </c>
      <c r="R4063">
        <v>0.97179430335431705</v>
      </c>
      <c r="S4063" t="s">
        <v>8803</v>
      </c>
      <c r="T4063" t="s">
        <v>9478</v>
      </c>
      <c r="U4063" t="s">
        <v>9478</v>
      </c>
      <c r="V4063" t="s">
        <v>9478</v>
      </c>
      <c r="W4063">
        <v>21</v>
      </c>
      <c r="X4063" t="s">
        <v>13541</v>
      </c>
      <c r="Y4063">
        <v>0.4304618075528015</v>
      </c>
      <c r="Z4063" t="str">
        <f>HYPERLINK("Melting_Curves/meltCurve_tr_B7Z8V7_B7Z8V7_HUMAN_.pdf", "Melting_Curves/meltCurve_tr_B7Z8V7_B7Z8V7_HUMAN_.pdf")</f>
        <v>Melting_Curves/meltCurve_tr_B7Z8V7_B7Z8V7_HUMAN_.pdf</v>
      </c>
      <c r="AA4063" t="s">
        <v>18219</v>
      </c>
      <c r="AB4063" t="s">
        <v>22892</v>
      </c>
    </row>
    <row r="4064" spans="1:28" x14ac:dyDescent="0.25">
      <c r="A4064" t="s">
        <v>4068</v>
      </c>
      <c r="B4064">
        <v>0.99904790336628502</v>
      </c>
      <c r="C4064">
        <v>1.1464861142512399</v>
      </c>
      <c r="D4064">
        <v>0.83076936386411904</v>
      </c>
      <c r="E4064">
        <v>0.53426730651596099</v>
      </c>
      <c r="F4064">
        <v>0.42582771153507898</v>
      </c>
      <c r="G4064">
        <v>0.27364680376804101</v>
      </c>
      <c r="H4064">
        <v>0.21722249160430701</v>
      </c>
      <c r="I4064">
        <v>0.22409035591445201</v>
      </c>
      <c r="J4064">
        <v>0.21460012526955699</v>
      </c>
      <c r="K4064">
        <v>0.21544525288679001</v>
      </c>
      <c r="L4064">
        <v>1064.31036160391</v>
      </c>
      <c r="M4064">
        <v>21.495338308408801</v>
      </c>
      <c r="N4064">
        <v>50.886239483391897</v>
      </c>
      <c r="O4064">
        <v>49.090964857083002</v>
      </c>
      <c r="P4064">
        <v>-8.5385142570632705E-2</v>
      </c>
      <c r="Q4064">
        <v>0.220009838064088</v>
      </c>
      <c r="R4064">
        <v>0.96823197209011502</v>
      </c>
      <c r="S4064" t="s">
        <v>8804</v>
      </c>
      <c r="T4064" t="s">
        <v>9478</v>
      </c>
      <c r="U4064" t="s">
        <v>9478</v>
      </c>
      <c r="V4064" t="s">
        <v>9478</v>
      </c>
      <c r="W4064">
        <v>1</v>
      </c>
      <c r="X4064" t="s">
        <v>13542</v>
      </c>
      <c r="Y4064">
        <v>0.47678021576909407</v>
      </c>
      <c r="Z4064" t="str">
        <f>HYPERLINK("Melting_Curves/meltCurve_tr_B7Z9S8_B7Z9S8_HUMAN_.pdf", "Melting_Curves/meltCurve_tr_B7Z9S8_B7Z9S8_HUMAN_.pdf")</f>
        <v>Melting_Curves/meltCurve_tr_B7Z9S8_B7Z9S8_HUMAN_.pdf</v>
      </c>
      <c r="AA4064" t="s">
        <v>18220</v>
      </c>
      <c r="AB4064" t="s">
        <v>22893</v>
      </c>
    </row>
    <row r="4065" spans="1:28" x14ac:dyDescent="0.25">
      <c r="A4065" t="s">
        <v>4069</v>
      </c>
      <c r="B4065">
        <v>0.99904790336628502</v>
      </c>
      <c r="C4065">
        <v>0.99692291081118201</v>
      </c>
      <c r="D4065">
        <v>0.93042612404999003</v>
      </c>
      <c r="E4065">
        <v>0.76193460510002398</v>
      </c>
      <c r="F4065">
        <v>0.63251628113565905</v>
      </c>
      <c r="G4065">
        <v>0.32952401222213701</v>
      </c>
      <c r="H4065">
        <v>1.81192425673499E-2</v>
      </c>
      <c r="I4065">
        <v>4.0676299329454997E-2</v>
      </c>
      <c r="J4065">
        <v>0</v>
      </c>
      <c r="K4065">
        <v>2.2246387577566199E-2</v>
      </c>
      <c r="L4065">
        <v>1002.05156696625</v>
      </c>
      <c r="M4065">
        <v>18.529629181537601</v>
      </c>
      <c r="N4065">
        <v>54.078339114171897</v>
      </c>
      <c r="O4065">
        <v>53.460290713902403</v>
      </c>
      <c r="P4065">
        <v>-8.6655180510616298E-2</v>
      </c>
      <c r="Q4065">
        <v>0</v>
      </c>
      <c r="R4065">
        <v>0.98967055536762505</v>
      </c>
      <c r="S4065" t="s">
        <v>8805</v>
      </c>
      <c r="T4065" t="s">
        <v>9478</v>
      </c>
      <c r="U4065" t="s">
        <v>9478</v>
      </c>
      <c r="V4065" t="s">
        <v>9478</v>
      </c>
      <c r="W4065">
        <v>1</v>
      </c>
      <c r="X4065" t="s">
        <v>13543</v>
      </c>
      <c r="Y4065">
        <v>0.48456628040050348</v>
      </c>
      <c r="Z4065" t="str">
        <f>HYPERLINK("Melting_Curves/meltCurve_tr_B7ZA47_B7ZA47_HUMAN_.pdf", "Melting_Curves/meltCurve_tr_B7ZA47_B7ZA47_HUMAN_.pdf")</f>
        <v>Melting_Curves/meltCurve_tr_B7ZA47_B7ZA47_HUMAN_.pdf</v>
      </c>
      <c r="AA4065" t="s">
        <v>18221</v>
      </c>
      <c r="AB4065" t="s">
        <v>22894</v>
      </c>
    </row>
    <row r="4066" spans="1:28" x14ac:dyDescent="0.25">
      <c r="A4066" t="s">
        <v>4070</v>
      </c>
      <c r="B4066">
        <v>0.99904790336628502</v>
      </c>
      <c r="C4066">
        <v>1.03088097887351</v>
      </c>
      <c r="D4066">
        <v>1.0106047463961201</v>
      </c>
      <c r="E4066">
        <v>0.94617444469896295</v>
      </c>
      <c r="F4066">
        <v>0.89663093226160295</v>
      </c>
      <c r="G4066">
        <v>0.33450730942222801</v>
      </c>
      <c r="H4066">
        <v>6.2301775256296502E-2</v>
      </c>
      <c r="I4066">
        <v>4.7626640211768601E-2</v>
      </c>
      <c r="J4066">
        <v>2.7978558648188601E-2</v>
      </c>
      <c r="K4066">
        <v>2.1793777230121301E-2</v>
      </c>
      <c r="L4066">
        <v>2116.0923378515199</v>
      </c>
      <c r="M4066">
        <v>37.890598186164802</v>
      </c>
      <c r="N4066">
        <v>55.931767338632497</v>
      </c>
      <c r="O4066">
        <v>55.692549642484799</v>
      </c>
      <c r="P4066">
        <v>-0.16536571868285499</v>
      </c>
      <c r="Q4066">
        <v>2.77678555417591E-2</v>
      </c>
      <c r="R4066">
        <v>0.99842831249239405</v>
      </c>
      <c r="S4066" t="s">
        <v>8806</v>
      </c>
      <c r="T4066" t="s">
        <v>9478</v>
      </c>
      <c r="U4066" t="s">
        <v>9478</v>
      </c>
      <c r="V4066" t="s">
        <v>9478</v>
      </c>
      <c r="W4066">
        <v>14</v>
      </c>
      <c r="X4066" t="s">
        <v>13544</v>
      </c>
      <c r="Y4066">
        <v>0.54549725629035328</v>
      </c>
      <c r="Z4066" t="str">
        <f>HYPERLINK("Melting_Curves/meltCurve_tr_B7ZAX5_B7ZAX5_HUMAN_.pdf", "Melting_Curves/meltCurve_tr_B7ZAX5_B7ZAX5_HUMAN_.pdf")</f>
        <v>Melting_Curves/meltCurve_tr_B7ZAX5_B7ZAX5_HUMAN_.pdf</v>
      </c>
      <c r="AA4066" t="s">
        <v>18222</v>
      </c>
      <c r="AB4066" t="s">
        <v>22895</v>
      </c>
    </row>
    <row r="4067" spans="1:28" x14ac:dyDescent="0.25">
      <c r="A4067" t="s">
        <v>4071</v>
      </c>
      <c r="B4067">
        <v>0.99904790336628502</v>
      </c>
      <c r="C4067">
        <v>1.1358893875756599</v>
      </c>
      <c r="D4067">
        <v>1.0096865555415599</v>
      </c>
      <c r="E4067">
        <v>0.92747480441209795</v>
      </c>
      <c r="F4067">
        <v>0.63004602688048195</v>
      </c>
      <c r="G4067">
        <v>0.31351045516049603</v>
      </c>
      <c r="H4067">
        <v>0.195269104466331</v>
      </c>
      <c r="I4067">
        <v>0.12403834442200599</v>
      </c>
      <c r="J4067">
        <v>9.9430261234015604E-2</v>
      </c>
      <c r="K4067">
        <v>0.105396814783347</v>
      </c>
      <c r="L4067">
        <v>1340.1813952708601</v>
      </c>
      <c r="M4067">
        <v>24.803450854178401</v>
      </c>
      <c r="N4067">
        <v>54.586625234805098</v>
      </c>
      <c r="O4067">
        <v>53.684506927653203</v>
      </c>
      <c r="P4067">
        <v>-0.10264276027559301</v>
      </c>
      <c r="Q4067">
        <v>0.111373732163696</v>
      </c>
      <c r="R4067">
        <v>0.98612179269242295</v>
      </c>
      <c r="S4067" t="s">
        <v>8807</v>
      </c>
      <c r="T4067" t="s">
        <v>9478</v>
      </c>
      <c r="U4067" t="s">
        <v>9478</v>
      </c>
      <c r="V4067" t="s">
        <v>9478</v>
      </c>
      <c r="W4067">
        <v>1</v>
      </c>
      <c r="X4067" t="s">
        <v>13545</v>
      </c>
      <c r="Y4067">
        <v>0.5353579972916086</v>
      </c>
      <c r="Z4067" t="str">
        <f>HYPERLINK("Melting_Curves/meltCurve_tr_B7ZBQ3_B7ZBQ3_HUMAN_.pdf", "Melting_Curves/meltCurve_tr_B7ZBQ3_B7ZBQ3_HUMAN_.pdf")</f>
        <v>Melting_Curves/meltCurve_tr_B7ZBQ3_B7ZBQ3_HUMAN_.pdf</v>
      </c>
      <c r="AA4067" t="s">
        <v>18223</v>
      </c>
      <c r="AB4067" t="s">
        <v>22896</v>
      </c>
    </row>
    <row r="4068" spans="1:28" x14ac:dyDescent="0.25">
      <c r="A4068" t="s">
        <v>4072</v>
      </c>
      <c r="B4068">
        <v>0.99904790336628502</v>
      </c>
      <c r="C4068">
        <v>1.0533866233901299</v>
      </c>
      <c r="D4068">
        <v>1.05328791299827</v>
      </c>
      <c r="E4068">
        <v>0.81504480618893804</v>
      </c>
      <c r="F4068">
        <v>0.38057783056532901</v>
      </c>
      <c r="G4068">
        <v>0.220754350391695</v>
      </c>
      <c r="H4068">
        <v>0.15157380432706999</v>
      </c>
      <c r="I4068">
        <v>0.14911605855989299</v>
      </c>
      <c r="J4068">
        <v>8.7657699430790506E-2</v>
      </c>
      <c r="K4068">
        <v>7.86512675180467E-2</v>
      </c>
      <c r="L4068">
        <v>1829.78041522183</v>
      </c>
      <c r="M4068">
        <v>35.316875199997</v>
      </c>
      <c r="N4068">
        <v>52.243937268790603</v>
      </c>
      <c r="O4068">
        <v>51.645099416404697</v>
      </c>
      <c r="P4068">
        <v>-0.14924323490604199</v>
      </c>
      <c r="Q4068">
        <v>0.12702860224636001</v>
      </c>
      <c r="R4068">
        <v>0.99047873601088199</v>
      </c>
      <c r="S4068" t="s">
        <v>8808</v>
      </c>
      <c r="T4068" t="s">
        <v>9478</v>
      </c>
      <c r="U4068" t="s">
        <v>9478</v>
      </c>
      <c r="V4068" t="s">
        <v>9478</v>
      </c>
      <c r="W4068">
        <v>5</v>
      </c>
      <c r="X4068" t="s">
        <v>13546</v>
      </c>
      <c r="Y4068">
        <v>0.47471289861247512</v>
      </c>
      <c r="Z4068" t="str">
        <f>HYPERLINK("Melting_Curves/meltCurve_tr_B7ZC39_B7ZC39_HUMAN_.pdf", "Melting_Curves/meltCurve_tr_B7ZC39_B7ZC39_HUMAN_.pdf")</f>
        <v>Melting_Curves/meltCurve_tr_B7ZC39_B7ZC39_HUMAN_.pdf</v>
      </c>
      <c r="AA4068" t="s">
        <v>18224</v>
      </c>
      <c r="AB4068" t="s">
        <v>22897</v>
      </c>
    </row>
    <row r="4069" spans="1:28" x14ac:dyDescent="0.25">
      <c r="A4069" t="s">
        <v>4073</v>
      </c>
      <c r="B4069">
        <v>0.99904790336628502</v>
      </c>
      <c r="C4069">
        <v>0.99453148336633401</v>
      </c>
      <c r="D4069">
        <v>0.98633710690093701</v>
      </c>
      <c r="E4069">
        <v>0.63088219648267996</v>
      </c>
      <c r="F4069">
        <v>0.33098458809417503</v>
      </c>
      <c r="G4069">
        <v>0.124185860103097</v>
      </c>
      <c r="H4069">
        <v>9.1654871416091202E-2</v>
      </c>
      <c r="I4069">
        <v>4.8575472894594997E-2</v>
      </c>
      <c r="J4069">
        <v>4.55946458680897E-2</v>
      </c>
      <c r="K4069">
        <v>3.3793388932869303E-2</v>
      </c>
      <c r="L4069">
        <v>1282.21081811147</v>
      </c>
      <c r="M4069">
        <v>25.100268336069401</v>
      </c>
      <c r="N4069">
        <v>51.301340570094901</v>
      </c>
      <c r="O4069">
        <v>50.762613312359299</v>
      </c>
      <c r="P4069">
        <v>-0.11737062891894399</v>
      </c>
      <c r="Q4069">
        <v>5.0534301438399598E-2</v>
      </c>
      <c r="R4069">
        <v>0.997953309893858</v>
      </c>
      <c r="S4069" t="s">
        <v>8809</v>
      </c>
      <c r="T4069" t="s">
        <v>9478</v>
      </c>
      <c r="U4069" t="s">
        <v>9478</v>
      </c>
      <c r="V4069" t="s">
        <v>9478</v>
      </c>
      <c r="W4069">
        <v>8</v>
      </c>
      <c r="X4069" t="s">
        <v>13547</v>
      </c>
      <c r="Y4069">
        <v>0.40983398652401198</v>
      </c>
      <c r="Z4069" t="str">
        <f>HYPERLINK("Melting_Curves/meltCurve_tr_B7ZKK9_B7ZKK9_HUMAN_.pdf", "Melting_Curves/meltCurve_tr_B7ZKK9_B7ZKK9_HUMAN_.pdf")</f>
        <v>Melting_Curves/meltCurve_tr_B7ZKK9_B7ZKK9_HUMAN_.pdf</v>
      </c>
      <c r="AA4069" t="s">
        <v>18225</v>
      </c>
      <c r="AB4069" t="s">
        <v>22898</v>
      </c>
    </row>
    <row r="4070" spans="1:28" x14ac:dyDescent="0.25">
      <c r="A4070" t="s">
        <v>4074</v>
      </c>
      <c r="B4070">
        <v>0.99904790336628502</v>
      </c>
      <c r="C4070">
        <v>0.94461991516099997</v>
      </c>
      <c r="D4070">
        <v>0.75894060723471202</v>
      </c>
      <c r="E4070">
        <v>0.76178656950363999</v>
      </c>
      <c r="F4070">
        <v>0.41558624563656299</v>
      </c>
      <c r="G4070">
        <v>0.43602274320170398</v>
      </c>
      <c r="H4070">
        <v>0.151687554320317</v>
      </c>
      <c r="I4070">
        <v>8.9337603373792804E-2</v>
      </c>
      <c r="J4070">
        <v>0.112043470602483</v>
      </c>
      <c r="K4070">
        <v>0</v>
      </c>
      <c r="L4070">
        <v>597.59934540068502</v>
      </c>
      <c r="M4070">
        <v>11.245022325416</v>
      </c>
      <c r="N4070">
        <v>53.143453918707998</v>
      </c>
      <c r="O4070">
        <v>51.545945190669698</v>
      </c>
      <c r="P4070">
        <v>-5.4555731778762002E-2</v>
      </c>
      <c r="Q4070">
        <v>0</v>
      </c>
      <c r="R4070">
        <v>0.96272047227324897</v>
      </c>
      <c r="S4070" t="s">
        <v>8810</v>
      </c>
      <c r="T4070" t="s">
        <v>9478</v>
      </c>
      <c r="U4070" t="s">
        <v>9478</v>
      </c>
      <c r="V4070" t="s">
        <v>9478</v>
      </c>
      <c r="W4070">
        <v>1</v>
      </c>
      <c r="X4070" t="s">
        <v>13548</v>
      </c>
      <c r="Y4070">
        <v>0.46825309453215019</v>
      </c>
      <c r="Z4070" t="str">
        <f>HYPERLINK("Melting_Curves/meltCurve_tr_B7ZLZ2_B7ZLZ2_HUMAN_.pdf", "Melting_Curves/meltCurve_tr_B7ZLZ2_B7ZLZ2_HUMAN_.pdf")</f>
        <v>Melting_Curves/meltCurve_tr_B7ZLZ2_B7ZLZ2_HUMAN_.pdf</v>
      </c>
      <c r="AA4070" t="s">
        <v>18226</v>
      </c>
      <c r="AB4070" t="s">
        <v>22899</v>
      </c>
    </row>
    <row r="4071" spans="1:28" x14ac:dyDescent="0.25">
      <c r="A4071" t="s">
        <v>4075</v>
      </c>
      <c r="B4071">
        <v>0.99904790336628502</v>
      </c>
      <c r="C4071">
        <v>0.940896760988019</v>
      </c>
      <c r="D4071">
        <v>0.81650798471216002</v>
      </c>
      <c r="E4071">
        <v>0.497587292848851</v>
      </c>
      <c r="F4071">
        <v>0.31654947696728702</v>
      </c>
      <c r="G4071">
        <v>0.18726489107397301</v>
      </c>
      <c r="H4071">
        <v>0.13018049400317599</v>
      </c>
      <c r="I4071">
        <v>0.103351275696428</v>
      </c>
      <c r="J4071">
        <v>8.25644210386728E-2</v>
      </c>
      <c r="K4071">
        <v>8.97916789319671E-2</v>
      </c>
      <c r="L4071">
        <v>846.53984837723499</v>
      </c>
      <c r="M4071">
        <v>17.071529778409602</v>
      </c>
      <c r="N4071">
        <v>50.137736743531697</v>
      </c>
      <c r="O4071">
        <v>48.922376674704601</v>
      </c>
      <c r="P4071">
        <v>-7.9794354840499904E-2</v>
      </c>
      <c r="Q4071">
        <v>8.5379441988789107E-2</v>
      </c>
      <c r="R4071">
        <v>0.999318593982643</v>
      </c>
      <c r="S4071" t="s">
        <v>8811</v>
      </c>
      <c r="T4071" t="s">
        <v>9478</v>
      </c>
      <c r="U4071" t="s">
        <v>9478</v>
      </c>
      <c r="V4071" t="s">
        <v>9478</v>
      </c>
      <c r="W4071">
        <v>6</v>
      </c>
      <c r="X4071" t="s">
        <v>13549</v>
      </c>
      <c r="Y4071">
        <v>0.3950558981846361</v>
      </c>
      <c r="Z4071" t="str">
        <f>HYPERLINK("Melting_Curves/meltCurve_tr_B7ZM37_B7ZM37_HUMAN_.pdf", "Melting_Curves/meltCurve_tr_B7ZM37_B7ZM37_HUMAN_.pdf")</f>
        <v>Melting_Curves/meltCurve_tr_B7ZM37_B7ZM37_HUMAN_.pdf</v>
      </c>
      <c r="AA4071" t="s">
        <v>18227</v>
      </c>
      <c r="AB4071" t="s">
        <v>22900</v>
      </c>
    </row>
    <row r="4072" spans="1:28" x14ac:dyDescent="0.25">
      <c r="A4072" t="s">
        <v>4076</v>
      </c>
      <c r="B4072">
        <v>0.99904790336628502</v>
      </c>
      <c r="C4072">
        <v>0.93606731098709395</v>
      </c>
      <c r="D4072">
        <v>0.92358429031321598</v>
      </c>
      <c r="E4072">
        <v>0.865089451829954</v>
      </c>
      <c r="F4072">
        <v>0.84499011603802299</v>
      </c>
      <c r="G4072">
        <v>0.62613962401619006</v>
      </c>
      <c r="H4072">
        <v>0.46673206922313998</v>
      </c>
      <c r="I4072">
        <v>0.437263987632801</v>
      </c>
      <c r="J4072">
        <v>0.52213905360017399</v>
      </c>
      <c r="K4072">
        <v>0.56940117307462301</v>
      </c>
      <c r="L4072">
        <v>1070.8407557006601</v>
      </c>
      <c r="M4072">
        <v>19.848301009170299</v>
      </c>
      <c r="N4072">
        <v>65.406535567501194</v>
      </c>
      <c r="O4072">
        <v>53.412551634421398</v>
      </c>
      <c r="P4072">
        <v>-4.7888492557012899E-2</v>
      </c>
      <c r="Q4072">
        <v>0.48453803700746001</v>
      </c>
      <c r="R4072">
        <v>0.93081093776451096</v>
      </c>
      <c r="S4072" t="s">
        <v>8812</v>
      </c>
      <c r="T4072" t="s">
        <v>9478</v>
      </c>
      <c r="U4072" t="s">
        <v>9478</v>
      </c>
      <c r="V4072" t="s">
        <v>9478</v>
      </c>
      <c r="W4072">
        <v>4</v>
      </c>
      <c r="X4072" t="s">
        <v>13550</v>
      </c>
      <c r="Y4072">
        <v>0.73134707535077081</v>
      </c>
      <c r="Z4072" t="str">
        <f>HYPERLINK("Melting_Curves/meltCurve_tr_B7ZM82_B7ZM82_HUMAN_.pdf", "Melting_Curves/meltCurve_tr_B7ZM82_B7ZM82_HUMAN_.pdf")</f>
        <v>Melting_Curves/meltCurve_tr_B7ZM82_B7ZM82_HUMAN_.pdf</v>
      </c>
      <c r="AA4072" t="s">
        <v>18228</v>
      </c>
      <c r="AB4072" t="s">
        <v>22901</v>
      </c>
    </row>
    <row r="4073" spans="1:28" x14ac:dyDescent="0.25">
      <c r="A4073" t="s">
        <v>4077</v>
      </c>
      <c r="B4073">
        <v>0.99904790336628502</v>
      </c>
      <c r="C4073">
        <v>0.94446344084739398</v>
      </c>
      <c r="D4073">
        <v>0.908699495089339</v>
      </c>
      <c r="E4073">
        <v>0.83493064387632798</v>
      </c>
      <c r="F4073">
        <v>0.60876249975452101</v>
      </c>
      <c r="G4073">
        <v>0.42142619514639501</v>
      </c>
      <c r="H4073">
        <v>0.42340067184084701</v>
      </c>
      <c r="I4073">
        <v>0.32416920277171601</v>
      </c>
      <c r="J4073">
        <v>0.33204304898781301</v>
      </c>
      <c r="K4073">
        <v>0.21373278804116999</v>
      </c>
      <c r="L4073">
        <v>707.03368740349902</v>
      </c>
      <c r="M4073">
        <v>13.2479844479136</v>
      </c>
      <c r="N4073">
        <v>56.194297515716599</v>
      </c>
      <c r="O4073">
        <v>52.1971185506601</v>
      </c>
      <c r="P4073">
        <v>-4.80326092070084E-2</v>
      </c>
      <c r="Q4073">
        <v>0.24312979825476699</v>
      </c>
      <c r="R4073">
        <v>0.97956127555245798</v>
      </c>
      <c r="S4073" t="s">
        <v>8813</v>
      </c>
      <c r="T4073" t="s">
        <v>9478</v>
      </c>
      <c r="U4073" t="s">
        <v>9478</v>
      </c>
      <c r="V4073" t="s">
        <v>9478</v>
      </c>
      <c r="W4073">
        <v>4</v>
      </c>
      <c r="X4073" t="s">
        <v>13551</v>
      </c>
      <c r="Y4073">
        <v>0.59915407561565748</v>
      </c>
      <c r="Z4073" t="str">
        <f>HYPERLINK("Melting_Curves/meltCurve_tr_B8ZZC8_B8ZZC8_HUMAN_.pdf", "Melting_Curves/meltCurve_tr_B8ZZC8_B8ZZC8_HUMAN_.pdf")</f>
        <v>Melting_Curves/meltCurve_tr_B8ZZC8_B8ZZC8_HUMAN_.pdf</v>
      </c>
      <c r="AA4073" t="s">
        <v>18229</v>
      </c>
      <c r="AB4073" t="s">
        <v>22902</v>
      </c>
    </row>
    <row r="4074" spans="1:28" x14ac:dyDescent="0.25">
      <c r="A4074" t="s">
        <v>4078</v>
      </c>
      <c r="B4074">
        <v>0.99904790336628502</v>
      </c>
      <c r="C4074">
        <v>0.89966952067046702</v>
      </c>
      <c r="D4074">
        <v>0.86650009003879103</v>
      </c>
      <c r="E4074">
        <v>0.80335607644283102</v>
      </c>
      <c r="F4074">
        <v>0.61953855649908895</v>
      </c>
      <c r="G4074">
        <v>0.452971449047671</v>
      </c>
      <c r="H4074">
        <v>0.34605396037511199</v>
      </c>
      <c r="I4074">
        <v>0.259806337087437</v>
      </c>
      <c r="J4074">
        <v>0.32278812817830599</v>
      </c>
      <c r="K4074">
        <v>0.33250389524705798</v>
      </c>
      <c r="L4074">
        <v>688.17726887713502</v>
      </c>
      <c r="M4074">
        <v>13.066120034032901</v>
      </c>
      <c r="N4074">
        <v>55.757700341404998</v>
      </c>
      <c r="O4074">
        <v>51.480935401506798</v>
      </c>
      <c r="P4074">
        <v>-4.7117155487753103E-2</v>
      </c>
      <c r="Q4074">
        <v>0.25755613517240999</v>
      </c>
      <c r="R4074">
        <v>0.97841209503506799</v>
      </c>
      <c r="S4074" t="s">
        <v>8814</v>
      </c>
      <c r="T4074" t="s">
        <v>9478</v>
      </c>
      <c r="U4074" t="s">
        <v>9478</v>
      </c>
      <c r="V4074" t="s">
        <v>9478</v>
      </c>
      <c r="W4074">
        <v>1</v>
      </c>
      <c r="X4074" t="s">
        <v>13552</v>
      </c>
      <c r="Y4074">
        <v>0.59061651588888209</v>
      </c>
      <c r="Z4074" t="str">
        <f>HYPERLINK("Melting_Curves/meltCurve_tr_B8ZZF3_B8ZZF3_HUMAN_.pdf", "Melting_Curves/meltCurve_tr_B8ZZF3_B8ZZF3_HUMAN_.pdf")</f>
        <v>Melting_Curves/meltCurve_tr_B8ZZF3_B8ZZF3_HUMAN_.pdf</v>
      </c>
      <c r="AB4074" t="s">
        <v>22851</v>
      </c>
    </row>
    <row r="4075" spans="1:28" x14ac:dyDescent="0.25">
      <c r="A4075" t="s">
        <v>4079</v>
      </c>
      <c r="B4075">
        <v>0.99904790336628502</v>
      </c>
      <c r="C4075">
        <v>0.92660340348692605</v>
      </c>
      <c r="D4075">
        <v>0.90181056135304105</v>
      </c>
      <c r="E4075">
        <v>0.79899411438797496</v>
      </c>
      <c r="F4075">
        <v>0.92109232728280999</v>
      </c>
      <c r="G4075">
        <v>0.74500060785129196</v>
      </c>
      <c r="H4075">
        <v>0.57196168931698899</v>
      </c>
      <c r="I4075">
        <v>0.477975080123687</v>
      </c>
      <c r="J4075">
        <v>0.52433761118139899</v>
      </c>
      <c r="K4075">
        <v>0.68514761432920301</v>
      </c>
      <c r="L4075">
        <v>575.01487441733104</v>
      </c>
      <c r="M4075">
        <v>10.504911499385001</v>
      </c>
      <c r="O4075">
        <v>52.8657210822184</v>
      </c>
      <c r="P4075">
        <v>-2.46201727081416E-2</v>
      </c>
      <c r="Q4075">
        <v>0.50459773790261797</v>
      </c>
      <c r="R4075">
        <v>0.79524064243985004</v>
      </c>
      <c r="S4075" t="s">
        <v>8815</v>
      </c>
      <c r="T4075" t="s">
        <v>9478</v>
      </c>
      <c r="U4075" t="s">
        <v>9478</v>
      </c>
      <c r="V4075" t="s">
        <v>9478</v>
      </c>
      <c r="W4075">
        <v>1</v>
      </c>
      <c r="X4075" t="s">
        <v>13553</v>
      </c>
      <c r="Y4075">
        <v>0.76103432508052649</v>
      </c>
      <c r="Z4075" t="str">
        <f>HYPERLINK("Melting_Curves/meltCurve_tr_B8ZZF5_B8ZZF5_HUMAN_.pdf", "Melting_Curves/meltCurve_tr_B8ZZF5_B8ZZF5_HUMAN_.pdf")</f>
        <v>Melting_Curves/meltCurve_tr_B8ZZF5_B8ZZF5_HUMAN_.pdf</v>
      </c>
      <c r="AA4075" t="s">
        <v>18230</v>
      </c>
      <c r="AB4075" t="s">
        <v>22903</v>
      </c>
    </row>
    <row r="4076" spans="1:28" x14ac:dyDescent="0.25">
      <c r="A4076" t="s">
        <v>4080</v>
      </c>
      <c r="B4076">
        <v>0.99904790336628502</v>
      </c>
      <c r="C4076">
        <v>0.99724429123290803</v>
      </c>
      <c r="D4076">
        <v>0.77265107586362003</v>
      </c>
      <c r="E4076">
        <v>0.43143018422461399</v>
      </c>
      <c r="F4076">
        <v>0.248238326547605</v>
      </c>
      <c r="G4076">
        <v>0.18069893735738499</v>
      </c>
      <c r="H4076">
        <v>0.107835064764117</v>
      </c>
      <c r="I4076">
        <v>6.7226485337959593E-2</v>
      </c>
      <c r="J4076">
        <v>7.6245775578149794E-2</v>
      </c>
      <c r="K4076">
        <v>6.2494714294098697E-2</v>
      </c>
      <c r="L4076">
        <v>945.97612230483503</v>
      </c>
      <c r="M4076">
        <v>19.341507649644001</v>
      </c>
      <c r="N4076">
        <v>49.3446138942383</v>
      </c>
      <c r="O4076">
        <v>48.395296087633298</v>
      </c>
      <c r="P4076">
        <v>-9.2078100702460905E-2</v>
      </c>
      <c r="Q4076">
        <v>7.8462535308921E-2</v>
      </c>
      <c r="R4076">
        <v>0.99500946478286201</v>
      </c>
      <c r="S4076" t="s">
        <v>8816</v>
      </c>
      <c r="T4076" t="s">
        <v>9478</v>
      </c>
      <c r="U4076" t="s">
        <v>9478</v>
      </c>
      <c r="V4076" t="s">
        <v>9478</v>
      </c>
      <c r="W4076">
        <v>10</v>
      </c>
      <c r="X4076" t="s">
        <v>13554</v>
      </c>
      <c r="Y4076">
        <v>0.36596343865708658</v>
      </c>
      <c r="Z4076" t="str">
        <f>HYPERLINK("Melting_Curves/meltCurve_tr_B8ZZG1_B8ZZG1_HUMAN_.pdf", "Melting_Curves/meltCurve_tr_B8ZZG1_B8ZZG1_HUMAN_.pdf")</f>
        <v>Melting_Curves/meltCurve_tr_B8ZZG1_B8ZZG1_HUMAN_.pdf</v>
      </c>
      <c r="AA4076" t="s">
        <v>18231</v>
      </c>
      <c r="AB4076" t="s">
        <v>22904</v>
      </c>
    </row>
    <row r="4077" spans="1:28" x14ac:dyDescent="0.25">
      <c r="A4077" t="s">
        <v>4081</v>
      </c>
      <c r="B4077">
        <v>0.99904790336628502</v>
      </c>
      <c r="C4077">
        <v>0.95070126005531497</v>
      </c>
      <c r="D4077">
        <v>0.99461030785962901</v>
      </c>
      <c r="E4077">
        <v>0.79076117099630105</v>
      </c>
      <c r="F4077">
        <v>0.67260604714936501</v>
      </c>
      <c r="G4077">
        <v>0.46076113744902403</v>
      </c>
      <c r="H4077">
        <v>0.29828360380486901</v>
      </c>
      <c r="I4077">
        <v>0.229995985061765</v>
      </c>
      <c r="J4077">
        <v>0.214938503178463</v>
      </c>
      <c r="K4077">
        <v>0.15453371395662599</v>
      </c>
      <c r="L4077">
        <v>754.14237111370096</v>
      </c>
      <c r="M4077">
        <v>13.739675444201101</v>
      </c>
      <c r="N4077">
        <v>56.080249174815201</v>
      </c>
      <c r="O4077">
        <v>53.764411869814303</v>
      </c>
      <c r="P4077">
        <v>-5.5804288958411399E-2</v>
      </c>
      <c r="Q4077">
        <v>0.126658718365464</v>
      </c>
      <c r="R4077">
        <v>0.99508211078022901</v>
      </c>
      <c r="S4077" t="s">
        <v>8817</v>
      </c>
      <c r="T4077" t="s">
        <v>9478</v>
      </c>
      <c r="U4077" t="s">
        <v>9478</v>
      </c>
      <c r="V4077" t="s">
        <v>9478</v>
      </c>
      <c r="W4077">
        <v>1</v>
      </c>
      <c r="X4077" t="s">
        <v>13555</v>
      </c>
      <c r="Y4077">
        <v>0.57861846308450438</v>
      </c>
      <c r="Z4077" t="str">
        <f>HYPERLINK("Melting_Curves/meltCurve_tr_B8ZZK4_B8ZZK4_HUMAN_.pdf", "Melting_Curves/meltCurve_tr_B8ZZK4_B8ZZK4_HUMAN_.pdf")</f>
        <v>Melting_Curves/meltCurve_tr_B8ZZK4_B8ZZK4_HUMAN_.pdf</v>
      </c>
      <c r="AA4077" t="s">
        <v>18232</v>
      </c>
      <c r="AB4077" t="s">
        <v>22905</v>
      </c>
    </row>
    <row r="4078" spans="1:28" x14ac:dyDescent="0.25">
      <c r="A4078" t="s">
        <v>4082</v>
      </c>
      <c r="B4078">
        <v>0.99904790336628502</v>
      </c>
      <c r="C4078">
        <v>1.33742848309338</v>
      </c>
      <c r="D4078">
        <v>1.1812272519177001</v>
      </c>
      <c r="E4078">
        <v>1.1807681529528899</v>
      </c>
      <c r="F4078">
        <v>1.6784979860700699</v>
      </c>
      <c r="G4078">
        <v>1.25566307150176</v>
      </c>
      <c r="H4078">
        <v>1.3101873482805999</v>
      </c>
      <c r="I4078">
        <v>1.48831435817557</v>
      </c>
      <c r="J4078">
        <v>1.75094439089779</v>
      </c>
      <c r="K4078">
        <v>1.95258809693839</v>
      </c>
      <c r="L4078">
        <v>541.86920485616599</v>
      </c>
      <c r="M4078">
        <v>11.830292408962</v>
      </c>
      <c r="O4078">
        <v>44.553593430624403</v>
      </c>
      <c r="P4078">
        <v>3.3199654810906198E-2</v>
      </c>
      <c r="Q4078">
        <v>1.5</v>
      </c>
      <c r="R4078">
        <v>0.38143348689131501</v>
      </c>
      <c r="S4078" t="s">
        <v>8818</v>
      </c>
      <c r="T4078" t="s">
        <v>9478</v>
      </c>
      <c r="U4078" t="s">
        <v>9478</v>
      </c>
      <c r="V4078" t="s">
        <v>9478</v>
      </c>
      <c r="W4078">
        <v>9</v>
      </c>
      <c r="X4078" t="s">
        <v>13556</v>
      </c>
      <c r="Y4078">
        <v>1.379507933955487</v>
      </c>
      <c r="Z4078" t="str">
        <f>HYPERLINK("Melting_Curves/meltCurve_tr_B8ZZQ6_B8ZZQ6_HUMAN_.pdf", "Melting_Curves/meltCurve_tr_B8ZZQ6_B8ZZQ6_HUMAN_.pdf")</f>
        <v>Melting_Curves/meltCurve_tr_B8ZZQ6_B8ZZQ6_HUMAN_.pdf</v>
      </c>
      <c r="AA4078" t="s">
        <v>18233</v>
      </c>
      <c r="AB4078" t="s">
        <v>22906</v>
      </c>
    </row>
    <row r="4079" spans="1:28" x14ac:dyDescent="0.25">
      <c r="A4079" t="s">
        <v>4083</v>
      </c>
      <c r="B4079">
        <v>0.99904790336628502</v>
      </c>
      <c r="C4079">
        <v>0.928928652210677</v>
      </c>
      <c r="D4079">
        <v>1.0267611327099999</v>
      </c>
      <c r="E4079">
        <v>1.0408010346107399</v>
      </c>
      <c r="F4079">
        <v>0.78479890190968005</v>
      </c>
      <c r="G4079">
        <v>0.37149130199506702</v>
      </c>
      <c r="H4079">
        <v>0.33205100514192398</v>
      </c>
      <c r="I4079">
        <v>0.198350405086507</v>
      </c>
      <c r="J4079">
        <v>0.194597154255153</v>
      </c>
      <c r="K4079">
        <v>0.17372650587026101</v>
      </c>
      <c r="L4079">
        <v>1778.81576093015</v>
      </c>
      <c r="M4079">
        <v>32.461506175413199</v>
      </c>
      <c r="N4079">
        <v>55.739924311041598</v>
      </c>
      <c r="O4079">
        <v>54.590992318080701</v>
      </c>
      <c r="P4079">
        <v>-0.11726802068488799</v>
      </c>
      <c r="Q4079">
        <v>0.21115833151469199</v>
      </c>
      <c r="R4079">
        <v>0.98262224455339597</v>
      </c>
      <c r="S4079" t="s">
        <v>8819</v>
      </c>
      <c r="T4079" t="s">
        <v>9478</v>
      </c>
      <c r="U4079" t="s">
        <v>9478</v>
      </c>
      <c r="V4079" t="s">
        <v>9478</v>
      </c>
      <c r="W4079">
        <v>1</v>
      </c>
      <c r="X4079" t="s">
        <v>13557</v>
      </c>
      <c r="Y4079">
        <v>0.60475071586871776</v>
      </c>
      <c r="Z4079" t="str">
        <f>HYPERLINK("Melting_Curves/meltCurve_tr_B8ZZS4_B8ZZS4_HUMAN_.pdf", "Melting_Curves/meltCurve_tr_B8ZZS4_B8ZZS4_HUMAN_.pdf")</f>
        <v>Melting_Curves/meltCurve_tr_B8ZZS4_B8ZZS4_HUMAN_.pdf</v>
      </c>
      <c r="AA4079" t="s">
        <v>18234</v>
      </c>
      <c r="AB4079" t="s">
        <v>22907</v>
      </c>
    </row>
    <row r="4080" spans="1:28" x14ac:dyDescent="0.25">
      <c r="A4080" t="s">
        <v>4084</v>
      </c>
      <c r="B4080">
        <v>0.99904790336628502</v>
      </c>
      <c r="C4080">
        <v>1.1315352626770401</v>
      </c>
      <c r="D4080">
        <v>1.0289068780950501</v>
      </c>
      <c r="E4080">
        <v>0.92187567567681805</v>
      </c>
      <c r="F4080">
        <v>0.91320399466112701</v>
      </c>
      <c r="G4080">
        <v>0.75673285120263201</v>
      </c>
      <c r="H4080">
        <v>0.65630606615371601</v>
      </c>
      <c r="I4080">
        <v>0.63376314611159801</v>
      </c>
      <c r="J4080">
        <v>0.609601058414032</v>
      </c>
      <c r="K4080">
        <v>0.64539577292514505</v>
      </c>
      <c r="L4080">
        <v>1202.26216422374</v>
      </c>
      <c r="M4080">
        <v>21.691548640887898</v>
      </c>
      <c r="O4080">
        <v>54.960760290759801</v>
      </c>
      <c r="P4080">
        <v>-3.7723238991591398E-2</v>
      </c>
      <c r="Q4080">
        <v>0.617685394231268</v>
      </c>
      <c r="R4080">
        <v>0.93412056539645005</v>
      </c>
      <c r="S4080" t="s">
        <v>8820</v>
      </c>
      <c r="T4080" t="s">
        <v>9478</v>
      </c>
      <c r="U4080" t="s">
        <v>9478</v>
      </c>
      <c r="V4080" t="s">
        <v>9478</v>
      </c>
      <c r="W4080">
        <v>2</v>
      </c>
      <c r="X4080" t="s">
        <v>13558</v>
      </c>
      <c r="Y4080">
        <v>0.81871606675597297</v>
      </c>
      <c r="Z4080" t="str">
        <f>HYPERLINK("Melting_Curves/meltCurve_tr_B8ZZT4_B8ZZT4_HUMAN_.pdf", "Melting_Curves/meltCurve_tr_B8ZZT4_B8ZZT4_HUMAN_.pdf")</f>
        <v>Melting_Curves/meltCurve_tr_B8ZZT4_B8ZZT4_HUMAN_.pdf</v>
      </c>
      <c r="AA4080" t="s">
        <v>18235</v>
      </c>
      <c r="AB4080" t="s">
        <v>22908</v>
      </c>
    </row>
    <row r="4081" spans="1:28" x14ac:dyDescent="0.25">
      <c r="A4081" t="s">
        <v>4085</v>
      </c>
      <c r="B4081">
        <v>0.99904790336628502</v>
      </c>
      <c r="C4081">
        <v>1.0013888750157001</v>
      </c>
      <c r="D4081">
        <v>0.98340625498644896</v>
      </c>
      <c r="E4081">
        <v>0.95340439480025896</v>
      </c>
      <c r="F4081">
        <v>0.87129093906723298</v>
      </c>
      <c r="G4081">
        <v>0.540604869214383</v>
      </c>
      <c r="H4081">
        <v>0.31066775290220899</v>
      </c>
      <c r="I4081">
        <v>0.27732972916057302</v>
      </c>
      <c r="J4081">
        <v>0.28273325606320598</v>
      </c>
      <c r="K4081">
        <v>0.24485550198806399</v>
      </c>
      <c r="L4081">
        <v>1525.3276405219401</v>
      </c>
      <c r="M4081">
        <v>27.254259129319099</v>
      </c>
      <c r="N4081">
        <v>57.455813118958602</v>
      </c>
      <c r="O4081">
        <v>55.667854785506698</v>
      </c>
      <c r="P4081">
        <v>-9.13952649759706E-2</v>
      </c>
      <c r="Q4081">
        <v>0.25329375412892002</v>
      </c>
      <c r="R4081">
        <v>0.99869743312526105</v>
      </c>
      <c r="S4081" t="s">
        <v>8821</v>
      </c>
      <c r="T4081" t="s">
        <v>9478</v>
      </c>
      <c r="U4081" t="s">
        <v>9478</v>
      </c>
      <c r="V4081" t="s">
        <v>9478</v>
      </c>
      <c r="W4081">
        <v>9</v>
      </c>
      <c r="X4081" t="s">
        <v>13559</v>
      </c>
      <c r="Y4081">
        <v>0.65662098893625442</v>
      </c>
      <c r="Z4081" t="str">
        <f>HYPERLINK("Melting_Curves/meltCurve_tr_B8ZZU8_B8ZZU8_HUMAN_.pdf", "Melting_Curves/meltCurve_tr_B8ZZU8_B8ZZU8_HUMAN_.pdf")</f>
        <v>Melting_Curves/meltCurve_tr_B8ZZU8_B8ZZU8_HUMAN_.pdf</v>
      </c>
      <c r="AA4081" t="s">
        <v>18236</v>
      </c>
      <c r="AB4081" t="s">
        <v>22909</v>
      </c>
    </row>
    <row r="4082" spans="1:28" x14ac:dyDescent="0.25">
      <c r="A4082" t="s">
        <v>4086</v>
      </c>
      <c r="B4082">
        <v>0.99904790336628502</v>
      </c>
      <c r="C4082">
        <v>1.16166541113773</v>
      </c>
      <c r="D4082">
        <v>1.1387035533991501</v>
      </c>
      <c r="E4082">
        <v>0.82131028596051203</v>
      </c>
      <c r="F4082">
        <v>0.67002597877231596</v>
      </c>
      <c r="G4082">
        <v>0.34433338806659503</v>
      </c>
      <c r="H4082">
        <v>0.201372170721966</v>
      </c>
      <c r="I4082">
        <v>0.17244384399641399</v>
      </c>
      <c r="J4082">
        <v>4.3647984027378198E-2</v>
      </c>
      <c r="K4082">
        <v>0</v>
      </c>
      <c r="L4082">
        <v>1012.8286432635</v>
      </c>
      <c r="M4082">
        <v>18.421274521680299</v>
      </c>
      <c r="N4082">
        <v>55.196576474953503</v>
      </c>
      <c r="O4082">
        <v>54.345822608628197</v>
      </c>
      <c r="P4082">
        <v>-8.1809452899806206E-2</v>
      </c>
      <c r="Q4082">
        <v>3.4637527451814802E-2</v>
      </c>
      <c r="R4082">
        <v>0.964279603586783</v>
      </c>
      <c r="S4082" t="s">
        <v>8822</v>
      </c>
      <c r="T4082" t="s">
        <v>9478</v>
      </c>
      <c r="U4082" t="s">
        <v>9478</v>
      </c>
      <c r="V4082" t="s">
        <v>9478</v>
      </c>
      <c r="W4082">
        <v>1</v>
      </c>
      <c r="X4082" t="s">
        <v>13560</v>
      </c>
      <c r="Y4082">
        <v>0.53120197456205542</v>
      </c>
      <c r="Z4082" t="str">
        <f>HYPERLINK("Melting_Curves/meltCurve_tr_B8ZZX2_B8ZZX2_HUMAN_.pdf", "Melting_Curves/meltCurve_tr_B8ZZX2_B8ZZX2_HUMAN_.pdf")</f>
        <v>Melting_Curves/meltCurve_tr_B8ZZX2_B8ZZX2_HUMAN_.pdf</v>
      </c>
      <c r="AA4082" t="s">
        <v>18237</v>
      </c>
      <c r="AB4082" t="s">
        <v>22910</v>
      </c>
    </row>
    <row r="4083" spans="1:28" x14ac:dyDescent="0.25">
      <c r="A4083" t="s">
        <v>4087</v>
      </c>
      <c r="B4083">
        <v>0.99904790336628502</v>
      </c>
      <c r="C4083">
        <v>1.08734532050846</v>
      </c>
      <c r="D4083">
        <v>0.973679033752199</v>
      </c>
      <c r="E4083">
        <v>0.96775776600602503</v>
      </c>
      <c r="F4083">
        <v>1.20514774490123</v>
      </c>
      <c r="G4083">
        <v>0.88849138181286702</v>
      </c>
      <c r="H4083">
        <v>0.768756015614524</v>
      </c>
      <c r="I4083">
        <v>0.98287084547098802</v>
      </c>
      <c r="J4083">
        <v>1.0337750112116599</v>
      </c>
      <c r="K4083">
        <v>1.1180797576377299</v>
      </c>
      <c r="L4083">
        <v>15000</v>
      </c>
      <c r="M4083">
        <v>222.96560253771901</v>
      </c>
      <c r="O4083">
        <v>67.269537018033603</v>
      </c>
      <c r="P4083">
        <v>9.7860847378129098E-2</v>
      </c>
      <c r="Q4083">
        <v>1.11809990384594</v>
      </c>
      <c r="R4083">
        <v>0.113222255056841</v>
      </c>
      <c r="S4083" t="s">
        <v>8823</v>
      </c>
      <c r="T4083" t="s">
        <v>9478</v>
      </c>
      <c r="U4083" t="s">
        <v>9478</v>
      </c>
      <c r="V4083" t="s">
        <v>9478</v>
      </c>
      <c r="W4083">
        <v>5</v>
      </c>
      <c r="X4083" t="s">
        <v>13561</v>
      </c>
      <c r="Y4083">
        <v>1.0107102902597469</v>
      </c>
      <c r="Z4083" t="str">
        <f>HYPERLINK("Melting_Curves/meltCurve_tr_B9A057_B9A057_HUMAN_.pdf", "Melting_Curves/meltCurve_tr_B9A057_B9A057_HUMAN_.pdf")</f>
        <v>Melting_Curves/meltCurve_tr_B9A057_B9A057_HUMAN_.pdf</v>
      </c>
      <c r="AA4083" t="s">
        <v>18238</v>
      </c>
      <c r="AB4083" t="s">
        <v>22911</v>
      </c>
    </row>
    <row r="4084" spans="1:28" x14ac:dyDescent="0.25">
      <c r="A4084" t="s">
        <v>4088</v>
      </c>
      <c r="B4084">
        <v>0.99904790336628502</v>
      </c>
      <c r="C4084">
        <v>1.4207243583976199</v>
      </c>
      <c r="D4084">
        <v>1.5033016229179901</v>
      </c>
      <c r="E4084">
        <v>1.1815107689964199</v>
      </c>
      <c r="F4084">
        <v>1.0342956467876201</v>
      </c>
      <c r="G4084">
        <v>0.69609671880310797</v>
      </c>
      <c r="H4084">
        <v>0.327107812343503</v>
      </c>
      <c r="I4084">
        <v>8.6291208562849595E-2</v>
      </c>
      <c r="J4084">
        <v>4.5343523503884098E-2</v>
      </c>
      <c r="K4084">
        <v>2.9083281307948301E-2</v>
      </c>
      <c r="L4084">
        <v>1749.1467873152901</v>
      </c>
      <c r="M4084">
        <v>29.646030078867199</v>
      </c>
      <c r="N4084">
        <v>59.077617343119698</v>
      </c>
      <c r="O4084">
        <v>58.7345445116691</v>
      </c>
      <c r="P4084">
        <v>-0.12380905844163</v>
      </c>
      <c r="Q4084">
        <v>1.8847608690864499E-2</v>
      </c>
      <c r="R4084">
        <v>0.84103474966089198</v>
      </c>
      <c r="S4084" t="s">
        <v>8824</v>
      </c>
      <c r="T4084" t="s">
        <v>9478</v>
      </c>
      <c r="U4084" t="s">
        <v>9478</v>
      </c>
      <c r="V4084" t="s">
        <v>9478</v>
      </c>
      <c r="W4084">
        <v>2</v>
      </c>
      <c r="X4084" t="s">
        <v>13562</v>
      </c>
      <c r="Y4084">
        <v>0.64667511475388284</v>
      </c>
      <c r="Z4084" t="str">
        <f>HYPERLINK("Melting_Curves/meltCurve_tr_B9ZVN9_B9ZVN9_HUMAN_.pdf", "Melting_Curves/meltCurve_tr_B9ZVN9_B9ZVN9_HUMAN_.pdf")</f>
        <v>Melting_Curves/meltCurve_tr_B9ZVN9_B9ZVN9_HUMAN_.pdf</v>
      </c>
      <c r="AA4084" t="s">
        <v>18239</v>
      </c>
      <c r="AB4084" t="s">
        <v>22912</v>
      </c>
    </row>
    <row r="4085" spans="1:28" x14ac:dyDescent="0.25">
      <c r="A4085" t="s">
        <v>4089</v>
      </c>
      <c r="B4085">
        <v>0.99904790336628502</v>
      </c>
      <c r="C4085">
        <v>1.03891883982197</v>
      </c>
      <c r="D4085">
        <v>1.0585687110198501</v>
      </c>
      <c r="E4085">
        <v>0.99549415600737301</v>
      </c>
      <c r="F4085">
        <v>0.85268047189996299</v>
      </c>
      <c r="G4085">
        <v>0.64908953902064204</v>
      </c>
      <c r="H4085">
        <v>0.26881957891985198</v>
      </c>
      <c r="I4085">
        <v>0.101371299721186</v>
      </c>
      <c r="J4085">
        <v>0.111095918208537</v>
      </c>
      <c r="K4085">
        <v>2.2207277264621701E-2</v>
      </c>
      <c r="L4085">
        <v>1287.95439160403</v>
      </c>
      <c r="M4085">
        <v>22.126934130198599</v>
      </c>
      <c r="N4085">
        <v>58.288478428016802</v>
      </c>
      <c r="O4085">
        <v>57.738364838513299</v>
      </c>
      <c r="P4085">
        <v>-9.4359660781673502E-2</v>
      </c>
      <c r="Q4085">
        <v>1.51272551240175E-2</v>
      </c>
      <c r="R4085">
        <v>0.99299423549357702</v>
      </c>
      <c r="S4085" t="s">
        <v>8825</v>
      </c>
      <c r="T4085" t="s">
        <v>9478</v>
      </c>
      <c r="U4085" t="s">
        <v>9478</v>
      </c>
      <c r="V4085" t="s">
        <v>9478</v>
      </c>
      <c r="W4085">
        <v>2</v>
      </c>
      <c r="X4085" t="s">
        <v>13563</v>
      </c>
      <c r="Y4085">
        <v>0.62273251089290549</v>
      </c>
      <c r="Z4085" t="str">
        <f>HYPERLINK("Melting_Curves/meltCurve_tr_C0H5X6_C0H5X6_HUMAN_.pdf", "Melting_Curves/meltCurve_tr_C0H5X6_C0H5X6_HUMAN_.pdf")</f>
        <v>Melting_Curves/meltCurve_tr_C0H5X6_C0H5X6_HUMAN_.pdf</v>
      </c>
      <c r="AA4085" t="s">
        <v>18240</v>
      </c>
      <c r="AB4085" t="s">
        <v>22913</v>
      </c>
    </row>
    <row r="4086" spans="1:28" x14ac:dyDescent="0.25">
      <c r="A4086" t="s">
        <v>4090</v>
      </c>
      <c r="B4086">
        <v>0.99904790336628502</v>
      </c>
      <c r="C4086">
        <v>1.22459941427569</v>
      </c>
      <c r="D4086">
        <v>1.2692926342237301</v>
      </c>
      <c r="E4086">
        <v>0.90772816012041402</v>
      </c>
      <c r="F4086">
        <v>0.58369547284238499</v>
      </c>
      <c r="G4086">
        <v>0.31106585531797998</v>
      </c>
      <c r="H4086">
        <v>0.190613976318142</v>
      </c>
      <c r="I4086">
        <v>9.6377288154942897E-2</v>
      </c>
      <c r="J4086">
        <v>3.6479397847845201E-2</v>
      </c>
      <c r="K4086">
        <v>6.0801365528666204E-3</v>
      </c>
      <c r="L4086">
        <v>1272.7761119745201</v>
      </c>
      <c r="M4086">
        <v>23.4697233936242</v>
      </c>
      <c r="N4086">
        <v>54.5025277995557</v>
      </c>
      <c r="O4086">
        <v>53.841436622880899</v>
      </c>
      <c r="P4086">
        <v>-0.102955956438508</v>
      </c>
      <c r="Q4086">
        <v>5.5259151552748798E-2</v>
      </c>
      <c r="R4086">
        <v>0.93496344020454303</v>
      </c>
      <c r="S4086" t="s">
        <v>8826</v>
      </c>
      <c r="T4086" t="s">
        <v>9478</v>
      </c>
      <c r="U4086" t="s">
        <v>9478</v>
      </c>
      <c r="V4086" t="s">
        <v>9478</v>
      </c>
      <c r="W4086">
        <v>9</v>
      </c>
      <c r="X4086" t="s">
        <v>13564</v>
      </c>
      <c r="Y4086">
        <v>0.51318627367210445</v>
      </c>
      <c r="Z4086" t="str">
        <f>HYPERLINK("Melting_Curves/meltCurve_tr_C9IZA5_C9IZA5_HUMAN_.pdf", "Melting_Curves/meltCurve_tr_C9IZA5_C9IZA5_HUMAN_.pdf")</f>
        <v>Melting_Curves/meltCurve_tr_C9IZA5_C9IZA5_HUMAN_.pdf</v>
      </c>
      <c r="AA4086" t="s">
        <v>15612</v>
      </c>
      <c r="AB4086" t="s">
        <v>22914</v>
      </c>
    </row>
    <row r="4087" spans="1:28" x14ac:dyDescent="0.25">
      <c r="A4087" t="s">
        <v>4091</v>
      </c>
      <c r="B4087">
        <v>0.99904790336628502</v>
      </c>
      <c r="C4087">
        <v>0.98921093795910697</v>
      </c>
      <c r="D4087">
        <v>0.94404937357186502</v>
      </c>
      <c r="E4087">
        <v>0.97997107586021703</v>
      </c>
      <c r="F4087">
        <v>0.956822616377904</v>
      </c>
      <c r="G4087">
        <v>0.87162742065224497</v>
      </c>
      <c r="H4087">
        <v>0.78462874226122603</v>
      </c>
      <c r="I4087">
        <v>0.86269167774799504</v>
      </c>
      <c r="J4087">
        <v>0.92052105434211695</v>
      </c>
      <c r="K4087">
        <v>1.1090216958560699</v>
      </c>
      <c r="L4087">
        <v>842.45321522760798</v>
      </c>
      <c r="M4087">
        <v>17.661685850925601</v>
      </c>
      <c r="O4087">
        <v>47.100579331320802</v>
      </c>
      <c r="P4087">
        <v>-7.7640405131564104E-3</v>
      </c>
      <c r="Q4087">
        <v>0.91718313582630495</v>
      </c>
      <c r="R4087">
        <v>0.116130420045658</v>
      </c>
      <c r="S4087" t="s">
        <v>8827</v>
      </c>
      <c r="T4087" t="s">
        <v>9478</v>
      </c>
      <c r="U4087" t="s">
        <v>9478</v>
      </c>
      <c r="V4087" t="s">
        <v>9478</v>
      </c>
      <c r="W4087">
        <v>5</v>
      </c>
      <c r="X4087" t="s">
        <v>13565</v>
      </c>
      <c r="Y4087">
        <v>0.93998258561149872</v>
      </c>
      <c r="Z4087" t="str">
        <f>HYPERLINK("Melting_Curves/meltCurve_tr_C9J0A7_C9J0A7_HUMAN_.pdf", "Melting_Curves/meltCurve_tr_C9J0A7_C9J0A7_HUMAN_.pdf")</f>
        <v>Melting_Curves/meltCurve_tr_C9J0A7_C9J0A7_HUMAN_.pdf</v>
      </c>
      <c r="AA4087" t="s">
        <v>18241</v>
      </c>
      <c r="AB4087" t="s">
        <v>22915</v>
      </c>
    </row>
    <row r="4088" spans="1:28" x14ac:dyDescent="0.25">
      <c r="A4088" t="s">
        <v>4092</v>
      </c>
      <c r="B4088">
        <v>0.99904790336628502</v>
      </c>
      <c r="C4088">
        <v>0.94071385711950295</v>
      </c>
      <c r="D4088">
        <v>0.89241912445431104</v>
      </c>
      <c r="E4088">
        <v>0.89618578343230604</v>
      </c>
      <c r="F4088">
        <v>0.79582761111264799</v>
      </c>
      <c r="G4088">
        <v>0.43727623872909699</v>
      </c>
      <c r="H4088">
        <v>0.16961055447411899</v>
      </c>
      <c r="I4088">
        <v>9.9247978409385207E-2</v>
      </c>
      <c r="J4088">
        <v>7.8978768593661694E-2</v>
      </c>
      <c r="K4088">
        <v>6.6197748890847896E-2</v>
      </c>
      <c r="L4088">
        <v>1128.77253709658</v>
      </c>
      <c r="M4088">
        <v>20.157418329411701</v>
      </c>
      <c r="N4088">
        <v>56.209506925061298</v>
      </c>
      <c r="O4088">
        <v>55.455482091103299</v>
      </c>
      <c r="P4088">
        <v>-8.7553981904414296E-2</v>
      </c>
      <c r="Q4088">
        <v>3.6544253837879598E-2</v>
      </c>
      <c r="R4088">
        <v>0.98996636003687399</v>
      </c>
      <c r="S4088" t="s">
        <v>8828</v>
      </c>
      <c r="T4088" t="s">
        <v>9478</v>
      </c>
      <c r="U4088" t="s">
        <v>9478</v>
      </c>
      <c r="V4088" t="s">
        <v>9478</v>
      </c>
      <c r="W4088">
        <v>9</v>
      </c>
      <c r="X4088" t="s">
        <v>13566</v>
      </c>
      <c r="Y4088">
        <v>0.56259865796791853</v>
      </c>
      <c r="Z4088" t="str">
        <f>HYPERLINK("Melting_Curves/meltCurve_tr_C9J0K6_C9J0K6_HUMAN_.pdf", "Melting_Curves/meltCurve_tr_C9J0K6_C9J0K6_HUMAN_.pdf")</f>
        <v>Melting_Curves/meltCurve_tr_C9J0K6_C9J0K6_HUMAN_.pdf</v>
      </c>
      <c r="AA4088" t="s">
        <v>18242</v>
      </c>
      <c r="AB4088" t="s">
        <v>22916</v>
      </c>
    </row>
    <row r="4089" spans="1:28" x14ac:dyDescent="0.25">
      <c r="A4089" t="s">
        <v>4093</v>
      </c>
      <c r="B4089">
        <v>0.99904790336628502</v>
      </c>
      <c r="C4089">
        <v>1.3159460234003999</v>
      </c>
      <c r="D4089">
        <v>1.0916616207940499</v>
      </c>
      <c r="E4089">
        <v>0.83455119948808998</v>
      </c>
      <c r="F4089">
        <v>1.04085448112859</v>
      </c>
      <c r="G4089">
        <v>0.97430798771736804</v>
      </c>
      <c r="H4089">
        <v>0.70251615918163401</v>
      </c>
      <c r="I4089">
        <v>0.86338755442968595</v>
      </c>
      <c r="J4089">
        <v>0.72455424853901096</v>
      </c>
      <c r="K4089">
        <v>1.0892246209106899</v>
      </c>
      <c r="L4089">
        <v>14342.147048328299</v>
      </c>
      <c r="M4089">
        <v>250</v>
      </c>
      <c r="O4089">
        <v>57.364906569918503</v>
      </c>
      <c r="P4089">
        <v>-0.16896143788075099</v>
      </c>
      <c r="Q4089">
        <v>0.84492065838080399</v>
      </c>
      <c r="R4089">
        <v>0.26487171547116001</v>
      </c>
      <c r="S4089" t="s">
        <v>8829</v>
      </c>
      <c r="T4089" t="s">
        <v>9478</v>
      </c>
      <c r="U4089" t="s">
        <v>9478</v>
      </c>
      <c r="V4089" t="s">
        <v>9478</v>
      </c>
      <c r="W4089">
        <v>1</v>
      </c>
      <c r="X4089" t="s">
        <v>13567</v>
      </c>
      <c r="Y4089">
        <v>0.93471991264993926</v>
      </c>
      <c r="Z4089" t="str">
        <f>HYPERLINK("Melting_Curves/meltCurve_tr_C9J123_C9J123_HUMAN_.pdf", "Melting_Curves/meltCurve_tr_C9J123_C9J123_HUMAN_.pdf")</f>
        <v>Melting_Curves/meltCurve_tr_C9J123_C9J123_HUMAN_.pdf</v>
      </c>
      <c r="AA4089" t="s">
        <v>18243</v>
      </c>
      <c r="AB4089" t="s">
        <v>22917</v>
      </c>
    </row>
    <row r="4090" spans="1:28" x14ac:dyDescent="0.25">
      <c r="A4090" t="s">
        <v>4094</v>
      </c>
      <c r="B4090">
        <v>0.99904790336628502</v>
      </c>
      <c r="C4090">
        <v>0.987360785041698</v>
      </c>
      <c r="D4090">
        <v>0.92832311424040903</v>
      </c>
      <c r="E4090">
        <v>0.86903974089298797</v>
      </c>
      <c r="F4090">
        <v>0.87515179991895897</v>
      </c>
      <c r="G4090">
        <v>0.67059003916402904</v>
      </c>
      <c r="H4090">
        <v>0.52836971602100702</v>
      </c>
      <c r="I4090">
        <v>0.52254110465872605</v>
      </c>
      <c r="J4090">
        <v>0.56713318467880802</v>
      </c>
      <c r="K4090">
        <v>0.46533300557130403</v>
      </c>
      <c r="L4090">
        <v>780.32026473998405</v>
      </c>
      <c r="M4090">
        <v>14.097323951145199</v>
      </c>
      <c r="N4090">
        <v>67.681777563816894</v>
      </c>
      <c r="O4090">
        <v>54.274258387646299</v>
      </c>
      <c r="P4090">
        <v>-3.4962040031625702E-2</v>
      </c>
      <c r="Q4090">
        <v>0.46165828262502201</v>
      </c>
      <c r="R4090">
        <v>0.96557781308496804</v>
      </c>
      <c r="S4090" t="s">
        <v>8830</v>
      </c>
      <c r="T4090" t="s">
        <v>9478</v>
      </c>
      <c r="U4090" t="s">
        <v>9478</v>
      </c>
      <c r="V4090" t="s">
        <v>9478</v>
      </c>
      <c r="W4090">
        <v>3</v>
      </c>
      <c r="X4090" t="s">
        <v>13568</v>
      </c>
      <c r="Y4090">
        <v>0.74786764874360689</v>
      </c>
      <c r="Z4090" t="str">
        <f>HYPERLINK("Melting_Curves/meltCurve_tr_C9J1C6_C9J1C6_HUMAN_.pdf", "Melting_Curves/meltCurve_tr_C9J1C6_C9J1C6_HUMAN_.pdf")</f>
        <v>Melting_Curves/meltCurve_tr_C9J1C6_C9J1C6_HUMAN_.pdf</v>
      </c>
      <c r="AA4090" t="s">
        <v>18244</v>
      </c>
      <c r="AB4090" t="s">
        <v>22918</v>
      </c>
    </row>
    <row r="4091" spans="1:28" x14ac:dyDescent="0.25">
      <c r="A4091" t="s">
        <v>4095</v>
      </c>
      <c r="B4091">
        <v>0.99904790336628502</v>
      </c>
      <c r="C4091">
        <v>0.92746458472234194</v>
      </c>
      <c r="D4091">
        <v>0.93659731640996702</v>
      </c>
      <c r="E4091">
        <v>0.84937637265257504</v>
      </c>
      <c r="F4091">
        <v>0.83034722193223998</v>
      </c>
      <c r="G4091">
        <v>0.50207706036311095</v>
      </c>
      <c r="H4091">
        <v>0.223534128684722</v>
      </c>
      <c r="I4091">
        <v>0.144978232672099</v>
      </c>
      <c r="J4091">
        <v>0.12866641103936399</v>
      </c>
      <c r="K4091">
        <v>0.119725669099347</v>
      </c>
      <c r="L4091">
        <v>1039.6641651325999</v>
      </c>
      <c r="M4091">
        <v>18.444103277422101</v>
      </c>
      <c r="N4091">
        <v>56.8475424028831</v>
      </c>
      <c r="O4091">
        <v>55.718282606572899</v>
      </c>
      <c r="P4091">
        <v>-7.6801991647762302E-2</v>
      </c>
      <c r="Q4091">
        <v>7.1988866755373596E-2</v>
      </c>
      <c r="R4091">
        <v>0.98701411849628296</v>
      </c>
      <c r="S4091" t="s">
        <v>8831</v>
      </c>
      <c r="T4091" t="s">
        <v>9478</v>
      </c>
      <c r="U4091" t="s">
        <v>9478</v>
      </c>
      <c r="V4091" t="s">
        <v>9478</v>
      </c>
      <c r="W4091">
        <v>3</v>
      </c>
      <c r="X4091" t="s">
        <v>13569</v>
      </c>
      <c r="Y4091">
        <v>0.59131643511302179</v>
      </c>
      <c r="Z4091" t="str">
        <f>HYPERLINK("Melting_Curves/meltCurve_tr_C9J212_C9J212_HUMAN_.pdf", "Melting_Curves/meltCurve_tr_C9J212_C9J212_HUMAN_.pdf")</f>
        <v>Melting_Curves/meltCurve_tr_C9J212_C9J212_HUMAN_.pdf</v>
      </c>
      <c r="AA4091" t="s">
        <v>18245</v>
      </c>
      <c r="AB4091" t="s">
        <v>22919</v>
      </c>
    </row>
    <row r="4092" spans="1:28" x14ac:dyDescent="0.25">
      <c r="A4092" t="s">
        <v>4096</v>
      </c>
      <c r="B4092">
        <v>0.99904790336628502</v>
      </c>
      <c r="C4092">
        <v>0.97286001989127402</v>
      </c>
      <c r="D4092">
        <v>0.811502599431</v>
      </c>
      <c r="E4092">
        <v>0.56536263702827705</v>
      </c>
      <c r="F4092">
        <v>0.53885399039482695</v>
      </c>
      <c r="G4092">
        <v>0.31891040916145302</v>
      </c>
      <c r="H4092">
        <v>0.315722475771816</v>
      </c>
      <c r="I4092">
        <v>0.30236412743733798</v>
      </c>
      <c r="J4092">
        <v>0.33162414430623099</v>
      </c>
      <c r="K4092">
        <v>0.35578910704976402</v>
      </c>
      <c r="L4092">
        <v>836.34009579621295</v>
      </c>
      <c r="M4092">
        <v>17.0778041565999</v>
      </c>
      <c r="N4092">
        <v>51.973915071051898</v>
      </c>
      <c r="O4092">
        <v>48.315645368330898</v>
      </c>
      <c r="P4092">
        <v>-6.0665410391372097E-2</v>
      </c>
      <c r="Q4092">
        <v>0.31351579868541601</v>
      </c>
      <c r="R4092">
        <v>0.980620491361749</v>
      </c>
      <c r="S4092" t="s">
        <v>8832</v>
      </c>
      <c r="T4092" t="s">
        <v>9478</v>
      </c>
      <c r="U4092" t="s">
        <v>9478</v>
      </c>
      <c r="V4092" t="s">
        <v>9478</v>
      </c>
      <c r="W4092">
        <v>3</v>
      </c>
      <c r="X4092" t="s">
        <v>13570</v>
      </c>
      <c r="Y4092">
        <v>0.53203309831196766</v>
      </c>
      <c r="Z4092" t="str">
        <f>HYPERLINK("Melting_Curves/meltCurve_tr_C9J2P9_C9J2P9_HUMAN_.pdf", "Melting_Curves/meltCurve_tr_C9J2P9_C9J2P9_HUMAN_.pdf")</f>
        <v>Melting_Curves/meltCurve_tr_C9J2P9_C9J2P9_HUMAN_.pdf</v>
      </c>
      <c r="AA4092" t="s">
        <v>18246</v>
      </c>
      <c r="AB4092" t="s">
        <v>22920</v>
      </c>
    </row>
    <row r="4093" spans="1:28" x14ac:dyDescent="0.25">
      <c r="A4093" t="s">
        <v>4097</v>
      </c>
      <c r="B4093">
        <v>0.99904790336628502</v>
      </c>
      <c r="C4093">
        <v>1.0505097457988299</v>
      </c>
      <c r="D4093">
        <v>0.91520391363148301</v>
      </c>
      <c r="E4093">
        <v>0.91620154833702205</v>
      </c>
      <c r="F4093">
        <v>0.89216594836084395</v>
      </c>
      <c r="G4093">
        <v>0.52327524031247796</v>
      </c>
      <c r="H4093">
        <v>0.46860513664520498</v>
      </c>
      <c r="I4093">
        <v>0.45934242436387801</v>
      </c>
      <c r="J4093">
        <v>0.32702620858343701</v>
      </c>
      <c r="K4093">
        <v>0.153248930638229</v>
      </c>
      <c r="L4093">
        <v>617.10352928576901</v>
      </c>
      <c r="M4093">
        <v>10.25601780036</v>
      </c>
      <c r="N4093">
        <v>60.575661418646298</v>
      </c>
      <c r="O4093">
        <v>58.0169595937639</v>
      </c>
      <c r="P4093">
        <v>-4.2745753305293899E-2</v>
      </c>
      <c r="Q4093">
        <v>3.3198206115036599E-2</v>
      </c>
      <c r="R4093">
        <v>0.95161149806682899</v>
      </c>
      <c r="S4093" t="s">
        <v>8833</v>
      </c>
      <c r="T4093" t="s">
        <v>9478</v>
      </c>
      <c r="U4093" t="s">
        <v>9478</v>
      </c>
      <c r="V4093" t="s">
        <v>9478</v>
      </c>
      <c r="W4093">
        <v>6</v>
      </c>
      <c r="X4093" t="s">
        <v>13571</v>
      </c>
      <c r="Y4093">
        <v>0.67910643359573397</v>
      </c>
      <c r="Z4093" t="str">
        <f>HYPERLINK("Melting_Curves/meltCurve_tr_C9J2V2_C9J2V2_HUMAN_.pdf", "Melting_Curves/meltCurve_tr_C9J2V2_C9J2V2_HUMAN_.pdf")</f>
        <v>Melting_Curves/meltCurve_tr_C9J2V2_C9J2V2_HUMAN_.pdf</v>
      </c>
      <c r="AA4093" t="s">
        <v>18079</v>
      </c>
      <c r="AB4093" t="s">
        <v>22921</v>
      </c>
    </row>
    <row r="4094" spans="1:28" x14ac:dyDescent="0.25">
      <c r="A4094" t="s">
        <v>4098</v>
      </c>
      <c r="B4094">
        <v>0.99904790336628502</v>
      </c>
      <c r="C4094">
        <v>0.97843624718588795</v>
      </c>
      <c r="D4094">
        <v>0.92464659848376596</v>
      </c>
      <c r="E4094">
        <v>0.84530943797980296</v>
      </c>
      <c r="F4094">
        <v>0.85658498078572798</v>
      </c>
      <c r="G4094">
        <v>0.59420355732796304</v>
      </c>
      <c r="H4094">
        <v>0.57706761044511901</v>
      </c>
      <c r="I4094">
        <v>0.48637516676902898</v>
      </c>
      <c r="J4094">
        <v>0.47780562572870799</v>
      </c>
      <c r="K4094">
        <v>0.41878238293312398</v>
      </c>
      <c r="L4094">
        <v>611.48911565930302</v>
      </c>
      <c r="M4094">
        <v>10.878895438364699</v>
      </c>
      <c r="N4094">
        <v>63.812207727333501</v>
      </c>
      <c r="O4094">
        <v>54.409526920599603</v>
      </c>
      <c r="P4094">
        <v>-3.1841223398372899E-2</v>
      </c>
      <c r="Q4094">
        <v>0.36322353038065402</v>
      </c>
      <c r="R4094">
        <v>0.97434606983507399</v>
      </c>
      <c r="S4094" t="s">
        <v>8834</v>
      </c>
      <c r="T4094" t="s">
        <v>9478</v>
      </c>
      <c r="U4094" t="s">
        <v>9478</v>
      </c>
      <c r="V4094" t="s">
        <v>9478</v>
      </c>
      <c r="W4094">
        <v>4</v>
      </c>
      <c r="X4094" t="s">
        <v>13572</v>
      </c>
      <c r="Y4094">
        <v>0.72005128259174678</v>
      </c>
      <c r="Z4094" t="str">
        <f>HYPERLINK("Melting_Curves/meltCurve_tr_C9J406_C9J406_HUMAN_.pdf", "Melting_Curves/meltCurve_tr_C9J406_C9J406_HUMAN_.pdf")</f>
        <v>Melting_Curves/meltCurve_tr_C9J406_C9J406_HUMAN_.pdf</v>
      </c>
      <c r="AA4094" t="s">
        <v>18247</v>
      </c>
      <c r="AB4094" t="s">
        <v>22922</v>
      </c>
    </row>
    <row r="4095" spans="1:28" x14ac:dyDescent="0.25">
      <c r="A4095" t="s">
        <v>4099</v>
      </c>
      <c r="B4095">
        <v>0.99904790336628502</v>
      </c>
      <c r="C4095">
        <v>0.93232220791105103</v>
      </c>
      <c r="D4095">
        <v>0.83568890615064895</v>
      </c>
      <c r="E4095">
        <v>0.89098747193556005</v>
      </c>
      <c r="F4095">
        <v>0.57363086002168395</v>
      </c>
      <c r="G4095">
        <v>0.43094037066088903</v>
      </c>
      <c r="H4095">
        <v>0.36174564127436298</v>
      </c>
      <c r="I4095">
        <v>0.27918103378223202</v>
      </c>
      <c r="J4095">
        <v>4.1156640899409999E-2</v>
      </c>
      <c r="K4095">
        <v>9.8241662084636E-2</v>
      </c>
      <c r="L4095">
        <v>587.23751894377097</v>
      </c>
      <c r="M4095">
        <v>10.487009858899301</v>
      </c>
      <c r="N4095">
        <v>55.996637405599699</v>
      </c>
      <c r="O4095">
        <v>54.075433564111599</v>
      </c>
      <c r="P4095">
        <v>-4.8502898948012602E-2</v>
      </c>
      <c r="Q4095">
        <v>0</v>
      </c>
      <c r="R4095">
        <v>0.96009222928527505</v>
      </c>
      <c r="S4095" t="s">
        <v>8835</v>
      </c>
      <c r="T4095" t="s">
        <v>9478</v>
      </c>
      <c r="U4095" t="s">
        <v>9478</v>
      </c>
      <c r="V4095" t="s">
        <v>9478</v>
      </c>
      <c r="W4095">
        <v>4</v>
      </c>
      <c r="X4095" t="s">
        <v>13573</v>
      </c>
      <c r="Y4095">
        <v>0.55429738232115933</v>
      </c>
      <c r="Z4095" t="str">
        <f>HYPERLINK("Melting_Curves/meltCurve_tr_C9J4M6_C9J4M6_HUMAN_.pdf", "Melting_Curves/meltCurve_tr_C9J4M6_C9J4M6_HUMAN_.pdf")</f>
        <v>Melting_Curves/meltCurve_tr_C9J4M6_C9J4M6_HUMAN_.pdf</v>
      </c>
      <c r="AA4095" t="s">
        <v>18248</v>
      </c>
      <c r="AB4095" t="s">
        <v>22912</v>
      </c>
    </row>
    <row r="4096" spans="1:28" x14ac:dyDescent="0.25">
      <c r="A4096" t="s">
        <v>4100</v>
      </c>
      <c r="B4096">
        <v>0.99904790336628502</v>
      </c>
      <c r="C4096">
        <v>1.16261770231247</v>
      </c>
      <c r="D4096">
        <v>1.13193314481343</v>
      </c>
      <c r="E4096">
        <v>0.43107003501535501</v>
      </c>
      <c r="F4096">
        <v>0.120499328890321</v>
      </c>
      <c r="G4096">
        <v>5.4859760117033897E-2</v>
      </c>
      <c r="H4096">
        <v>2.6205155155637001E-2</v>
      </c>
      <c r="I4096">
        <v>1.35671673093112E-2</v>
      </c>
      <c r="J4096">
        <v>1.3285507848470201E-2</v>
      </c>
      <c r="K4096">
        <v>6.6509907991095102E-3</v>
      </c>
      <c r="L4096">
        <v>3074.4854243446398</v>
      </c>
      <c r="M4096">
        <v>61.810672659683</v>
      </c>
      <c r="N4096">
        <v>49.798145030444203</v>
      </c>
      <c r="O4096">
        <v>49.6883613795044</v>
      </c>
      <c r="P4096">
        <v>-0.300230376290823</v>
      </c>
      <c r="Q4096">
        <v>3.4603266940422199E-2</v>
      </c>
      <c r="R4096">
        <v>0.97706665245678903</v>
      </c>
      <c r="S4096" t="s">
        <v>8836</v>
      </c>
      <c r="T4096" t="s">
        <v>9478</v>
      </c>
      <c r="U4096" t="s">
        <v>9478</v>
      </c>
      <c r="V4096" t="s">
        <v>9478</v>
      </c>
      <c r="W4096">
        <v>7</v>
      </c>
      <c r="X4096" t="s">
        <v>13574</v>
      </c>
      <c r="Y4096">
        <v>0.34943048891493189</v>
      </c>
      <c r="Z4096" t="str">
        <f>HYPERLINK("Melting_Curves/meltCurve_tr_C9J4W5_C9J4W5_HUMAN_.pdf", "Melting_Curves/meltCurve_tr_C9J4W5_C9J4W5_HUMAN_.pdf")</f>
        <v>Melting_Curves/meltCurve_tr_C9J4W5_C9J4W5_HUMAN_.pdf</v>
      </c>
      <c r="AA4096" t="s">
        <v>18249</v>
      </c>
      <c r="AB4096" t="s">
        <v>22923</v>
      </c>
    </row>
    <row r="4097" spans="1:28" x14ac:dyDescent="0.25">
      <c r="A4097" t="s">
        <v>4101</v>
      </c>
      <c r="B4097">
        <v>0.99904790336628502</v>
      </c>
      <c r="C4097">
        <v>1.0385474843349201</v>
      </c>
      <c r="D4097">
        <v>0.98817113438631998</v>
      </c>
      <c r="E4097">
        <v>0.86449457776340799</v>
      </c>
      <c r="F4097">
        <v>0.64219923424967496</v>
      </c>
      <c r="G4097">
        <v>0.37744092410093899</v>
      </c>
      <c r="H4097">
        <v>0.20606678563811701</v>
      </c>
      <c r="I4097">
        <v>8.1174121488618398E-2</v>
      </c>
      <c r="J4097">
        <v>5.08556098036861E-2</v>
      </c>
      <c r="K4097">
        <v>3.4774598153375802E-2</v>
      </c>
      <c r="L4097">
        <v>921.86070459889504</v>
      </c>
      <c r="M4097">
        <v>16.700780419618098</v>
      </c>
      <c r="N4097">
        <v>55.244899668338903</v>
      </c>
      <c r="O4097">
        <v>54.425435678201403</v>
      </c>
      <c r="P4097">
        <v>-7.6186601374240603E-2</v>
      </c>
      <c r="Q4097">
        <v>6.9407917172186299E-3</v>
      </c>
      <c r="R4097">
        <v>0.99702048957016098</v>
      </c>
      <c r="S4097" t="s">
        <v>8837</v>
      </c>
      <c r="T4097" t="s">
        <v>9478</v>
      </c>
      <c r="U4097" t="s">
        <v>9478</v>
      </c>
      <c r="V4097" t="s">
        <v>9478</v>
      </c>
      <c r="W4097">
        <v>4</v>
      </c>
      <c r="X4097" t="s">
        <v>13575</v>
      </c>
      <c r="Y4097">
        <v>0.52679071831238855</v>
      </c>
      <c r="Z4097" t="str">
        <f>HYPERLINK("Melting_Curves/meltCurve_tr_C9J5C3_C9J5C3_HUMAN_.pdf", "Melting_Curves/meltCurve_tr_C9J5C3_C9J5C3_HUMAN_.pdf")</f>
        <v>Melting_Curves/meltCurve_tr_C9J5C3_C9J5C3_HUMAN_.pdf</v>
      </c>
      <c r="AA4097" t="s">
        <v>18250</v>
      </c>
      <c r="AB4097" t="s">
        <v>22924</v>
      </c>
    </row>
    <row r="4098" spans="1:28" x14ac:dyDescent="0.25">
      <c r="A4098" t="s">
        <v>4102</v>
      </c>
      <c r="B4098">
        <v>0.99904790336628502</v>
      </c>
      <c r="C4098">
        <v>0.93974498127045503</v>
      </c>
      <c r="D4098">
        <v>0.85046038335124297</v>
      </c>
      <c r="E4098">
        <v>0.86194042419273398</v>
      </c>
      <c r="F4098">
        <v>0.69893081072308705</v>
      </c>
      <c r="G4098">
        <v>0.50925004570723198</v>
      </c>
      <c r="H4098">
        <v>0.45714713947925001</v>
      </c>
      <c r="I4098">
        <v>0.35849205769018699</v>
      </c>
      <c r="J4098">
        <v>0.42337786953066803</v>
      </c>
      <c r="K4098">
        <v>0.33405161933782401</v>
      </c>
      <c r="L4098">
        <v>611.27345209571899</v>
      </c>
      <c r="M4098">
        <v>11.316404269245799</v>
      </c>
      <c r="N4098">
        <v>58.7007762482082</v>
      </c>
      <c r="O4098">
        <v>52.412248959348602</v>
      </c>
      <c r="P4098">
        <v>-3.7940140145050198E-2</v>
      </c>
      <c r="Q4098">
        <v>0.29732915822348799</v>
      </c>
      <c r="R4098">
        <v>0.973483775129244</v>
      </c>
      <c r="S4098" t="s">
        <v>8838</v>
      </c>
      <c r="T4098" t="s">
        <v>9478</v>
      </c>
      <c r="U4098" t="s">
        <v>9478</v>
      </c>
      <c r="V4098" t="s">
        <v>9478</v>
      </c>
      <c r="W4098">
        <v>2</v>
      </c>
      <c r="X4098" t="s">
        <v>13576</v>
      </c>
      <c r="Y4098">
        <v>0.64492285348004486</v>
      </c>
      <c r="Z4098" t="str">
        <f>HYPERLINK("Melting_Curves/meltCurve_tr_C9J6H2_C9J6H2_HUMAN_.pdf", "Melting_Curves/meltCurve_tr_C9J6H2_C9J6H2_HUMAN_.pdf")</f>
        <v>Melting_Curves/meltCurve_tr_C9J6H2_C9J6H2_HUMAN_.pdf</v>
      </c>
      <c r="AA4098" t="s">
        <v>18251</v>
      </c>
      <c r="AB4098" t="s">
        <v>22925</v>
      </c>
    </row>
    <row r="4099" spans="1:28" x14ac:dyDescent="0.25">
      <c r="A4099" t="s">
        <v>4103</v>
      </c>
      <c r="B4099">
        <v>0.99904790336628502</v>
      </c>
      <c r="C4099">
        <v>0.84831366727688795</v>
      </c>
      <c r="D4099">
        <v>0.67672830689317598</v>
      </c>
      <c r="E4099">
        <v>0.56772128494444796</v>
      </c>
      <c r="F4099">
        <v>0.37486749677276898</v>
      </c>
      <c r="G4099">
        <v>0.177480602710757</v>
      </c>
      <c r="H4099">
        <v>0.10297281165109901</v>
      </c>
      <c r="I4099">
        <v>3.5941344855994102E-2</v>
      </c>
      <c r="J4099">
        <v>2.82100162882023E-2</v>
      </c>
      <c r="K4099">
        <v>2.03470128549595E-2</v>
      </c>
      <c r="L4099">
        <v>588.24240831728002</v>
      </c>
      <c r="M4099">
        <v>11.731496398592601</v>
      </c>
      <c r="N4099">
        <v>50.142146224236001</v>
      </c>
      <c r="O4099">
        <v>48.751705601571501</v>
      </c>
      <c r="P4099">
        <v>-6.0175256414816997E-2</v>
      </c>
      <c r="Q4099">
        <v>0</v>
      </c>
      <c r="R4099">
        <v>0.98831164052755005</v>
      </c>
      <c r="S4099" t="s">
        <v>8839</v>
      </c>
      <c r="T4099" t="s">
        <v>9478</v>
      </c>
      <c r="U4099" t="s">
        <v>9478</v>
      </c>
      <c r="V4099" t="s">
        <v>9478</v>
      </c>
      <c r="W4099">
        <v>1</v>
      </c>
      <c r="X4099" t="s">
        <v>13577</v>
      </c>
      <c r="Y4099">
        <v>0.37361010124342298</v>
      </c>
      <c r="Z4099" t="str">
        <f>HYPERLINK("Melting_Curves/meltCurve_tr_C9J712_C9J712_HUMAN_.pdf", "Melting_Curves/meltCurve_tr_C9J712_C9J712_HUMAN_.pdf")</f>
        <v>Melting_Curves/meltCurve_tr_C9J712_C9J712_HUMAN_.pdf</v>
      </c>
      <c r="AA4099" t="s">
        <v>18252</v>
      </c>
      <c r="AB4099" t="s">
        <v>22926</v>
      </c>
    </row>
    <row r="4100" spans="1:28" x14ac:dyDescent="0.25">
      <c r="A4100" t="s">
        <v>4104</v>
      </c>
      <c r="B4100">
        <v>0.99904790336628502</v>
      </c>
      <c r="C4100">
        <v>1.8966652907645201</v>
      </c>
      <c r="D4100">
        <v>2.2123994871189598</v>
      </c>
      <c r="E4100">
        <v>1.3383652809992701</v>
      </c>
      <c r="F4100">
        <v>1.9314242438489699</v>
      </c>
      <c r="G4100">
        <v>1.29005214712579</v>
      </c>
      <c r="H4100">
        <v>0.82028111428871497</v>
      </c>
      <c r="I4100">
        <v>0.860137146295192</v>
      </c>
      <c r="J4100">
        <v>1.4433045651126799</v>
      </c>
      <c r="K4100">
        <v>1.15446402357542</v>
      </c>
      <c r="L4100">
        <v>10239.1169437712</v>
      </c>
      <c r="M4100">
        <v>250</v>
      </c>
      <c r="O4100">
        <v>40.953863796386202</v>
      </c>
      <c r="P4100">
        <v>0.66929810998138095</v>
      </c>
      <c r="Q4100">
        <v>1.4385653171673201</v>
      </c>
      <c r="R4100">
        <v>8.4592890464295203E-2</v>
      </c>
      <c r="S4100" t="s">
        <v>8840</v>
      </c>
      <c r="T4100" t="s">
        <v>9478</v>
      </c>
      <c r="U4100" t="s">
        <v>9478</v>
      </c>
      <c r="V4100" t="s">
        <v>9478</v>
      </c>
      <c r="W4100">
        <v>2</v>
      </c>
      <c r="X4100" t="s">
        <v>13578</v>
      </c>
      <c r="Y4100">
        <v>1.4245456040454509</v>
      </c>
      <c r="Z4100" t="str">
        <f>HYPERLINK("Melting_Curves/meltCurve_tr_C9J815_C9J815_HUMAN_.pdf", "Melting_Curves/meltCurve_tr_C9J815_C9J815_HUMAN_.pdf")</f>
        <v>Melting_Curves/meltCurve_tr_C9J815_C9J815_HUMAN_.pdf</v>
      </c>
      <c r="AA4100" t="s">
        <v>18253</v>
      </c>
      <c r="AB4100" t="s">
        <v>22927</v>
      </c>
    </row>
    <row r="4101" spans="1:28" x14ac:dyDescent="0.25">
      <c r="A4101" t="s">
        <v>4105</v>
      </c>
      <c r="B4101">
        <v>0.99904790336628502</v>
      </c>
      <c r="C4101">
        <v>0.980582111006017</v>
      </c>
      <c r="D4101">
        <v>0.95622149382087596</v>
      </c>
      <c r="E4101">
        <v>0.624000266739412</v>
      </c>
      <c r="F4101">
        <v>0.33687943754990601</v>
      </c>
      <c r="G4101">
        <v>0.118314061763028</v>
      </c>
      <c r="H4101">
        <v>6.4554604216962297E-2</v>
      </c>
      <c r="I4101">
        <v>5.0608205729211903E-2</v>
      </c>
      <c r="J4101">
        <v>4.1926479393169902E-2</v>
      </c>
      <c r="K4101">
        <v>3.3270870947946701E-2</v>
      </c>
      <c r="L4101">
        <v>1191.39122524236</v>
      </c>
      <c r="M4101">
        <v>23.322532194059502</v>
      </c>
      <c r="N4101">
        <v>51.263648540755</v>
      </c>
      <c r="O4101">
        <v>50.712138640810899</v>
      </c>
      <c r="P4101">
        <v>-0.110447932644719</v>
      </c>
      <c r="Q4101">
        <v>3.9391831543910898E-2</v>
      </c>
      <c r="R4101">
        <v>0.99937603395222296</v>
      </c>
      <c r="S4101" t="s">
        <v>8841</v>
      </c>
      <c r="T4101" t="s">
        <v>9478</v>
      </c>
      <c r="U4101" t="s">
        <v>9478</v>
      </c>
      <c r="V4101" t="s">
        <v>9478</v>
      </c>
      <c r="W4101">
        <v>1</v>
      </c>
      <c r="X4101" t="s">
        <v>13579</v>
      </c>
      <c r="Y4101">
        <v>0.40422876370710698</v>
      </c>
      <c r="Z4101" t="str">
        <f>HYPERLINK("Melting_Curves/meltCurve_tr_C9J8B8_C9J8B8_HUMAN_.pdf", "Melting_Curves/meltCurve_tr_C9J8B8_C9J8B8_HUMAN_.pdf")</f>
        <v>Melting_Curves/meltCurve_tr_C9J8B8_C9J8B8_HUMAN_.pdf</v>
      </c>
      <c r="AA4101" t="s">
        <v>18254</v>
      </c>
      <c r="AB4101" t="s">
        <v>22928</v>
      </c>
    </row>
    <row r="4102" spans="1:28" x14ac:dyDescent="0.25">
      <c r="A4102" t="s">
        <v>4106</v>
      </c>
      <c r="B4102">
        <v>0.99904790336628502</v>
      </c>
      <c r="C4102">
        <v>0.89500039543832099</v>
      </c>
      <c r="D4102">
        <v>0.76820942960038896</v>
      </c>
      <c r="E4102">
        <v>0.468273249674312</v>
      </c>
      <c r="F4102">
        <v>0.296995077011944</v>
      </c>
      <c r="G4102">
        <v>0.17824387287542301</v>
      </c>
      <c r="H4102">
        <v>9.5822889596762606E-2</v>
      </c>
      <c r="I4102">
        <v>6.4071342077490198E-2</v>
      </c>
      <c r="J4102">
        <v>5.9780905633403998E-2</v>
      </c>
      <c r="K4102">
        <v>4.1322343921984701E-2</v>
      </c>
      <c r="L4102">
        <v>723.58783621335203</v>
      </c>
      <c r="M4102">
        <v>14.6321912420252</v>
      </c>
      <c r="N4102">
        <v>49.713907172716603</v>
      </c>
      <c r="O4102">
        <v>48.555652476940502</v>
      </c>
      <c r="P4102">
        <v>-7.25483435871382E-2</v>
      </c>
      <c r="Q4102">
        <v>3.7125742030858701E-2</v>
      </c>
      <c r="R4102">
        <v>0.99863967314572299</v>
      </c>
      <c r="S4102" t="s">
        <v>8842</v>
      </c>
      <c r="T4102" t="s">
        <v>9478</v>
      </c>
      <c r="U4102" t="s">
        <v>9478</v>
      </c>
      <c r="V4102" t="s">
        <v>9478</v>
      </c>
      <c r="W4102">
        <v>4</v>
      </c>
      <c r="X4102" t="s">
        <v>13580</v>
      </c>
      <c r="Y4102">
        <v>0.36495365317682338</v>
      </c>
      <c r="Z4102" t="str">
        <f>HYPERLINK("Melting_Curves/meltCurve_tr_C9J9K3_C9J9K3_HUMAN_.pdf", "Melting_Curves/meltCurve_tr_C9J9K3_C9J9K3_HUMAN_.pdf")</f>
        <v>Melting_Curves/meltCurve_tr_C9J9K3_C9J9K3_HUMAN_.pdf</v>
      </c>
      <c r="AA4102" t="s">
        <v>18255</v>
      </c>
      <c r="AB4102" t="s">
        <v>22929</v>
      </c>
    </row>
    <row r="4103" spans="1:28" x14ac:dyDescent="0.25">
      <c r="A4103" t="s">
        <v>4107</v>
      </c>
      <c r="B4103">
        <v>0.99904790336628502</v>
      </c>
      <c r="C4103">
        <v>1.0632829186810699</v>
      </c>
      <c r="D4103">
        <v>1.0969262526461401</v>
      </c>
      <c r="E4103">
        <v>0.86866407494475895</v>
      </c>
      <c r="F4103">
        <v>0.68666767764737702</v>
      </c>
      <c r="G4103">
        <v>0.697543232140313</v>
      </c>
      <c r="H4103">
        <v>0.64645239885475203</v>
      </c>
      <c r="I4103">
        <v>0.49748428627649999</v>
      </c>
      <c r="J4103">
        <v>0.59699160558981301</v>
      </c>
      <c r="K4103">
        <v>0.48928419838563397</v>
      </c>
      <c r="L4103">
        <v>1145.06708503542</v>
      </c>
      <c r="M4103">
        <v>21.906257096179999</v>
      </c>
      <c r="O4103">
        <v>51.841506071325</v>
      </c>
      <c r="P4103">
        <v>-4.6678070248202502E-2</v>
      </c>
      <c r="Q4103">
        <v>0.55815256288221304</v>
      </c>
      <c r="R4103">
        <v>0.90554003795858495</v>
      </c>
      <c r="S4103" t="s">
        <v>8843</v>
      </c>
      <c r="T4103" t="s">
        <v>9478</v>
      </c>
      <c r="U4103" t="s">
        <v>9478</v>
      </c>
      <c r="V4103" t="s">
        <v>9478</v>
      </c>
      <c r="W4103">
        <v>2</v>
      </c>
      <c r="X4103" t="s">
        <v>13581</v>
      </c>
      <c r="Y4103">
        <v>0.74406822756374402</v>
      </c>
      <c r="Z4103" t="str">
        <f>HYPERLINK("Melting_Curves/meltCurve_tr_C9JAV3_C9JAV3_HUMAN_.pdf", "Melting_Curves/meltCurve_tr_C9JAV3_C9JAV3_HUMAN_.pdf")</f>
        <v>Melting_Curves/meltCurve_tr_C9JAV3_C9JAV3_HUMAN_.pdf</v>
      </c>
      <c r="AA4103" t="s">
        <v>18256</v>
      </c>
      <c r="AB4103" t="s">
        <v>22930</v>
      </c>
    </row>
    <row r="4104" spans="1:28" x14ac:dyDescent="0.25">
      <c r="A4104" t="s">
        <v>4108</v>
      </c>
      <c r="B4104">
        <v>0.99904790336628502</v>
      </c>
      <c r="C4104">
        <v>0.97697095114514299</v>
      </c>
      <c r="D4104">
        <v>0.95673686390327695</v>
      </c>
      <c r="E4104">
        <v>0.97045493363967295</v>
      </c>
      <c r="F4104">
        <v>0.86244113730516303</v>
      </c>
      <c r="G4104">
        <v>0.898904538174084</v>
      </c>
      <c r="H4104">
        <v>0.68579217968694695</v>
      </c>
      <c r="I4104">
        <v>0.68393423366863004</v>
      </c>
      <c r="J4104">
        <v>0.56858404420355901</v>
      </c>
      <c r="K4104">
        <v>0.53789780400589904</v>
      </c>
      <c r="L4104">
        <v>552.77487494829199</v>
      </c>
      <c r="M4104">
        <v>8.4892962073255305</v>
      </c>
      <c r="O4104">
        <v>61.802632145403201</v>
      </c>
      <c r="P4104">
        <v>-2.52565186641944E-2</v>
      </c>
      <c r="Q4104">
        <v>0.26518904337781501</v>
      </c>
      <c r="R4104">
        <v>0.95990822342663595</v>
      </c>
      <c r="S4104" t="s">
        <v>8844</v>
      </c>
      <c r="T4104" t="s">
        <v>9478</v>
      </c>
      <c r="U4104" t="s">
        <v>9478</v>
      </c>
      <c r="V4104" t="s">
        <v>9478</v>
      </c>
      <c r="W4104">
        <v>8</v>
      </c>
      <c r="X4104" t="s">
        <v>13582</v>
      </c>
      <c r="Y4104">
        <v>0.82805924567687472</v>
      </c>
      <c r="Z4104" t="str">
        <f>HYPERLINK("Melting_Curves/meltCurve_tr_C9JAX1_C9JAX1_HUMAN_.pdf", "Melting_Curves/meltCurve_tr_C9JAX1_C9JAX1_HUMAN_.pdf")</f>
        <v>Melting_Curves/meltCurve_tr_C9JAX1_C9JAX1_HUMAN_.pdf</v>
      </c>
      <c r="AA4104" t="s">
        <v>18257</v>
      </c>
      <c r="AB4104" t="s">
        <v>22931</v>
      </c>
    </row>
    <row r="4105" spans="1:28" x14ac:dyDescent="0.25">
      <c r="A4105" t="s">
        <v>4109</v>
      </c>
      <c r="B4105">
        <v>0.99904790336628502</v>
      </c>
      <c r="C4105">
        <v>1.07394117132943</v>
      </c>
      <c r="D4105">
        <v>1.1042488873955401</v>
      </c>
      <c r="E4105">
        <v>0.86218338414909201</v>
      </c>
      <c r="F4105">
        <v>0.67960490501843096</v>
      </c>
      <c r="G4105">
        <v>0.36754539510061701</v>
      </c>
      <c r="H4105">
        <v>0.30497562569082998</v>
      </c>
      <c r="I4105">
        <v>0.25688063846179998</v>
      </c>
      <c r="J4105">
        <v>0.26747327477732802</v>
      </c>
      <c r="K4105">
        <v>0.21606589466158599</v>
      </c>
      <c r="L4105">
        <v>1383.14140967562</v>
      </c>
      <c r="M4105">
        <v>25.849845332084701</v>
      </c>
      <c r="N4105">
        <v>54.9637144367004</v>
      </c>
      <c r="O4105">
        <v>53.189621704394902</v>
      </c>
      <c r="P4105">
        <v>-9.1366804555416598E-2</v>
      </c>
      <c r="Q4105">
        <v>0.24800967565700699</v>
      </c>
      <c r="R4105">
        <v>0.98191610167351195</v>
      </c>
      <c r="S4105" t="s">
        <v>8845</v>
      </c>
      <c r="T4105" t="s">
        <v>9478</v>
      </c>
      <c r="U4105" t="s">
        <v>9478</v>
      </c>
      <c r="V4105" t="s">
        <v>9478</v>
      </c>
      <c r="W4105">
        <v>2</v>
      </c>
      <c r="X4105" t="s">
        <v>13583</v>
      </c>
      <c r="Y4105">
        <v>0.59310093551992515</v>
      </c>
      <c r="Z4105" t="str">
        <f>HYPERLINK("Melting_Curves/meltCurve_tr_C9JB56_C9JB56_HUMAN_.pdf", "Melting_Curves/meltCurve_tr_C9JB56_C9JB56_HUMAN_.pdf")</f>
        <v>Melting_Curves/meltCurve_tr_C9JB56_C9JB56_HUMAN_.pdf</v>
      </c>
      <c r="AA4105" t="s">
        <v>18258</v>
      </c>
      <c r="AB4105" t="s">
        <v>22932</v>
      </c>
    </row>
    <row r="4106" spans="1:28" x14ac:dyDescent="0.25">
      <c r="A4106" t="s">
        <v>4110</v>
      </c>
      <c r="B4106">
        <v>0.99904790336628502</v>
      </c>
      <c r="C4106">
        <v>0.89820485075351797</v>
      </c>
      <c r="D4106">
        <v>0.93259589592496395</v>
      </c>
      <c r="E4106">
        <v>0.89755757413204096</v>
      </c>
      <c r="F4106">
        <v>0.91470821498666399</v>
      </c>
      <c r="G4106">
        <v>0.74004801640777396</v>
      </c>
      <c r="H4106">
        <v>0.49270719022815401</v>
      </c>
      <c r="I4106">
        <v>0.348079114574188</v>
      </c>
      <c r="J4106">
        <v>9.8102619029188196E-2</v>
      </c>
      <c r="K4106">
        <v>3.9979044670735001E-2</v>
      </c>
      <c r="L4106">
        <v>1043.2439058743801</v>
      </c>
      <c r="M4106">
        <v>17.2101980662034</v>
      </c>
      <c r="N4106">
        <v>60.617774685638103</v>
      </c>
      <c r="O4106">
        <v>59.817104491294202</v>
      </c>
      <c r="P4106">
        <v>-7.1932650500391507E-2</v>
      </c>
      <c r="Q4106">
        <v>0</v>
      </c>
      <c r="R4106">
        <v>0.97393542788993503</v>
      </c>
      <c r="S4106" t="s">
        <v>8846</v>
      </c>
      <c r="T4106" t="s">
        <v>9478</v>
      </c>
      <c r="U4106" t="s">
        <v>9478</v>
      </c>
      <c r="V4106" t="s">
        <v>9478</v>
      </c>
      <c r="W4106">
        <v>6</v>
      </c>
      <c r="X4106" t="s">
        <v>13584</v>
      </c>
      <c r="Y4106">
        <v>0.69339398971978627</v>
      </c>
      <c r="Z4106" t="str">
        <f>HYPERLINK("Melting_Curves/meltCurve_tr_C9JBI3_C9JBI3_HUMAN_.pdf", "Melting_Curves/meltCurve_tr_C9JBI3_C9JBI3_HUMAN_.pdf")</f>
        <v>Melting_Curves/meltCurve_tr_C9JBI3_C9JBI3_HUMAN_.pdf</v>
      </c>
      <c r="AA4106" t="s">
        <v>18259</v>
      </c>
      <c r="AB4106" t="s">
        <v>22933</v>
      </c>
    </row>
    <row r="4107" spans="1:28" x14ac:dyDescent="0.25">
      <c r="A4107" t="s">
        <v>4111</v>
      </c>
      <c r="B4107">
        <v>0.99904790336628502</v>
      </c>
      <c r="C4107">
        <v>0.83160974967756895</v>
      </c>
      <c r="D4107">
        <v>0.83252414717343404</v>
      </c>
      <c r="E4107">
        <v>0.74546773142582401</v>
      </c>
      <c r="F4107">
        <v>0.65341714454524302</v>
      </c>
      <c r="G4107">
        <v>0.43783068166849198</v>
      </c>
      <c r="H4107">
        <v>0.200168691002616</v>
      </c>
      <c r="I4107">
        <v>0.11697313445388299</v>
      </c>
      <c r="J4107">
        <v>7.9310492950955394E-2</v>
      </c>
      <c r="K4107">
        <v>6.8019774503639899E-2</v>
      </c>
      <c r="L4107">
        <v>616.84714220836702</v>
      </c>
      <c r="M4107">
        <v>11.276946142005</v>
      </c>
      <c r="N4107">
        <v>54.699839304755599</v>
      </c>
      <c r="O4107">
        <v>53.064384929077001</v>
      </c>
      <c r="P4107">
        <v>-5.3144887210928297E-2</v>
      </c>
      <c r="Q4107">
        <v>0</v>
      </c>
      <c r="R4107">
        <v>0.97324733218828097</v>
      </c>
      <c r="S4107" t="s">
        <v>8847</v>
      </c>
      <c r="T4107" t="s">
        <v>9478</v>
      </c>
      <c r="U4107" t="s">
        <v>9478</v>
      </c>
      <c r="V4107" t="s">
        <v>9478</v>
      </c>
      <c r="W4107">
        <v>4</v>
      </c>
      <c r="X4107" t="s">
        <v>13585</v>
      </c>
      <c r="Y4107">
        <v>0.51539043141293683</v>
      </c>
      <c r="Z4107" t="str">
        <f>HYPERLINK("Melting_Curves/meltCurve_tr_C9JBJ6_C9JBJ6_HUMAN_.pdf", "Melting_Curves/meltCurve_tr_C9JBJ6_C9JBJ6_HUMAN_.pdf")</f>
        <v>Melting_Curves/meltCurve_tr_C9JBJ6_C9JBJ6_HUMAN_.pdf</v>
      </c>
      <c r="AA4107" t="s">
        <v>18260</v>
      </c>
      <c r="AB4107" t="s">
        <v>22934</v>
      </c>
    </row>
    <row r="4108" spans="1:28" x14ac:dyDescent="0.25">
      <c r="A4108" t="s">
        <v>4112</v>
      </c>
      <c r="B4108">
        <v>0.99904790336628502</v>
      </c>
      <c r="C4108">
        <v>1.0526184011979201</v>
      </c>
      <c r="D4108">
        <v>0.96659049553188803</v>
      </c>
      <c r="E4108">
        <v>1.0254910041262999</v>
      </c>
      <c r="F4108">
        <v>1.07290878053521</v>
      </c>
      <c r="G4108">
        <v>0.67812916624319297</v>
      </c>
      <c r="H4108">
        <v>0.53998478917477499</v>
      </c>
      <c r="I4108">
        <v>0.50305015864762104</v>
      </c>
      <c r="J4108">
        <v>0.49653524241814201</v>
      </c>
      <c r="K4108">
        <v>0.58981073610623702</v>
      </c>
      <c r="L4108">
        <v>14204.854597849</v>
      </c>
      <c r="M4108">
        <v>250</v>
      </c>
      <c r="O4108">
        <v>56.815805038181203</v>
      </c>
      <c r="P4108">
        <v>-0.51444197574489503</v>
      </c>
      <c r="Q4108">
        <v>0.532345226373095</v>
      </c>
      <c r="R4108">
        <v>0.97272361187728196</v>
      </c>
      <c r="S4108" t="s">
        <v>8848</v>
      </c>
      <c r="T4108" t="s">
        <v>9478</v>
      </c>
      <c r="U4108" t="s">
        <v>9478</v>
      </c>
      <c r="V4108" t="s">
        <v>9478</v>
      </c>
      <c r="W4108">
        <v>10</v>
      </c>
      <c r="X4108" t="s">
        <v>13586</v>
      </c>
      <c r="Y4108">
        <v>0.79458123627415278</v>
      </c>
      <c r="Z4108" t="str">
        <f>HYPERLINK("Melting_Curves/meltCurve_tr_C9JE98_C9JE98_HUMAN_.pdf", "Melting_Curves/meltCurve_tr_C9JE98_C9JE98_HUMAN_.pdf")</f>
        <v>Melting_Curves/meltCurve_tr_C9JE98_C9JE98_HUMAN_.pdf</v>
      </c>
      <c r="AA4108" t="s">
        <v>18261</v>
      </c>
      <c r="AB4108" t="s">
        <v>22935</v>
      </c>
    </row>
    <row r="4109" spans="1:28" x14ac:dyDescent="0.25">
      <c r="A4109" t="s">
        <v>4113</v>
      </c>
      <c r="B4109">
        <v>0.99904790336628502</v>
      </c>
      <c r="C4109">
        <v>0.74105988457507199</v>
      </c>
      <c r="D4109">
        <v>0.74673829688122695</v>
      </c>
      <c r="E4109">
        <v>0.666269819320913</v>
      </c>
      <c r="F4109">
        <v>0.403853954572989</v>
      </c>
      <c r="G4109">
        <v>0.163686885366889</v>
      </c>
      <c r="H4109">
        <v>0.11601618731560701</v>
      </c>
      <c r="I4109">
        <v>8.7463544243588598E-2</v>
      </c>
      <c r="J4109">
        <v>0.102336736692536</v>
      </c>
      <c r="K4109">
        <v>7.2767314577500797E-2</v>
      </c>
      <c r="L4109">
        <v>539.90188712848601</v>
      </c>
      <c r="M4109">
        <v>10.605009935335699</v>
      </c>
      <c r="N4109">
        <v>50.910101508531099</v>
      </c>
      <c r="O4109">
        <v>49.199912434841302</v>
      </c>
      <c r="P4109">
        <v>-5.3908283335349999E-2</v>
      </c>
      <c r="Q4109">
        <v>0</v>
      </c>
      <c r="R4109">
        <v>0.959276901041759</v>
      </c>
      <c r="S4109" t="s">
        <v>8849</v>
      </c>
      <c r="T4109" t="s">
        <v>9478</v>
      </c>
      <c r="U4109" t="s">
        <v>9478</v>
      </c>
      <c r="V4109" t="s">
        <v>9478</v>
      </c>
      <c r="W4109">
        <v>2</v>
      </c>
      <c r="X4109" t="s">
        <v>13587</v>
      </c>
      <c r="Y4109">
        <v>0.40254858870186561</v>
      </c>
      <c r="Z4109" t="str">
        <f>HYPERLINK("Melting_Curves/meltCurve_tr_C9JEL3_C9JEL3_HUMAN_.pdf", "Melting_Curves/meltCurve_tr_C9JEL3_C9JEL3_HUMAN_.pdf")</f>
        <v>Melting_Curves/meltCurve_tr_C9JEL3_C9JEL3_HUMAN_.pdf</v>
      </c>
      <c r="AA4109" t="s">
        <v>18262</v>
      </c>
      <c r="AB4109" t="s">
        <v>22936</v>
      </c>
    </row>
    <row r="4110" spans="1:28" x14ac:dyDescent="0.25">
      <c r="A4110" t="s">
        <v>4114</v>
      </c>
      <c r="B4110">
        <v>0.99904790336628502</v>
      </c>
      <c r="C4110">
        <v>0.9835387125242</v>
      </c>
      <c r="D4110">
        <v>1.0503123377782699</v>
      </c>
      <c r="E4110">
        <v>0.97629660881135705</v>
      </c>
      <c r="F4110">
        <v>0.77954420489245502</v>
      </c>
      <c r="G4110">
        <v>0.36759720122995898</v>
      </c>
      <c r="H4110">
        <v>0.12582470241280899</v>
      </c>
      <c r="I4110">
        <v>7.52214392434606E-2</v>
      </c>
      <c r="J4110">
        <v>5.6259464751032502E-2</v>
      </c>
      <c r="K4110">
        <v>6.1847186136312099E-2</v>
      </c>
      <c r="L4110">
        <v>1520.10045557784</v>
      </c>
      <c r="M4110">
        <v>27.3999265851498</v>
      </c>
      <c r="N4110">
        <v>55.707255457331101</v>
      </c>
      <c r="O4110">
        <v>55.185278895672901</v>
      </c>
      <c r="P4110">
        <v>-0.117517061642485</v>
      </c>
      <c r="Q4110">
        <v>5.3260046165933501E-2</v>
      </c>
      <c r="R4110">
        <v>0.99782178393675003</v>
      </c>
      <c r="S4110" t="s">
        <v>8850</v>
      </c>
      <c r="T4110" t="s">
        <v>9478</v>
      </c>
      <c r="U4110" t="s">
        <v>9478</v>
      </c>
      <c r="V4110" t="s">
        <v>9478</v>
      </c>
      <c r="W4110">
        <v>18</v>
      </c>
      <c r="X4110" t="s">
        <v>13588</v>
      </c>
      <c r="Y4110">
        <v>0.54916111667756529</v>
      </c>
      <c r="Z4110" t="str">
        <f>HYPERLINK("Melting_Curves/meltCurve_tr_C9JFE4_C9JFE4_HUMAN_.pdf", "Melting_Curves/meltCurve_tr_C9JFE4_C9JFE4_HUMAN_.pdf")</f>
        <v>Melting_Curves/meltCurve_tr_C9JFE4_C9JFE4_HUMAN_.pdf</v>
      </c>
      <c r="AA4110" t="s">
        <v>18263</v>
      </c>
      <c r="AB4110" t="s">
        <v>22937</v>
      </c>
    </row>
    <row r="4111" spans="1:28" x14ac:dyDescent="0.25">
      <c r="A4111" t="s">
        <v>4115</v>
      </c>
      <c r="B4111">
        <v>0.99904790336628502</v>
      </c>
      <c r="C4111">
        <v>1.09226452090357</v>
      </c>
      <c r="D4111">
        <v>0.92254714969866902</v>
      </c>
      <c r="E4111">
        <v>0.62887108279480897</v>
      </c>
      <c r="F4111">
        <v>0.42274836575834701</v>
      </c>
      <c r="G4111">
        <v>0.24079710877732199</v>
      </c>
      <c r="H4111">
        <v>0.221324902095001</v>
      </c>
      <c r="I4111">
        <v>0.188465802287648</v>
      </c>
      <c r="J4111">
        <v>0.119364238366771</v>
      </c>
      <c r="K4111">
        <v>5.3014197129553402E-2</v>
      </c>
      <c r="L4111">
        <v>987.25736776759095</v>
      </c>
      <c r="M4111">
        <v>19.2996438624989</v>
      </c>
      <c r="N4111">
        <v>51.946035322659803</v>
      </c>
      <c r="O4111">
        <v>50.614467622185302</v>
      </c>
      <c r="P4111">
        <v>-8.3181752040976206E-2</v>
      </c>
      <c r="Q4111">
        <v>0.127436264862411</v>
      </c>
      <c r="R4111">
        <v>0.98153513387889102</v>
      </c>
      <c r="S4111" t="s">
        <v>8851</v>
      </c>
      <c r="T4111" t="s">
        <v>9478</v>
      </c>
      <c r="U4111" t="s">
        <v>9478</v>
      </c>
      <c r="V4111" t="s">
        <v>9478</v>
      </c>
      <c r="W4111">
        <v>4</v>
      </c>
      <c r="X4111" t="s">
        <v>13589</v>
      </c>
      <c r="Y4111">
        <v>0.4647931918486321</v>
      </c>
      <c r="Z4111" t="str">
        <f>HYPERLINK("Melting_Curves/meltCurve_tr_C9JFR9_C9JFR9_HUMAN_.pdf", "Melting_Curves/meltCurve_tr_C9JFR9_C9JFR9_HUMAN_.pdf")</f>
        <v>Melting_Curves/meltCurve_tr_C9JFR9_C9JFR9_HUMAN_.pdf</v>
      </c>
      <c r="AA4111" t="s">
        <v>18264</v>
      </c>
      <c r="AB4111" t="s">
        <v>22938</v>
      </c>
    </row>
    <row r="4112" spans="1:28" x14ac:dyDescent="0.25">
      <c r="A4112" t="s">
        <v>4116</v>
      </c>
      <c r="B4112">
        <v>0.99904790336628502</v>
      </c>
      <c r="C4112">
        <v>0.62991418872952798</v>
      </c>
      <c r="D4112">
        <v>0.50562528290091002</v>
      </c>
      <c r="E4112">
        <v>0.44122063325361899</v>
      </c>
      <c r="F4112">
        <v>8.1353848502450601E-2</v>
      </c>
      <c r="G4112">
        <v>0.14489344265748</v>
      </c>
      <c r="H4112">
        <v>0</v>
      </c>
      <c r="I4112">
        <v>0</v>
      </c>
      <c r="J4112">
        <v>0</v>
      </c>
      <c r="K4112">
        <v>0</v>
      </c>
      <c r="L4112">
        <v>577.37445317465802</v>
      </c>
      <c r="M4112">
        <v>12.4147915175077</v>
      </c>
      <c r="N4112">
        <v>46.506987840733501</v>
      </c>
      <c r="O4112">
        <v>45.349738658549199</v>
      </c>
      <c r="P4112">
        <v>-6.8453618498912794E-2</v>
      </c>
      <c r="Q4112">
        <v>0</v>
      </c>
      <c r="R4112">
        <v>0.94107084325677104</v>
      </c>
      <c r="S4112" t="s">
        <v>8852</v>
      </c>
      <c r="T4112" t="s">
        <v>9478</v>
      </c>
      <c r="U4112" t="s">
        <v>9478</v>
      </c>
      <c r="V4112" t="s">
        <v>9478</v>
      </c>
      <c r="W4112">
        <v>3</v>
      </c>
      <c r="X4112" t="s">
        <v>13590</v>
      </c>
      <c r="Y4112">
        <v>0.25783260478761882</v>
      </c>
      <c r="Z4112" t="str">
        <f>HYPERLINK("Melting_Curves/meltCurve_tr_C9JG87_C9JG87_HUMAN_.pdf", "Melting_Curves/meltCurve_tr_C9JG87_C9JG87_HUMAN_.pdf")</f>
        <v>Melting_Curves/meltCurve_tr_C9JG87_C9JG87_HUMAN_.pdf</v>
      </c>
      <c r="AA4112" t="s">
        <v>18265</v>
      </c>
      <c r="AB4112" t="s">
        <v>22939</v>
      </c>
    </row>
    <row r="4113" spans="1:28" x14ac:dyDescent="0.25">
      <c r="A4113" t="s">
        <v>4117</v>
      </c>
      <c r="B4113">
        <v>0.99904790336628502</v>
      </c>
      <c r="C4113">
        <v>0.92523506317123205</v>
      </c>
      <c r="D4113">
        <v>0.90962568721720505</v>
      </c>
      <c r="E4113">
        <v>0.893167216779155</v>
      </c>
      <c r="F4113">
        <v>0.86743218429096802</v>
      </c>
      <c r="G4113">
        <v>0.60035605674511605</v>
      </c>
      <c r="H4113">
        <v>0.23999545319518001</v>
      </c>
      <c r="I4113">
        <v>0.103848532860214</v>
      </c>
      <c r="J4113">
        <v>6.72184697624887E-2</v>
      </c>
      <c r="K4113">
        <v>3.90890908011731E-2</v>
      </c>
      <c r="L4113">
        <v>1149.6386376056901</v>
      </c>
      <c r="M4113">
        <v>19.8930790072645</v>
      </c>
      <c r="N4113">
        <v>57.790887522440698</v>
      </c>
      <c r="O4113">
        <v>57.216400863344099</v>
      </c>
      <c r="P4113">
        <v>-8.6923243375353995E-2</v>
      </c>
      <c r="Q4113">
        <v>0</v>
      </c>
      <c r="R4113">
        <v>0.98733231958586498</v>
      </c>
      <c r="S4113" t="s">
        <v>8853</v>
      </c>
      <c r="T4113" t="s">
        <v>9478</v>
      </c>
      <c r="U4113" t="s">
        <v>9478</v>
      </c>
      <c r="V4113" t="s">
        <v>9478</v>
      </c>
      <c r="W4113">
        <v>3</v>
      </c>
      <c r="X4113" t="s">
        <v>13591</v>
      </c>
      <c r="Y4113">
        <v>0.60463838300217332</v>
      </c>
      <c r="Z4113" t="str">
        <f>HYPERLINK("Melting_Curves/meltCurve_tr_C9JG97_C9JG97_HUMAN_.pdf", "Melting_Curves/meltCurve_tr_C9JG97_C9JG97_HUMAN_.pdf")</f>
        <v>Melting_Curves/meltCurve_tr_C9JG97_C9JG97_HUMAN_.pdf</v>
      </c>
      <c r="AA4113" t="s">
        <v>18266</v>
      </c>
      <c r="AB4113" t="s">
        <v>22940</v>
      </c>
    </row>
    <row r="4114" spans="1:28" x14ac:dyDescent="0.25">
      <c r="A4114" t="s">
        <v>4118</v>
      </c>
      <c r="B4114">
        <v>0.99904790336628502</v>
      </c>
      <c r="C4114">
        <v>0.86977598812999402</v>
      </c>
      <c r="D4114">
        <v>0.68381441782753505</v>
      </c>
      <c r="E4114">
        <v>0.21620300335213</v>
      </c>
      <c r="F4114">
        <v>0.105784063946362</v>
      </c>
      <c r="G4114">
        <v>5.9017769609396899E-2</v>
      </c>
      <c r="H4114">
        <v>3.5579005997046803E-2</v>
      </c>
      <c r="I4114">
        <v>2.4138476760767601E-2</v>
      </c>
      <c r="J4114">
        <v>2.3066714243316501E-2</v>
      </c>
      <c r="K4114">
        <v>1.8568721909917801E-2</v>
      </c>
      <c r="L4114">
        <v>1074.70512192157</v>
      </c>
      <c r="M4114">
        <v>22.758622600988598</v>
      </c>
      <c r="N4114">
        <v>47.327986098747203</v>
      </c>
      <c r="O4114">
        <v>46.861848590617903</v>
      </c>
      <c r="P4114">
        <v>-0.118396420476531</v>
      </c>
      <c r="Q4114">
        <v>2.4868040792980401E-2</v>
      </c>
      <c r="R4114">
        <v>0.99737946876141204</v>
      </c>
      <c r="S4114" t="s">
        <v>8854</v>
      </c>
      <c r="T4114" t="s">
        <v>9478</v>
      </c>
      <c r="U4114" t="s">
        <v>9478</v>
      </c>
      <c r="V4114" t="s">
        <v>9478</v>
      </c>
      <c r="W4114">
        <v>8</v>
      </c>
      <c r="X4114" t="s">
        <v>13592</v>
      </c>
      <c r="Y4114">
        <v>0.27026847808130489</v>
      </c>
      <c r="Z4114" t="str">
        <f>HYPERLINK("Melting_Curves/meltCurve_tr_C9JGB2_C9JGB2_HUMAN_.pdf", "Melting_Curves/meltCurve_tr_C9JGB2_C9JGB2_HUMAN_.pdf")</f>
        <v>Melting_Curves/meltCurve_tr_C9JGB2_C9JGB2_HUMAN_.pdf</v>
      </c>
      <c r="AA4114" t="s">
        <v>18267</v>
      </c>
      <c r="AB4114" t="s">
        <v>22941</v>
      </c>
    </row>
    <row r="4115" spans="1:28" x14ac:dyDescent="0.25">
      <c r="A4115" t="s">
        <v>4119</v>
      </c>
      <c r="B4115">
        <v>0.99904790336628502</v>
      </c>
      <c r="C4115">
        <v>1.1329993066517701</v>
      </c>
      <c r="D4115">
        <v>0.949237562922288</v>
      </c>
      <c r="E4115">
        <v>0.73456850724082101</v>
      </c>
      <c r="F4115">
        <v>0.296504207218382</v>
      </c>
      <c r="G4115">
        <v>0.188580144070675</v>
      </c>
      <c r="H4115">
        <v>0.121346013050706</v>
      </c>
      <c r="I4115">
        <v>7.1784129508927194E-2</v>
      </c>
      <c r="J4115">
        <v>4.6306208782758797E-2</v>
      </c>
      <c r="K4115">
        <v>2.81744100318078E-2</v>
      </c>
      <c r="L4115">
        <v>1543.1255030457301</v>
      </c>
      <c r="M4115">
        <v>30.060426884208098</v>
      </c>
      <c r="N4115">
        <v>51.613955207779398</v>
      </c>
      <c r="O4115">
        <v>51.108548200919799</v>
      </c>
      <c r="P4115">
        <v>-0.135986016783639</v>
      </c>
      <c r="Q4115">
        <v>7.5195760425595295E-2</v>
      </c>
      <c r="R4115">
        <v>0.98308305294679899</v>
      </c>
      <c r="S4115" t="s">
        <v>8855</v>
      </c>
      <c r="T4115" t="s">
        <v>9478</v>
      </c>
      <c r="U4115" t="s">
        <v>9478</v>
      </c>
      <c r="V4115" t="s">
        <v>9478</v>
      </c>
      <c r="W4115">
        <v>2</v>
      </c>
      <c r="X4115" t="s">
        <v>13593</v>
      </c>
      <c r="Y4115">
        <v>0.43041346321815432</v>
      </c>
      <c r="Z4115" t="str">
        <f>HYPERLINK("Melting_Curves/meltCurve_tr_C9JIK8_C9JIK8_HUMAN_.pdf", "Melting_Curves/meltCurve_tr_C9JIK8_C9JIK8_HUMAN_.pdf")</f>
        <v>Melting_Curves/meltCurve_tr_C9JIK8_C9JIK8_HUMAN_.pdf</v>
      </c>
      <c r="AA4115" t="s">
        <v>18268</v>
      </c>
      <c r="AB4115" t="s">
        <v>22942</v>
      </c>
    </row>
    <row r="4116" spans="1:28" x14ac:dyDescent="0.25">
      <c r="A4116" t="s">
        <v>4120</v>
      </c>
      <c r="B4116">
        <v>0.99904790336628502</v>
      </c>
      <c r="C4116">
        <v>0.78289439107515901</v>
      </c>
      <c r="D4116">
        <v>0.53239283686377603</v>
      </c>
      <c r="E4116">
        <v>0.30986778234784301</v>
      </c>
      <c r="F4116">
        <v>0.17965837805902399</v>
      </c>
      <c r="G4116">
        <v>6.87728463017689E-2</v>
      </c>
      <c r="H4116">
        <v>3.0412477896031E-2</v>
      </c>
      <c r="I4116">
        <v>3.5386699695892303E-2</v>
      </c>
      <c r="J4116">
        <v>8.1051463636511806E-2</v>
      </c>
      <c r="K4116">
        <v>0</v>
      </c>
      <c r="L4116">
        <v>716.14918172867499</v>
      </c>
      <c r="M4116">
        <v>15.346456062043</v>
      </c>
      <c r="N4116">
        <v>46.825227496038003</v>
      </c>
      <c r="O4116">
        <v>45.8946116486241</v>
      </c>
      <c r="P4116">
        <v>-8.1471191675256502E-2</v>
      </c>
      <c r="Q4116">
        <v>2.5509918741738601E-2</v>
      </c>
      <c r="R4116">
        <v>0.990129595677403</v>
      </c>
      <c r="S4116" t="s">
        <v>8856</v>
      </c>
      <c r="T4116" t="s">
        <v>9478</v>
      </c>
      <c r="U4116" t="s">
        <v>9478</v>
      </c>
      <c r="V4116" t="s">
        <v>9478</v>
      </c>
      <c r="W4116">
        <v>1</v>
      </c>
      <c r="X4116" t="s">
        <v>13594</v>
      </c>
      <c r="Y4116">
        <v>0.26782691837919109</v>
      </c>
      <c r="Z4116" t="str">
        <f>HYPERLINK("Melting_Curves/meltCurve_tr_C9JLV4_C9JLV4_HUMAN_.pdf", "Melting_Curves/meltCurve_tr_C9JLV4_C9JLV4_HUMAN_.pdf")</f>
        <v>Melting_Curves/meltCurve_tr_C9JLV4_C9JLV4_HUMAN_.pdf</v>
      </c>
      <c r="AA4116" t="s">
        <v>18269</v>
      </c>
      <c r="AB4116" t="s">
        <v>22943</v>
      </c>
    </row>
    <row r="4117" spans="1:28" x14ac:dyDescent="0.25">
      <c r="A4117" t="s">
        <v>4121</v>
      </c>
      <c r="B4117">
        <v>0.99904790336628502</v>
      </c>
      <c r="C4117">
        <v>0.97491401336059902</v>
      </c>
      <c r="D4117">
        <v>1.15824394557882</v>
      </c>
      <c r="E4117">
        <v>0.666521951535473</v>
      </c>
      <c r="F4117">
        <v>0.61531272145511695</v>
      </c>
      <c r="G4117">
        <v>0.42054703912826402</v>
      </c>
      <c r="H4117">
        <v>0.241151744943531</v>
      </c>
      <c r="I4117">
        <v>5.5264427133386397E-2</v>
      </c>
      <c r="J4117">
        <v>0</v>
      </c>
      <c r="K4117">
        <v>0</v>
      </c>
      <c r="L4117">
        <v>819.73457922321802</v>
      </c>
      <c r="M4117">
        <v>14.956683672241301</v>
      </c>
      <c r="N4117">
        <v>54.807252672267197</v>
      </c>
      <c r="O4117">
        <v>53.855477366986896</v>
      </c>
      <c r="P4117">
        <v>-6.9436818092151006E-2</v>
      </c>
      <c r="Q4117">
        <v>0</v>
      </c>
      <c r="R4117">
        <v>0.95323048301203395</v>
      </c>
      <c r="S4117" t="s">
        <v>8857</v>
      </c>
      <c r="T4117" t="s">
        <v>9478</v>
      </c>
      <c r="U4117" t="s">
        <v>9478</v>
      </c>
      <c r="V4117" t="s">
        <v>9478</v>
      </c>
      <c r="W4117">
        <v>1</v>
      </c>
      <c r="X4117" t="s">
        <v>13595</v>
      </c>
      <c r="Y4117">
        <v>0.51317897473893848</v>
      </c>
      <c r="Z4117" t="str">
        <f>HYPERLINK("Melting_Curves/meltCurve_tr_C9JMG3_C9JMG3_HUMAN_.pdf", "Melting_Curves/meltCurve_tr_C9JMG3_C9JMG3_HUMAN_.pdf")</f>
        <v>Melting_Curves/meltCurve_tr_C9JMG3_C9JMG3_HUMAN_.pdf</v>
      </c>
      <c r="AA4117" t="s">
        <v>18270</v>
      </c>
      <c r="AB4117" t="s">
        <v>22944</v>
      </c>
    </row>
    <row r="4118" spans="1:28" x14ac:dyDescent="0.25">
      <c r="A4118" t="s">
        <v>4122</v>
      </c>
      <c r="B4118">
        <v>0.99904790336628502</v>
      </c>
      <c r="C4118">
        <v>0.87041174544696098</v>
      </c>
      <c r="D4118">
        <v>0.60140609897431796</v>
      </c>
      <c r="E4118">
        <v>0.260232391706952</v>
      </c>
      <c r="F4118">
        <v>0.182000505499745</v>
      </c>
      <c r="G4118">
        <v>0.10306069363011899</v>
      </c>
      <c r="H4118">
        <v>7.7568893997692998E-2</v>
      </c>
      <c r="I4118">
        <v>7.7557120804527202E-2</v>
      </c>
      <c r="J4118">
        <v>7.4973018592544197E-2</v>
      </c>
      <c r="K4118">
        <v>6.5524605364456895E-2</v>
      </c>
      <c r="L4118">
        <v>940.36178256952701</v>
      </c>
      <c r="M4118">
        <v>20.129943768067101</v>
      </c>
      <c r="N4118">
        <v>47.096264681296702</v>
      </c>
      <c r="O4118">
        <v>46.260887235887999</v>
      </c>
      <c r="P4118">
        <v>-0.10060042486295601</v>
      </c>
      <c r="Q4118">
        <v>7.5264726410636695E-2</v>
      </c>
      <c r="R4118">
        <v>0.99822571223831202</v>
      </c>
      <c r="S4118" t="s">
        <v>8858</v>
      </c>
      <c r="T4118" t="s">
        <v>9478</v>
      </c>
      <c r="U4118" t="s">
        <v>9478</v>
      </c>
      <c r="V4118" t="s">
        <v>9478</v>
      </c>
      <c r="W4118">
        <v>4</v>
      </c>
      <c r="X4118" t="s">
        <v>13596</v>
      </c>
      <c r="Y4118">
        <v>0.2957495387760487</v>
      </c>
      <c r="Z4118" t="str">
        <f>HYPERLINK("Melting_Curves/meltCurve_tr_C9JNE2_C9JNE2_HUMAN_.pdf", "Melting_Curves/meltCurve_tr_C9JNE2_C9JNE2_HUMAN_.pdf")</f>
        <v>Melting_Curves/meltCurve_tr_C9JNE2_C9JNE2_HUMAN_.pdf</v>
      </c>
      <c r="AA4118" t="s">
        <v>18271</v>
      </c>
      <c r="AB4118" t="s">
        <v>22945</v>
      </c>
    </row>
    <row r="4119" spans="1:28" x14ac:dyDescent="0.25">
      <c r="A4119" t="s">
        <v>4123</v>
      </c>
      <c r="B4119">
        <v>0.99904790336628502</v>
      </c>
      <c r="C4119">
        <v>0.96843414178250198</v>
      </c>
      <c r="D4119">
        <v>0.95536690434621696</v>
      </c>
      <c r="E4119">
        <v>0.94736008794116</v>
      </c>
      <c r="F4119">
        <v>0.98867799656511002</v>
      </c>
      <c r="G4119">
        <v>0.83696621647133396</v>
      </c>
      <c r="H4119">
        <v>0.70893664739759898</v>
      </c>
      <c r="I4119">
        <v>0.70346625969432497</v>
      </c>
      <c r="J4119">
        <v>0.71394355953722899</v>
      </c>
      <c r="K4119">
        <v>0.67203305549127101</v>
      </c>
      <c r="L4119">
        <v>2132.7115019138801</v>
      </c>
      <c r="M4119">
        <v>37.5429861453879</v>
      </c>
      <c r="O4119">
        <v>56.646735363447704</v>
      </c>
      <c r="P4119">
        <v>-5.0882252955863398E-2</v>
      </c>
      <c r="Q4119">
        <v>0.69290608308253698</v>
      </c>
      <c r="R4119">
        <v>0.96097602398056803</v>
      </c>
      <c r="S4119" t="s">
        <v>8859</v>
      </c>
      <c r="T4119" t="s">
        <v>9478</v>
      </c>
      <c r="U4119" t="s">
        <v>9478</v>
      </c>
      <c r="V4119" t="s">
        <v>9478</v>
      </c>
      <c r="W4119">
        <v>11</v>
      </c>
      <c r="X4119" t="s">
        <v>13597</v>
      </c>
      <c r="Y4119">
        <v>0.86630184478255701</v>
      </c>
      <c r="Z4119" t="str">
        <f>HYPERLINK("Melting_Curves/meltCurve_tr_C9JQ41_C9JQ41_HUMAN_.pdf", "Melting_Curves/meltCurve_tr_C9JQ41_C9JQ41_HUMAN_.pdf")</f>
        <v>Melting_Curves/meltCurve_tr_C9JQ41_C9JQ41_HUMAN_.pdf</v>
      </c>
      <c r="AA4119" t="s">
        <v>18272</v>
      </c>
      <c r="AB4119" t="s">
        <v>22946</v>
      </c>
    </row>
    <row r="4120" spans="1:28" x14ac:dyDescent="0.25">
      <c r="A4120" t="s">
        <v>4124</v>
      </c>
      <c r="B4120">
        <v>0.99904790336628502</v>
      </c>
      <c r="C4120">
        <v>0.98697778122395396</v>
      </c>
      <c r="D4120">
        <v>0.958543258570834</v>
      </c>
      <c r="E4120">
        <v>0.87337099674566399</v>
      </c>
      <c r="F4120">
        <v>0.78706257519172895</v>
      </c>
      <c r="G4120">
        <v>0.55284649545378295</v>
      </c>
      <c r="H4120">
        <v>0.33927565464052101</v>
      </c>
      <c r="I4120">
        <v>0.197709787356287</v>
      </c>
      <c r="J4120">
        <v>0.117761230178124</v>
      </c>
      <c r="K4120">
        <v>0.106043427624436</v>
      </c>
      <c r="L4120">
        <v>782.64179731842398</v>
      </c>
      <c r="M4120">
        <v>13.535848863158</v>
      </c>
      <c r="N4120">
        <v>57.819927345323599</v>
      </c>
      <c r="O4120">
        <v>56.601703782854997</v>
      </c>
      <c r="P4120">
        <v>-5.9794542806012499E-2</v>
      </c>
      <c r="Q4120">
        <v>0</v>
      </c>
      <c r="R4120">
        <v>0.99864375264206495</v>
      </c>
      <c r="S4120" t="s">
        <v>8860</v>
      </c>
      <c r="T4120" t="s">
        <v>9478</v>
      </c>
      <c r="U4120" t="s">
        <v>9478</v>
      </c>
      <c r="V4120" t="s">
        <v>9478</v>
      </c>
      <c r="W4120">
        <v>4</v>
      </c>
      <c r="X4120" t="s">
        <v>13598</v>
      </c>
      <c r="Y4120">
        <v>0.60802927576296983</v>
      </c>
      <c r="Z4120" t="str">
        <f>HYPERLINK("Melting_Curves/meltCurve_tr_C9JQB1_C9JQB1_HUMAN_.pdf", "Melting_Curves/meltCurve_tr_C9JQB1_C9JQB1_HUMAN_.pdf")</f>
        <v>Melting_Curves/meltCurve_tr_C9JQB1_C9JQB1_HUMAN_.pdf</v>
      </c>
      <c r="AA4120" t="s">
        <v>18273</v>
      </c>
      <c r="AB4120" t="s">
        <v>22947</v>
      </c>
    </row>
    <row r="4121" spans="1:28" x14ac:dyDescent="0.25">
      <c r="A4121" t="s">
        <v>4125</v>
      </c>
      <c r="B4121">
        <v>0.99904790336628502</v>
      </c>
      <c r="C4121">
        <v>0.84872282251551101</v>
      </c>
      <c r="D4121">
        <v>0.77624468645952005</v>
      </c>
      <c r="E4121">
        <v>0.52128321960693402</v>
      </c>
      <c r="F4121">
        <v>0.26752752808528801</v>
      </c>
      <c r="G4121">
        <v>0.14633237707407501</v>
      </c>
      <c r="H4121">
        <v>8.75863320118766E-2</v>
      </c>
      <c r="I4121">
        <v>6.7057348192839997E-2</v>
      </c>
      <c r="J4121">
        <v>5.6971631758980103E-2</v>
      </c>
      <c r="K4121">
        <v>3.1155547370176399E-2</v>
      </c>
      <c r="L4121">
        <v>713.82997679999403</v>
      </c>
      <c r="M4121">
        <v>14.3840928835487</v>
      </c>
      <c r="N4121">
        <v>49.787684151037901</v>
      </c>
      <c r="O4121">
        <v>48.696742582792702</v>
      </c>
      <c r="P4121">
        <v>-7.2172309479967001E-2</v>
      </c>
      <c r="Q4121">
        <v>2.27711019627393E-2</v>
      </c>
      <c r="R4121">
        <v>0.99423558162289605</v>
      </c>
      <c r="S4121" t="s">
        <v>8861</v>
      </c>
      <c r="T4121" t="s">
        <v>9478</v>
      </c>
      <c r="U4121" t="s">
        <v>9478</v>
      </c>
      <c r="V4121" t="s">
        <v>9478</v>
      </c>
      <c r="W4121">
        <v>4</v>
      </c>
      <c r="X4121" t="s">
        <v>13599</v>
      </c>
      <c r="Y4121">
        <v>0.36177908786204571</v>
      </c>
      <c r="Z4121" t="str">
        <f>HYPERLINK("Melting_Curves/meltCurve_tr_C9JQD1_C9JQD1_HUMAN_.pdf", "Melting_Curves/meltCurve_tr_C9JQD1_C9JQD1_HUMAN_.pdf")</f>
        <v>Melting_Curves/meltCurve_tr_C9JQD1_C9JQD1_HUMAN_.pdf</v>
      </c>
      <c r="AA4121" t="s">
        <v>18274</v>
      </c>
      <c r="AB4121" t="s">
        <v>22948</v>
      </c>
    </row>
    <row r="4122" spans="1:28" x14ac:dyDescent="0.25">
      <c r="A4122" t="s">
        <v>4126</v>
      </c>
      <c r="B4122">
        <v>0.99904790336628502</v>
      </c>
      <c r="C4122">
        <v>1.06417076043606</v>
      </c>
      <c r="D4122">
        <v>0.98460208026973794</v>
      </c>
      <c r="E4122">
        <v>0.83431047842430905</v>
      </c>
      <c r="F4122">
        <v>0.37669843518816598</v>
      </c>
      <c r="G4122">
        <v>0.14844250533005099</v>
      </c>
      <c r="H4122">
        <v>6.4245421460169497E-2</v>
      </c>
      <c r="I4122">
        <v>2.44036503073373E-2</v>
      </c>
      <c r="J4122">
        <v>1.6256665773334799E-2</v>
      </c>
      <c r="K4122">
        <v>1.37555686821649E-2</v>
      </c>
      <c r="L4122">
        <v>1662.1945862370501</v>
      </c>
      <c r="M4122">
        <v>31.831979950698599</v>
      </c>
      <c r="N4122">
        <v>52.3364040106377</v>
      </c>
      <c r="O4122">
        <v>52.012977025321497</v>
      </c>
      <c r="P4122">
        <v>-0.147674937224611</v>
      </c>
      <c r="Q4122">
        <v>3.4810615000959201E-2</v>
      </c>
      <c r="R4122">
        <v>0.99495483719234601</v>
      </c>
      <c r="S4122" t="s">
        <v>8862</v>
      </c>
      <c r="T4122" t="s">
        <v>9478</v>
      </c>
      <c r="U4122" t="s">
        <v>9478</v>
      </c>
      <c r="V4122" t="s">
        <v>9478</v>
      </c>
      <c r="W4122">
        <v>2</v>
      </c>
      <c r="X4122" t="s">
        <v>13600</v>
      </c>
      <c r="Y4122">
        <v>0.43339339437719132</v>
      </c>
      <c r="Z4122" t="str">
        <f>HYPERLINK("Melting_Curves/meltCurve_tr_C9JQD4_C9JQD4_HUMAN_.pdf", "Melting_Curves/meltCurve_tr_C9JQD4_C9JQD4_HUMAN_.pdf")</f>
        <v>Melting_Curves/meltCurve_tr_C9JQD4_C9JQD4_HUMAN_.pdf</v>
      </c>
      <c r="AA4122" t="s">
        <v>18275</v>
      </c>
      <c r="AB4122" t="s">
        <v>22949</v>
      </c>
    </row>
    <row r="4123" spans="1:28" x14ac:dyDescent="0.25">
      <c r="A4123" t="s">
        <v>4127</v>
      </c>
      <c r="B4123">
        <v>0.99904790336628502</v>
      </c>
      <c r="C4123">
        <v>0.95663501085737002</v>
      </c>
      <c r="D4123">
        <v>0.99595895034079895</v>
      </c>
      <c r="E4123">
        <v>0.79179290199705099</v>
      </c>
      <c r="F4123">
        <v>0.70700995961225799</v>
      </c>
      <c r="G4123">
        <v>0.53160200150096004</v>
      </c>
      <c r="H4123">
        <v>0.36791917208224201</v>
      </c>
      <c r="I4123">
        <v>0.226710329551427</v>
      </c>
      <c r="J4123">
        <v>0.205522355634666</v>
      </c>
      <c r="K4123">
        <v>0.19537759245926201</v>
      </c>
      <c r="L4123">
        <v>675.78276597624301</v>
      </c>
      <c r="M4123">
        <v>12.022243750355299</v>
      </c>
      <c r="N4123">
        <v>57.244267136409903</v>
      </c>
      <c r="O4123">
        <v>54.723536232868099</v>
      </c>
      <c r="P4123">
        <v>-4.9577712788485301E-2</v>
      </c>
      <c r="Q4123">
        <v>9.7533334925452297E-2</v>
      </c>
      <c r="R4123">
        <v>0.991933884189385</v>
      </c>
      <c r="S4123" t="s">
        <v>8863</v>
      </c>
      <c r="T4123" t="s">
        <v>9478</v>
      </c>
      <c r="U4123" t="s">
        <v>9478</v>
      </c>
      <c r="V4123" t="s">
        <v>9478</v>
      </c>
      <c r="W4123">
        <v>3</v>
      </c>
      <c r="X4123" t="s">
        <v>13601</v>
      </c>
      <c r="Y4123">
        <v>0.60294567546732114</v>
      </c>
      <c r="Z4123" t="str">
        <f>HYPERLINK("Melting_Curves/meltCurve_tr_C9JQV3_C9JQV3_HUMAN_.pdf", "Melting_Curves/meltCurve_tr_C9JQV3_C9JQV3_HUMAN_.pdf")</f>
        <v>Melting_Curves/meltCurve_tr_C9JQV3_C9JQV3_HUMAN_.pdf</v>
      </c>
      <c r="AA4123" t="s">
        <v>18276</v>
      </c>
      <c r="AB4123" t="s">
        <v>22950</v>
      </c>
    </row>
    <row r="4124" spans="1:28" x14ac:dyDescent="0.25">
      <c r="A4124" t="s">
        <v>4128</v>
      </c>
      <c r="B4124">
        <v>0.99904790336628502</v>
      </c>
      <c r="C4124">
        <v>1.10872876592945</v>
      </c>
      <c r="D4124">
        <v>1.10730729133248</v>
      </c>
      <c r="E4124">
        <v>0.97526676567580906</v>
      </c>
      <c r="F4124">
        <v>0.73647092409352899</v>
      </c>
      <c r="G4124">
        <v>0.43571151440335498</v>
      </c>
      <c r="H4124">
        <v>0.1923583668163</v>
      </c>
      <c r="I4124">
        <v>6.9709149252454305E-2</v>
      </c>
      <c r="J4124">
        <v>3.3025503616952501E-2</v>
      </c>
      <c r="K4124">
        <v>4.1024822021082499E-2</v>
      </c>
      <c r="L4124">
        <v>1204.10806978959</v>
      </c>
      <c r="M4124">
        <v>21.464645910255999</v>
      </c>
      <c r="N4124">
        <v>56.200064306914797</v>
      </c>
      <c r="O4124">
        <v>55.617175353677297</v>
      </c>
      <c r="P4124">
        <v>-9.4628941381598594E-2</v>
      </c>
      <c r="Q4124">
        <v>1.9249629466860301E-2</v>
      </c>
      <c r="R4124">
        <v>0.98416052959563405</v>
      </c>
      <c r="S4124" t="s">
        <v>8864</v>
      </c>
      <c r="T4124" t="s">
        <v>9478</v>
      </c>
      <c r="U4124" t="s">
        <v>9478</v>
      </c>
      <c r="V4124" t="s">
        <v>9478</v>
      </c>
      <c r="W4124">
        <v>2</v>
      </c>
      <c r="X4124" t="s">
        <v>13602</v>
      </c>
      <c r="Y4124">
        <v>0.55689454278955108</v>
      </c>
      <c r="Z4124" t="str">
        <f>HYPERLINK("Melting_Curves/meltCurve_tr_C9JSG1_C9JSG1_HUMAN_.pdf", "Melting_Curves/meltCurve_tr_C9JSG1_C9JSG1_HUMAN_.pdf")</f>
        <v>Melting_Curves/meltCurve_tr_C9JSG1_C9JSG1_HUMAN_.pdf</v>
      </c>
      <c r="AA4124" t="s">
        <v>18277</v>
      </c>
      <c r="AB4124" t="s">
        <v>22951</v>
      </c>
    </row>
    <row r="4125" spans="1:28" x14ac:dyDescent="0.25">
      <c r="A4125" t="s">
        <v>4129</v>
      </c>
      <c r="B4125">
        <v>0.99904790336628502</v>
      </c>
      <c r="C4125">
        <v>1.0589887013421799</v>
      </c>
      <c r="D4125">
        <v>1.00358189718767</v>
      </c>
      <c r="E4125">
        <v>0.67205610486540601</v>
      </c>
      <c r="F4125">
        <v>0.51896785224222397</v>
      </c>
      <c r="G4125">
        <v>0.338120119734448</v>
      </c>
      <c r="H4125">
        <v>0.25518642007440401</v>
      </c>
      <c r="I4125">
        <v>0.20893071823100401</v>
      </c>
      <c r="J4125">
        <v>0.231525725903198</v>
      </c>
      <c r="K4125">
        <v>0.26634409988468899</v>
      </c>
      <c r="L4125">
        <v>1129.2674258744901</v>
      </c>
      <c r="M4125">
        <v>22.002003046675</v>
      </c>
      <c r="N4125">
        <v>52.872858768556398</v>
      </c>
      <c r="O4125">
        <v>50.907319348520602</v>
      </c>
      <c r="P4125">
        <v>-8.2404226414026505E-2</v>
      </c>
      <c r="Q4125">
        <v>0.23736324356663599</v>
      </c>
      <c r="R4125">
        <v>0.98661870771090798</v>
      </c>
      <c r="S4125" t="s">
        <v>8865</v>
      </c>
      <c r="T4125" t="s">
        <v>9478</v>
      </c>
      <c r="U4125" t="s">
        <v>9478</v>
      </c>
      <c r="V4125" t="s">
        <v>9478</v>
      </c>
      <c r="W4125">
        <v>1</v>
      </c>
      <c r="X4125" t="s">
        <v>13603</v>
      </c>
      <c r="Y4125">
        <v>0.53412130058587459</v>
      </c>
      <c r="Z4125" t="str">
        <f>HYPERLINK("Melting_Curves/meltCurve_tr_C9JTA6_C9JTA6_HUMAN_.pdf", "Melting_Curves/meltCurve_tr_C9JTA6_C9JTA6_HUMAN_.pdf")</f>
        <v>Melting_Curves/meltCurve_tr_C9JTA6_C9JTA6_HUMAN_.pdf</v>
      </c>
      <c r="AA4125" t="s">
        <v>18278</v>
      </c>
      <c r="AB4125" t="s">
        <v>22952</v>
      </c>
    </row>
    <row r="4126" spans="1:28" x14ac:dyDescent="0.25">
      <c r="A4126" t="s">
        <v>4130</v>
      </c>
      <c r="B4126">
        <v>0.99904790336628502</v>
      </c>
      <c r="C4126">
        <v>0.99344608064689399</v>
      </c>
      <c r="D4126">
        <v>1.0790781506313201</v>
      </c>
      <c r="E4126">
        <v>0.86750359001946098</v>
      </c>
      <c r="F4126">
        <v>0.95527314914066197</v>
      </c>
      <c r="G4126">
        <v>0.65482052795330403</v>
      </c>
      <c r="H4126">
        <v>0.69332600607166495</v>
      </c>
      <c r="I4126">
        <v>0.80166791966909301</v>
      </c>
      <c r="J4126">
        <v>0.73412765651221201</v>
      </c>
      <c r="K4126">
        <v>0.66767543439726496</v>
      </c>
      <c r="L4126">
        <v>13340.1252273713</v>
      </c>
      <c r="M4126">
        <v>250</v>
      </c>
      <c r="O4126">
        <v>53.3570862223823</v>
      </c>
      <c r="P4126">
        <v>-0.33931352406919801</v>
      </c>
      <c r="Q4126">
        <v>0.71032350514507303</v>
      </c>
      <c r="R4126">
        <v>0.82592110897311599</v>
      </c>
      <c r="S4126" t="s">
        <v>8866</v>
      </c>
      <c r="T4126" t="s">
        <v>9478</v>
      </c>
      <c r="U4126" t="s">
        <v>9478</v>
      </c>
      <c r="V4126" t="s">
        <v>9478</v>
      </c>
      <c r="W4126">
        <v>1</v>
      </c>
      <c r="X4126" t="s">
        <v>13604</v>
      </c>
      <c r="Y4126">
        <v>0.83935806820146075</v>
      </c>
      <c r="Z4126" t="str">
        <f>HYPERLINK("Melting_Curves/meltCurve_tr_C9JTW6_C9JTW6_HUMAN_.pdf", "Melting_Curves/meltCurve_tr_C9JTW6_C9JTW6_HUMAN_.pdf")</f>
        <v>Melting_Curves/meltCurve_tr_C9JTW6_C9JTW6_HUMAN_.pdf</v>
      </c>
      <c r="AA4126" t="s">
        <v>18279</v>
      </c>
      <c r="AB4126" t="s">
        <v>22953</v>
      </c>
    </row>
    <row r="4127" spans="1:28" x14ac:dyDescent="0.25">
      <c r="A4127" t="s">
        <v>4131</v>
      </c>
      <c r="B4127">
        <v>0.99904790336628502</v>
      </c>
      <c r="C4127">
        <v>0.93202182462272098</v>
      </c>
      <c r="D4127">
        <v>0.94676396304936195</v>
      </c>
      <c r="E4127">
        <v>0.797042873522121</v>
      </c>
      <c r="F4127">
        <v>0.60133061835724899</v>
      </c>
      <c r="G4127">
        <v>0.46114735940248203</v>
      </c>
      <c r="H4127">
        <v>0.26273038000681698</v>
      </c>
      <c r="I4127">
        <v>0.164567409661974</v>
      </c>
      <c r="J4127">
        <v>0.12959944130353199</v>
      </c>
      <c r="K4127">
        <v>0.127023655611855</v>
      </c>
      <c r="L4127">
        <v>675.22666439219199</v>
      </c>
      <c r="M4127">
        <v>12.2507460324766</v>
      </c>
      <c r="N4127">
        <v>55.501213188316498</v>
      </c>
      <c r="O4127">
        <v>53.710274275122998</v>
      </c>
      <c r="P4127">
        <v>-5.4717353849972797E-2</v>
      </c>
      <c r="Q4127">
        <v>4.0636276664291003E-2</v>
      </c>
      <c r="R4127">
        <v>0.99490091955428805</v>
      </c>
      <c r="S4127" t="s">
        <v>8867</v>
      </c>
      <c r="T4127" t="s">
        <v>9478</v>
      </c>
      <c r="U4127" t="s">
        <v>9478</v>
      </c>
      <c r="V4127" t="s">
        <v>9478</v>
      </c>
      <c r="W4127">
        <v>3</v>
      </c>
      <c r="X4127" t="s">
        <v>13605</v>
      </c>
      <c r="Y4127">
        <v>0.54593254237533606</v>
      </c>
      <c r="Z4127" t="str">
        <f>HYPERLINK("Melting_Curves/meltCurve_tr_C9JUH3_C9JUH3_HUMAN_.pdf", "Melting_Curves/meltCurve_tr_C9JUH3_C9JUH3_HUMAN_.pdf")</f>
        <v>Melting_Curves/meltCurve_tr_C9JUH3_C9JUH3_HUMAN_.pdf</v>
      </c>
      <c r="AA4127" t="s">
        <v>18280</v>
      </c>
      <c r="AB4127" t="s">
        <v>22954</v>
      </c>
    </row>
    <row r="4128" spans="1:28" x14ac:dyDescent="0.25">
      <c r="A4128" t="s">
        <v>4132</v>
      </c>
      <c r="B4128">
        <v>0.99904790336628502</v>
      </c>
      <c r="C4128">
        <v>0.85509111702487794</v>
      </c>
      <c r="D4128">
        <v>0.728677370844522</v>
      </c>
      <c r="E4128">
        <v>0.49326010573974099</v>
      </c>
      <c r="F4128">
        <v>0.28229160539423398</v>
      </c>
      <c r="G4128">
        <v>0.14284218877536001</v>
      </c>
      <c r="H4128">
        <v>7.7228864759659094E-2</v>
      </c>
      <c r="I4128">
        <v>3.9497394021560599E-2</v>
      </c>
      <c r="J4128">
        <v>2.44138279844331E-2</v>
      </c>
      <c r="K4128">
        <v>2.0314104373875101E-2</v>
      </c>
      <c r="L4128">
        <v>661.95466550251001</v>
      </c>
      <c r="M4128">
        <v>13.367287425137199</v>
      </c>
      <c r="N4128">
        <v>49.520493017709697</v>
      </c>
      <c r="O4128">
        <v>48.451576473866801</v>
      </c>
      <c r="P4128">
        <v>-6.8983312059657895E-2</v>
      </c>
      <c r="Q4128">
        <v>0</v>
      </c>
      <c r="R4128">
        <v>0.99727192948283605</v>
      </c>
      <c r="S4128" t="s">
        <v>8868</v>
      </c>
      <c r="T4128" t="s">
        <v>9478</v>
      </c>
      <c r="U4128" t="s">
        <v>9478</v>
      </c>
      <c r="V4128" t="s">
        <v>9478</v>
      </c>
      <c r="W4128">
        <v>6</v>
      </c>
      <c r="X4128" t="s">
        <v>13606</v>
      </c>
      <c r="Y4128">
        <v>0.34708090040146461</v>
      </c>
      <c r="Z4128" t="str">
        <f>HYPERLINK("Melting_Curves/meltCurve_tr_C9JVN9_C9JVN9_HUMAN_.pdf", "Melting_Curves/meltCurve_tr_C9JVN9_C9JVN9_HUMAN_.pdf")</f>
        <v>Melting_Curves/meltCurve_tr_C9JVN9_C9JVN9_HUMAN_.pdf</v>
      </c>
      <c r="AA4128" t="s">
        <v>18281</v>
      </c>
      <c r="AB4128" t="s">
        <v>22955</v>
      </c>
    </row>
    <row r="4129" spans="1:28" x14ac:dyDescent="0.25">
      <c r="A4129" t="s">
        <v>4133</v>
      </c>
      <c r="B4129">
        <v>0.99904790336628502</v>
      </c>
      <c r="C4129">
        <v>0.96209233455964605</v>
      </c>
      <c r="D4129">
        <v>0.93646416131605403</v>
      </c>
      <c r="E4129">
        <v>0.86913451255880403</v>
      </c>
      <c r="F4129">
        <v>0.73154422953724796</v>
      </c>
      <c r="G4129">
        <v>0.42956735372213301</v>
      </c>
      <c r="H4129">
        <v>0.24537064523381599</v>
      </c>
      <c r="I4129">
        <v>0.17583162018818199</v>
      </c>
      <c r="J4129">
        <v>0.12962350429828101</v>
      </c>
      <c r="K4129">
        <v>0.124601995289593</v>
      </c>
      <c r="L4129">
        <v>926.84913677238103</v>
      </c>
      <c r="M4129">
        <v>16.7237449520611</v>
      </c>
      <c r="N4129">
        <v>56.065161773179803</v>
      </c>
      <c r="O4129">
        <v>54.646910759659299</v>
      </c>
      <c r="P4129">
        <v>-6.9826790400267597E-2</v>
      </c>
      <c r="Q4129">
        <v>8.7389363728417796E-2</v>
      </c>
      <c r="R4129">
        <v>0.99769245407351803</v>
      </c>
      <c r="S4129" t="s">
        <v>8869</v>
      </c>
      <c r="T4129" t="s">
        <v>9478</v>
      </c>
      <c r="U4129" t="s">
        <v>9478</v>
      </c>
      <c r="V4129" t="s">
        <v>9478</v>
      </c>
      <c r="W4129">
        <v>25</v>
      </c>
      <c r="X4129" t="s">
        <v>13607</v>
      </c>
      <c r="Y4129">
        <v>0.57167306437103638</v>
      </c>
      <c r="Z4129" t="str">
        <f>HYPERLINK("Melting_Curves/meltCurve_tr_C9JVR1_C9JVR1_HUMAN_.pdf", "Melting_Curves/meltCurve_tr_C9JVR1_C9JVR1_HUMAN_.pdf")</f>
        <v>Melting_Curves/meltCurve_tr_C9JVR1_C9JVR1_HUMAN_.pdf</v>
      </c>
      <c r="AA4129" t="s">
        <v>18282</v>
      </c>
      <c r="AB4129" t="s">
        <v>22956</v>
      </c>
    </row>
    <row r="4130" spans="1:28" x14ac:dyDescent="0.25">
      <c r="A4130" t="s">
        <v>4134</v>
      </c>
      <c r="B4130">
        <v>0.99904790336628502</v>
      </c>
      <c r="C4130">
        <v>0.797407583525096</v>
      </c>
      <c r="D4130">
        <v>0.31476975869498802</v>
      </c>
      <c r="E4130">
        <v>0.13412707898390699</v>
      </c>
      <c r="F4130">
        <v>5.3639259928745402E-2</v>
      </c>
      <c r="G4130">
        <v>4.8614491526845903E-2</v>
      </c>
      <c r="H4130">
        <v>3.0385339781286502E-2</v>
      </c>
      <c r="I4130">
        <v>2.3323288341356101E-2</v>
      </c>
      <c r="J4130">
        <v>2.4269798980343801E-2</v>
      </c>
      <c r="K4130">
        <v>1.77565556991338E-2</v>
      </c>
      <c r="L4130">
        <v>1331.6931243639001</v>
      </c>
      <c r="M4130">
        <v>29.760324582712801</v>
      </c>
      <c r="N4130">
        <v>44.866706819696503</v>
      </c>
      <c r="O4130">
        <v>44.546680016488096</v>
      </c>
      <c r="P4130">
        <v>-0.16065739795804801</v>
      </c>
      <c r="Q4130">
        <v>3.8087701675322903E-2</v>
      </c>
      <c r="R4130">
        <v>0.99550812829174096</v>
      </c>
      <c r="S4130" t="s">
        <v>8870</v>
      </c>
      <c r="T4130" t="s">
        <v>9478</v>
      </c>
      <c r="U4130" t="s">
        <v>9478</v>
      </c>
      <c r="V4130" t="s">
        <v>9478</v>
      </c>
      <c r="W4130">
        <v>6</v>
      </c>
      <c r="X4130" t="s">
        <v>13608</v>
      </c>
      <c r="Y4130">
        <v>0.19676440710393581</v>
      </c>
      <c r="Z4130" t="str">
        <f>HYPERLINK("Melting_Curves/meltCurve_tr_C9JW69_C9JW69_HUMAN_.pdf", "Melting_Curves/meltCurve_tr_C9JW69_C9JW69_HUMAN_.pdf")</f>
        <v>Melting_Curves/meltCurve_tr_C9JW69_C9JW69_HUMAN_.pdf</v>
      </c>
      <c r="AA4130" t="s">
        <v>18283</v>
      </c>
      <c r="AB4130" t="s">
        <v>22957</v>
      </c>
    </row>
    <row r="4131" spans="1:28" x14ac:dyDescent="0.25">
      <c r="A4131" t="s">
        <v>4135</v>
      </c>
      <c r="B4131">
        <v>0.99904790336628502</v>
      </c>
      <c r="C4131">
        <v>0.99299562490794002</v>
      </c>
      <c r="D4131">
        <v>0.95023482934234904</v>
      </c>
      <c r="E4131">
        <v>0.94763995878960094</v>
      </c>
      <c r="F4131">
        <v>0.95742502784328698</v>
      </c>
      <c r="G4131">
        <v>0.77180409870973299</v>
      </c>
      <c r="H4131">
        <v>0.69382544702751803</v>
      </c>
      <c r="I4131">
        <v>0.66586514163874699</v>
      </c>
      <c r="J4131">
        <v>0.69938151736399501</v>
      </c>
      <c r="K4131">
        <v>0.64861645790271805</v>
      </c>
      <c r="L4131">
        <v>1614.4916480057</v>
      </c>
      <c r="M4131">
        <v>29.003504992368999</v>
      </c>
      <c r="O4131">
        <v>55.402782892079998</v>
      </c>
      <c r="P4131">
        <v>-4.3526992489217403E-2</v>
      </c>
      <c r="Q4131">
        <v>0.66741970909501502</v>
      </c>
      <c r="R4131">
        <v>0.97032358385109096</v>
      </c>
      <c r="S4131" t="s">
        <v>8871</v>
      </c>
      <c r="T4131" t="s">
        <v>9478</v>
      </c>
      <c r="U4131" t="s">
        <v>9478</v>
      </c>
      <c r="V4131" t="s">
        <v>9478</v>
      </c>
      <c r="W4131">
        <v>4</v>
      </c>
      <c r="X4131" t="s">
        <v>13609</v>
      </c>
      <c r="Y4131">
        <v>0.84344385629630403</v>
      </c>
      <c r="Z4131" t="str">
        <f>HYPERLINK("Melting_Curves/meltCurve_tr_C9JXK0_C9JXK0_HUMAN_.pdf", "Melting_Curves/meltCurve_tr_C9JXK0_C9JXK0_HUMAN_.pdf")</f>
        <v>Melting_Curves/meltCurve_tr_C9JXK0_C9JXK0_HUMAN_.pdf</v>
      </c>
      <c r="AA4131" t="s">
        <v>18284</v>
      </c>
      <c r="AB4131" t="s">
        <v>22958</v>
      </c>
    </row>
    <row r="4132" spans="1:28" x14ac:dyDescent="0.25">
      <c r="A4132" t="s">
        <v>4136</v>
      </c>
      <c r="B4132">
        <v>0.99904790336628502</v>
      </c>
      <c r="C4132">
        <v>0.93347328639319105</v>
      </c>
      <c r="D4132">
        <v>0.924576972938982</v>
      </c>
      <c r="E4132">
        <v>0.921732112374679</v>
      </c>
      <c r="F4132">
        <v>0.90466397760583195</v>
      </c>
      <c r="G4132">
        <v>0.66546049866574297</v>
      </c>
      <c r="H4132">
        <v>0.41529476681465199</v>
      </c>
      <c r="I4132">
        <v>0.47118979083670898</v>
      </c>
      <c r="J4132">
        <v>0.41082780821767301</v>
      </c>
      <c r="K4132">
        <v>0.41496577642780003</v>
      </c>
      <c r="L4132">
        <v>1424.0416020856001</v>
      </c>
      <c r="M4132">
        <v>25.3756171876759</v>
      </c>
      <c r="N4132">
        <v>60.063052030010397</v>
      </c>
      <c r="O4132">
        <v>55.773469903027099</v>
      </c>
      <c r="P4132">
        <v>-6.7616361951266704E-2</v>
      </c>
      <c r="Q4132">
        <v>0.40554732212099498</v>
      </c>
      <c r="R4132">
        <v>0.96862050484376405</v>
      </c>
      <c r="S4132" t="s">
        <v>8872</v>
      </c>
      <c r="T4132" t="s">
        <v>9478</v>
      </c>
      <c r="U4132" t="s">
        <v>9478</v>
      </c>
      <c r="V4132" t="s">
        <v>9478</v>
      </c>
      <c r="W4132">
        <v>7</v>
      </c>
      <c r="X4132" t="s">
        <v>13610</v>
      </c>
      <c r="Y4132">
        <v>0.73025210190291689</v>
      </c>
      <c r="Z4132" t="str">
        <f>HYPERLINK("Melting_Curves/meltCurve_tr_C9JXK9_C9JXK9_HUMAN_.pdf", "Melting_Curves/meltCurve_tr_C9JXK9_C9JXK9_HUMAN_.pdf")</f>
        <v>Melting_Curves/meltCurve_tr_C9JXK9_C9JXK9_HUMAN_.pdf</v>
      </c>
      <c r="AA4132" t="s">
        <v>16989</v>
      </c>
      <c r="AB4132" t="s">
        <v>22959</v>
      </c>
    </row>
    <row r="4133" spans="1:28" x14ac:dyDescent="0.25">
      <c r="A4133" t="s">
        <v>4137</v>
      </c>
      <c r="B4133">
        <v>0.99904790336628502</v>
      </c>
      <c r="C4133">
        <v>0.99576888392573604</v>
      </c>
      <c r="D4133">
        <v>0.966545371624564</v>
      </c>
      <c r="E4133">
        <v>0.86930579111071504</v>
      </c>
      <c r="F4133">
        <v>0.83122709345275103</v>
      </c>
      <c r="G4133">
        <v>0.67673638583939499</v>
      </c>
      <c r="H4133">
        <v>0.56738297974893204</v>
      </c>
      <c r="I4133">
        <v>0.49290493603336299</v>
      </c>
      <c r="J4133">
        <v>0.48131596138453298</v>
      </c>
      <c r="K4133">
        <v>0.42493388934186499</v>
      </c>
      <c r="L4133">
        <v>657.72684401714901</v>
      </c>
      <c r="M4133">
        <v>11.5583743211129</v>
      </c>
      <c r="N4133">
        <v>64.309109215939301</v>
      </c>
      <c r="O4133">
        <v>55.281417703954801</v>
      </c>
      <c r="P4133">
        <v>-3.3051251997831203E-2</v>
      </c>
      <c r="Q4133">
        <v>0.36786578187393698</v>
      </c>
      <c r="R4133">
        <v>0.99629448954104305</v>
      </c>
      <c r="S4133" t="s">
        <v>8873</v>
      </c>
      <c r="T4133" t="s">
        <v>9478</v>
      </c>
      <c r="U4133" t="s">
        <v>9478</v>
      </c>
      <c r="V4133" t="s">
        <v>9478</v>
      </c>
      <c r="W4133">
        <v>5</v>
      </c>
      <c r="X4133" t="s">
        <v>13611</v>
      </c>
      <c r="Y4133">
        <v>0.73491852070273256</v>
      </c>
      <c r="Z4133" t="str">
        <f>HYPERLINK("Melting_Curves/meltCurve_tr_C9JYK5_C9JYK5_HUMAN_.pdf", "Melting_Curves/meltCurve_tr_C9JYK5_C9JYK5_HUMAN_.pdf")</f>
        <v>Melting_Curves/meltCurve_tr_C9JYK5_C9JYK5_HUMAN_.pdf</v>
      </c>
      <c r="AA4133" t="s">
        <v>18285</v>
      </c>
      <c r="AB4133" t="s">
        <v>22960</v>
      </c>
    </row>
    <row r="4134" spans="1:28" x14ac:dyDescent="0.25">
      <c r="A4134" t="s">
        <v>4138</v>
      </c>
      <c r="B4134">
        <v>0.99904790336628502</v>
      </c>
      <c r="C4134">
        <v>0.82393774931266905</v>
      </c>
      <c r="D4134">
        <v>0.74933453717567899</v>
      </c>
      <c r="E4134">
        <v>0.71168103506972502</v>
      </c>
      <c r="F4134">
        <v>0.57088547337101303</v>
      </c>
      <c r="G4134">
        <v>0.46191746239435899</v>
      </c>
      <c r="H4134">
        <v>0.28158730025087297</v>
      </c>
      <c r="I4134">
        <v>0.197749513804065</v>
      </c>
      <c r="J4134">
        <v>0.108655832541313</v>
      </c>
      <c r="K4134">
        <v>6.0984035917768797E-2</v>
      </c>
      <c r="L4134">
        <v>468.36482197100901</v>
      </c>
      <c r="M4134">
        <v>8.6457153736969303</v>
      </c>
      <c r="N4134">
        <v>54.1730557395773</v>
      </c>
      <c r="O4134">
        <v>51.508707685371299</v>
      </c>
      <c r="P4134">
        <v>-4.1997862991610298E-2</v>
      </c>
      <c r="Q4134">
        <v>0</v>
      </c>
      <c r="R4134">
        <v>0.97105125042970197</v>
      </c>
      <c r="S4134" t="s">
        <v>8874</v>
      </c>
      <c r="T4134" t="s">
        <v>9478</v>
      </c>
      <c r="U4134" t="s">
        <v>9478</v>
      </c>
      <c r="V4134" t="s">
        <v>9478</v>
      </c>
      <c r="W4134">
        <v>1</v>
      </c>
      <c r="X4134" t="s">
        <v>13612</v>
      </c>
      <c r="Y4134">
        <v>0.50433610981511445</v>
      </c>
      <c r="Z4134" t="str">
        <f>HYPERLINK("Melting_Curves/meltCurve_tr_C9JYM0_C9JYM0_HUMAN_.pdf", "Melting_Curves/meltCurve_tr_C9JYM0_C9JYM0_HUMAN_.pdf")</f>
        <v>Melting_Curves/meltCurve_tr_C9JYM0_C9JYM0_HUMAN_.pdf</v>
      </c>
      <c r="AA4134" t="s">
        <v>18286</v>
      </c>
      <c r="AB4134" t="s">
        <v>22961</v>
      </c>
    </row>
    <row r="4135" spans="1:28" x14ac:dyDescent="0.25">
      <c r="A4135" t="s">
        <v>4139</v>
      </c>
      <c r="B4135">
        <v>0.99904790336628502</v>
      </c>
      <c r="C4135">
        <v>1.0527955277485299</v>
      </c>
      <c r="D4135">
        <v>1.1634945386117901</v>
      </c>
      <c r="E4135">
        <v>0.95819826290046295</v>
      </c>
      <c r="F4135">
        <v>0.84457457324072105</v>
      </c>
      <c r="G4135">
        <v>0.61288525803031302</v>
      </c>
      <c r="H4135">
        <v>0.36741082875741699</v>
      </c>
      <c r="I4135">
        <v>0.123323709033059</v>
      </c>
      <c r="J4135">
        <v>6.1957965047735299E-2</v>
      </c>
      <c r="K4135">
        <v>7.3405937547467603E-2</v>
      </c>
      <c r="L4135">
        <v>1095.06298527628</v>
      </c>
      <c r="M4135">
        <v>18.717827638996098</v>
      </c>
      <c r="N4135">
        <v>58.503744686278999</v>
      </c>
      <c r="O4135">
        <v>57.848249542995902</v>
      </c>
      <c r="P4135">
        <v>-8.0895359160566199E-2</v>
      </c>
      <c r="Q4135">
        <v>0</v>
      </c>
      <c r="R4135">
        <v>0.97752767539671204</v>
      </c>
      <c r="S4135" t="s">
        <v>8875</v>
      </c>
      <c r="T4135" t="s">
        <v>9478</v>
      </c>
      <c r="U4135" t="s">
        <v>9478</v>
      </c>
      <c r="V4135" t="s">
        <v>9478</v>
      </c>
      <c r="W4135">
        <v>4</v>
      </c>
      <c r="X4135" t="s">
        <v>13613</v>
      </c>
      <c r="Y4135">
        <v>0.62806398747523495</v>
      </c>
      <c r="Z4135" t="str">
        <f>HYPERLINK("Melting_Curves/meltCurve_tr_C9JZP6_C9JZP6_HUMAN_.pdf", "Melting_Curves/meltCurve_tr_C9JZP6_C9JZP6_HUMAN_.pdf")</f>
        <v>Melting_Curves/meltCurve_tr_C9JZP6_C9JZP6_HUMAN_.pdf</v>
      </c>
      <c r="AA4135" t="s">
        <v>18287</v>
      </c>
      <c r="AB4135" t="s">
        <v>22962</v>
      </c>
    </row>
    <row r="4136" spans="1:28" x14ac:dyDescent="0.25">
      <c r="A4136" t="s">
        <v>4140</v>
      </c>
      <c r="B4136">
        <v>0.99904790336628502</v>
      </c>
      <c r="C4136">
        <v>0.72097090018597698</v>
      </c>
      <c r="D4136">
        <v>0.72300230225440998</v>
      </c>
      <c r="E4136">
        <v>0.85225419735443997</v>
      </c>
      <c r="F4136">
        <v>0.66176491540695803</v>
      </c>
      <c r="G4136">
        <v>0.59873916494021795</v>
      </c>
      <c r="H4136">
        <v>0.34403655692570501</v>
      </c>
      <c r="I4136">
        <v>0.169553156573092</v>
      </c>
      <c r="J4136">
        <v>5.6062001305405798E-2</v>
      </c>
      <c r="K4136">
        <v>3.3390782486812098E-2</v>
      </c>
      <c r="L4136">
        <v>558.40384444019901</v>
      </c>
      <c r="M4136">
        <v>9.9524193285568305</v>
      </c>
      <c r="N4136">
        <v>56.107331479374999</v>
      </c>
      <c r="O4136">
        <v>53.983130039610302</v>
      </c>
      <c r="P4136">
        <v>-4.61132509902374E-2</v>
      </c>
      <c r="Q4136">
        <v>0</v>
      </c>
      <c r="R4136">
        <v>0.87060698600265396</v>
      </c>
      <c r="S4136" t="s">
        <v>8876</v>
      </c>
      <c r="T4136" t="s">
        <v>9478</v>
      </c>
      <c r="U4136" t="s">
        <v>9478</v>
      </c>
      <c r="V4136" t="s">
        <v>9478</v>
      </c>
      <c r="W4136">
        <v>3</v>
      </c>
      <c r="X4136" t="s">
        <v>13614</v>
      </c>
      <c r="Y4136">
        <v>0.55746126144662145</v>
      </c>
      <c r="Z4136" t="str">
        <f>HYPERLINK("Melting_Curves/meltCurve_tr_C9JZY6_C9JZY6_HUMAN_.pdf", "Melting_Curves/meltCurve_tr_C9JZY6_C9JZY6_HUMAN_.pdf")</f>
        <v>Melting_Curves/meltCurve_tr_C9JZY6_C9JZY6_HUMAN_.pdf</v>
      </c>
      <c r="AA4136" t="s">
        <v>18288</v>
      </c>
      <c r="AB4136" t="s">
        <v>22963</v>
      </c>
    </row>
    <row r="4137" spans="1:28" x14ac:dyDescent="0.25">
      <c r="A4137" t="s">
        <v>4141</v>
      </c>
      <c r="B4137">
        <v>0.99904790336628502</v>
      </c>
      <c r="C4137">
        <v>0.92289308514865098</v>
      </c>
      <c r="D4137">
        <v>0.93112299799274501</v>
      </c>
      <c r="E4137">
        <v>0.55733643869904603</v>
      </c>
      <c r="F4137">
        <v>0.26283068650661701</v>
      </c>
      <c r="G4137">
        <v>0.14382001576678999</v>
      </c>
      <c r="H4137">
        <v>8.12398409844E-2</v>
      </c>
      <c r="I4137">
        <v>6.2546057269338803E-2</v>
      </c>
      <c r="J4137">
        <v>4.88862818937741E-2</v>
      </c>
      <c r="K4137">
        <v>4.3315125467123898E-2</v>
      </c>
      <c r="L4137">
        <v>1159.5538418619401</v>
      </c>
      <c r="M4137">
        <v>23.055829077622601</v>
      </c>
      <c r="N4137">
        <v>50.5544085124859</v>
      </c>
      <c r="O4137">
        <v>49.919543470683102</v>
      </c>
      <c r="P4137">
        <v>-0.108985812464562</v>
      </c>
      <c r="Q4137">
        <v>5.6131091006247802E-2</v>
      </c>
      <c r="R4137">
        <v>0.99603430719187203</v>
      </c>
      <c r="S4137" t="s">
        <v>8877</v>
      </c>
      <c r="T4137" t="s">
        <v>9478</v>
      </c>
      <c r="U4137" t="s">
        <v>9478</v>
      </c>
      <c r="V4137" t="s">
        <v>9478</v>
      </c>
      <c r="W4137">
        <v>13</v>
      </c>
      <c r="X4137" t="s">
        <v>13615</v>
      </c>
      <c r="Y4137">
        <v>0.38992237739223479</v>
      </c>
      <c r="Z4137" t="str">
        <f>HYPERLINK("Melting_Curves/meltCurve_tr_D3DR31_D3DR31_HUMAN_.pdf", "Melting_Curves/meltCurve_tr_D3DR31_D3DR31_HUMAN_.pdf")</f>
        <v>Melting_Curves/meltCurve_tr_D3DR31_D3DR31_HUMAN_.pdf</v>
      </c>
      <c r="AA4137" t="s">
        <v>18289</v>
      </c>
      <c r="AB4137" t="s">
        <v>22964</v>
      </c>
    </row>
    <row r="4138" spans="1:28" x14ac:dyDescent="0.25">
      <c r="A4138" t="s">
        <v>4142</v>
      </c>
      <c r="B4138">
        <v>0.99904790336628502</v>
      </c>
      <c r="C4138">
        <v>1.01764449475958</v>
      </c>
      <c r="D4138">
        <v>0.98061609319450005</v>
      </c>
      <c r="E4138">
        <v>1.0047111044900201</v>
      </c>
      <c r="F4138">
        <v>1.15867699260446</v>
      </c>
      <c r="G4138">
        <v>1.04382215941955</v>
      </c>
      <c r="H4138">
        <v>0.90123276316729795</v>
      </c>
      <c r="I4138">
        <v>0.78990440451309896</v>
      </c>
      <c r="J4138">
        <v>0.81525186092990098</v>
      </c>
      <c r="K4138">
        <v>0.71995998687881602</v>
      </c>
      <c r="L4138">
        <v>3602.7883564931799</v>
      </c>
      <c r="M4138">
        <v>58.680986265565103</v>
      </c>
      <c r="O4138">
        <v>61.3249987001264</v>
      </c>
      <c r="P4138">
        <v>-5.5670299912782002E-2</v>
      </c>
      <c r="Q4138">
        <v>0.76728547278912196</v>
      </c>
      <c r="R4138">
        <v>0.79943936096193102</v>
      </c>
      <c r="S4138" t="s">
        <v>8878</v>
      </c>
      <c r="T4138" t="s">
        <v>9478</v>
      </c>
      <c r="U4138" t="s">
        <v>9478</v>
      </c>
      <c r="V4138" t="s">
        <v>9478</v>
      </c>
      <c r="W4138">
        <v>4</v>
      </c>
      <c r="X4138" t="s">
        <v>13616</v>
      </c>
      <c r="Y4138">
        <v>0.93370762744291069</v>
      </c>
      <c r="Z4138" t="str">
        <f>HYPERLINK("Melting_Curves/meltCurve_tr_D3YHP0_D3YHP0_HUMAN_.pdf", "Melting_Curves/meltCurve_tr_D3YHP0_D3YHP0_HUMAN_.pdf")</f>
        <v>Melting_Curves/meltCurve_tr_D3YHP0_D3YHP0_HUMAN_.pdf</v>
      </c>
      <c r="AA4138" t="s">
        <v>18290</v>
      </c>
      <c r="AB4138" t="s">
        <v>22965</v>
      </c>
    </row>
    <row r="4139" spans="1:28" x14ac:dyDescent="0.25">
      <c r="A4139" t="s">
        <v>4143</v>
      </c>
      <c r="B4139">
        <v>0.99904790336628502</v>
      </c>
      <c r="C4139">
        <v>0.98773393667110698</v>
      </c>
      <c r="D4139">
        <v>1.11014180658269</v>
      </c>
      <c r="E4139">
        <v>1.02323579431094</v>
      </c>
      <c r="F4139">
        <v>0.98722291997935796</v>
      </c>
      <c r="G4139">
        <v>0.76729028531657595</v>
      </c>
      <c r="H4139">
        <v>0.70133757728972601</v>
      </c>
      <c r="I4139">
        <v>0.59533659935436101</v>
      </c>
      <c r="J4139">
        <v>0.63975555670728701</v>
      </c>
      <c r="K4139">
        <v>0.61437135671558896</v>
      </c>
      <c r="L4139">
        <v>2047.7097828563701</v>
      </c>
      <c r="M4139">
        <v>36.239674093988</v>
      </c>
      <c r="O4139">
        <v>56.3334158361966</v>
      </c>
      <c r="P4139">
        <v>-5.9952708524625101E-2</v>
      </c>
      <c r="Q4139">
        <v>0.62722288885772404</v>
      </c>
      <c r="R4139">
        <v>0.94917994440194298</v>
      </c>
      <c r="S4139" t="s">
        <v>8879</v>
      </c>
      <c r="T4139" t="s">
        <v>9478</v>
      </c>
      <c r="U4139" t="s">
        <v>9478</v>
      </c>
      <c r="V4139" t="s">
        <v>9478</v>
      </c>
      <c r="W4139">
        <v>4</v>
      </c>
      <c r="X4139" t="s">
        <v>13617</v>
      </c>
      <c r="Y4139">
        <v>0.83405619405069364</v>
      </c>
      <c r="Z4139" t="str">
        <f>HYPERLINK("Melting_Curves/meltCurve_tr_D3YTE0_D3YTE0_HUMAN_.pdf", "Melting_Curves/meltCurve_tr_D3YTE0_D3YTE0_HUMAN_.pdf")</f>
        <v>Melting_Curves/meltCurve_tr_D3YTE0_D3YTE0_HUMAN_.pdf</v>
      </c>
      <c r="AA4139" t="s">
        <v>18291</v>
      </c>
      <c r="AB4139" t="s">
        <v>22966</v>
      </c>
    </row>
    <row r="4140" spans="1:28" x14ac:dyDescent="0.25">
      <c r="A4140" t="s">
        <v>4144</v>
      </c>
      <c r="B4140">
        <v>0.99904790336628502</v>
      </c>
      <c r="C4140">
        <v>1.2178442844585999</v>
      </c>
      <c r="D4140">
        <v>1.1200963005644</v>
      </c>
      <c r="E4140">
        <v>1.0058044741015999</v>
      </c>
      <c r="F4140">
        <v>0.90151590184903796</v>
      </c>
      <c r="G4140">
        <v>0.360922724691704</v>
      </c>
      <c r="H4140">
        <v>0.18210385265658099</v>
      </c>
      <c r="I4140">
        <v>0.157283227310065</v>
      </c>
      <c r="J4140">
        <v>0.22627468521069999</v>
      </c>
      <c r="K4140">
        <v>0.25167528498660502</v>
      </c>
      <c r="L4140">
        <v>2616.62117761325</v>
      </c>
      <c r="M4140">
        <v>47.347251009608797</v>
      </c>
      <c r="N4140">
        <v>55.878298471880001</v>
      </c>
      <c r="O4140">
        <v>55.166146392166901</v>
      </c>
      <c r="P4140">
        <v>-0.17105787528034899</v>
      </c>
      <c r="Q4140">
        <v>0.20277554483337401</v>
      </c>
      <c r="R4140">
        <v>0.96082454053907196</v>
      </c>
      <c r="S4140" t="s">
        <v>8880</v>
      </c>
      <c r="T4140" t="s">
        <v>9478</v>
      </c>
      <c r="U4140" t="s">
        <v>9478</v>
      </c>
      <c r="V4140" t="s">
        <v>9478</v>
      </c>
      <c r="W4140">
        <v>1</v>
      </c>
      <c r="X4140" t="s">
        <v>13618</v>
      </c>
      <c r="Y4140">
        <v>0.61058232369276833</v>
      </c>
      <c r="Z4140" t="str">
        <f>HYPERLINK("Melting_Curves/meltCurve_tr_D6R954_D6R954_HUMAN_.pdf", "Melting_Curves/meltCurve_tr_D6R954_D6R954_HUMAN_.pdf")</f>
        <v>Melting_Curves/meltCurve_tr_D6R954_D6R954_HUMAN_.pdf</v>
      </c>
      <c r="AA4140" t="s">
        <v>18292</v>
      </c>
      <c r="AB4140" t="s">
        <v>22967</v>
      </c>
    </row>
    <row r="4141" spans="1:28" x14ac:dyDescent="0.25">
      <c r="A4141" t="s">
        <v>4145</v>
      </c>
      <c r="B4141">
        <v>0.99904790336628502</v>
      </c>
      <c r="C4141">
        <v>0.94106094636189197</v>
      </c>
      <c r="D4141">
        <v>0.92493127295100597</v>
      </c>
      <c r="E4141">
        <v>0.943283400953419</v>
      </c>
      <c r="F4141">
        <v>0.81474514774111395</v>
      </c>
      <c r="G4141">
        <v>0.44766419880178598</v>
      </c>
      <c r="H4141">
        <v>0.35710116337045</v>
      </c>
      <c r="I4141">
        <v>0.35476511117734499</v>
      </c>
      <c r="J4141">
        <v>0.37184592702024899</v>
      </c>
      <c r="K4141">
        <v>0.32455355176057199</v>
      </c>
      <c r="L4141">
        <v>1826.52343924667</v>
      </c>
      <c r="M4141">
        <v>33.625950265937597</v>
      </c>
      <c r="N4141">
        <v>56.283101339419702</v>
      </c>
      <c r="O4141">
        <v>54.127832653498402</v>
      </c>
      <c r="P4141">
        <v>-0.10167110680693101</v>
      </c>
      <c r="Q4141">
        <v>0.34536111119357699</v>
      </c>
      <c r="R4141">
        <v>0.98639792533173498</v>
      </c>
      <c r="S4141" t="s">
        <v>8881</v>
      </c>
      <c r="T4141" t="s">
        <v>9478</v>
      </c>
      <c r="U4141" t="s">
        <v>9478</v>
      </c>
      <c r="V4141" t="s">
        <v>9478</v>
      </c>
      <c r="W4141">
        <v>2</v>
      </c>
      <c r="X4141" t="s">
        <v>13619</v>
      </c>
      <c r="Y4141">
        <v>0.6612754629863844</v>
      </c>
      <c r="Z4141" t="str">
        <f>HYPERLINK("Melting_Curves/meltCurve_tr_D6R966_D6R966_HUMAN_.pdf", "Melting_Curves/meltCurve_tr_D6R966_D6R966_HUMAN_.pdf")</f>
        <v>Melting_Curves/meltCurve_tr_D6R966_D6R966_HUMAN_.pdf</v>
      </c>
      <c r="AA4141" t="s">
        <v>18293</v>
      </c>
      <c r="AB4141" t="s">
        <v>22968</v>
      </c>
    </row>
    <row r="4142" spans="1:28" x14ac:dyDescent="0.25">
      <c r="A4142" t="s">
        <v>4146</v>
      </c>
      <c r="B4142">
        <v>0.99904790336628502</v>
      </c>
      <c r="C4142">
        <v>0.89916417418392502</v>
      </c>
      <c r="D4142">
        <v>0.76071839252386997</v>
      </c>
      <c r="E4142">
        <v>0.50114001351718995</v>
      </c>
      <c r="F4142">
        <v>0.22255332157270399</v>
      </c>
      <c r="G4142">
        <v>0.118248628703083</v>
      </c>
      <c r="H4142">
        <v>6.7651676017900703E-2</v>
      </c>
      <c r="I4142">
        <v>4.8113831425848401E-2</v>
      </c>
      <c r="J4142">
        <v>4.98703657573418E-2</v>
      </c>
      <c r="K4142">
        <v>3.9087453784097101E-2</v>
      </c>
      <c r="L4142">
        <v>817.259517674628</v>
      </c>
      <c r="M4142">
        <v>16.578313051976899</v>
      </c>
      <c r="N4142">
        <v>49.470836096337003</v>
      </c>
      <c r="O4142">
        <v>48.596375913431203</v>
      </c>
      <c r="P4142">
        <v>-8.2876943942992595E-2</v>
      </c>
      <c r="Q4142">
        <v>2.8310256839416001E-2</v>
      </c>
      <c r="R4142">
        <v>0.99656406697420796</v>
      </c>
      <c r="S4142" t="s">
        <v>8882</v>
      </c>
      <c r="T4142" t="s">
        <v>9478</v>
      </c>
      <c r="U4142" t="s">
        <v>9478</v>
      </c>
      <c r="V4142" t="s">
        <v>9478</v>
      </c>
      <c r="W4142">
        <v>8</v>
      </c>
      <c r="X4142" t="s">
        <v>13620</v>
      </c>
      <c r="Y4142">
        <v>0.3490794812927428</v>
      </c>
      <c r="Z4142" t="str">
        <f>HYPERLINK("Melting_Curves/meltCurve_tr_D6R9D6_D6R9D6_HUMAN_.pdf", "Melting_Curves/meltCurve_tr_D6R9D6_D6R9D6_HUMAN_.pdf")</f>
        <v>Melting_Curves/meltCurve_tr_D6R9D6_D6R9D6_HUMAN_.pdf</v>
      </c>
      <c r="AA4142" t="s">
        <v>18294</v>
      </c>
      <c r="AB4142" t="s">
        <v>22969</v>
      </c>
    </row>
    <row r="4143" spans="1:28" x14ac:dyDescent="0.25">
      <c r="A4143" t="s">
        <v>4147</v>
      </c>
      <c r="B4143">
        <v>0.99904790336628502</v>
      </c>
      <c r="C4143">
        <v>1.0470943942993001</v>
      </c>
      <c r="D4143">
        <v>0.96714643034575398</v>
      </c>
      <c r="E4143">
        <v>0.91977385497125896</v>
      </c>
      <c r="F4143">
        <v>0.76402599726923703</v>
      </c>
      <c r="G4143">
        <v>0.44558028836193603</v>
      </c>
      <c r="H4143">
        <v>0.20829448022428401</v>
      </c>
      <c r="I4143">
        <v>0.125789371710465</v>
      </c>
      <c r="J4143">
        <v>7.2220026215708902E-2</v>
      </c>
      <c r="K4143">
        <v>1.76143121760882E-2</v>
      </c>
      <c r="L4143">
        <v>1022.1784033767</v>
      </c>
      <c r="M4143">
        <v>18.133650451737001</v>
      </c>
      <c r="N4143">
        <v>56.424855855677798</v>
      </c>
      <c r="O4143">
        <v>55.697036706625497</v>
      </c>
      <c r="P4143">
        <v>-8.0675868063555298E-2</v>
      </c>
      <c r="Q4143">
        <v>8.8721577147866399E-3</v>
      </c>
      <c r="R4143">
        <v>0.99772576399897395</v>
      </c>
      <c r="S4143" t="s">
        <v>8883</v>
      </c>
      <c r="T4143" t="s">
        <v>9478</v>
      </c>
      <c r="U4143" t="s">
        <v>9478</v>
      </c>
      <c r="V4143" t="s">
        <v>9478</v>
      </c>
      <c r="W4143">
        <v>4</v>
      </c>
      <c r="X4143" t="s">
        <v>13621</v>
      </c>
      <c r="Y4143">
        <v>0.56381758788601621</v>
      </c>
      <c r="Z4143" t="str">
        <f>HYPERLINK("Melting_Curves/meltCurve_tr_D6R9G1_D6R9G1_HUMAN_.pdf", "Melting_Curves/meltCurve_tr_D6R9G1_D6R9G1_HUMAN_.pdf")</f>
        <v>Melting_Curves/meltCurve_tr_D6R9G1_D6R9G1_HUMAN_.pdf</v>
      </c>
      <c r="AA4143" t="s">
        <v>18295</v>
      </c>
      <c r="AB4143" t="s">
        <v>22970</v>
      </c>
    </row>
    <row r="4144" spans="1:28" x14ac:dyDescent="0.25">
      <c r="A4144" t="s">
        <v>4148</v>
      </c>
      <c r="B4144">
        <v>0.99904790336628502</v>
      </c>
      <c r="C4144">
        <v>1.0184879915623</v>
      </c>
      <c r="D4144">
        <v>1.0036987509081401</v>
      </c>
      <c r="E4144">
        <v>1.0149241242112399</v>
      </c>
      <c r="F4144">
        <v>0.95383464440101895</v>
      </c>
      <c r="G4144">
        <v>0.80833847532553804</v>
      </c>
      <c r="H4144">
        <v>0.62260752318955803</v>
      </c>
      <c r="I4144">
        <v>0.57839090373003499</v>
      </c>
      <c r="J4144">
        <v>0.547127768865318</v>
      </c>
      <c r="K4144">
        <v>0.48015373051272803</v>
      </c>
      <c r="L4144">
        <v>1300.24692481797</v>
      </c>
      <c r="M4144">
        <v>22.2961610169891</v>
      </c>
      <c r="O4144">
        <v>57.854033144262203</v>
      </c>
      <c r="P4144">
        <v>-4.8365518520179E-2</v>
      </c>
      <c r="Q4144">
        <v>0.498015634201732</v>
      </c>
      <c r="R4144">
        <v>0.99315863180129205</v>
      </c>
      <c r="S4144" t="s">
        <v>8884</v>
      </c>
      <c r="T4144" t="s">
        <v>9478</v>
      </c>
      <c r="U4144" t="s">
        <v>9478</v>
      </c>
      <c r="V4144" t="s">
        <v>9478</v>
      </c>
      <c r="W4144">
        <v>5</v>
      </c>
      <c r="X4144" t="s">
        <v>13622</v>
      </c>
      <c r="Y4144">
        <v>0.80945666597608745</v>
      </c>
      <c r="Z4144" t="str">
        <f>HYPERLINK("Melting_Curves/meltCurve_tr_D6R9P3_D6R9P3_HUMAN_.pdf", "Melting_Curves/meltCurve_tr_D6R9P3_D6R9P3_HUMAN_.pdf")</f>
        <v>Melting_Curves/meltCurve_tr_D6R9P3_D6R9P3_HUMAN_.pdf</v>
      </c>
      <c r="AA4144" t="s">
        <v>18296</v>
      </c>
      <c r="AB4144" t="s">
        <v>22971</v>
      </c>
    </row>
    <row r="4145" spans="1:28" x14ac:dyDescent="0.25">
      <c r="A4145" t="s">
        <v>4149</v>
      </c>
      <c r="B4145">
        <v>0.99904790336628502</v>
      </c>
      <c r="C4145">
        <v>1.0168264589689799</v>
      </c>
      <c r="D4145">
        <v>0.663992588158001</v>
      </c>
      <c r="E4145">
        <v>0.55439765713088096</v>
      </c>
      <c r="F4145">
        <v>0.47416262756750699</v>
      </c>
      <c r="G4145">
        <v>0.45821801963487502</v>
      </c>
      <c r="H4145">
        <v>0.40064158637737501</v>
      </c>
      <c r="I4145">
        <v>0.21761203151556199</v>
      </c>
      <c r="J4145">
        <v>0.116661422821996</v>
      </c>
      <c r="K4145">
        <v>0.13197297996735999</v>
      </c>
      <c r="L4145">
        <v>412.27286456467698</v>
      </c>
      <c r="M4145">
        <v>7.7385721149903102</v>
      </c>
      <c r="N4145">
        <v>53.501093926300499</v>
      </c>
      <c r="O4145">
        <v>50.068045460825203</v>
      </c>
      <c r="P4145">
        <v>-3.8067495981248298E-2</v>
      </c>
      <c r="Q4145">
        <v>1.6083101603893101E-2</v>
      </c>
      <c r="R4145">
        <v>0.92339619074004797</v>
      </c>
      <c r="S4145" t="s">
        <v>8885</v>
      </c>
      <c r="T4145" t="s">
        <v>9478</v>
      </c>
      <c r="U4145" t="s">
        <v>9478</v>
      </c>
      <c r="V4145" t="s">
        <v>9478</v>
      </c>
      <c r="W4145">
        <v>1</v>
      </c>
      <c r="X4145" t="s">
        <v>13623</v>
      </c>
      <c r="Y4145">
        <v>0.49052987423912581</v>
      </c>
      <c r="Z4145" t="str">
        <f>HYPERLINK("Melting_Curves/meltCurve_tr_D6RAL3_D6RAL3_HUMAN_.pdf", "Melting_Curves/meltCurve_tr_D6RAL3_D6RAL3_HUMAN_.pdf")</f>
        <v>Melting_Curves/meltCurve_tr_D6RAL3_D6RAL3_HUMAN_.pdf</v>
      </c>
      <c r="AA4145" t="s">
        <v>18297</v>
      </c>
      <c r="AB4145" t="s">
        <v>22972</v>
      </c>
    </row>
    <row r="4146" spans="1:28" x14ac:dyDescent="0.25">
      <c r="A4146" t="s">
        <v>4150</v>
      </c>
      <c r="B4146">
        <v>0.99904790336628502</v>
      </c>
      <c r="C4146">
        <v>0.92648087943338597</v>
      </c>
      <c r="D4146">
        <v>0.92161047307234001</v>
      </c>
      <c r="E4146">
        <v>0.75449137710490999</v>
      </c>
      <c r="F4146">
        <v>0.60435461552797498</v>
      </c>
      <c r="G4146">
        <v>0.275852200383013</v>
      </c>
      <c r="H4146">
        <v>0.24415923201495199</v>
      </c>
      <c r="I4146">
        <v>0.18158644381162201</v>
      </c>
      <c r="J4146">
        <v>0.15900846199997001</v>
      </c>
      <c r="K4146">
        <v>0.180274878110537</v>
      </c>
      <c r="L4146">
        <v>904.54605144686104</v>
      </c>
      <c r="M4146">
        <v>17.144466169750299</v>
      </c>
      <c r="N4146">
        <v>53.854322596893802</v>
      </c>
      <c r="O4146">
        <v>52.058114471941501</v>
      </c>
      <c r="P4146">
        <v>-7.0229936877170898E-2</v>
      </c>
      <c r="Q4146">
        <v>0.14705549304670901</v>
      </c>
      <c r="R4146">
        <v>0.99094920111076001</v>
      </c>
      <c r="S4146" t="s">
        <v>8886</v>
      </c>
      <c r="T4146" t="s">
        <v>9478</v>
      </c>
      <c r="U4146" t="s">
        <v>9478</v>
      </c>
      <c r="V4146" t="s">
        <v>9478</v>
      </c>
      <c r="W4146">
        <v>2</v>
      </c>
      <c r="X4146" t="s">
        <v>13624</v>
      </c>
      <c r="Y4146">
        <v>0.52501324751757739</v>
      </c>
      <c r="Z4146" t="str">
        <f>HYPERLINK("Melting_Curves/meltCurve_tr_D6RB01_D6RB01_HUMAN_.pdf", "Melting_Curves/meltCurve_tr_D6RB01_D6RB01_HUMAN_.pdf")</f>
        <v>Melting_Curves/meltCurve_tr_D6RB01_D6RB01_HUMAN_.pdf</v>
      </c>
      <c r="AA4146" t="s">
        <v>18298</v>
      </c>
      <c r="AB4146" t="s">
        <v>22973</v>
      </c>
    </row>
    <row r="4147" spans="1:28" x14ac:dyDescent="0.25">
      <c r="A4147" t="s">
        <v>4151</v>
      </c>
      <c r="B4147">
        <v>0.99904790336628502</v>
      </c>
      <c r="C4147">
        <v>0.92985146522964701</v>
      </c>
      <c r="D4147">
        <v>0.96697775821285903</v>
      </c>
      <c r="E4147">
        <v>0.943130630858527</v>
      </c>
      <c r="F4147">
        <v>0.75197970062140695</v>
      </c>
      <c r="G4147">
        <v>0.23725340515316201</v>
      </c>
      <c r="H4147">
        <v>0.100708562396258</v>
      </c>
      <c r="I4147">
        <v>4.7066079969373897E-2</v>
      </c>
      <c r="J4147">
        <v>3.6416303807410601E-2</v>
      </c>
      <c r="K4147">
        <v>3.4904868524730501E-2</v>
      </c>
      <c r="L4147">
        <v>1724.0506593506</v>
      </c>
      <c r="M4147">
        <v>31.5243873985177</v>
      </c>
      <c r="N4147">
        <v>54.835932327014099</v>
      </c>
      <c r="O4147">
        <v>54.4707665407633</v>
      </c>
      <c r="P4147">
        <v>-0.13884229921770699</v>
      </c>
      <c r="Q4147">
        <v>4.0386621151574702E-2</v>
      </c>
      <c r="R4147">
        <v>0.99613178721742301</v>
      </c>
      <c r="S4147" t="s">
        <v>8887</v>
      </c>
      <c r="T4147" t="s">
        <v>9478</v>
      </c>
      <c r="U4147" t="s">
        <v>9478</v>
      </c>
      <c r="V4147" t="s">
        <v>9478</v>
      </c>
      <c r="W4147">
        <v>29</v>
      </c>
      <c r="X4147" t="s">
        <v>13625</v>
      </c>
      <c r="Y4147">
        <v>0.5160329629612278</v>
      </c>
      <c r="Z4147" t="str">
        <f>HYPERLINK("Melting_Curves/meltCurve_tr_D6RB81_D6RB81_HUMAN_.pdf", "Melting_Curves/meltCurve_tr_D6RB81_D6RB81_HUMAN_.pdf")</f>
        <v>Melting_Curves/meltCurve_tr_D6RB81_D6RB81_HUMAN_.pdf</v>
      </c>
      <c r="AA4147" t="s">
        <v>18299</v>
      </c>
      <c r="AB4147" t="s">
        <v>22974</v>
      </c>
    </row>
    <row r="4148" spans="1:28" x14ac:dyDescent="0.25">
      <c r="A4148" t="s">
        <v>4152</v>
      </c>
      <c r="B4148">
        <v>0.99904790336628502</v>
      </c>
      <c r="C4148">
        <v>0.97162346243435704</v>
      </c>
      <c r="D4148">
        <v>0.92841309804338201</v>
      </c>
      <c r="E4148">
        <v>0.87933057383827595</v>
      </c>
      <c r="F4148">
        <v>0.93322988998422596</v>
      </c>
      <c r="G4148">
        <v>0.81962004973355096</v>
      </c>
      <c r="H4148">
        <v>0.75002436363656999</v>
      </c>
      <c r="I4148">
        <v>0.73546565764692196</v>
      </c>
      <c r="J4148">
        <v>0.78721705656676</v>
      </c>
      <c r="K4148">
        <v>0.89263711684893798</v>
      </c>
      <c r="L4148">
        <v>625.114561020868</v>
      </c>
      <c r="M4148">
        <v>12.4455252299937</v>
      </c>
      <c r="O4148">
        <v>48.984138697972803</v>
      </c>
      <c r="P4148">
        <v>-1.34853613956975E-2</v>
      </c>
      <c r="Q4148">
        <v>0.78773717215623995</v>
      </c>
      <c r="R4148">
        <v>0.69014163846042198</v>
      </c>
      <c r="S4148" t="s">
        <v>8888</v>
      </c>
      <c r="T4148" t="s">
        <v>9478</v>
      </c>
      <c r="U4148" t="s">
        <v>9478</v>
      </c>
      <c r="V4148" t="s">
        <v>9478</v>
      </c>
      <c r="W4148">
        <v>5</v>
      </c>
      <c r="X4148" t="s">
        <v>13626</v>
      </c>
      <c r="Y4148">
        <v>0.86695601261396438</v>
      </c>
      <c r="Z4148" t="str">
        <f>HYPERLINK("Melting_Curves/meltCurve_tr_D6RBN5_D6RBN5_HUMAN_.pdf", "Melting_Curves/meltCurve_tr_D6RBN5_D6RBN5_HUMAN_.pdf")</f>
        <v>Melting_Curves/meltCurve_tr_D6RBN5_D6RBN5_HUMAN_.pdf</v>
      </c>
      <c r="AA4148" t="s">
        <v>18300</v>
      </c>
      <c r="AB4148" t="s">
        <v>22975</v>
      </c>
    </row>
    <row r="4149" spans="1:28" x14ac:dyDescent="0.25">
      <c r="A4149" t="s">
        <v>4153</v>
      </c>
      <c r="B4149">
        <v>0.99904790336628502</v>
      </c>
      <c r="C4149">
        <v>0.94400607631028999</v>
      </c>
      <c r="D4149">
        <v>0.97145600317338998</v>
      </c>
      <c r="E4149">
        <v>1.03056638137377</v>
      </c>
      <c r="F4149">
        <v>1.05324960337401</v>
      </c>
      <c r="G4149">
        <v>0.85584525166167302</v>
      </c>
      <c r="H4149">
        <v>0.67973190504998204</v>
      </c>
      <c r="I4149">
        <v>0.66031502804950504</v>
      </c>
      <c r="J4149">
        <v>0.71667772067121305</v>
      </c>
      <c r="K4149">
        <v>0.51843526331175205</v>
      </c>
      <c r="L4149">
        <v>2203.4528233088499</v>
      </c>
      <c r="M4149">
        <v>38.032940091357702</v>
      </c>
      <c r="O4149">
        <v>57.775911442919401</v>
      </c>
      <c r="P4149">
        <v>-6.1302769642182002E-2</v>
      </c>
      <c r="Q4149">
        <v>0.627500362564131</v>
      </c>
      <c r="R4149">
        <v>0.90597041377417697</v>
      </c>
      <c r="S4149" t="s">
        <v>8889</v>
      </c>
      <c r="T4149" t="s">
        <v>9478</v>
      </c>
      <c r="U4149" t="s">
        <v>9478</v>
      </c>
      <c r="V4149" t="s">
        <v>9478</v>
      </c>
      <c r="W4149">
        <v>1</v>
      </c>
      <c r="X4149" t="s">
        <v>13627</v>
      </c>
      <c r="Y4149">
        <v>0.85180781520485715</v>
      </c>
      <c r="Z4149" t="str">
        <f>HYPERLINK("Melting_Curves/meltCurve_tr_D6RBV0_D6RBV0_HUMAN_.pdf", "Melting_Curves/meltCurve_tr_D6RBV0_D6RBV0_HUMAN_.pdf")</f>
        <v>Melting_Curves/meltCurve_tr_D6RBV0_D6RBV0_HUMAN_.pdf</v>
      </c>
      <c r="AA4149" t="s">
        <v>18301</v>
      </c>
      <c r="AB4149" t="s">
        <v>22976</v>
      </c>
    </row>
    <row r="4150" spans="1:28" x14ac:dyDescent="0.25">
      <c r="A4150" t="s">
        <v>4154</v>
      </c>
      <c r="B4150">
        <v>0.99904790336628502</v>
      </c>
      <c r="C4150">
        <v>0.81046722555815498</v>
      </c>
      <c r="D4150">
        <v>0.77273570556204696</v>
      </c>
      <c r="E4150">
        <v>0.56923126191796602</v>
      </c>
      <c r="F4150">
        <v>0.43721006568203302</v>
      </c>
      <c r="G4150">
        <v>0.28868026926346801</v>
      </c>
      <c r="H4150">
        <v>0.24381704132093901</v>
      </c>
      <c r="I4150">
        <v>0.21786856908414101</v>
      </c>
      <c r="J4150">
        <v>0.15568874410762301</v>
      </c>
      <c r="K4150">
        <v>0.15683139812338501</v>
      </c>
      <c r="L4150">
        <v>528.56791964691695</v>
      </c>
      <c r="M4150">
        <v>10.541946520151299</v>
      </c>
      <c r="N4150">
        <v>51.414883003507903</v>
      </c>
      <c r="O4150">
        <v>48.436119368903</v>
      </c>
      <c r="P4150">
        <v>-4.8170551991316798E-2</v>
      </c>
      <c r="Q4150">
        <v>0.11505229293658201</v>
      </c>
      <c r="R4150">
        <v>0.98968080205301401</v>
      </c>
      <c r="S4150" t="s">
        <v>8890</v>
      </c>
      <c r="T4150" t="s">
        <v>9478</v>
      </c>
      <c r="U4150" t="s">
        <v>9478</v>
      </c>
      <c r="V4150" t="s">
        <v>9478</v>
      </c>
      <c r="W4150">
        <v>1</v>
      </c>
      <c r="X4150" t="s">
        <v>13628</v>
      </c>
      <c r="Y4150">
        <v>0.45093219796878509</v>
      </c>
      <c r="Z4150" t="str">
        <f>HYPERLINK("Melting_Curves/meltCurve_tr_D6RBV2_D6RBV2_HUMAN_.pdf", "Melting_Curves/meltCurve_tr_D6RBV2_D6RBV2_HUMAN_.pdf")</f>
        <v>Melting_Curves/meltCurve_tr_D6RBV2_D6RBV2_HUMAN_.pdf</v>
      </c>
      <c r="AA4150" t="s">
        <v>18302</v>
      </c>
      <c r="AB4150" t="s">
        <v>22977</v>
      </c>
    </row>
    <row r="4151" spans="1:28" x14ac:dyDescent="0.25">
      <c r="A4151" t="s">
        <v>4155</v>
      </c>
      <c r="B4151">
        <v>0.99904790336628502</v>
      </c>
      <c r="C4151">
        <v>1.0630083088367901</v>
      </c>
      <c r="D4151">
        <v>1.0784574202353301</v>
      </c>
      <c r="E4151">
        <v>0.91910279755053004</v>
      </c>
      <c r="F4151">
        <v>0.66357956188964495</v>
      </c>
      <c r="G4151">
        <v>0.28351421593589099</v>
      </c>
      <c r="H4151">
        <v>0.21465881897650799</v>
      </c>
      <c r="I4151">
        <v>0.16126238747827301</v>
      </c>
      <c r="J4151">
        <v>0.12793061504046399</v>
      </c>
      <c r="K4151">
        <v>0.14071176291952101</v>
      </c>
      <c r="L4151">
        <v>1584.70063224705</v>
      </c>
      <c r="M4151">
        <v>29.452844243086101</v>
      </c>
      <c r="N4151">
        <v>54.467228034263698</v>
      </c>
      <c r="O4151">
        <v>53.558445659903299</v>
      </c>
      <c r="P4151">
        <v>-0.116781907436129</v>
      </c>
      <c r="Q4151">
        <v>0.15055869379620801</v>
      </c>
      <c r="R4151">
        <v>0.99147021490880005</v>
      </c>
      <c r="S4151" t="s">
        <v>8891</v>
      </c>
      <c r="T4151" t="s">
        <v>9478</v>
      </c>
      <c r="U4151" t="s">
        <v>9478</v>
      </c>
      <c r="V4151" t="s">
        <v>9478</v>
      </c>
      <c r="W4151">
        <v>2</v>
      </c>
      <c r="X4151" t="s">
        <v>13629</v>
      </c>
      <c r="Y4151">
        <v>0.54720238412056754</v>
      </c>
      <c r="Z4151" t="str">
        <f>HYPERLINK("Melting_Curves/meltCurve_tr_D6RC71_D6RC71_HUMAN_.pdf", "Melting_Curves/meltCurve_tr_D6RC71_D6RC71_HUMAN_.pdf")</f>
        <v>Melting_Curves/meltCurve_tr_D6RC71_D6RC71_HUMAN_.pdf</v>
      </c>
      <c r="AA4151" t="s">
        <v>18303</v>
      </c>
      <c r="AB4151" t="s">
        <v>22978</v>
      </c>
    </row>
    <row r="4152" spans="1:28" x14ac:dyDescent="0.25">
      <c r="A4152" t="s">
        <v>4156</v>
      </c>
      <c r="B4152">
        <v>0.99904790336628502</v>
      </c>
      <c r="C4152">
        <v>0.902356154340482</v>
      </c>
      <c r="D4152">
        <v>0.66574959348668294</v>
      </c>
      <c r="E4152">
        <v>0.31429630394913199</v>
      </c>
      <c r="F4152">
        <v>0.170578433091084</v>
      </c>
      <c r="G4152">
        <v>0.10333660317450299</v>
      </c>
      <c r="H4152">
        <v>5.7784881417850702E-2</v>
      </c>
      <c r="I4152">
        <v>3.6836716201583602E-2</v>
      </c>
      <c r="J4152">
        <v>2.7103943968403099E-2</v>
      </c>
      <c r="K4152">
        <v>2.4801473011800398E-2</v>
      </c>
      <c r="L4152">
        <v>885.70558113592995</v>
      </c>
      <c r="M4152">
        <v>18.575405803311298</v>
      </c>
      <c r="N4152">
        <v>47.865392753386502</v>
      </c>
      <c r="O4152">
        <v>47.139318906530697</v>
      </c>
      <c r="P4152">
        <v>-9.5127060370598607E-2</v>
      </c>
      <c r="Q4152">
        <v>3.4415856487747601E-2</v>
      </c>
      <c r="R4152">
        <v>0.99852994774052195</v>
      </c>
      <c r="S4152" t="s">
        <v>8892</v>
      </c>
      <c r="T4152" t="s">
        <v>9478</v>
      </c>
      <c r="U4152" t="s">
        <v>9478</v>
      </c>
      <c r="V4152" t="s">
        <v>9478</v>
      </c>
      <c r="W4152">
        <v>8</v>
      </c>
      <c r="X4152" t="s">
        <v>13630</v>
      </c>
      <c r="Y4152">
        <v>0.29785063549810931</v>
      </c>
      <c r="Z4152" t="str">
        <f>HYPERLINK("Melting_Curves/meltCurve_tr_D6RCD0_D6RCD0_HUMAN_.pdf", "Melting_Curves/meltCurve_tr_D6RCD0_D6RCD0_HUMAN_.pdf")</f>
        <v>Melting_Curves/meltCurve_tr_D6RCD0_D6RCD0_HUMAN_.pdf</v>
      </c>
      <c r="AA4152" t="s">
        <v>18304</v>
      </c>
      <c r="AB4152" t="s">
        <v>22979</v>
      </c>
    </row>
    <row r="4153" spans="1:28" x14ac:dyDescent="0.25">
      <c r="A4153" t="s">
        <v>4157</v>
      </c>
      <c r="B4153">
        <v>0.99904790336628502</v>
      </c>
      <c r="C4153">
        <v>1.1228029324088999</v>
      </c>
      <c r="D4153">
        <v>1.2091835081744799</v>
      </c>
      <c r="E4153">
        <v>1.12421395601912</v>
      </c>
      <c r="F4153">
        <v>1.18679175503335</v>
      </c>
      <c r="G4153">
        <v>0.68316731855551704</v>
      </c>
      <c r="H4153">
        <v>0.56491320115438703</v>
      </c>
      <c r="I4153">
        <v>0.54409881887370004</v>
      </c>
      <c r="J4153">
        <v>0.56521084641365904</v>
      </c>
      <c r="K4153">
        <v>0.47913339943708599</v>
      </c>
      <c r="L4153">
        <v>14205.378974180299</v>
      </c>
      <c r="M4153">
        <v>250</v>
      </c>
      <c r="O4153">
        <v>56.817869885176997</v>
      </c>
      <c r="P4153">
        <v>-0.50782973508887996</v>
      </c>
      <c r="Q4153">
        <v>0.53833905961140405</v>
      </c>
      <c r="R4153">
        <v>0.86341275344473301</v>
      </c>
      <c r="S4153" t="s">
        <v>8893</v>
      </c>
      <c r="T4153" t="s">
        <v>9478</v>
      </c>
      <c r="U4153" t="s">
        <v>9478</v>
      </c>
      <c r="V4153" t="s">
        <v>9478</v>
      </c>
      <c r="W4153">
        <v>2</v>
      </c>
      <c r="X4153" t="s">
        <v>13631</v>
      </c>
      <c r="Y4153">
        <v>0.79724632509955673</v>
      </c>
      <c r="Z4153" t="str">
        <f>HYPERLINK("Melting_Curves/meltCurve_tr_D6RD17_D6RD17_HUMAN_.pdf", "Melting_Curves/meltCurve_tr_D6RD17_D6RD17_HUMAN_.pdf")</f>
        <v>Melting_Curves/meltCurve_tr_D6RD17_D6RD17_HUMAN_.pdf</v>
      </c>
      <c r="AA4153" t="s">
        <v>18305</v>
      </c>
      <c r="AB4153" t="s">
        <v>22980</v>
      </c>
    </row>
    <row r="4154" spans="1:28" x14ac:dyDescent="0.25">
      <c r="A4154" t="s">
        <v>4158</v>
      </c>
      <c r="B4154">
        <v>0.99904790336628502</v>
      </c>
      <c r="C4154">
        <v>0.485234192711265</v>
      </c>
      <c r="D4154">
        <v>0.33041286664827402</v>
      </c>
      <c r="E4154">
        <v>0.208783261401218</v>
      </c>
      <c r="F4154">
        <v>0.124416978096851</v>
      </c>
      <c r="G4154">
        <v>6.5045781619587295E-2</v>
      </c>
      <c r="H4154">
        <v>7.0697106979056595E-2</v>
      </c>
      <c r="I4154">
        <v>5.6736987035368801E-2</v>
      </c>
      <c r="J4154">
        <v>7.3869948001983904E-2</v>
      </c>
      <c r="K4154">
        <v>4.7403788220570897E-2</v>
      </c>
      <c r="L4154">
        <v>937.97184106367001</v>
      </c>
      <c r="M4154">
        <v>21.628872079418301</v>
      </c>
      <c r="N4154">
        <v>43.725665536697697</v>
      </c>
      <c r="O4154">
        <v>43.001047585777997</v>
      </c>
      <c r="P4154">
        <v>-0.115518947421754</v>
      </c>
      <c r="Q4154">
        <v>8.1354390832520801E-2</v>
      </c>
      <c r="R4154">
        <v>0.95203257216425197</v>
      </c>
      <c r="S4154" t="s">
        <v>8894</v>
      </c>
      <c r="T4154" t="s">
        <v>9478</v>
      </c>
      <c r="U4154" t="s">
        <v>9478</v>
      </c>
      <c r="V4154" t="s">
        <v>9478</v>
      </c>
      <c r="W4154">
        <v>3</v>
      </c>
      <c r="X4154" t="s">
        <v>13632</v>
      </c>
      <c r="Y4154">
        <v>0.2012553034450151</v>
      </c>
      <c r="Z4154" t="str">
        <f>HYPERLINK("Melting_Curves/meltCurve_tr_D6REA0_D6REA0_HUMAN_.pdf", "Melting_Curves/meltCurve_tr_D6REA0_D6REA0_HUMAN_.pdf")</f>
        <v>Melting_Curves/meltCurve_tr_D6REA0_D6REA0_HUMAN_.pdf</v>
      </c>
      <c r="AA4154" t="s">
        <v>18306</v>
      </c>
      <c r="AB4154" t="s">
        <v>22981</v>
      </c>
    </row>
    <row r="4155" spans="1:28" x14ac:dyDescent="0.25">
      <c r="A4155" t="s">
        <v>4159</v>
      </c>
      <c r="B4155">
        <v>0.99904790336628502</v>
      </c>
      <c r="C4155">
        <v>0.89228736682500898</v>
      </c>
      <c r="D4155">
        <v>0.97558902708656703</v>
      </c>
      <c r="E4155">
        <v>0.93610476848474999</v>
      </c>
      <c r="F4155">
        <v>0.96040985063552997</v>
      </c>
      <c r="G4155">
        <v>0.74596880778710095</v>
      </c>
      <c r="H4155">
        <v>0.58815678247249104</v>
      </c>
      <c r="I4155">
        <v>0.51399587982041195</v>
      </c>
      <c r="J4155">
        <v>0.444106052359933</v>
      </c>
      <c r="K4155">
        <v>0.29285587350287501</v>
      </c>
      <c r="L4155">
        <v>660.75678109485602</v>
      </c>
      <c r="M4155">
        <v>10.467115587419899</v>
      </c>
      <c r="N4155">
        <v>64.126133654080306</v>
      </c>
      <c r="O4155">
        <v>60.953281250907899</v>
      </c>
      <c r="P4155">
        <v>-3.97167868526885E-2</v>
      </c>
      <c r="Q4155">
        <v>7.5244619334044499E-2</v>
      </c>
      <c r="R4155">
        <v>0.966836658050928</v>
      </c>
      <c r="S4155" t="s">
        <v>8895</v>
      </c>
      <c r="T4155" t="s">
        <v>9478</v>
      </c>
      <c r="U4155" t="s">
        <v>9478</v>
      </c>
      <c r="V4155" t="s">
        <v>9478</v>
      </c>
      <c r="W4155">
        <v>2</v>
      </c>
      <c r="X4155" t="s">
        <v>13633</v>
      </c>
      <c r="Y4155">
        <v>0.76095561683054269</v>
      </c>
      <c r="Z4155" t="str">
        <f>HYPERLINK("Melting_Curves/meltCurve_tr_D6REX5_D6REX5_HUMAN_.pdf", "Melting_Curves/meltCurve_tr_D6REX5_D6REX5_HUMAN_.pdf")</f>
        <v>Melting_Curves/meltCurve_tr_D6REX5_D6REX5_HUMAN_.pdf</v>
      </c>
      <c r="AA4155" t="s">
        <v>18307</v>
      </c>
      <c r="AB4155" t="s">
        <v>22982</v>
      </c>
    </row>
    <row r="4156" spans="1:28" x14ac:dyDescent="0.25">
      <c r="A4156" t="s">
        <v>4160</v>
      </c>
      <c r="B4156">
        <v>0.99904790336628502</v>
      </c>
      <c r="C4156">
        <v>0.93695169513157905</v>
      </c>
      <c r="D4156">
        <v>0.84892802493263697</v>
      </c>
      <c r="E4156">
        <v>0.63680820189651699</v>
      </c>
      <c r="F4156">
        <v>0.38725946495872199</v>
      </c>
      <c r="G4156">
        <v>0.23624989475657801</v>
      </c>
      <c r="H4156">
        <v>0.14241729854422</v>
      </c>
      <c r="I4156">
        <v>0.120009242924035</v>
      </c>
      <c r="J4156">
        <v>9.1869042084333302E-2</v>
      </c>
      <c r="K4156">
        <v>3.7901225913581998E-2</v>
      </c>
      <c r="L4156">
        <v>746.25995910465201</v>
      </c>
      <c r="M4156">
        <v>14.5442475659443</v>
      </c>
      <c r="N4156">
        <v>51.684588686348498</v>
      </c>
      <c r="O4156">
        <v>50.368888931157002</v>
      </c>
      <c r="P4156">
        <v>-6.8582000116796701E-2</v>
      </c>
      <c r="Q4156">
        <v>5.0069391406406802E-2</v>
      </c>
      <c r="R4156">
        <v>0.99744337242538805</v>
      </c>
      <c r="S4156" t="s">
        <v>8896</v>
      </c>
      <c r="T4156" t="s">
        <v>9478</v>
      </c>
      <c r="U4156" t="s">
        <v>9478</v>
      </c>
      <c r="V4156" t="s">
        <v>9478</v>
      </c>
      <c r="W4156">
        <v>1</v>
      </c>
      <c r="X4156" t="s">
        <v>13634</v>
      </c>
      <c r="Y4156">
        <v>0.43101440719262307</v>
      </c>
      <c r="Z4156" t="str">
        <f>HYPERLINK("Melting_Curves/meltCurve_tr_D6RF92_D6RF92_HUMAN_.pdf", "Melting_Curves/meltCurve_tr_D6RF92_D6RF92_HUMAN_.pdf")</f>
        <v>Melting_Curves/meltCurve_tr_D6RF92_D6RF92_HUMAN_.pdf</v>
      </c>
      <c r="AA4156" t="s">
        <v>18308</v>
      </c>
      <c r="AB4156" t="s">
        <v>22983</v>
      </c>
    </row>
    <row r="4157" spans="1:28" x14ac:dyDescent="0.25">
      <c r="A4157" t="s">
        <v>4161</v>
      </c>
      <c r="B4157">
        <v>0.99904790336628502</v>
      </c>
      <c r="C4157">
        <v>1.0363672599956799</v>
      </c>
      <c r="D4157">
        <v>1.1162123243237501</v>
      </c>
      <c r="E4157">
        <v>1.01391873285214</v>
      </c>
      <c r="F4157">
        <v>0.85512482350159102</v>
      </c>
      <c r="G4157">
        <v>0.58021432873767498</v>
      </c>
      <c r="H4157">
        <v>0.37150275177898001</v>
      </c>
      <c r="I4157">
        <v>0.26348370237713598</v>
      </c>
      <c r="J4157">
        <v>7.2876939391241402E-2</v>
      </c>
      <c r="K4157">
        <v>4.9653202103565303E-2</v>
      </c>
      <c r="L4157">
        <v>994.41062036824405</v>
      </c>
      <c r="M4157">
        <v>16.905519090859698</v>
      </c>
      <c r="N4157">
        <v>58.821656164553403</v>
      </c>
      <c r="O4157">
        <v>58.017094396132201</v>
      </c>
      <c r="P4157">
        <v>-7.2851751444954094E-2</v>
      </c>
      <c r="Q4157">
        <v>0</v>
      </c>
      <c r="R4157">
        <v>0.98140743001155095</v>
      </c>
      <c r="S4157" t="s">
        <v>8897</v>
      </c>
      <c r="T4157" t="s">
        <v>9478</v>
      </c>
      <c r="U4157" t="s">
        <v>9478</v>
      </c>
      <c r="V4157" t="s">
        <v>9478</v>
      </c>
      <c r="W4157">
        <v>17</v>
      </c>
      <c r="X4157" t="s">
        <v>13635</v>
      </c>
      <c r="Y4157">
        <v>0.63852619351127227</v>
      </c>
      <c r="Z4157" t="str">
        <f>HYPERLINK("Melting_Curves/meltCurve_tr_D6RGI3_D6RGI3_HUMAN_.pdf", "Melting_Curves/meltCurve_tr_D6RGI3_D6RGI3_HUMAN_.pdf")</f>
        <v>Melting_Curves/meltCurve_tr_D6RGI3_D6RGI3_HUMAN_.pdf</v>
      </c>
      <c r="AA4157" t="s">
        <v>18309</v>
      </c>
      <c r="AB4157" t="s">
        <v>22984</v>
      </c>
    </row>
    <row r="4158" spans="1:28" x14ac:dyDescent="0.25">
      <c r="A4158" t="s">
        <v>4162</v>
      </c>
      <c r="B4158">
        <v>0.99904790336628502</v>
      </c>
      <c r="C4158">
        <v>1.2132569334494701</v>
      </c>
      <c r="D4158">
        <v>1.10728773203123</v>
      </c>
      <c r="E4158">
        <v>0.76668754651382598</v>
      </c>
      <c r="F4158">
        <v>0.331496981107543</v>
      </c>
      <c r="G4158">
        <v>8.2104089877739705E-2</v>
      </c>
      <c r="H4158">
        <v>0</v>
      </c>
      <c r="I4158">
        <v>0</v>
      </c>
      <c r="J4158">
        <v>0</v>
      </c>
      <c r="K4158">
        <v>0</v>
      </c>
      <c r="L4158">
        <v>1769.56936144413</v>
      </c>
      <c r="M4158">
        <v>34.106392581161202</v>
      </c>
      <c r="N4158">
        <v>51.899725049657903</v>
      </c>
      <c r="O4158">
        <v>51.706408618423602</v>
      </c>
      <c r="P4158">
        <v>-0.16404650864627701</v>
      </c>
      <c r="Q4158">
        <v>5.2043616571305204E-3</v>
      </c>
      <c r="R4158">
        <v>0.97400084816714005</v>
      </c>
      <c r="S4158" t="s">
        <v>8898</v>
      </c>
      <c r="T4158" t="s">
        <v>9478</v>
      </c>
      <c r="U4158" t="s">
        <v>9478</v>
      </c>
      <c r="V4158" t="s">
        <v>9478</v>
      </c>
      <c r="W4158">
        <v>2</v>
      </c>
      <c r="X4158" t="s">
        <v>13636</v>
      </c>
      <c r="Y4158">
        <v>0.40418119736990321</v>
      </c>
      <c r="Z4158" t="str">
        <f>HYPERLINK("Melting_Curves/meltCurve_tr_D6RGK9_D6RGK9_HUMAN_.pdf", "Melting_Curves/meltCurve_tr_D6RGK9_D6RGK9_HUMAN_.pdf")</f>
        <v>Melting_Curves/meltCurve_tr_D6RGK9_D6RGK9_HUMAN_.pdf</v>
      </c>
      <c r="AA4158" t="s">
        <v>18310</v>
      </c>
      <c r="AB4158" t="s">
        <v>22985</v>
      </c>
    </row>
    <row r="4159" spans="1:28" x14ac:dyDescent="0.25">
      <c r="A4159" t="s">
        <v>4163</v>
      </c>
      <c r="B4159">
        <v>0.99904790336628502</v>
      </c>
      <c r="C4159">
        <v>0.99927022294574797</v>
      </c>
      <c r="D4159">
        <v>1.04322789668439</v>
      </c>
      <c r="E4159">
        <v>1.05332274381571</v>
      </c>
      <c r="F4159">
        <v>1.01658661205113</v>
      </c>
      <c r="G4159">
        <v>0.55363692901581096</v>
      </c>
      <c r="H4159">
        <v>0.16852671642435799</v>
      </c>
      <c r="I4159">
        <v>0.10912512905044899</v>
      </c>
      <c r="J4159">
        <v>9.4158992912446199E-2</v>
      </c>
      <c r="K4159">
        <v>8.7087267393102102E-2</v>
      </c>
      <c r="L4159">
        <v>2780.54180700095</v>
      </c>
      <c r="M4159">
        <v>48.735810103080098</v>
      </c>
      <c r="N4159">
        <v>57.3251992570627</v>
      </c>
      <c r="O4159">
        <v>56.9575483092867</v>
      </c>
      <c r="P4159">
        <v>-0.19184373051360801</v>
      </c>
      <c r="Q4159">
        <v>0.10316966694490901</v>
      </c>
      <c r="R4159">
        <v>0.99593940968479699</v>
      </c>
      <c r="S4159" t="s">
        <v>8899</v>
      </c>
      <c r="T4159" t="s">
        <v>9478</v>
      </c>
      <c r="U4159" t="s">
        <v>9478</v>
      </c>
      <c r="V4159" t="s">
        <v>9478</v>
      </c>
      <c r="W4159">
        <v>2</v>
      </c>
      <c r="X4159" t="s">
        <v>13637</v>
      </c>
      <c r="Y4159">
        <v>0.61533829918792182</v>
      </c>
      <c r="Z4159" t="str">
        <f>HYPERLINK("Melting_Curves/meltCurve_tr_D6RHI7_D6RHI7_HUMAN_.pdf", "Melting_Curves/meltCurve_tr_D6RHI7_D6RHI7_HUMAN_.pdf")</f>
        <v>Melting_Curves/meltCurve_tr_D6RHI7_D6RHI7_HUMAN_.pdf</v>
      </c>
      <c r="AA4159" t="s">
        <v>18311</v>
      </c>
      <c r="AB4159" t="s">
        <v>22986</v>
      </c>
    </row>
    <row r="4160" spans="1:28" x14ac:dyDescent="0.25">
      <c r="A4160" t="s">
        <v>4164</v>
      </c>
      <c r="B4160">
        <v>0.99904790336628502</v>
      </c>
      <c r="C4160">
        <v>0.96134530512018401</v>
      </c>
      <c r="D4160">
        <v>0.963635516946169</v>
      </c>
      <c r="E4160">
        <v>0.919460818845664</v>
      </c>
      <c r="F4160">
        <v>0.89292914551770797</v>
      </c>
      <c r="G4160">
        <v>0.74903845242845102</v>
      </c>
      <c r="H4160">
        <v>0.54839540903985695</v>
      </c>
      <c r="I4160">
        <v>0.45340921707202603</v>
      </c>
      <c r="J4160">
        <v>0.47971008300471502</v>
      </c>
      <c r="K4160">
        <v>0.51668261175225605</v>
      </c>
      <c r="L4160">
        <v>1136.80135030107</v>
      </c>
      <c r="M4160">
        <v>20.0551835221735</v>
      </c>
      <c r="N4160">
        <v>64.622527221231806</v>
      </c>
      <c r="O4160">
        <v>56.129112625408098</v>
      </c>
      <c r="P4160">
        <v>-4.84660325519288E-2</v>
      </c>
      <c r="Q4160">
        <v>0.45744342765971202</v>
      </c>
      <c r="R4160">
        <v>0.97567953277188402</v>
      </c>
      <c r="S4160" t="s">
        <v>8900</v>
      </c>
      <c r="T4160" t="s">
        <v>9478</v>
      </c>
      <c r="U4160" t="s">
        <v>9478</v>
      </c>
      <c r="V4160" t="s">
        <v>9478</v>
      </c>
      <c r="W4160">
        <v>5</v>
      </c>
      <c r="X4160" t="s">
        <v>13638</v>
      </c>
      <c r="Y4160">
        <v>0.7659134686277379</v>
      </c>
      <c r="Z4160" t="str">
        <f>HYPERLINK("Melting_Curves/meltCurve_tr_D6RHI9_D6RHI9_HUMAN_.pdf", "Melting_Curves/meltCurve_tr_D6RHI9_D6RHI9_HUMAN_.pdf")</f>
        <v>Melting_Curves/meltCurve_tr_D6RHI9_D6RHI9_HUMAN_.pdf</v>
      </c>
      <c r="AA4160" t="s">
        <v>18312</v>
      </c>
      <c r="AB4160" t="s">
        <v>22987</v>
      </c>
    </row>
    <row r="4161" spans="1:28" x14ac:dyDescent="0.25">
      <c r="A4161" t="s">
        <v>4165</v>
      </c>
      <c r="B4161">
        <v>0.99904790336628502</v>
      </c>
      <c r="C4161">
        <v>0.95842054137063803</v>
      </c>
      <c r="D4161">
        <v>0.92491672348912701</v>
      </c>
      <c r="E4161">
        <v>0.81989840157730998</v>
      </c>
      <c r="F4161">
        <v>0.73359292361672601</v>
      </c>
      <c r="G4161">
        <v>0.56589169204580403</v>
      </c>
      <c r="H4161">
        <v>0.43017408587844103</v>
      </c>
      <c r="I4161">
        <v>0.35253920449355303</v>
      </c>
      <c r="J4161">
        <v>0.36575979211007997</v>
      </c>
      <c r="K4161">
        <v>0.35856313535287498</v>
      </c>
      <c r="L4161">
        <v>682.32987941379997</v>
      </c>
      <c r="M4161">
        <v>12.4990637892751</v>
      </c>
      <c r="N4161">
        <v>58.729638492510297</v>
      </c>
      <c r="O4161">
        <v>53.249612635283398</v>
      </c>
      <c r="P4161">
        <v>-4.1508228691857801E-2</v>
      </c>
      <c r="Q4161">
        <v>0.29279751123495001</v>
      </c>
      <c r="R4161">
        <v>0.99463738285915304</v>
      </c>
      <c r="S4161" t="s">
        <v>8901</v>
      </c>
      <c r="T4161" t="s">
        <v>9478</v>
      </c>
      <c r="U4161" t="s">
        <v>9478</v>
      </c>
      <c r="V4161" t="s">
        <v>9478</v>
      </c>
      <c r="W4161">
        <v>6</v>
      </c>
      <c r="X4161" t="s">
        <v>13639</v>
      </c>
      <c r="Y4161">
        <v>0.65355908691525999</v>
      </c>
      <c r="Z4161" t="str">
        <f>HYPERLINK("Melting_Curves/meltCurve_tr_E2QRD5_E2QRD5_HUMAN_.pdf", "Melting_Curves/meltCurve_tr_E2QRD5_E2QRD5_HUMAN_.pdf")</f>
        <v>Melting_Curves/meltCurve_tr_E2QRD5_E2QRD5_HUMAN_.pdf</v>
      </c>
      <c r="AA4161" t="s">
        <v>18313</v>
      </c>
      <c r="AB4161" t="s">
        <v>22988</v>
      </c>
    </row>
    <row r="4162" spans="1:28" x14ac:dyDescent="0.25">
      <c r="A4162" t="s">
        <v>4166</v>
      </c>
      <c r="B4162">
        <v>0.99904790336628502</v>
      </c>
      <c r="C4162">
        <v>0.84325821386962396</v>
      </c>
      <c r="D4162">
        <v>0.86967510442509899</v>
      </c>
      <c r="E4162">
        <v>0.51624004054380801</v>
      </c>
      <c r="F4162">
        <v>0.307882377688868</v>
      </c>
      <c r="G4162">
        <v>0.14198389343589199</v>
      </c>
      <c r="H4162">
        <v>6.5197411095557198E-2</v>
      </c>
      <c r="I4162">
        <v>4.9199356012791899E-2</v>
      </c>
      <c r="J4162">
        <v>5.2430169585060298E-2</v>
      </c>
      <c r="K4162">
        <v>2.3538823004070699E-2</v>
      </c>
      <c r="L4162">
        <v>800.57212145701203</v>
      </c>
      <c r="M4162">
        <v>15.9527732215633</v>
      </c>
      <c r="N4162">
        <v>50.300475761163099</v>
      </c>
      <c r="O4162">
        <v>49.415170039773898</v>
      </c>
      <c r="P4162">
        <v>-7.92493642862203E-2</v>
      </c>
      <c r="Q4162">
        <v>1.8149373874174299E-2</v>
      </c>
      <c r="R4162">
        <v>0.99048578947725696</v>
      </c>
      <c r="S4162" t="s">
        <v>8902</v>
      </c>
      <c r="T4162" t="s">
        <v>9478</v>
      </c>
      <c r="U4162" t="s">
        <v>9478</v>
      </c>
      <c r="V4162" t="s">
        <v>9478</v>
      </c>
      <c r="W4162">
        <v>2</v>
      </c>
      <c r="X4162" t="s">
        <v>13640</v>
      </c>
      <c r="Y4162">
        <v>0.37231673079262478</v>
      </c>
      <c r="Z4162" t="str">
        <f>HYPERLINK("Melting_Curves/meltCurve_tr_E5RFZ0_E5RFZ0_HUMAN_.pdf", "Melting_Curves/meltCurve_tr_E5RFZ0_E5RFZ0_HUMAN_.pdf")</f>
        <v>Melting_Curves/meltCurve_tr_E5RFZ0_E5RFZ0_HUMAN_.pdf</v>
      </c>
      <c r="AA4162" t="s">
        <v>18314</v>
      </c>
      <c r="AB4162" t="s">
        <v>22989</v>
      </c>
    </row>
    <row r="4163" spans="1:28" x14ac:dyDescent="0.25">
      <c r="A4163" t="s">
        <v>4167</v>
      </c>
      <c r="B4163">
        <v>0.99904790336628502</v>
      </c>
      <c r="C4163">
        <v>1.12212896144397</v>
      </c>
      <c r="D4163">
        <v>0.99753444537515401</v>
      </c>
      <c r="E4163">
        <v>0.93339389138408502</v>
      </c>
      <c r="F4163">
        <v>0.67470924758788098</v>
      </c>
      <c r="G4163">
        <v>0.68281669526085798</v>
      </c>
      <c r="H4163">
        <v>0.37805092886786701</v>
      </c>
      <c r="I4163">
        <v>0.30494102817498903</v>
      </c>
      <c r="J4163">
        <v>0.23863215155173001</v>
      </c>
      <c r="K4163">
        <v>0.15916499032175199</v>
      </c>
      <c r="L4163">
        <v>727.07620300435099</v>
      </c>
      <c r="M4163">
        <v>12.466312173978199</v>
      </c>
      <c r="N4163">
        <v>59.022062643590999</v>
      </c>
      <c r="O4163">
        <v>56.8834788618408</v>
      </c>
      <c r="P4163">
        <v>-5.1040521157033697E-2</v>
      </c>
      <c r="Q4163">
        <v>6.8606772559747897E-2</v>
      </c>
      <c r="R4163">
        <v>0.96357989713877201</v>
      </c>
      <c r="S4163" t="s">
        <v>8903</v>
      </c>
      <c r="T4163" t="s">
        <v>9478</v>
      </c>
      <c r="U4163" t="s">
        <v>9478</v>
      </c>
      <c r="V4163" t="s">
        <v>9478</v>
      </c>
      <c r="W4163">
        <v>3</v>
      </c>
      <c r="X4163" t="s">
        <v>13641</v>
      </c>
      <c r="Y4163">
        <v>0.64834052583838153</v>
      </c>
      <c r="Z4163" t="str">
        <f>HYPERLINK("Melting_Curves/meltCurve_tr_E5RGQ3_E5RGQ3_HUMAN_.pdf", "Melting_Curves/meltCurve_tr_E5RGQ3_E5RGQ3_HUMAN_.pdf")</f>
        <v>Melting_Curves/meltCurve_tr_E5RGQ3_E5RGQ3_HUMAN_.pdf</v>
      </c>
      <c r="AA4163" t="s">
        <v>18315</v>
      </c>
      <c r="AB4163" t="s">
        <v>22990</v>
      </c>
    </row>
    <row r="4164" spans="1:28" x14ac:dyDescent="0.25">
      <c r="A4164" t="s">
        <v>4168</v>
      </c>
      <c r="B4164">
        <v>0.99904790336628502</v>
      </c>
      <c r="C4164">
        <v>1.0200121749757101</v>
      </c>
      <c r="D4164">
        <v>1.00791743231719</v>
      </c>
      <c r="E4164">
        <v>1.0145328952361199</v>
      </c>
      <c r="F4164">
        <v>1.08779929607138</v>
      </c>
      <c r="G4164">
        <v>0.71408095643764902</v>
      </c>
      <c r="H4164">
        <v>0.76794939884952995</v>
      </c>
      <c r="I4164">
        <v>0.86938631565180802</v>
      </c>
      <c r="J4164">
        <v>0.96553412338150502</v>
      </c>
      <c r="K4164">
        <v>1.09271067029444</v>
      </c>
      <c r="L4164">
        <v>3171.5466622271101</v>
      </c>
      <c r="M4164">
        <v>58.084217230773604</v>
      </c>
      <c r="O4164">
        <v>54.537945028173397</v>
      </c>
      <c r="P4164">
        <v>-2.9788404408768399E-2</v>
      </c>
      <c r="Q4164">
        <v>0.88812123648216101</v>
      </c>
      <c r="R4164">
        <v>0.27959600374360499</v>
      </c>
      <c r="S4164" t="s">
        <v>8904</v>
      </c>
      <c r="T4164" t="s">
        <v>9478</v>
      </c>
      <c r="U4164" t="s">
        <v>9478</v>
      </c>
      <c r="V4164" t="s">
        <v>9478</v>
      </c>
      <c r="W4164">
        <v>2</v>
      </c>
      <c r="X4164" t="s">
        <v>13642</v>
      </c>
      <c r="Y4164">
        <v>0.94277779780910798</v>
      </c>
      <c r="Z4164" t="str">
        <f>HYPERLINK("Melting_Curves/meltCurve_tr_E5RGX5_E5RGX5_HUMAN_.pdf", "Melting_Curves/meltCurve_tr_E5RGX5_E5RGX5_HUMAN_.pdf")</f>
        <v>Melting_Curves/meltCurve_tr_E5RGX5_E5RGX5_HUMAN_.pdf</v>
      </c>
      <c r="AA4164" t="s">
        <v>18316</v>
      </c>
      <c r="AB4164" t="s">
        <v>19649</v>
      </c>
    </row>
    <row r="4165" spans="1:28" x14ac:dyDescent="0.25">
      <c r="A4165" t="s">
        <v>4169</v>
      </c>
      <c r="B4165">
        <v>0.99904790336628502</v>
      </c>
      <c r="C4165">
        <v>0.969318970564233</v>
      </c>
      <c r="D4165">
        <v>0.92354797798568999</v>
      </c>
      <c r="E4165">
        <v>0.91622495900283396</v>
      </c>
      <c r="F4165">
        <v>0.74070540874102797</v>
      </c>
      <c r="G4165">
        <v>0.34690180912490098</v>
      </c>
      <c r="H4165">
        <v>0.141414827456596</v>
      </c>
      <c r="I4165">
        <v>8.9922648095172697E-2</v>
      </c>
      <c r="J4165">
        <v>6.8466146060411306E-2</v>
      </c>
      <c r="K4165">
        <v>6.5030406480852995E-2</v>
      </c>
      <c r="L4165">
        <v>1271.9532555268299</v>
      </c>
      <c r="M4165">
        <v>23.085396159871699</v>
      </c>
      <c r="N4165">
        <v>55.367797306944396</v>
      </c>
      <c r="O4165">
        <v>54.689302500992099</v>
      </c>
      <c r="P4165">
        <v>-9.9912681756946398E-2</v>
      </c>
      <c r="Q4165">
        <v>5.3244908300159897E-2</v>
      </c>
      <c r="R4165">
        <v>0.99648019539788302</v>
      </c>
      <c r="S4165" t="s">
        <v>8905</v>
      </c>
      <c r="T4165" t="s">
        <v>9478</v>
      </c>
      <c r="U4165" t="s">
        <v>9478</v>
      </c>
      <c r="V4165" t="s">
        <v>9478</v>
      </c>
      <c r="W4165">
        <v>5</v>
      </c>
      <c r="X4165" t="s">
        <v>13643</v>
      </c>
      <c r="Y4165">
        <v>0.53973558531626853</v>
      </c>
      <c r="Z4165" t="str">
        <f>HYPERLINK("Melting_Curves/meltCurve_tr_E5RHG8_E5RHG8_HUMAN_.pdf", "Melting_Curves/meltCurve_tr_E5RHG8_E5RHG8_HUMAN_.pdf")</f>
        <v>Melting_Curves/meltCurve_tr_E5RHG8_E5RHG8_HUMAN_.pdf</v>
      </c>
      <c r="AA4165" t="s">
        <v>18317</v>
      </c>
      <c r="AB4165" t="s">
        <v>22991</v>
      </c>
    </row>
    <row r="4166" spans="1:28" x14ac:dyDescent="0.25">
      <c r="A4166" t="s">
        <v>4170</v>
      </c>
      <c r="B4166">
        <v>0.99904790336628502</v>
      </c>
      <c r="C4166">
        <v>0.94996803725182799</v>
      </c>
      <c r="D4166">
        <v>0.79307797018187898</v>
      </c>
      <c r="E4166">
        <v>0.72695599087552099</v>
      </c>
      <c r="F4166">
        <v>0.76240489076699902</v>
      </c>
      <c r="G4166">
        <v>0.39412525124250403</v>
      </c>
      <c r="H4166">
        <v>0.37605537480560203</v>
      </c>
      <c r="I4166">
        <v>0.18926520276164299</v>
      </c>
      <c r="J4166">
        <v>0.31483631956788599</v>
      </c>
      <c r="K4166">
        <v>0.451181999058201</v>
      </c>
      <c r="L4166">
        <v>645.56950658909398</v>
      </c>
      <c r="M4166">
        <v>12.333564075522901</v>
      </c>
      <c r="N4166">
        <v>55.946988233700203</v>
      </c>
      <c r="O4166">
        <v>51.023549067652397</v>
      </c>
      <c r="P4166">
        <v>-4.3874843347331299E-2</v>
      </c>
      <c r="Q4166">
        <v>0.27412220135204401</v>
      </c>
      <c r="R4166">
        <v>0.88497015842464799</v>
      </c>
      <c r="S4166" t="s">
        <v>8906</v>
      </c>
      <c r="T4166" t="s">
        <v>9478</v>
      </c>
      <c r="U4166" t="s">
        <v>9478</v>
      </c>
      <c r="V4166" t="s">
        <v>9478</v>
      </c>
      <c r="W4166">
        <v>1</v>
      </c>
      <c r="X4166" t="s">
        <v>13644</v>
      </c>
      <c r="Y4166">
        <v>0.59373020391384324</v>
      </c>
      <c r="Z4166" t="str">
        <f>HYPERLINK("Melting_Curves/meltCurve_tr_E5RHY8_E5RHY8_HUMAN_.pdf", "Melting_Curves/meltCurve_tr_E5RHY8_E5RHY8_HUMAN_.pdf")</f>
        <v>Melting_Curves/meltCurve_tr_E5RHY8_E5RHY8_HUMAN_.pdf</v>
      </c>
      <c r="AA4166" t="s">
        <v>18318</v>
      </c>
      <c r="AB4166" t="s">
        <v>22992</v>
      </c>
    </row>
    <row r="4167" spans="1:28" x14ac:dyDescent="0.25">
      <c r="A4167" t="s">
        <v>4171</v>
      </c>
      <c r="B4167">
        <v>0.99904790336628502</v>
      </c>
      <c r="C4167">
        <v>1.0118381588215799</v>
      </c>
      <c r="D4167">
        <v>0.88539813693759895</v>
      </c>
      <c r="E4167">
        <v>0.75912678457931504</v>
      </c>
      <c r="F4167">
        <v>0.709931168888292</v>
      </c>
      <c r="G4167">
        <v>0.536947492458415</v>
      </c>
      <c r="H4167">
        <v>0.32662602798713403</v>
      </c>
      <c r="I4167">
        <v>0.26877342840514301</v>
      </c>
      <c r="J4167">
        <v>0.25153174852445398</v>
      </c>
      <c r="K4167">
        <v>0.25017512157168198</v>
      </c>
      <c r="L4167">
        <v>625.47817118183298</v>
      </c>
      <c r="M4167">
        <v>11.3300308997706</v>
      </c>
      <c r="N4167">
        <v>56.989090199506997</v>
      </c>
      <c r="O4167">
        <v>53.569448699231998</v>
      </c>
      <c r="P4167">
        <v>-4.4995549457521197E-2</v>
      </c>
      <c r="Q4167">
        <v>0.149283387996305</v>
      </c>
      <c r="R4167">
        <v>0.98766044539850495</v>
      </c>
      <c r="S4167" t="s">
        <v>8907</v>
      </c>
      <c r="T4167" t="s">
        <v>9478</v>
      </c>
      <c r="U4167" t="s">
        <v>9478</v>
      </c>
      <c r="V4167" t="s">
        <v>9478</v>
      </c>
      <c r="W4167">
        <v>2</v>
      </c>
      <c r="X4167" t="s">
        <v>13645</v>
      </c>
      <c r="Y4167">
        <v>0.60057347591051269</v>
      </c>
      <c r="Z4167" t="str">
        <f>HYPERLINK("Melting_Curves/meltCurve_tr_E5RI99_E5RI99_HUMAN_.pdf", "Melting_Curves/meltCurve_tr_E5RI99_E5RI99_HUMAN_.pdf")</f>
        <v>Melting_Curves/meltCurve_tr_E5RI99_E5RI99_HUMAN_.pdf</v>
      </c>
      <c r="AA4167" t="s">
        <v>18319</v>
      </c>
      <c r="AB4167" t="s">
        <v>22993</v>
      </c>
    </row>
    <row r="4168" spans="1:28" x14ac:dyDescent="0.25">
      <c r="A4168" t="s">
        <v>4172</v>
      </c>
      <c r="B4168">
        <v>0.99904790336628502</v>
      </c>
      <c r="C4168">
        <v>0.99678831211198904</v>
      </c>
      <c r="D4168">
        <v>0.96228369897510702</v>
      </c>
      <c r="E4168">
        <v>0.89455384655568204</v>
      </c>
      <c r="F4168">
        <v>0.98868170801478905</v>
      </c>
      <c r="G4168">
        <v>0.65068452567899604</v>
      </c>
      <c r="H4168">
        <v>0.57875374442685001</v>
      </c>
      <c r="I4168">
        <v>0.42881198544602001</v>
      </c>
      <c r="J4168">
        <v>0.39922965002087102</v>
      </c>
      <c r="K4168">
        <v>0.279783012542418</v>
      </c>
      <c r="L4168">
        <v>804.23841130528297</v>
      </c>
      <c r="M4168">
        <v>13.4615939239262</v>
      </c>
      <c r="N4168">
        <v>62.2892212988734</v>
      </c>
      <c r="O4168">
        <v>58.470998762233798</v>
      </c>
      <c r="P4168">
        <v>-4.5385068159578601E-2</v>
      </c>
      <c r="Q4168">
        <v>0.21159379783163901</v>
      </c>
      <c r="R4168">
        <v>0.96602020112632003</v>
      </c>
      <c r="S4168" t="s">
        <v>8908</v>
      </c>
      <c r="T4168" t="s">
        <v>9478</v>
      </c>
      <c r="U4168" t="s">
        <v>9478</v>
      </c>
      <c r="V4168" t="s">
        <v>9478</v>
      </c>
      <c r="W4168">
        <v>2</v>
      </c>
      <c r="X4168" t="s">
        <v>13646</v>
      </c>
      <c r="Y4168">
        <v>0.73545305154394092</v>
      </c>
      <c r="Z4168" t="str">
        <f>HYPERLINK("Melting_Curves/meltCurve_tr_E5RJ08_E5RJ08_HUMAN_.pdf", "Melting_Curves/meltCurve_tr_E5RJ08_E5RJ08_HUMAN_.pdf")</f>
        <v>Melting_Curves/meltCurve_tr_E5RJ08_E5RJ08_HUMAN_.pdf</v>
      </c>
      <c r="AA4168" t="s">
        <v>18320</v>
      </c>
      <c r="AB4168" t="s">
        <v>22994</v>
      </c>
    </row>
    <row r="4169" spans="1:28" x14ac:dyDescent="0.25">
      <c r="A4169" t="s">
        <v>4173</v>
      </c>
      <c r="B4169">
        <v>0.99904790336628502</v>
      </c>
      <c r="C4169">
        <v>1.09417518563717</v>
      </c>
      <c r="D4169">
        <v>1.0661823766235401</v>
      </c>
      <c r="E4169">
        <v>0.68742027758184099</v>
      </c>
      <c r="F4169">
        <v>0.38562615473817702</v>
      </c>
      <c r="G4169">
        <v>0.210305678631697</v>
      </c>
      <c r="H4169">
        <v>0.10087633815003</v>
      </c>
      <c r="I4169">
        <v>6.9438107811436195E-2</v>
      </c>
      <c r="J4169">
        <v>6.2761133892698107E-2</v>
      </c>
      <c r="K4169">
        <v>4.68811541435116E-2</v>
      </c>
      <c r="L4169">
        <v>1316.5443341835</v>
      </c>
      <c r="M4169">
        <v>25.478871499905299</v>
      </c>
      <c r="N4169">
        <v>51.9958118228244</v>
      </c>
      <c r="O4169">
        <v>51.356848900287801</v>
      </c>
      <c r="P4169">
        <v>-0.11493158146235</v>
      </c>
      <c r="Q4169">
        <v>7.3357677152507905E-2</v>
      </c>
      <c r="R4169">
        <v>0.98508638193467002</v>
      </c>
      <c r="S4169" t="s">
        <v>8909</v>
      </c>
      <c r="T4169" t="s">
        <v>9478</v>
      </c>
      <c r="U4169" t="s">
        <v>9478</v>
      </c>
      <c r="V4169" t="s">
        <v>9478</v>
      </c>
      <c r="W4169">
        <v>19</v>
      </c>
      <c r="X4169" t="s">
        <v>13647</v>
      </c>
      <c r="Y4169">
        <v>0.44200980226906289</v>
      </c>
      <c r="Z4169" t="str">
        <f>HYPERLINK("Melting_Curves/meltCurve_tr_E5RJ68_E5RJ68_HUMAN_.pdf", "Melting_Curves/meltCurve_tr_E5RJ68_E5RJ68_HUMAN_.pdf")</f>
        <v>Melting_Curves/meltCurve_tr_E5RJ68_E5RJ68_HUMAN_.pdf</v>
      </c>
      <c r="AA4169" t="s">
        <v>18321</v>
      </c>
      <c r="AB4169" t="s">
        <v>22995</v>
      </c>
    </row>
    <row r="4170" spans="1:28" x14ac:dyDescent="0.25">
      <c r="A4170" t="s">
        <v>4174</v>
      </c>
      <c r="B4170">
        <v>0.99904790336628502</v>
      </c>
      <c r="C4170">
        <v>1.0810695474149801</v>
      </c>
      <c r="D4170">
        <v>1.1108378217603501</v>
      </c>
      <c r="E4170">
        <v>0.88078980330509704</v>
      </c>
      <c r="F4170">
        <v>0.85341416758547295</v>
      </c>
      <c r="G4170">
        <v>0.90022485358857696</v>
      </c>
      <c r="H4170">
        <v>0.620554491078535</v>
      </c>
      <c r="I4170">
        <v>0.66655198563652496</v>
      </c>
      <c r="J4170">
        <v>0.74504217682610696</v>
      </c>
      <c r="K4170">
        <v>0.49812716426433801</v>
      </c>
      <c r="L4170">
        <v>683.25230704820297</v>
      </c>
      <c r="M4170">
        <v>11.4991995209436</v>
      </c>
      <c r="O4170">
        <v>57.705668159635998</v>
      </c>
      <c r="P4170">
        <v>-2.4418518584293902E-2</v>
      </c>
      <c r="Q4170">
        <v>0.50998799680055296</v>
      </c>
      <c r="R4170">
        <v>0.80252702022168898</v>
      </c>
      <c r="S4170" t="s">
        <v>8910</v>
      </c>
      <c r="T4170" t="s">
        <v>9478</v>
      </c>
      <c r="U4170" t="s">
        <v>9478</v>
      </c>
      <c r="V4170" t="s">
        <v>9478</v>
      </c>
      <c r="W4170">
        <v>1</v>
      </c>
      <c r="X4170" t="s">
        <v>13648</v>
      </c>
      <c r="Y4170">
        <v>0.82943433837194136</v>
      </c>
      <c r="Z4170" t="str">
        <f>HYPERLINK("Melting_Curves/meltCurve_tr_E5RJB8_E5RJB8_HUMAN_.pdf", "Melting_Curves/meltCurve_tr_E5RJB8_E5RJB8_HUMAN_.pdf")</f>
        <v>Melting_Curves/meltCurve_tr_E5RJB8_E5RJB8_HUMAN_.pdf</v>
      </c>
      <c r="AA4170" t="s">
        <v>18322</v>
      </c>
      <c r="AB4170" t="s">
        <v>22996</v>
      </c>
    </row>
    <row r="4171" spans="1:28" x14ac:dyDescent="0.25">
      <c r="A4171" t="s">
        <v>4175</v>
      </c>
      <c r="B4171">
        <v>0.99904790336628502</v>
      </c>
      <c r="C4171">
        <v>1.1625728213062401</v>
      </c>
      <c r="D4171">
        <v>1.2357063902317</v>
      </c>
      <c r="E4171">
        <v>0.74162657348910899</v>
      </c>
      <c r="F4171">
        <v>0.39251435912652199</v>
      </c>
      <c r="G4171">
        <v>0.12895151260838</v>
      </c>
      <c r="H4171">
        <v>5.3759924699062302E-2</v>
      </c>
      <c r="I4171">
        <v>3.4932053919068298E-2</v>
      </c>
      <c r="J4171">
        <v>3.1120580342688799E-2</v>
      </c>
      <c r="K4171">
        <v>3.00859300615E-2</v>
      </c>
      <c r="L4171">
        <v>1659.5501380406899</v>
      </c>
      <c r="M4171">
        <v>31.916497730495301</v>
      </c>
      <c r="N4171">
        <v>52.1408099091189</v>
      </c>
      <c r="O4171">
        <v>51.793774383194197</v>
      </c>
      <c r="P4171">
        <v>-0.14754891871610401</v>
      </c>
      <c r="Q4171">
        <v>4.2241217299128803E-2</v>
      </c>
      <c r="R4171">
        <v>0.95917524970917101</v>
      </c>
      <c r="S4171" t="s">
        <v>8911</v>
      </c>
      <c r="T4171" t="s">
        <v>9478</v>
      </c>
      <c r="U4171" t="s">
        <v>9478</v>
      </c>
      <c r="V4171" t="s">
        <v>9478</v>
      </c>
      <c r="W4171">
        <v>12</v>
      </c>
      <c r="X4171" t="s">
        <v>13649</v>
      </c>
      <c r="Y4171">
        <v>0.43064707830814608</v>
      </c>
      <c r="Z4171" t="str">
        <f>HYPERLINK("Melting_Curves/meltCurve_tr_E5RJD2_E5RJD2_HUMAN_.pdf", "Melting_Curves/meltCurve_tr_E5RJD2_E5RJD2_HUMAN_.pdf")</f>
        <v>Melting_Curves/meltCurve_tr_E5RJD2_E5RJD2_HUMAN_.pdf</v>
      </c>
      <c r="AA4171" t="s">
        <v>18211</v>
      </c>
      <c r="AB4171" t="s">
        <v>22997</v>
      </c>
    </row>
    <row r="4172" spans="1:28" x14ac:dyDescent="0.25">
      <c r="A4172" t="s">
        <v>4176</v>
      </c>
      <c r="B4172">
        <v>0.99904790336628502</v>
      </c>
      <c r="C4172">
        <v>1.0334549276802301</v>
      </c>
      <c r="D4172">
        <v>0.99824471765070699</v>
      </c>
      <c r="E4172">
        <v>0.97791579096544601</v>
      </c>
      <c r="F4172">
        <v>0.94232028515574195</v>
      </c>
      <c r="G4172">
        <v>0.79385968503922699</v>
      </c>
      <c r="H4172">
        <v>0.69705251145868297</v>
      </c>
      <c r="I4172">
        <v>0.69921749373118003</v>
      </c>
      <c r="J4172">
        <v>0.70773040059178305</v>
      </c>
      <c r="K4172">
        <v>0.65043943451336705</v>
      </c>
      <c r="L4172">
        <v>1518.0863693174599</v>
      </c>
      <c r="M4172">
        <v>27.2088678181766</v>
      </c>
      <c r="O4172">
        <v>55.495038924435399</v>
      </c>
      <c r="P4172">
        <v>-3.9460116810908497E-2</v>
      </c>
      <c r="Q4172">
        <v>0.67807264995958005</v>
      </c>
      <c r="R4172">
        <v>0.98594068915226696</v>
      </c>
      <c r="S4172" t="s">
        <v>8912</v>
      </c>
      <c r="T4172" t="s">
        <v>9478</v>
      </c>
      <c r="U4172" t="s">
        <v>9478</v>
      </c>
      <c r="V4172" t="s">
        <v>9478</v>
      </c>
      <c r="W4172">
        <v>16</v>
      </c>
      <c r="X4172" t="s">
        <v>13650</v>
      </c>
      <c r="Y4172">
        <v>0.85011422539461534</v>
      </c>
      <c r="Z4172" t="str">
        <f>HYPERLINK("Melting_Curves/meltCurve_tr_E5RJR5_E5RJR5_HUMAN_.pdf", "Melting_Curves/meltCurve_tr_E5RJR5_E5RJR5_HUMAN_.pdf")</f>
        <v>Melting_Curves/meltCurve_tr_E5RJR5_E5RJR5_HUMAN_.pdf</v>
      </c>
      <c r="AA4172" t="s">
        <v>18323</v>
      </c>
      <c r="AB4172" t="s">
        <v>22998</v>
      </c>
    </row>
    <row r="4173" spans="1:28" x14ac:dyDescent="0.25">
      <c r="A4173" t="s">
        <v>4177</v>
      </c>
      <c r="B4173">
        <v>0.99904790336628502</v>
      </c>
      <c r="C4173">
        <v>1.01767790230444</v>
      </c>
      <c r="D4173">
        <v>1.03718929050407</v>
      </c>
      <c r="E4173">
        <v>0.97205602168659899</v>
      </c>
      <c r="F4173">
        <v>0.707996386731092</v>
      </c>
      <c r="G4173">
        <v>0.349592208285531</v>
      </c>
      <c r="H4173">
        <v>0.12852804540909801</v>
      </c>
      <c r="I4173">
        <v>8.3025452116873594E-2</v>
      </c>
      <c r="J4173">
        <v>5.5184170490091597E-2</v>
      </c>
      <c r="K4173">
        <v>3.8777000591740399E-2</v>
      </c>
      <c r="L4173">
        <v>1360.3697682977599</v>
      </c>
      <c r="M4173">
        <v>24.686156374438902</v>
      </c>
      <c r="N4173">
        <v>55.319669562469699</v>
      </c>
      <c r="O4173">
        <v>54.748775576286</v>
      </c>
      <c r="P4173">
        <v>-0.10761372591608299</v>
      </c>
      <c r="Q4173">
        <v>4.5353607592896202E-2</v>
      </c>
      <c r="R4173">
        <v>0.99693235538346903</v>
      </c>
      <c r="S4173" t="s">
        <v>8913</v>
      </c>
      <c r="T4173" t="s">
        <v>9478</v>
      </c>
      <c r="U4173" t="s">
        <v>9478</v>
      </c>
      <c r="V4173" t="s">
        <v>9478</v>
      </c>
      <c r="W4173">
        <v>9</v>
      </c>
      <c r="X4173" t="s">
        <v>13651</v>
      </c>
      <c r="Y4173">
        <v>0.53509271809933834</v>
      </c>
      <c r="Z4173" t="str">
        <f>HYPERLINK("Melting_Curves/meltCurve_tr_E7EM64_E7EM64_HUMAN_.pdf", "Melting_Curves/meltCurve_tr_E7EM64_E7EM64_HUMAN_.pdf")</f>
        <v>Melting_Curves/meltCurve_tr_E7EM64_E7EM64_HUMAN_.pdf</v>
      </c>
      <c r="AA4173" t="s">
        <v>18324</v>
      </c>
      <c r="AB4173" t="s">
        <v>22999</v>
      </c>
    </row>
    <row r="4174" spans="1:28" x14ac:dyDescent="0.25">
      <c r="A4174" t="s">
        <v>4178</v>
      </c>
      <c r="B4174">
        <v>0.99904790336628502</v>
      </c>
      <c r="C4174">
        <v>0.93829035817106998</v>
      </c>
      <c r="D4174">
        <v>0.70678212456957601</v>
      </c>
      <c r="E4174">
        <v>0.46874968903217601</v>
      </c>
      <c r="F4174">
        <v>0.184674235519593</v>
      </c>
      <c r="G4174">
        <v>5.5874193632798802E-2</v>
      </c>
      <c r="H4174">
        <v>7.04394124390188E-2</v>
      </c>
      <c r="I4174">
        <v>1.96558155210824E-2</v>
      </c>
      <c r="J4174">
        <v>1.7440180881985599E-2</v>
      </c>
      <c r="K4174">
        <v>0</v>
      </c>
      <c r="L4174">
        <v>836.32365799209595</v>
      </c>
      <c r="M4174">
        <v>17.075738632072198</v>
      </c>
      <c r="N4174">
        <v>48.9913180213697</v>
      </c>
      <c r="O4174">
        <v>48.320384703282599</v>
      </c>
      <c r="P4174">
        <v>-8.8136548252815097E-2</v>
      </c>
      <c r="Q4174">
        <v>2.4364766934226499E-3</v>
      </c>
      <c r="R4174">
        <v>0.99382790657082398</v>
      </c>
      <c r="S4174" t="s">
        <v>8914</v>
      </c>
      <c r="T4174" t="s">
        <v>9478</v>
      </c>
      <c r="U4174" t="s">
        <v>9478</v>
      </c>
      <c r="V4174" t="s">
        <v>9478</v>
      </c>
      <c r="W4174">
        <v>1</v>
      </c>
      <c r="X4174" t="s">
        <v>13652</v>
      </c>
      <c r="Y4174">
        <v>0.32014181311252021</v>
      </c>
      <c r="Z4174" t="str">
        <f>HYPERLINK("Melting_Curves/meltCurve_tr_E7EM82_E7EM82_HUMAN_.pdf", "Melting_Curves/meltCurve_tr_E7EM82_E7EM82_HUMAN_.pdf")</f>
        <v>Melting_Curves/meltCurve_tr_E7EM82_E7EM82_HUMAN_.pdf</v>
      </c>
      <c r="AA4174" t="s">
        <v>18325</v>
      </c>
      <c r="AB4174" t="s">
        <v>23000</v>
      </c>
    </row>
    <row r="4175" spans="1:28" x14ac:dyDescent="0.25">
      <c r="A4175" t="s">
        <v>4179</v>
      </c>
      <c r="B4175">
        <v>0.99904790336628502</v>
      </c>
      <c r="C4175">
        <v>0.95133108837676805</v>
      </c>
      <c r="D4175">
        <v>0.67416840793945199</v>
      </c>
      <c r="E4175">
        <v>0.86845811200449696</v>
      </c>
      <c r="F4175">
        <v>0.70646119768958204</v>
      </c>
      <c r="G4175">
        <v>0.63892693401447198</v>
      </c>
      <c r="H4175">
        <v>0.45687912050968998</v>
      </c>
      <c r="I4175">
        <v>0.44116072496276798</v>
      </c>
      <c r="J4175">
        <v>0.375852587858648</v>
      </c>
      <c r="K4175">
        <v>0.363340471387332</v>
      </c>
      <c r="L4175">
        <v>327.68360129268802</v>
      </c>
      <c r="M4175">
        <v>5.3405231689189199</v>
      </c>
      <c r="N4175">
        <v>61.357961293948598</v>
      </c>
      <c r="O4175">
        <v>54.342716256296001</v>
      </c>
      <c r="P4175">
        <v>-2.4688655501449702E-2</v>
      </c>
      <c r="Q4175">
        <v>0</v>
      </c>
      <c r="R4175">
        <v>0.89624407980513299</v>
      </c>
      <c r="S4175" t="s">
        <v>8915</v>
      </c>
      <c r="T4175" t="s">
        <v>9478</v>
      </c>
      <c r="U4175" t="s">
        <v>9478</v>
      </c>
      <c r="V4175" t="s">
        <v>9478</v>
      </c>
      <c r="W4175">
        <v>9</v>
      </c>
      <c r="X4175" t="s">
        <v>13653</v>
      </c>
      <c r="Y4175">
        <v>0.64931735132956747</v>
      </c>
      <c r="Z4175" t="str">
        <f>HYPERLINK("Melting_Curves/meltCurve_tr_E7EMM4_E7EMM4_HUMAN_.pdf", "Melting_Curves/meltCurve_tr_E7EMM4_E7EMM4_HUMAN_.pdf")</f>
        <v>Melting_Curves/meltCurve_tr_E7EMM4_E7EMM4_HUMAN_.pdf</v>
      </c>
      <c r="AA4175" t="s">
        <v>18326</v>
      </c>
      <c r="AB4175" t="s">
        <v>23001</v>
      </c>
    </row>
    <row r="4176" spans="1:28" x14ac:dyDescent="0.25">
      <c r="A4176" t="s">
        <v>4180</v>
      </c>
      <c r="B4176">
        <v>0.99904790336628502</v>
      </c>
      <c r="C4176">
        <v>0.99036571869794998</v>
      </c>
      <c r="D4176">
        <v>0.95342117901301504</v>
      </c>
      <c r="E4176">
        <v>0.85875737066828794</v>
      </c>
      <c r="F4176">
        <v>0.773102901614658</v>
      </c>
      <c r="G4176">
        <v>0.57172639785063295</v>
      </c>
      <c r="H4176">
        <v>0.475196047336857</v>
      </c>
      <c r="I4176">
        <v>0.45429213206147101</v>
      </c>
      <c r="J4176">
        <v>0.46105413534846901</v>
      </c>
      <c r="K4176">
        <v>0.43085224900762098</v>
      </c>
      <c r="L4176">
        <v>906.75292469243698</v>
      </c>
      <c r="M4176">
        <v>16.862577510003302</v>
      </c>
      <c r="N4176">
        <v>60.4043696030189</v>
      </c>
      <c r="O4176">
        <v>53.033925280230697</v>
      </c>
      <c r="P4176">
        <v>-4.5989590556696797E-2</v>
      </c>
      <c r="Q4176">
        <v>0.421475749058974</v>
      </c>
      <c r="R4176">
        <v>0.99635049160060596</v>
      </c>
      <c r="S4176" t="s">
        <v>8916</v>
      </c>
      <c r="T4176" t="s">
        <v>9478</v>
      </c>
      <c r="U4176" t="s">
        <v>9478</v>
      </c>
      <c r="V4176" t="s">
        <v>9478</v>
      </c>
      <c r="W4176">
        <v>3</v>
      </c>
      <c r="X4176" t="s">
        <v>13654</v>
      </c>
      <c r="Y4176">
        <v>0.69732927835855762</v>
      </c>
      <c r="Z4176" t="str">
        <f>HYPERLINK("Melting_Curves/meltCurve_tr_E7EMV7_E7EMV7_HUMAN_.pdf", "Melting_Curves/meltCurve_tr_E7EMV7_E7EMV7_HUMAN_.pdf")</f>
        <v>Melting_Curves/meltCurve_tr_E7EMV7_E7EMV7_HUMAN_.pdf</v>
      </c>
      <c r="AA4176" t="s">
        <v>18327</v>
      </c>
      <c r="AB4176" t="s">
        <v>23002</v>
      </c>
    </row>
    <row r="4177" spans="1:28" x14ac:dyDescent="0.25">
      <c r="A4177" t="s">
        <v>4181</v>
      </c>
      <c r="B4177">
        <v>0.99904790336628502</v>
      </c>
      <c r="C4177">
        <v>1.0124657194800699</v>
      </c>
      <c r="D4177">
        <v>0.93610906359089197</v>
      </c>
      <c r="E4177">
        <v>0.89801348535903902</v>
      </c>
      <c r="F4177">
        <v>0.87222239265694401</v>
      </c>
      <c r="G4177">
        <v>0.64491551785428503</v>
      </c>
      <c r="H4177">
        <v>0.56173093134111096</v>
      </c>
      <c r="I4177">
        <v>0.56004085860351205</v>
      </c>
      <c r="J4177">
        <v>0.54328895183713199</v>
      </c>
      <c r="K4177">
        <v>0.52763183647765899</v>
      </c>
      <c r="L4177">
        <v>1027.9580078653801</v>
      </c>
      <c r="M4177">
        <v>18.840982069273</v>
      </c>
      <c r="O4177">
        <v>53.956202920738001</v>
      </c>
      <c r="P4177">
        <v>-4.1867785420423999E-2</v>
      </c>
      <c r="Q4177">
        <v>0.52042130145826204</v>
      </c>
      <c r="R4177">
        <v>0.98187759325492696</v>
      </c>
      <c r="S4177" t="s">
        <v>8917</v>
      </c>
      <c r="T4177" t="s">
        <v>9478</v>
      </c>
      <c r="U4177" t="s">
        <v>9478</v>
      </c>
      <c r="V4177" t="s">
        <v>9478</v>
      </c>
      <c r="W4177">
        <v>10</v>
      </c>
      <c r="X4177" t="s">
        <v>13655</v>
      </c>
      <c r="Y4177">
        <v>0.76023284764583487</v>
      </c>
      <c r="Z4177" t="str">
        <f>HYPERLINK("Melting_Curves/meltCurve_tr_E7EMZ9_E7EMZ9_HUMAN_.pdf", "Melting_Curves/meltCurve_tr_E7EMZ9_E7EMZ9_HUMAN_.pdf")</f>
        <v>Melting_Curves/meltCurve_tr_E7EMZ9_E7EMZ9_HUMAN_.pdf</v>
      </c>
      <c r="AA4177" t="s">
        <v>18328</v>
      </c>
      <c r="AB4177" t="s">
        <v>23003</v>
      </c>
    </row>
    <row r="4178" spans="1:28" x14ac:dyDescent="0.25">
      <c r="A4178" t="s">
        <v>4182</v>
      </c>
      <c r="B4178">
        <v>0.99904790336628502</v>
      </c>
      <c r="C4178">
        <v>0.97770672295942396</v>
      </c>
      <c r="D4178">
        <v>0.99977126053959797</v>
      </c>
      <c r="E4178">
        <v>0.84912639457530203</v>
      </c>
      <c r="F4178">
        <v>0.76523077974924403</v>
      </c>
      <c r="G4178">
        <v>0.54670908747179003</v>
      </c>
      <c r="H4178">
        <v>0.28180379410811002</v>
      </c>
      <c r="I4178">
        <v>0.15986527721841201</v>
      </c>
      <c r="J4178">
        <v>0.121867372135209</v>
      </c>
      <c r="K4178">
        <v>0.117066653326053</v>
      </c>
      <c r="L4178">
        <v>852.15507446420202</v>
      </c>
      <c r="M4178">
        <v>14.967853996498199</v>
      </c>
      <c r="N4178">
        <v>57.207333429252898</v>
      </c>
      <c r="O4178">
        <v>55.945112595195702</v>
      </c>
      <c r="P4178">
        <v>-6.4571421114301294E-2</v>
      </c>
      <c r="Q4178">
        <v>3.4708002249160097E-2</v>
      </c>
      <c r="R4178">
        <v>0.99559781838782602</v>
      </c>
      <c r="S4178" t="s">
        <v>8918</v>
      </c>
      <c r="T4178" t="s">
        <v>9478</v>
      </c>
      <c r="U4178" t="s">
        <v>9478</v>
      </c>
      <c r="V4178" t="s">
        <v>9478</v>
      </c>
      <c r="W4178">
        <v>6</v>
      </c>
      <c r="X4178" t="s">
        <v>13656</v>
      </c>
      <c r="Y4178">
        <v>0.59495894685954009</v>
      </c>
      <c r="Z4178" t="str">
        <f>HYPERLINK("Melting_Curves/meltCurve_tr_E7EN68_E7EN68_HUMAN_.pdf", "Melting_Curves/meltCurve_tr_E7EN68_E7EN68_HUMAN_.pdf")</f>
        <v>Melting_Curves/meltCurve_tr_E7EN68_E7EN68_HUMAN_.pdf</v>
      </c>
      <c r="AA4178" t="s">
        <v>18329</v>
      </c>
      <c r="AB4178" t="s">
        <v>23004</v>
      </c>
    </row>
    <row r="4179" spans="1:28" x14ac:dyDescent="0.25">
      <c r="A4179" t="s">
        <v>4183</v>
      </c>
      <c r="B4179">
        <v>0.99904790336628502</v>
      </c>
      <c r="C4179">
        <v>1.01380835442092</v>
      </c>
      <c r="D4179">
        <v>1.0078590460346699</v>
      </c>
      <c r="E4179">
        <v>0.86616933825290598</v>
      </c>
      <c r="F4179">
        <v>0.81080704490910105</v>
      </c>
      <c r="G4179">
        <v>0.58100890654437098</v>
      </c>
      <c r="H4179">
        <v>0.464222712977857</v>
      </c>
      <c r="I4179">
        <v>0.281217205841503</v>
      </c>
      <c r="J4179">
        <v>0.39158299661537099</v>
      </c>
      <c r="K4179">
        <v>0.40751553733386597</v>
      </c>
      <c r="L4179">
        <v>1040.7416272411999</v>
      </c>
      <c r="M4179">
        <v>18.9002930289519</v>
      </c>
      <c r="N4179">
        <v>58.741901529435502</v>
      </c>
      <c r="O4179">
        <v>54.459515172710198</v>
      </c>
      <c r="P4179">
        <v>-5.6672816175950297E-2</v>
      </c>
      <c r="Q4179">
        <v>0.34683584673062101</v>
      </c>
      <c r="R4179">
        <v>0.97377549415067</v>
      </c>
      <c r="S4179" t="s">
        <v>8919</v>
      </c>
      <c r="T4179" t="s">
        <v>9478</v>
      </c>
      <c r="U4179" t="s">
        <v>9478</v>
      </c>
      <c r="V4179" t="s">
        <v>9478</v>
      </c>
      <c r="W4179">
        <v>19</v>
      </c>
      <c r="X4179" t="s">
        <v>13657</v>
      </c>
      <c r="Y4179">
        <v>0.68425330251768601</v>
      </c>
      <c r="Z4179" t="str">
        <f>HYPERLINK("Melting_Curves/meltCurve_tr_E7END2_E7END2_HUMAN_.pdf", "Melting_Curves/meltCurve_tr_E7END2_E7END2_HUMAN_.pdf")</f>
        <v>Melting_Curves/meltCurve_tr_E7END2_E7END2_HUMAN_.pdf</v>
      </c>
      <c r="AA4179" t="s">
        <v>18330</v>
      </c>
      <c r="AB4179" t="s">
        <v>23005</v>
      </c>
    </row>
    <row r="4180" spans="1:28" x14ac:dyDescent="0.25">
      <c r="A4180" t="s">
        <v>4184</v>
      </c>
      <c r="B4180">
        <v>0.99904790336628502</v>
      </c>
      <c r="C4180">
        <v>1.0238661332714201</v>
      </c>
      <c r="D4180">
        <v>0.93636854081599796</v>
      </c>
      <c r="E4180">
        <v>0.57693288863371295</v>
      </c>
      <c r="F4180">
        <v>0.15452771138824301</v>
      </c>
      <c r="G4180">
        <v>8.2175053888514898E-2</v>
      </c>
      <c r="H4180">
        <v>6.0269970632516698E-2</v>
      </c>
      <c r="I4180">
        <v>4.5950890686822399E-2</v>
      </c>
      <c r="J4180">
        <v>4.5313355398190203E-2</v>
      </c>
      <c r="K4180">
        <v>3.2266318469614703E-2</v>
      </c>
      <c r="L4180">
        <v>1824.24442658767</v>
      </c>
      <c r="M4180">
        <v>36.308560965787898</v>
      </c>
      <c r="N4180">
        <v>50.382259264671603</v>
      </c>
      <c r="O4180">
        <v>50.091139287077901</v>
      </c>
      <c r="P4180">
        <v>-0.17255112555487401</v>
      </c>
      <c r="Q4180">
        <v>4.7799659940742999E-2</v>
      </c>
      <c r="R4180">
        <v>0.99829431230844201</v>
      </c>
      <c r="S4180" t="s">
        <v>8920</v>
      </c>
      <c r="T4180" t="s">
        <v>9478</v>
      </c>
      <c r="U4180" t="s">
        <v>9478</v>
      </c>
      <c r="V4180" t="s">
        <v>9478</v>
      </c>
      <c r="W4180">
        <v>14</v>
      </c>
      <c r="X4180" t="s">
        <v>13658</v>
      </c>
      <c r="Y4180">
        <v>0.37692835004151509</v>
      </c>
      <c r="Z4180" t="str">
        <f>HYPERLINK("Melting_Curves/meltCurve_tr_E7ENN3_E7ENN3_HUMAN_.pdf", "Melting_Curves/meltCurve_tr_E7ENN3_E7ENN3_HUMAN_.pdf")</f>
        <v>Melting_Curves/meltCurve_tr_E7ENN3_E7ENN3_HUMAN_.pdf</v>
      </c>
      <c r="AA4180" t="s">
        <v>18331</v>
      </c>
      <c r="AB4180" t="s">
        <v>23006</v>
      </c>
    </row>
    <row r="4181" spans="1:28" x14ac:dyDescent="0.25">
      <c r="A4181" t="s">
        <v>4185</v>
      </c>
      <c r="B4181">
        <v>0.99904790336628502</v>
      </c>
      <c r="C4181">
        <v>1.0211590432245901</v>
      </c>
      <c r="D4181">
        <v>0.97021671893711603</v>
      </c>
      <c r="E4181">
        <v>0.841199763612972</v>
      </c>
      <c r="F4181">
        <v>0.67705473786159298</v>
      </c>
      <c r="G4181">
        <v>0.42454783460929701</v>
      </c>
      <c r="H4181">
        <v>0.254849734142233</v>
      </c>
      <c r="I4181">
        <v>0.211514826272613</v>
      </c>
      <c r="J4181">
        <v>0.18374136425715801</v>
      </c>
      <c r="K4181">
        <v>0.15640102830004099</v>
      </c>
      <c r="L4181">
        <v>933.73138752191005</v>
      </c>
      <c r="M4181">
        <v>17.1235215240679</v>
      </c>
      <c r="N4181">
        <v>55.6286321803912</v>
      </c>
      <c r="O4181">
        <v>53.801778847585801</v>
      </c>
      <c r="P4181">
        <v>-6.8149205746435806E-2</v>
      </c>
      <c r="Q4181">
        <v>0.14355753602455301</v>
      </c>
      <c r="R4181">
        <v>0.99903289963134301</v>
      </c>
      <c r="S4181" t="s">
        <v>8921</v>
      </c>
      <c r="T4181" t="s">
        <v>9478</v>
      </c>
      <c r="U4181" t="s">
        <v>9478</v>
      </c>
      <c r="V4181" t="s">
        <v>9478</v>
      </c>
      <c r="W4181">
        <v>10</v>
      </c>
      <c r="X4181" t="s">
        <v>13659</v>
      </c>
      <c r="Y4181">
        <v>0.57278167571090011</v>
      </c>
      <c r="Z4181" t="str">
        <f>HYPERLINK("Melting_Curves/meltCurve_tr_E7EPD0_E7EPD0_HUMAN_.pdf", "Melting_Curves/meltCurve_tr_E7EPD0_E7EPD0_HUMAN_.pdf")</f>
        <v>Melting_Curves/meltCurve_tr_E7EPD0_E7EPD0_HUMAN_.pdf</v>
      </c>
      <c r="AA4181" t="s">
        <v>18332</v>
      </c>
      <c r="AB4181" t="s">
        <v>23007</v>
      </c>
    </row>
    <row r="4182" spans="1:28" x14ac:dyDescent="0.25">
      <c r="A4182" t="s">
        <v>4186</v>
      </c>
      <c r="B4182">
        <v>0.99904790336628502</v>
      </c>
      <c r="C4182">
        <v>0.99035708678121503</v>
      </c>
      <c r="D4182">
        <v>0.75661220051184297</v>
      </c>
      <c r="E4182">
        <v>0.38903500594899498</v>
      </c>
      <c r="F4182">
        <v>0.260709751281263</v>
      </c>
      <c r="G4182">
        <v>0.17193599923694</v>
      </c>
      <c r="H4182">
        <v>0.16327836063989601</v>
      </c>
      <c r="I4182">
        <v>0.119232524129932</v>
      </c>
      <c r="J4182">
        <v>0.107313747112048</v>
      </c>
      <c r="K4182">
        <v>0.10102323566318</v>
      </c>
      <c r="L4182">
        <v>1032.23847286418</v>
      </c>
      <c r="M4182">
        <v>21.396291710247599</v>
      </c>
      <c r="N4182">
        <v>48.897968338108797</v>
      </c>
      <c r="O4182">
        <v>47.828313797042497</v>
      </c>
      <c r="P4182">
        <v>-9.7921984725476502E-2</v>
      </c>
      <c r="Q4182">
        <v>0.124460119115178</v>
      </c>
      <c r="R4182">
        <v>0.99541136580361</v>
      </c>
      <c r="S4182" t="s">
        <v>8922</v>
      </c>
      <c r="T4182" t="s">
        <v>9478</v>
      </c>
      <c r="U4182" t="s">
        <v>9478</v>
      </c>
      <c r="V4182" t="s">
        <v>9478</v>
      </c>
      <c r="W4182">
        <v>18</v>
      </c>
      <c r="X4182" t="s">
        <v>13660</v>
      </c>
      <c r="Y4182">
        <v>0.37579827049117281</v>
      </c>
      <c r="Z4182" t="str">
        <f>HYPERLINK("Melting_Curves/meltCurve_tr_E7EPL4_E7EPL4_HUMAN_.pdf", "Melting_Curves/meltCurve_tr_E7EPL4_E7EPL4_HUMAN_.pdf")</f>
        <v>Melting_Curves/meltCurve_tr_E7EPL4_E7EPL4_HUMAN_.pdf</v>
      </c>
      <c r="AA4182" t="s">
        <v>18333</v>
      </c>
      <c r="AB4182" t="s">
        <v>23008</v>
      </c>
    </row>
    <row r="4183" spans="1:28" x14ac:dyDescent="0.25">
      <c r="A4183" t="s">
        <v>4187</v>
      </c>
      <c r="B4183">
        <v>0.99904790336628502</v>
      </c>
      <c r="C4183">
        <v>1.02072886055858</v>
      </c>
      <c r="D4183">
        <v>1.00341740688293</v>
      </c>
      <c r="E4183">
        <v>0.80271868490512599</v>
      </c>
      <c r="F4183">
        <v>0.37849825343654298</v>
      </c>
      <c r="G4183">
        <v>0.13522248088754299</v>
      </c>
      <c r="H4183">
        <v>8.4306589617205899E-2</v>
      </c>
      <c r="I4183">
        <v>5.5573745141962901E-2</v>
      </c>
      <c r="J4183">
        <v>3.9746960479828598E-2</v>
      </c>
      <c r="K4183">
        <v>3.42786957444585E-2</v>
      </c>
      <c r="L4183">
        <v>1659.13919865053</v>
      </c>
      <c r="M4183">
        <v>31.894846259563799</v>
      </c>
      <c r="N4183">
        <v>52.208994983182002</v>
      </c>
      <c r="O4183">
        <v>51.815847860585997</v>
      </c>
      <c r="P4183">
        <v>-0.14545609059460399</v>
      </c>
      <c r="Q4183">
        <v>5.4782833825525401E-2</v>
      </c>
      <c r="R4183">
        <v>0.99843964146018804</v>
      </c>
      <c r="S4183" t="s">
        <v>8923</v>
      </c>
      <c r="T4183" t="s">
        <v>9478</v>
      </c>
      <c r="U4183" t="s">
        <v>9478</v>
      </c>
      <c r="V4183" t="s">
        <v>9478</v>
      </c>
      <c r="W4183">
        <v>6</v>
      </c>
      <c r="X4183" t="s">
        <v>13661</v>
      </c>
      <c r="Y4183">
        <v>0.43881802609868542</v>
      </c>
      <c r="Z4183" t="str">
        <f>HYPERLINK("Melting_Curves/meltCurve_tr_E7EQ69_E7EQ69_HUMAN_.pdf", "Melting_Curves/meltCurve_tr_E7EQ69_E7EQ69_HUMAN_.pdf")</f>
        <v>Melting_Curves/meltCurve_tr_E7EQ69_E7EQ69_HUMAN_.pdf</v>
      </c>
      <c r="AA4183" t="s">
        <v>18334</v>
      </c>
      <c r="AB4183" t="s">
        <v>23009</v>
      </c>
    </row>
    <row r="4184" spans="1:28" x14ac:dyDescent="0.25">
      <c r="A4184" t="s">
        <v>4188</v>
      </c>
      <c r="B4184">
        <v>0.99904790336628502</v>
      </c>
      <c r="C4184">
        <v>0.95198638688594905</v>
      </c>
      <c r="D4184">
        <v>0.83122066373889403</v>
      </c>
      <c r="E4184">
        <v>0.56894138459725596</v>
      </c>
      <c r="F4184">
        <v>0.40485648302411598</v>
      </c>
      <c r="G4184">
        <v>0.32297423370788703</v>
      </c>
      <c r="H4184">
        <v>0.32937222992424098</v>
      </c>
      <c r="I4184">
        <v>0.29122097441663702</v>
      </c>
      <c r="J4184">
        <v>0.32016860373910899</v>
      </c>
      <c r="K4184">
        <v>0.341392357938471</v>
      </c>
      <c r="L4184">
        <v>1021.23095637074</v>
      </c>
      <c r="M4184">
        <v>21.029421058788898</v>
      </c>
      <c r="N4184">
        <v>50.931313930937698</v>
      </c>
      <c r="O4184">
        <v>48.129286683060897</v>
      </c>
      <c r="P4184">
        <v>-7.5152722704403804E-2</v>
      </c>
      <c r="Q4184">
        <v>0.31202104444506601</v>
      </c>
      <c r="R4184">
        <v>0.99688141938225805</v>
      </c>
      <c r="S4184" t="s">
        <v>8924</v>
      </c>
      <c r="T4184" t="s">
        <v>9478</v>
      </c>
      <c r="U4184" t="s">
        <v>9478</v>
      </c>
      <c r="V4184" t="s">
        <v>9478</v>
      </c>
      <c r="W4184">
        <v>4</v>
      </c>
      <c r="X4184" t="s">
        <v>13662</v>
      </c>
      <c r="Y4184">
        <v>0.51709706762908747</v>
      </c>
      <c r="Z4184" t="str">
        <f>HYPERLINK("Melting_Curves/meltCurve_tr_E7EQA9_E7EQA9_HUMAN_.pdf", "Melting_Curves/meltCurve_tr_E7EQA9_E7EQA9_HUMAN_.pdf")</f>
        <v>Melting_Curves/meltCurve_tr_E7EQA9_E7EQA9_HUMAN_.pdf</v>
      </c>
      <c r="AA4184" t="s">
        <v>18335</v>
      </c>
      <c r="AB4184" t="s">
        <v>23010</v>
      </c>
    </row>
    <row r="4185" spans="1:28" x14ac:dyDescent="0.25">
      <c r="A4185" t="s">
        <v>4189</v>
      </c>
      <c r="B4185">
        <v>0.99904790336628502</v>
      </c>
      <c r="C4185">
        <v>0.96175500358403598</v>
      </c>
      <c r="D4185">
        <v>0.73962300878174603</v>
      </c>
      <c r="E4185">
        <v>0.51444348724276201</v>
      </c>
      <c r="F4185">
        <v>0.34217073493628503</v>
      </c>
      <c r="G4185">
        <v>0.17125773871689701</v>
      </c>
      <c r="H4185">
        <v>0.11373797584820799</v>
      </c>
      <c r="I4185">
        <v>8.0387352781891699E-2</v>
      </c>
      <c r="J4185">
        <v>4.4981722478972301E-2</v>
      </c>
      <c r="K4185">
        <v>5.6802113877953801E-2</v>
      </c>
      <c r="L4185">
        <v>717.36061532369604</v>
      </c>
      <c r="M4185">
        <v>14.372483752030901</v>
      </c>
      <c r="N4185">
        <v>50.189303302660903</v>
      </c>
      <c r="O4185">
        <v>48.975660353837398</v>
      </c>
      <c r="P4185">
        <v>-7.0574363396069706E-2</v>
      </c>
      <c r="Q4185">
        <v>3.8158363837332697E-2</v>
      </c>
      <c r="R4185">
        <v>0.99605416860783003</v>
      </c>
      <c r="S4185" t="s">
        <v>8925</v>
      </c>
      <c r="T4185" t="s">
        <v>9478</v>
      </c>
      <c r="U4185" t="s">
        <v>9478</v>
      </c>
      <c r="V4185" t="s">
        <v>9478</v>
      </c>
      <c r="W4185">
        <v>3</v>
      </c>
      <c r="X4185" t="s">
        <v>13663</v>
      </c>
      <c r="Y4185">
        <v>0.38075563144080532</v>
      </c>
      <c r="Z4185" t="str">
        <f>HYPERLINK("Melting_Curves/meltCurve_tr_E7EQB9_E7EQB9_HUMAN_.pdf", "Melting_Curves/meltCurve_tr_E7EQB9_E7EQB9_HUMAN_.pdf")</f>
        <v>Melting_Curves/meltCurve_tr_E7EQB9_E7EQB9_HUMAN_.pdf</v>
      </c>
      <c r="AA4185" t="s">
        <v>18336</v>
      </c>
      <c r="AB4185" t="s">
        <v>23011</v>
      </c>
    </row>
    <row r="4186" spans="1:28" x14ac:dyDescent="0.25">
      <c r="A4186" t="s">
        <v>4190</v>
      </c>
      <c r="B4186">
        <v>0.99904790336628502</v>
      </c>
      <c r="C4186">
        <v>0.99386802051371503</v>
      </c>
      <c r="D4186">
        <v>0.95349306489342101</v>
      </c>
      <c r="E4186">
        <v>0.96316822166184601</v>
      </c>
      <c r="F4186">
        <v>1.00795355793485</v>
      </c>
      <c r="G4186">
        <v>0.80244511459774504</v>
      </c>
      <c r="H4186">
        <v>0.77095442758649302</v>
      </c>
      <c r="I4186">
        <v>0.740442578190601</v>
      </c>
      <c r="J4186">
        <v>0.77267197088580197</v>
      </c>
      <c r="K4186">
        <v>0.77538489865182503</v>
      </c>
      <c r="L4186">
        <v>14155.4084703387</v>
      </c>
      <c r="M4186">
        <v>250</v>
      </c>
      <c r="O4186">
        <v>56.618033942527802</v>
      </c>
      <c r="P4186">
        <v>-0.25956463587237499</v>
      </c>
      <c r="Q4186">
        <v>0.76486346729160004</v>
      </c>
      <c r="R4186">
        <v>0.96171995552135203</v>
      </c>
      <c r="S4186" t="s">
        <v>8926</v>
      </c>
      <c r="T4186" t="s">
        <v>9478</v>
      </c>
      <c r="U4186" t="s">
        <v>9478</v>
      </c>
      <c r="V4186" t="s">
        <v>9478</v>
      </c>
      <c r="W4186">
        <v>20</v>
      </c>
      <c r="X4186" t="s">
        <v>13664</v>
      </c>
      <c r="Y4186">
        <v>0.89516527812280633</v>
      </c>
      <c r="Z4186" t="str">
        <f>HYPERLINK("Melting_Curves/meltCurve_tr_E7EQT4_E7EQT4_HUMAN_.pdf", "Melting_Curves/meltCurve_tr_E7EQT4_E7EQT4_HUMAN_.pdf")</f>
        <v>Melting_Curves/meltCurve_tr_E7EQT4_E7EQT4_HUMAN_.pdf</v>
      </c>
      <c r="AA4186" t="s">
        <v>18337</v>
      </c>
      <c r="AB4186" t="s">
        <v>23012</v>
      </c>
    </row>
    <row r="4187" spans="1:28" x14ac:dyDescent="0.25">
      <c r="A4187" t="s">
        <v>4191</v>
      </c>
      <c r="B4187">
        <v>0.99904790336628502</v>
      </c>
      <c r="C4187">
        <v>1.1174893274800499</v>
      </c>
      <c r="D4187">
        <v>1.03982099446791</v>
      </c>
      <c r="E4187">
        <v>0.69556658253845505</v>
      </c>
      <c r="F4187">
        <v>0.51717510458911797</v>
      </c>
      <c r="G4187">
        <v>0.271888465240056</v>
      </c>
      <c r="H4187">
        <v>0.18593718210444601</v>
      </c>
      <c r="I4187">
        <v>0.15399589998850999</v>
      </c>
      <c r="J4187">
        <v>9.4680184088212105E-2</v>
      </c>
      <c r="K4187">
        <v>0.11968189341069201</v>
      </c>
      <c r="L4187">
        <v>1092.42570076058</v>
      </c>
      <c r="M4187">
        <v>20.884756767554698</v>
      </c>
      <c r="N4187">
        <v>53.020492335869598</v>
      </c>
      <c r="O4187">
        <v>51.8348340050999</v>
      </c>
      <c r="P4187">
        <v>-8.8394983035031502E-2</v>
      </c>
      <c r="Q4187">
        <v>0.12245784812374901</v>
      </c>
      <c r="R4187">
        <v>0.98051111032059601</v>
      </c>
      <c r="S4187" t="s">
        <v>8927</v>
      </c>
      <c r="T4187" t="s">
        <v>9478</v>
      </c>
      <c r="U4187" t="s">
        <v>9478</v>
      </c>
      <c r="V4187" t="s">
        <v>9478</v>
      </c>
      <c r="W4187">
        <v>1</v>
      </c>
      <c r="X4187" t="s">
        <v>13665</v>
      </c>
      <c r="Y4187">
        <v>0.49368980543918389</v>
      </c>
      <c r="Z4187" t="str">
        <f>HYPERLINK("Melting_Curves/meltCurve_tr_E7EQV9_E7EQV9_HUMAN_.pdf", "Melting_Curves/meltCurve_tr_E7EQV9_E7EQV9_HUMAN_.pdf")</f>
        <v>Melting_Curves/meltCurve_tr_E7EQV9_E7EQV9_HUMAN_.pdf</v>
      </c>
      <c r="AA4187" t="s">
        <v>18338</v>
      </c>
      <c r="AB4187" t="s">
        <v>23013</v>
      </c>
    </row>
    <row r="4188" spans="1:28" x14ac:dyDescent="0.25">
      <c r="A4188" t="s">
        <v>4192</v>
      </c>
      <c r="B4188">
        <v>0.99904790336628502</v>
      </c>
      <c r="C4188">
        <v>0.86537366240426095</v>
      </c>
      <c r="D4188">
        <v>0.794901736919568</v>
      </c>
      <c r="E4188">
        <v>0.72927493182064396</v>
      </c>
      <c r="F4188">
        <v>0.50859285469215998</v>
      </c>
      <c r="G4188">
        <v>0.34822148239989598</v>
      </c>
      <c r="H4188">
        <v>0.24331048396942601</v>
      </c>
      <c r="I4188">
        <v>0.194631629447408</v>
      </c>
      <c r="J4188">
        <v>0.174180742155923</v>
      </c>
      <c r="K4188">
        <v>0.17437105390874999</v>
      </c>
      <c r="L4188">
        <v>546.36375309387904</v>
      </c>
      <c r="M4188">
        <v>10.4126160203759</v>
      </c>
      <c r="N4188">
        <v>53.445779020665697</v>
      </c>
      <c r="O4188">
        <v>50.646729274910697</v>
      </c>
      <c r="P4188">
        <v>-4.6974061092760699E-2</v>
      </c>
      <c r="Q4188">
        <v>8.6457930947145906E-2</v>
      </c>
      <c r="R4188">
        <v>0.98740016166391797</v>
      </c>
      <c r="S4188" t="s">
        <v>8928</v>
      </c>
      <c r="T4188" t="s">
        <v>9478</v>
      </c>
      <c r="U4188" t="s">
        <v>9478</v>
      </c>
      <c r="V4188" t="s">
        <v>9478</v>
      </c>
      <c r="W4188">
        <v>14</v>
      </c>
      <c r="X4188" t="s">
        <v>13666</v>
      </c>
      <c r="Y4188">
        <v>0.49797406732754812</v>
      </c>
      <c r="Z4188" t="str">
        <f>HYPERLINK("Melting_Curves/meltCurve_tr_E7ERH1_E7ERH1_HUMAN_.pdf", "Melting_Curves/meltCurve_tr_E7ERH1_E7ERH1_HUMAN_.pdf")</f>
        <v>Melting_Curves/meltCurve_tr_E7ERH1_E7ERH1_HUMAN_.pdf</v>
      </c>
      <c r="AA4188" t="s">
        <v>18339</v>
      </c>
      <c r="AB4188" t="s">
        <v>23014</v>
      </c>
    </row>
    <row r="4189" spans="1:28" x14ac:dyDescent="0.25">
      <c r="A4189" t="s">
        <v>4193</v>
      </c>
      <c r="B4189">
        <v>0.99904790336628502</v>
      </c>
      <c r="C4189">
        <v>0.94758873332219795</v>
      </c>
      <c r="D4189">
        <v>0.96535729418353999</v>
      </c>
      <c r="E4189">
        <v>0.96354370548068102</v>
      </c>
      <c r="F4189">
        <v>1.0062459437253699</v>
      </c>
      <c r="G4189">
        <v>0.725521114978117</v>
      </c>
      <c r="H4189">
        <v>0.63288617052534502</v>
      </c>
      <c r="I4189">
        <v>0.58901294016620998</v>
      </c>
      <c r="J4189">
        <v>0.58418576149287704</v>
      </c>
      <c r="K4189">
        <v>0.54804456352265896</v>
      </c>
      <c r="L4189">
        <v>2987.9260672154301</v>
      </c>
      <c r="M4189">
        <v>53.032331187109598</v>
      </c>
      <c r="O4189">
        <v>56.261651437313503</v>
      </c>
      <c r="P4189">
        <v>-9.7650965719661698E-2</v>
      </c>
      <c r="Q4189">
        <v>0.58561121189483001</v>
      </c>
      <c r="R4189">
        <v>0.974777689664028</v>
      </c>
      <c r="S4189" t="s">
        <v>8929</v>
      </c>
      <c r="T4189" t="s">
        <v>9478</v>
      </c>
      <c r="U4189" t="s">
        <v>9478</v>
      </c>
      <c r="V4189" t="s">
        <v>9478</v>
      </c>
      <c r="W4189">
        <v>10</v>
      </c>
      <c r="X4189" t="s">
        <v>13667</v>
      </c>
      <c r="Y4189">
        <v>0.81225110796556632</v>
      </c>
      <c r="Z4189" t="str">
        <f>HYPERLINK("Melting_Curves/meltCurve_tr_E7ES08_E7ES08_HUMAN_.pdf", "Melting_Curves/meltCurve_tr_E7ES08_E7ES08_HUMAN_.pdf")</f>
        <v>Melting_Curves/meltCurve_tr_E7ES08_E7ES08_HUMAN_.pdf</v>
      </c>
      <c r="AA4189" t="s">
        <v>18340</v>
      </c>
      <c r="AB4189" t="s">
        <v>23015</v>
      </c>
    </row>
    <row r="4190" spans="1:28" x14ac:dyDescent="0.25">
      <c r="A4190" t="s">
        <v>4194</v>
      </c>
      <c r="B4190">
        <v>0.99904790336628502</v>
      </c>
      <c r="C4190">
        <v>0.934386937646706</v>
      </c>
      <c r="D4190">
        <v>1.2035374007425399</v>
      </c>
      <c r="E4190">
        <v>0.845872067917804</v>
      </c>
      <c r="F4190">
        <v>0.74407756823576299</v>
      </c>
      <c r="G4190">
        <v>0.60300892951760199</v>
      </c>
      <c r="H4190">
        <v>0.36976697851097601</v>
      </c>
      <c r="I4190">
        <v>0.35986471090122002</v>
      </c>
      <c r="J4190">
        <v>0.50269079860843802</v>
      </c>
      <c r="K4190">
        <v>0.366220415101218</v>
      </c>
      <c r="L4190">
        <v>1171.6678324254301</v>
      </c>
      <c r="M4190">
        <v>21.693172468295302</v>
      </c>
      <c r="N4190">
        <v>58.081467451968102</v>
      </c>
      <c r="O4190">
        <v>53.558213616004799</v>
      </c>
      <c r="P4190">
        <v>-6.1700993603576802E-2</v>
      </c>
      <c r="Q4190">
        <v>0.39068071407406801</v>
      </c>
      <c r="R4190">
        <v>0.90298030408707097</v>
      </c>
      <c r="S4190" t="s">
        <v>8930</v>
      </c>
      <c r="T4190" t="s">
        <v>9478</v>
      </c>
      <c r="U4190" t="s">
        <v>9478</v>
      </c>
      <c r="V4190" t="s">
        <v>9478</v>
      </c>
      <c r="W4190">
        <v>1</v>
      </c>
      <c r="X4190" t="s">
        <v>13668</v>
      </c>
      <c r="Y4190">
        <v>0.68249024565709104</v>
      </c>
      <c r="Z4190" t="str">
        <f>HYPERLINK("Melting_Curves/meltCurve_tr_E7ESS4_E7ESS4_HUMAN_.pdf", "Melting_Curves/meltCurve_tr_E7ESS4_E7ESS4_HUMAN_.pdf")</f>
        <v>Melting_Curves/meltCurve_tr_E7ESS4_E7ESS4_HUMAN_.pdf</v>
      </c>
      <c r="AA4190" t="s">
        <v>18341</v>
      </c>
      <c r="AB4190" t="s">
        <v>23016</v>
      </c>
    </row>
    <row r="4191" spans="1:28" x14ac:dyDescent="0.25">
      <c r="A4191" t="s">
        <v>4195</v>
      </c>
      <c r="B4191">
        <v>0.99904790336628502</v>
      </c>
      <c r="C4191">
        <v>0.89137260785827399</v>
      </c>
      <c r="D4191">
        <v>0.84439252048505797</v>
      </c>
      <c r="E4191">
        <v>0.88546769596698804</v>
      </c>
      <c r="F4191">
        <v>0.89048633053314596</v>
      </c>
      <c r="G4191">
        <v>0.76671491826523497</v>
      </c>
      <c r="H4191">
        <v>0.72607546236971299</v>
      </c>
      <c r="I4191">
        <v>0.69500534620556298</v>
      </c>
      <c r="J4191">
        <v>0.75233783336757498</v>
      </c>
      <c r="K4191">
        <v>0.94687222047952702</v>
      </c>
      <c r="L4191">
        <v>506.5270611917</v>
      </c>
      <c r="M4191">
        <v>11.1858981235097</v>
      </c>
      <c r="O4191">
        <v>43.907725182113502</v>
      </c>
      <c r="P4191">
        <v>-1.38114340754747E-2</v>
      </c>
      <c r="Q4191">
        <v>0.78321385756110096</v>
      </c>
      <c r="R4191">
        <v>0.41349840279433098</v>
      </c>
      <c r="S4191" t="s">
        <v>8931</v>
      </c>
      <c r="T4191" t="s">
        <v>9478</v>
      </c>
      <c r="U4191" t="s">
        <v>9478</v>
      </c>
      <c r="V4191" t="s">
        <v>9478</v>
      </c>
      <c r="W4191">
        <v>1</v>
      </c>
      <c r="X4191" t="s">
        <v>13669</v>
      </c>
      <c r="Y4191">
        <v>0.83335074089942929</v>
      </c>
      <c r="Z4191" t="str">
        <f>HYPERLINK("Melting_Curves/meltCurve_tr_E7ESU4_E7ESU4_HUMAN_.pdf", "Melting_Curves/meltCurve_tr_E7ESU4_E7ESU4_HUMAN_.pdf")</f>
        <v>Melting_Curves/meltCurve_tr_E7ESU4_E7ESU4_HUMAN_.pdf</v>
      </c>
      <c r="AA4191" t="s">
        <v>18342</v>
      </c>
      <c r="AB4191" t="s">
        <v>23017</v>
      </c>
    </row>
    <row r="4192" spans="1:28" x14ac:dyDescent="0.25">
      <c r="A4192" t="s">
        <v>4196</v>
      </c>
      <c r="B4192">
        <v>0.99904790336628502</v>
      </c>
      <c r="C4192">
        <v>0.95632722516379698</v>
      </c>
      <c r="D4192">
        <v>0.982916833886196</v>
      </c>
      <c r="E4192">
        <v>0.83315202086160001</v>
      </c>
      <c r="F4192">
        <v>0.59092545550808395</v>
      </c>
      <c r="G4192">
        <v>0.27249118119986598</v>
      </c>
      <c r="H4192">
        <v>0.20656148297285001</v>
      </c>
      <c r="I4192">
        <v>0.18812029401861199</v>
      </c>
      <c r="J4192">
        <v>0.18259301010130799</v>
      </c>
      <c r="K4192">
        <v>0.17593085679946199</v>
      </c>
      <c r="L4192">
        <v>1333.1230536696701</v>
      </c>
      <c r="M4192">
        <v>25.207251141963901</v>
      </c>
      <c r="N4192">
        <v>53.805072236279997</v>
      </c>
      <c r="O4192">
        <v>52.557031184108801</v>
      </c>
      <c r="P4192">
        <v>-9.8939295170614297E-2</v>
      </c>
      <c r="Q4192">
        <v>0.174858697739778</v>
      </c>
      <c r="R4192">
        <v>0.99806952797244497</v>
      </c>
      <c r="S4192" t="s">
        <v>8932</v>
      </c>
      <c r="T4192" t="s">
        <v>9478</v>
      </c>
      <c r="U4192" t="s">
        <v>9478</v>
      </c>
      <c r="V4192" t="s">
        <v>9478</v>
      </c>
      <c r="W4192">
        <v>7</v>
      </c>
      <c r="X4192" t="s">
        <v>13670</v>
      </c>
      <c r="Y4192">
        <v>0.53677162985825788</v>
      </c>
      <c r="Z4192" t="str">
        <f>HYPERLINK("Melting_Curves/meltCurve_tr_E7ET15_E7ET15_HUMAN_.pdf", "Melting_Curves/meltCurve_tr_E7ET15_E7ET15_HUMAN_.pdf")</f>
        <v>Melting_Curves/meltCurve_tr_E7ET15_E7ET15_HUMAN_.pdf</v>
      </c>
      <c r="AA4192" t="s">
        <v>18343</v>
      </c>
      <c r="AB4192" t="s">
        <v>23018</v>
      </c>
    </row>
    <row r="4193" spans="1:28" x14ac:dyDescent="0.25">
      <c r="A4193" t="s">
        <v>4197</v>
      </c>
      <c r="B4193">
        <v>0.99904790336628502</v>
      </c>
      <c r="C4193">
        <v>1.01039403381412</v>
      </c>
      <c r="D4193">
        <v>1.03366504483301</v>
      </c>
      <c r="E4193">
        <v>0.96998265330335698</v>
      </c>
      <c r="F4193">
        <v>0.92347427562822504</v>
      </c>
      <c r="G4193">
        <v>0.72306331932827905</v>
      </c>
      <c r="H4193">
        <v>0.61209367929919301</v>
      </c>
      <c r="I4193">
        <v>0.604478331888332</v>
      </c>
      <c r="J4193">
        <v>0.62047708810945601</v>
      </c>
      <c r="K4193">
        <v>0.56927014986212598</v>
      </c>
      <c r="L4193">
        <v>1626.5321811971701</v>
      </c>
      <c r="M4193">
        <v>29.2869135006076</v>
      </c>
      <c r="O4193">
        <v>55.280865196694897</v>
      </c>
      <c r="P4193">
        <v>-5.4052456180768399E-2</v>
      </c>
      <c r="Q4193">
        <v>0.59189363877338397</v>
      </c>
      <c r="R4193">
        <v>0.99181934882085199</v>
      </c>
      <c r="S4193" t="s">
        <v>8933</v>
      </c>
      <c r="T4193" t="s">
        <v>9478</v>
      </c>
      <c r="U4193" t="s">
        <v>9478</v>
      </c>
      <c r="V4193" t="s">
        <v>9478</v>
      </c>
      <c r="W4193">
        <v>16</v>
      </c>
      <c r="X4193" t="s">
        <v>13671</v>
      </c>
      <c r="Y4193">
        <v>0.80610389302063856</v>
      </c>
      <c r="Z4193" t="str">
        <f>HYPERLINK("Melting_Curves/meltCurve_tr_E7ETA6_E7ETA6_HUMAN_.pdf", "Melting_Curves/meltCurve_tr_E7ETA6_E7ETA6_HUMAN_.pdf")</f>
        <v>Melting_Curves/meltCurve_tr_E7ETA6_E7ETA6_HUMAN_.pdf</v>
      </c>
      <c r="AA4193" t="s">
        <v>18344</v>
      </c>
      <c r="AB4193" t="s">
        <v>23019</v>
      </c>
    </row>
    <row r="4194" spans="1:28" x14ac:dyDescent="0.25">
      <c r="A4194" t="s">
        <v>4198</v>
      </c>
      <c r="B4194">
        <v>0.99904790336628502</v>
      </c>
      <c r="C4194">
        <v>1.1396279178122699</v>
      </c>
      <c r="D4194">
        <v>1.07180471506343</v>
      </c>
      <c r="E4194">
        <v>1.05972733180749</v>
      </c>
      <c r="F4194">
        <v>0.96444028903440804</v>
      </c>
      <c r="G4194">
        <v>0.61738286179875501</v>
      </c>
      <c r="H4194">
        <v>0.48915152011205498</v>
      </c>
      <c r="I4194">
        <v>0.55559101451016002</v>
      </c>
      <c r="J4194">
        <v>0.60823173753504101</v>
      </c>
      <c r="K4194">
        <v>0.45771621731130002</v>
      </c>
      <c r="L4194">
        <v>3187.0856632557502</v>
      </c>
      <c r="M4194">
        <v>57.408201110753701</v>
      </c>
      <c r="O4194">
        <v>55.448964370636197</v>
      </c>
      <c r="P4194">
        <v>-0.12227964376271699</v>
      </c>
      <c r="Q4194">
        <v>0.52757437734861601</v>
      </c>
      <c r="R4194">
        <v>0.93668903633751799</v>
      </c>
      <c r="S4194" t="s">
        <v>8934</v>
      </c>
      <c r="T4194" t="s">
        <v>9478</v>
      </c>
      <c r="U4194" t="s">
        <v>9478</v>
      </c>
      <c r="V4194" t="s">
        <v>9478</v>
      </c>
      <c r="W4194">
        <v>2</v>
      </c>
      <c r="X4194" t="s">
        <v>13672</v>
      </c>
      <c r="Y4194">
        <v>0.77279240638608782</v>
      </c>
      <c r="Z4194" t="str">
        <f>HYPERLINK("Melting_Curves/meltCurve_tr_E7ETD6_E7ETD6_HUMAN_.pdf", "Melting_Curves/meltCurve_tr_E7ETD6_E7ETD6_HUMAN_.pdf")</f>
        <v>Melting_Curves/meltCurve_tr_E7ETD6_E7ETD6_HUMAN_.pdf</v>
      </c>
      <c r="AA4194" t="s">
        <v>18345</v>
      </c>
      <c r="AB4194" t="s">
        <v>23020</v>
      </c>
    </row>
    <row r="4195" spans="1:28" x14ac:dyDescent="0.25">
      <c r="A4195" t="s">
        <v>4199</v>
      </c>
      <c r="B4195">
        <v>0.99904790336628502</v>
      </c>
      <c r="C4195">
        <v>1.0701774243286499</v>
      </c>
      <c r="D4195">
        <v>0.91582356136615095</v>
      </c>
      <c r="E4195">
        <v>0.84789525196845394</v>
      </c>
      <c r="F4195">
        <v>0.75646248280853201</v>
      </c>
      <c r="G4195">
        <v>0.53056332367904302</v>
      </c>
      <c r="H4195">
        <v>0.34266053155273601</v>
      </c>
      <c r="I4195">
        <v>0.33758982859755998</v>
      </c>
      <c r="J4195">
        <v>0.33871726267413999</v>
      </c>
      <c r="K4195">
        <v>0.309239473428638</v>
      </c>
      <c r="L4195">
        <v>915.91275450357705</v>
      </c>
      <c r="M4195">
        <v>16.800275939873099</v>
      </c>
      <c r="N4195">
        <v>57.416950074890103</v>
      </c>
      <c r="O4195">
        <v>53.762868433881202</v>
      </c>
      <c r="P4195">
        <v>-5.5788047341068098E-2</v>
      </c>
      <c r="Q4195">
        <v>0.28593283935156899</v>
      </c>
      <c r="R4195">
        <v>0.98429765281345505</v>
      </c>
      <c r="S4195" t="s">
        <v>8935</v>
      </c>
      <c r="T4195" t="s">
        <v>9478</v>
      </c>
      <c r="U4195" t="s">
        <v>9478</v>
      </c>
      <c r="V4195" t="s">
        <v>9478</v>
      </c>
      <c r="W4195">
        <v>1</v>
      </c>
      <c r="X4195" t="s">
        <v>13673</v>
      </c>
      <c r="Y4195">
        <v>0.64384590458712898</v>
      </c>
      <c r="Z4195" t="str">
        <f>HYPERLINK("Melting_Curves/meltCurve_tr_E7ETU5_E7ETU5_HUMAN_.pdf", "Melting_Curves/meltCurve_tr_E7ETU5_E7ETU5_HUMAN_.pdf")</f>
        <v>Melting_Curves/meltCurve_tr_E7ETU5_E7ETU5_HUMAN_.pdf</v>
      </c>
      <c r="AA4195" t="s">
        <v>18346</v>
      </c>
      <c r="AB4195" t="s">
        <v>23021</v>
      </c>
    </row>
    <row r="4196" spans="1:28" x14ac:dyDescent="0.25">
      <c r="A4196" t="s">
        <v>4200</v>
      </c>
      <c r="B4196">
        <v>0.99904790336628502</v>
      </c>
      <c r="C4196">
        <v>1.0214493427264599</v>
      </c>
      <c r="D4196">
        <v>0.96451922222628705</v>
      </c>
      <c r="E4196">
        <v>0.97309993071119205</v>
      </c>
      <c r="F4196">
        <v>0.82175407398587497</v>
      </c>
      <c r="G4196">
        <v>0.25989484844701399</v>
      </c>
      <c r="H4196">
        <v>9.2818271411216E-2</v>
      </c>
      <c r="I4196">
        <v>5.7017625196225101E-2</v>
      </c>
      <c r="J4196">
        <v>4.71941739833482E-2</v>
      </c>
      <c r="K4196">
        <v>4.0550591308322503E-2</v>
      </c>
      <c r="L4196">
        <v>2011.59598269458</v>
      </c>
      <c r="M4196">
        <v>36.5171352085802</v>
      </c>
      <c r="N4196">
        <v>55.2449961763826</v>
      </c>
      <c r="O4196">
        <v>54.921941077656399</v>
      </c>
      <c r="P4196">
        <v>-0.15794967681316199</v>
      </c>
      <c r="Q4196">
        <v>4.9774637552169897E-2</v>
      </c>
      <c r="R4196">
        <v>0.99888360644228802</v>
      </c>
      <c r="S4196" t="s">
        <v>8936</v>
      </c>
      <c r="T4196" t="s">
        <v>9478</v>
      </c>
      <c r="U4196" t="s">
        <v>9478</v>
      </c>
      <c r="V4196" t="s">
        <v>9478</v>
      </c>
      <c r="W4196">
        <v>9</v>
      </c>
      <c r="X4196" t="s">
        <v>13674</v>
      </c>
      <c r="Y4196">
        <v>0.53193821320510037</v>
      </c>
      <c r="Z4196" t="str">
        <f>HYPERLINK("Melting_Curves/meltCurve_tr_E7ETZ4_E7ETZ4_HUMAN_.pdf", "Melting_Curves/meltCurve_tr_E7ETZ4_E7ETZ4_HUMAN_.pdf")</f>
        <v>Melting_Curves/meltCurve_tr_E7ETZ4_E7ETZ4_HUMAN_.pdf</v>
      </c>
      <c r="AA4196" t="s">
        <v>18347</v>
      </c>
      <c r="AB4196" t="s">
        <v>23022</v>
      </c>
    </row>
    <row r="4197" spans="1:28" x14ac:dyDescent="0.25">
      <c r="A4197" t="s">
        <v>4201</v>
      </c>
      <c r="B4197">
        <v>0.99904790336628502</v>
      </c>
      <c r="C4197">
        <v>0.85077849707875597</v>
      </c>
      <c r="D4197">
        <v>0.91702067088737005</v>
      </c>
      <c r="E4197">
        <v>0.76573635067554802</v>
      </c>
      <c r="F4197">
        <v>0.48105974784637801</v>
      </c>
      <c r="G4197">
        <v>0.17312657603771001</v>
      </c>
      <c r="H4197">
        <v>0.10859295144895</v>
      </c>
      <c r="I4197">
        <v>7.5642864263203297E-2</v>
      </c>
      <c r="J4197">
        <v>5.2927687677979902E-2</v>
      </c>
      <c r="K4197">
        <v>3.74851051922485E-2</v>
      </c>
      <c r="L4197">
        <v>997.69684498399204</v>
      </c>
      <c r="M4197">
        <v>18.9904097686657</v>
      </c>
      <c r="N4197">
        <v>52.724682986376799</v>
      </c>
      <c r="O4197">
        <v>51.964711846515002</v>
      </c>
      <c r="P4197">
        <v>-8.8377749336713399E-2</v>
      </c>
      <c r="Q4197">
        <v>3.2703160643259697E-2</v>
      </c>
      <c r="R4197">
        <v>0.98490011432463298</v>
      </c>
      <c r="S4197" t="s">
        <v>8937</v>
      </c>
      <c r="T4197" t="s">
        <v>9478</v>
      </c>
      <c r="U4197" t="s">
        <v>9478</v>
      </c>
      <c r="V4197" t="s">
        <v>9478</v>
      </c>
      <c r="W4197">
        <v>13</v>
      </c>
      <c r="X4197" t="s">
        <v>13675</v>
      </c>
      <c r="Y4197">
        <v>0.45152938624460848</v>
      </c>
      <c r="Z4197" t="str">
        <f>HYPERLINK("Melting_Curves/meltCurve_tr_E7EU96_E7EU96_HUMAN_.pdf", "Melting_Curves/meltCurve_tr_E7EU96_E7EU96_HUMAN_.pdf")</f>
        <v>Melting_Curves/meltCurve_tr_E7EU96_E7EU96_HUMAN_.pdf</v>
      </c>
      <c r="AA4197" t="s">
        <v>18348</v>
      </c>
      <c r="AB4197" t="s">
        <v>19692</v>
      </c>
    </row>
    <row r="4198" spans="1:28" x14ac:dyDescent="0.25">
      <c r="A4198" t="s">
        <v>4202</v>
      </c>
      <c r="B4198">
        <v>0.99904790336628502</v>
      </c>
      <c r="C4198">
        <v>1.26901435646589</v>
      </c>
      <c r="D4198">
        <v>1.3283546103313899</v>
      </c>
      <c r="E4198">
        <v>0.979422697959204</v>
      </c>
      <c r="F4198">
        <v>1.01880066222013</v>
      </c>
      <c r="G4198">
        <v>0.78339237373251203</v>
      </c>
      <c r="H4198">
        <v>0.70372437876153404</v>
      </c>
      <c r="I4198">
        <v>0.54599016371758902</v>
      </c>
      <c r="J4198">
        <v>0.68904030603477995</v>
      </c>
      <c r="K4198">
        <v>0.50340910136682404</v>
      </c>
      <c r="L4198">
        <v>1599.57507352004</v>
      </c>
      <c r="M4198">
        <v>27.733875167596199</v>
      </c>
      <c r="O4198">
        <v>57.378507594897798</v>
      </c>
      <c r="P4198">
        <v>-5.10926389190118E-2</v>
      </c>
      <c r="Q4198">
        <v>0.57718240879218696</v>
      </c>
      <c r="R4198">
        <v>0.71443768427491905</v>
      </c>
      <c r="S4198" t="s">
        <v>8938</v>
      </c>
      <c r="T4198" t="s">
        <v>9478</v>
      </c>
      <c r="U4198" t="s">
        <v>9478</v>
      </c>
      <c r="V4198" t="s">
        <v>9478</v>
      </c>
      <c r="W4198">
        <v>19</v>
      </c>
      <c r="X4198" t="s">
        <v>13676</v>
      </c>
      <c r="Y4198">
        <v>0.82948761651451552</v>
      </c>
      <c r="Z4198" t="str">
        <f>HYPERLINK("Melting_Curves/meltCurve_tr_E7EUL7_E7EUL7_HUMAN_.pdf", "Melting_Curves/meltCurve_tr_E7EUL7_E7EUL7_HUMAN_.pdf")</f>
        <v>Melting_Curves/meltCurve_tr_E7EUL7_E7EUL7_HUMAN_.pdf</v>
      </c>
      <c r="AA4198" t="s">
        <v>18330</v>
      </c>
      <c r="AB4198" t="s">
        <v>23005</v>
      </c>
    </row>
    <row r="4199" spans="1:28" x14ac:dyDescent="0.25">
      <c r="A4199" t="s">
        <v>4203</v>
      </c>
      <c r="B4199">
        <v>0.99904790336628502</v>
      </c>
      <c r="C4199">
        <v>1.0623443897682101</v>
      </c>
      <c r="D4199">
        <v>0.78108179687882495</v>
      </c>
      <c r="E4199">
        <v>0.54574618837760402</v>
      </c>
      <c r="F4199">
        <v>0.31882988292225201</v>
      </c>
      <c r="G4199">
        <v>0.19853705964753299</v>
      </c>
      <c r="H4199">
        <v>9.7991274263131103E-2</v>
      </c>
      <c r="I4199">
        <v>6.2119114758441001E-2</v>
      </c>
      <c r="J4199">
        <v>7.6571027019933804E-2</v>
      </c>
      <c r="K4199">
        <v>4.9496628453979299E-2</v>
      </c>
      <c r="L4199">
        <v>861.07356361877896</v>
      </c>
      <c r="M4199">
        <v>17.159917826453398</v>
      </c>
      <c r="N4199">
        <v>50.530334742220703</v>
      </c>
      <c r="O4199">
        <v>49.512752074247601</v>
      </c>
      <c r="P4199">
        <v>-8.1781017092578207E-2</v>
      </c>
      <c r="Q4199">
        <v>5.6181447760848602E-2</v>
      </c>
      <c r="R4199">
        <v>0.98799581402768</v>
      </c>
      <c r="S4199" t="s">
        <v>8939</v>
      </c>
      <c r="T4199" t="s">
        <v>9478</v>
      </c>
      <c r="U4199" t="s">
        <v>9478</v>
      </c>
      <c r="V4199" t="s">
        <v>9478</v>
      </c>
      <c r="W4199">
        <v>10</v>
      </c>
      <c r="X4199" t="s">
        <v>13677</v>
      </c>
      <c r="Y4199">
        <v>0.39398766637586619</v>
      </c>
      <c r="Z4199" t="str">
        <f>HYPERLINK("Melting_Curves/meltCurve_tr_E7EUY0_E7EUY0_HUMAN_.pdf", "Melting_Curves/meltCurve_tr_E7EUY0_E7EUY0_HUMAN_.pdf")</f>
        <v>Melting_Curves/meltCurve_tr_E7EUY0_E7EUY0_HUMAN_.pdf</v>
      </c>
      <c r="AA4199" t="s">
        <v>18349</v>
      </c>
      <c r="AB4199" t="s">
        <v>23023</v>
      </c>
    </row>
    <row r="4200" spans="1:28" x14ac:dyDescent="0.25">
      <c r="A4200" t="s">
        <v>4204</v>
      </c>
      <c r="B4200">
        <v>0.99904790336628502</v>
      </c>
      <c r="C4200">
        <v>1.07414732921349</v>
      </c>
      <c r="D4200">
        <v>1.01191031928733</v>
      </c>
      <c r="E4200">
        <v>0.84794351781873001</v>
      </c>
      <c r="F4200">
        <v>0.69022147141087198</v>
      </c>
      <c r="G4200">
        <v>0.51174711510037596</v>
      </c>
      <c r="H4200">
        <v>0.43007754643509499</v>
      </c>
      <c r="I4200">
        <v>0.36761112612324298</v>
      </c>
      <c r="J4200">
        <v>0.41265656711981102</v>
      </c>
      <c r="K4200">
        <v>0.41922758654584302</v>
      </c>
      <c r="L4200">
        <v>1182.56268182502</v>
      </c>
      <c r="M4200">
        <v>22.380483046155199</v>
      </c>
      <c r="N4200">
        <v>56.881963286064398</v>
      </c>
      <c r="O4200">
        <v>52.4225762200874</v>
      </c>
      <c r="P4200">
        <v>-6.4241694746991707E-2</v>
      </c>
      <c r="Q4200">
        <v>0.39811034858127797</v>
      </c>
      <c r="R4200">
        <v>0.98622199749010797</v>
      </c>
      <c r="S4200" t="s">
        <v>8940</v>
      </c>
      <c r="T4200" t="s">
        <v>9478</v>
      </c>
      <c r="U4200" t="s">
        <v>9478</v>
      </c>
      <c r="V4200" t="s">
        <v>9478</v>
      </c>
      <c r="W4200">
        <v>4</v>
      </c>
      <c r="X4200" t="s">
        <v>13678</v>
      </c>
      <c r="Y4200">
        <v>0.6624932576313195</v>
      </c>
      <c r="Z4200" t="str">
        <f>HYPERLINK("Melting_Curves/meltCurve_tr_E7EV62_E7EV62_HUMAN_.pdf", "Melting_Curves/meltCurve_tr_E7EV62_E7EV62_HUMAN_.pdf")</f>
        <v>Melting_Curves/meltCurve_tr_E7EV62_E7EV62_HUMAN_.pdf</v>
      </c>
      <c r="AA4200" t="s">
        <v>18350</v>
      </c>
      <c r="AB4200" t="s">
        <v>23024</v>
      </c>
    </row>
    <row r="4201" spans="1:28" x14ac:dyDescent="0.25">
      <c r="A4201" t="s">
        <v>4205</v>
      </c>
      <c r="B4201">
        <v>0.99904790336628502</v>
      </c>
      <c r="C4201">
        <v>1.0068261578117299</v>
      </c>
      <c r="D4201">
        <v>0.975808691421577</v>
      </c>
      <c r="E4201">
        <v>0.86232837986876998</v>
      </c>
      <c r="F4201">
        <v>0.71985987911814497</v>
      </c>
      <c r="G4201">
        <v>0.41132186084686501</v>
      </c>
      <c r="H4201">
        <v>0.32295912010033401</v>
      </c>
      <c r="I4201">
        <v>0.25530851171826602</v>
      </c>
      <c r="J4201">
        <v>0.288178873134457</v>
      </c>
      <c r="K4201">
        <v>0.226679506948257</v>
      </c>
      <c r="L4201">
        <v>1124.52309076144</v>
      </c>
      <c r="M4201">
        <v>20.814300426552801</v>
      </c>
      <c r="N4201">
        <v>55.803777174584802</v>
      </c>
      <c r="O4201">
        <v>53.535190684139501</v>
      </c>
      <c r="P4201">
        <v>-7.3647115879735103E-2</v>
      </c>
      <c r="Q4201">
        <v>0.24232809035885999</v>
      </c>
      <c r="R4201">
        <v>0.99649326633758595</v>
      </c>
      <c r="S4201" t="s">
        <v>8941</v>
      </c>
      <c r="T4201" t="s">
        <v>9478</v>
      </c>
      <c r="U4201" t="s">
        <v>9478</v>
      </c>
      <c r="V4201" t="s">
        <v>9478</v>
      </c>
      <c r="W4201">
        <v>9</v>
      </c>
      <c r="X4201" t="s">
        <v>13679</v>
      </c>
      <c r="Y4201">
        <v>0.60622206844912574</v>
      </c>
      <c r="Z4201" t="str">
        <f>HYPERLINK("Melting_Curves/meltCurve_tr_E7EVD1_E7EVD1_HUMAN_.pdf", "Melting_Curves/meltCurve_tr_E7EVD1_E7EVD1_HUMAN_.pdf")</f>
        <v>Melting_Curves/meltCurve_tr_E7EVD1_E7EVD1_HUMAN_.pdf</v>
      </c>
      <c r="AA4201" t="s">
        <v>18351</v>
      </c>
      <c r="AB4201" t="s">
        <v>23025</v>
      </c>
    </row>
    <row r="4202" spans="1:28" x14ac:dyDescent="0.25">
      <c r="A4202" t="s">
        <v>4206</v>
      </c>
      <c r="B4202">
        <v>0.99904790336628502</v>
      </c>
      <c r="C4202">
        <v>0.88736822895126799</v>
      </c>
      <c r="D4202">
        <v>0.90830143866706603</v>
      </c>
      <c r="E4202">
        <v>0.85389252651565395</v>
      </c>
      <c r="F4202">
        <v>0.46584000404473003</v>
      </c>
      <c r="G4202">
        <v>0.204072435784689</v>
      </c>
      <c r="H4202">
        <v>0.10893719043538699</v>
      </c>
      <c r="I4202">
        <v>9.3676232201399603E-2</v>
      </c>
      <c r="J4202">
        <v>5.9076553066773903E-2</v>
      </c>
      <c r="K4202">
        <v>9.4721809167158694E-2</v>
      </c>
      <c r="L4202">
        <v>1367.80977076627</v>
      </c>
      <c r="M4202">
        <v>26.011354740521501</v>
      </c>
      <c r="N4202">
        <v>52.943744599897499</v>
      </c>
      <c r="O4202">
        <v>52.277235592402299</v>
      </c>
      <c r="P4202">
        <v>-0.11434493517662001</v>
      </c>
      <c r="Q4202">
        <v>8.0775291550321995E-2</v>
      </c>
      <c r="R4202">
        <v>0.98563751701911595</v>
      </c>
      <c r="S4202" t="s">
        <v>8942</v>
      </c>
      <c r="T4202" t="s">
        <v>9478</v>
      </c>
      <c r="U4202" t="s">
        <v>9478</v>
      </c>
      <c r="V4202" t="s">
        <v>9478</v>
      </c>
      <c r="W4202">
        <v>7</v>
      </c>
      <c r="X4202" t="s">
        <v>13680</v>
      </c>
      <c r="Y4202">
        <v>0.474214845361357</v>
      </c>
      <c r="Z4202" t="str">
        <f>HYPERLINK("Melting_Curves/meltCurve_tr_E7EVG2_E7EVG2_HUMAN_.pdf", "Melting_Curves/meltCurve_tr_E7EVG2_E7EVG2_HUMAN_.pdf")</f>
        <v>Melting_Curves/meltCurve_tr_E7EVG2_E7EVG2_HUMAN_.pdf</v>
      </c>
      <c r="AA4202" t="s">
        <v>18352</v>
      </c>
      <c r="AB4202" t="s">
        <v>23026</v>
      </c>
    </row>
    <row r="4203" spans="1:28" x14ac:dyDescent="0.25">
      <c r="A4203" t="s">
        <v>4207</v>
      </c>
      <c r="B4203">
        <v>0.99904790336628502</v>
      </c>
      <c r="C4203">
        <v>1.0746194449014801</v>
      </c>
      <c r="D4203">
        <v>1.02813671861435</v>
      </c>
      <c r="E4203">
        <v>1.1038891345242501</v>
      </c>
      <c r="F4203">
        <v>0.90964966206068898</v>
      </c>
      <c r="G4203">
        <v>0.32248936707380699</v>
      </c>
      <c r="H4203">
        <v>0.145280868148291</v>
      </c>
      <c r="I4203">
        <v>7.8267370897584204E-2</v>
      </c>
      <c r="J4203">
        <v>8.8883694108628702E-2</v>
      </c>
      <c r="K4203">
        <v>3.7160056756673901E-2</v>
      </c>
      <c r="L4203">
        <v>2479.8570188612098</v>
      </c>
      <c r="M4203">
        <v>44.504051560118299</v>
      </c>
      <c r="N4203">
        <v>55.942711440263601</v>
      </c>
      <c r="O4203">
        <v>55.609880274073603</v>
      </c>
      <c r="P4203">
        <v>-0.18396719773055201</v>
      </c>
      <c r="Q4203">
        <v>8.0498788346794095E-2</v>
      </c>
      <c r="R4203">
        <v>0.98902053747462904</v>
      </c>
      <c r="S4203" t="s">
        <v>8943</v>
      </c>
      <c r="T4203" t="s">
        <v>9478</v>
      </c>
      <c r="U4203" t="s">
        <v>9478</v>
      </c>
      <c r="V4203" t="s">
        <v>9478</v>
      </c>
      <c r="W4203">
        <v>14</v>
      </c>
      <c r="X4203" t="s">
        <v>13681</v>
      </c>
      <c r="Y4203">
        <v>0.5652299046778535</v>
      </c>
      <c r="Z4203" t="str">
        <f>HYPERLINK("Melting_Curves/meltCurve_tr_E7EVJ5_E7EVJ5_HUMAN_.pdf", "Melting_Curves/meltCurve_tr_E7EVJ5_E7EVJ5_HUMAN_.pdf")</f>
        <v>Melting_Curves/meltCurve_tr_E7EVJ5_E7EVJ5_HUMAN_.pdf</v>
      </c>
      <c r="AA4203" t="s">
        <v>18353</v>
      </c>
      <c r="AB4203" t="s">
        <v>23027</v>
      </c>
    </row>
    <row r="4204" spans="1:28" x14ac:dyDescent="0.25">
      <c r="A4204" t="s">
        <v>4208</v>
      </c>
      <c r="B4204">
        <v>0.99904790336628502</v>
      </c>
      <c r="C4204">
        <v>1.03836652979719</v>
      </c>
      <c r="D4204">
        <v>0.97627615700501003</v>
      </c>
      <c r="E4204">
        <v>1.0717095868726301</v>
      </c>
      <c r="F4204">
        <v>0.95267163739014804</v>
      </c>
      <c r="G4204">
        <v>0.64196870378812898</v>
      </c>
      <c r="H4204">
        <v>0.50659259095579601</v>
      </c>
      <c r="I4204">
        <v>0.38603535540534101</v>
      </c>
      <c r="J4204">
        <v>0.45205309678901601</v>
      </c>
      <c r="K4204">
        <v>0.44056132456020303</v>
      </c>
      <c r="L4204">
        <v>2179.7275588881098</v>
      </c>
      <c r="M4204">
        <v>38.729735250045799</v>
      </c>
      <c r="N4204">
        <v>59.4439103412981</v>
      </c>
      <c r="O4204">
        <v>56.131048992662002</v>
      </c>
      <c r="P4204">
        <v>-9.7229380539815502E-2</v>
      </c>
      <c r="Q4204">
        <v>0.436342734758427</v>
      </c>
      <c r="R4204">
        <v>0.98204658536405298</v>
      </c>
      <c r="S4204" t="s">
        <v>8944</v>
      </c>
      <c r="T4204" t="s">
        <v>9478</v>
      </c>
      <c r="U4204" t="s">
        <v>9478</v>
      </c>
      <c r="V4204" t="s">
        <v>9478</v>
      </c>
      <c r="W4204">
        <v>2</v>
      </c>
      <c r="X4204" t="s">
        <v>13682</v>
      </c>
      <c r="Y4204">
        <v>0.74454769762657391</v>
      </c>
      <c r="Z4204" t="str">
        <f>HYPERLINK("Melting_Curves/meltCurve_tr_E7EVX9_E7EVX9_HUMAN_.pdf", "Melting_Curves/meltCurve_tr_E7EVX9_E7EVX9_HUMAN_.pdf")</f>
        <v>Melting_Curves/meltCurve_tr_E7EVX9_E7EVX9_HUMAN_.pdf</v>
      </c>
      <c r="AA4204" t="s">
        <v>18354</v>
      </c>
      <c r="AB4204" t="s">
        <v>23028</v>
      </c>
    </row>
    <row r="4205" spans="1:28" x14ac:dyDescent="0.25">
      <c r="A4205" t="s">
        <v>4209</v>
      </c>
      <c r="B4205">
        <v>0.99904790336628502</v>
      </c>
      <c r="C4205">
        <v>1.0316122168461801</v>
      </c>
      <c r="D4205">
        <v>1.1082597478412399</v>
      </c>
      <c r="E4205">
        <v>0.99618377548130299</v>
      </c>
      <c r="F4205">
        <v>0.76925778974333403</v>
      </c>
      <c r="G4205">
        <v>0.27915838223813699</v>
      </c>
      <c r="H4205">
        <v>7.9456578557428506E-2</v>
      </c>
      <c r="I4205">
        <v>5.2508290267497697E-2</v>
      </c>
      <c r="J4205">
        <v>4.0469332947163698E-2</v>
      </c>
      <c r="K4205">
        <v>3.8715435052814301E-2</v>
      </c>
      <c r="L4205">
        <v>1798.5286818009299</v>
      </c>
      <c r="M4205">
        <v>32.698734225308499</v>
      </c>
      <c r="N4205">
        <v>55.147294256808401</v>
      </c>
      <c r="O4205">
        <v>54.798509231006697</v>
      </c>
      <c r="P4205">
        <v>-0.143061827341153</v>
      </c>
      <c r="Q4205">
        <v>4.0997915297330698E-2</v>
      </c>
      <c r="R4205">
        <v>0.99302039366232497</v>
      </c>
      <c r="S4205" t="s">
        <v>8945</v>
      </c>
      <c r="T4205" t="s">
        <v>9478</v>
      </c>
      <c r="U4205" t="s">
        <v>9478</v>
      </c>
      <c r="V4205" t="s">
        <v>9478</v>
      </c>
      <c r="W4205">
        <v>10</v>
      </c>
      <c r="X4205" t="s">
        <v>13683</v>
      </c>
      <c r="Y4205">
        <v>0.52599135632500771</v>
      </c>
      <c r="Z4205" t="str">
        <f>HYPERLINK("Melting_Curves/meltCurve_tr_E7EW69_E7EW69_HUMAN_.pdf", "Melting_Curves/meltCurve_tr_E7EW69_E7EW69_HUMAN_.pdf")</f>
        <v>Melting_Curves/meltCurve_tr_E7EW69_E7EW69_HUMAN_.pdf</v>
      </c>
      <c r="AA4205" t="s">
        <v>18355</v>
      </c>
      <c r="AB4205" t="s">
        <v>23029</v>
      </c>
    </row>
    <row r="4206" spans="1:28" x14ac:dyDescent="0.25">
      <c r="A4206" t="s">
        <v>4210</v>
      </c>
      <c r="B4206">
        <v>0.99904790336628502</v>
      </c>
      <c r="C4206">
        <v>0.80243030054939302</v>
      </c>
      <c r="D4206">
        <v>0.87649763432317396</v>
      </c>
      <c r="E4206">
        <v>0.78820700789529796</v>
      </c>
      <c r="F4206">
        <v>0.25418793438042597</v>
      </c>
      <c r="G4206">
        <v>9.2295899098902595E-2</v>
      </c>
      <c r="H4206">
        <v>5.1700564569730503E-2</v>
      </c>
      <c r="I4206">
        <v>1.9942352215437401E-2</v>
      </c>
      <c r="J4206">
        <v>0</v>
      </c>
      <c r="K4206">
        <v>2.9183207964411598E-2</v>
      </c>
      <c r="L4206">
        <v>1951.3573969628901</v>
      </c>
      <c r="M4206">
        <v>37.896601775887497</v>
      </c>
      <c r="N4206">
        <v>51.577298789579999</v>
      </c>
      <c r="O4206">
        <v>51.348866682234998</v>
      </c>
      <c r="P4206">
        <v>-0.17887764636532699</v>
      </c>
      <c r="Q4206">
        <v>3.0505079502821501E-2</v>
      </c>
      <c r="R4206">
        <v>0.964763830667832</v>
      </c>
      <c r="S4206" t="s">
        <v>8946</v>
      </c>
      <c r="T4206" t="s">
        <v>9478</v>
      </c>
      <c r="U4206" t="s">
        <v>9478</v>
      </c>
      <c r="V4206" t="s">
        <v>9478</v>
      </c>
      <c r="W4206">
        <v>1</v>
      </c>
      <c r="X4206" t="s">
        <v>13684</v>
      </c>
      <c r="Y4206">
        <v>0.40571992404865131</v>
      </c>
      <c r="Z4206" t="str">
        <f>HYPERLINK("Melting_Curves/meltCurve_tr_E7EW80_E7EW80_HUMAN_.pdf", "Melting_Curves/meltCurve_tr_E7EW80_E7EW80_HUMAN_.pdf")</f>
        <v>Melting_Curves/meltCurve_tr_E7EW80_E7EW80_HUMAN_.pdf</v>
      </c>
      <c r="AA4206" t="s">
        <v>18356</v>
      </c>
      <c r="AB4206" t="s">
        <v>23030</v>
      </c>
    </row>
    <row r="4207" spans="1:28" x14ac:dyDescent="0.25">
      <c r="A4207" t="s">
        <v>4211</v>
      </c>
      <c r="B4207">
        <v>0.99904790336628502</v>
      </c>
      <c r="C4207">
        <v>0.92894721848371498</v>
      </c>
      <c r="D4207">
        <v>1.0394499198943901</v>
      </c>
      <c r="E4207">
        <v>0.42552312880187598</v>
      </c>
      <c r="F4207">
        <v>0.18349964262157201</v>
      </c>
      <c r="G4207">
        <v>3.0067449722303199E-2</v>
      </c>
      <c r="H4207">
        <v>5.23367552372654E-2</v>
      </c>
      <c r="I4207">
        <v>2.6604827703288501E-2</v>
      </c>
      <c r="J4207">
        <v>0</v>
      </c>
      <c r="K4207">
        <v>0</v>
      </c>
      <c r="L4207">
        <v>1844.77851308808</v>
      </c>
      <c r="M4207">
        <v>37.109319910683297</v>
      </c>
      <c r="N4207">
        <v>49.791137990522898</v>
      </c>
      <c r="O4207">
        <v>49.568302954989797</v>
      </c>
      <c r="P4207">
        <v>-0.18180323345302599</v>
      </c>
      <c r="Q4207">
        <v>2.8637342753198802E-2</v>
      </c>
      <c r="R4207">
        <v>0.98887827885354496</v>
      </c>
      <c r="S4207" t="s">
        <v>8947</v>
      </c>
      <c r="T4207" t="s">
        <v>9478</v>
      </c>
      <c r="U4207" t="s">
        <v>9478</v>
      </c>
      <c r="V4207" t="s">
        <v>9478</v>
      </c>
      <c r="W4207">
        <v>2</v>
      </c>
      <c r="X4207" t="s">
        <v>13685</v>
      </c>
      <c r="Y4207">
        <v>0.3469859418012971</v>
      </c>
      <c r="Z4207" t="str">
        <f>HYPERLINK("Melting_Curves/meltCurve_tr_E7EW84_E7EW84_HUMAN_.pdf", "Melting_Curves/meltCurve_tr_E7EW84_E7EW84_HUMAN_.pdf")</f>
        <v>Melting_Curves/meltCurve_tr_E7EW84_E7EW84_HUMAN_.pdf</v>
      </c>
      <c r="AA4207" t="s">
        <v>18357</v>
      </c>
      <c r="AB4207" t="s">
        <v>23031</v>
      </c>
    </row>
    <row r="4208" spans="1:28" x14ac:dyDescent="0.25">
      <c r="A4208" t="s">
        <v>4212</v>
      </c>
      <c r="B4208">
        <v>0.99904790336628502</v>
      </c>
      <c r="C4208">
        <v>0.92106631869977795</v>
      </c>
      <c r="D4208">
        <v>0.87450609996141404</v>
      </c>
      <c r="E4208">
        <v>0.82443010460517696</v>
      </c>
      <c r="F4208">
        <v>0.92450079632175597</v>
      </c>
      <c r="G4208">
        <v>0.63381945794790195</v>
      </c>
      <c r="H4208">
        <v>0.47627687900563798</v>
      </c>
      <c r="I4208">
        <v>0.54465995909740705</v>
      </c>
      <c r="J4208">
        <v>0.513181678328405</v>
      </c>
      <c r="K4208">
        <v>0.53499824047315403</v>
      </c>
      <c r="L4208">
        <v>616.32510207913197</v>
      </c>
      <c r="M4208">
        <v>11.2428159922621</v>
      </c>
      <c r="N4208">
        <v>68.124259110196803</v>
      </c>
      <c r="O4208">
        <v>53.170954770942799</v>
      </c>
      <c r="P4208">
        <v>-2.9381041605651002E-2</v>
      </c>
      <c r="Q4208">
        <v>0.44436210163899298</v>
      </c>
      <c r="R4208">
        <v>0.87832596253844597</v>
      </c>
      <c r="S4208" t="s">
        <v>8948</v>
      </c>
      <c r="T4208" t="s">
        <v>9478</v>
      </c>
      <c r="U4208" t="s">
        <v>9478</v>
      </c>
      <c r="V4208" t="s">
        <v>9478</v>
      </c>
      <c r="W4208">
        <v>5</v>
      </c>
      <c r="X4208" t="s">
        <v>13686</v>
      </c>
      <c r="Y4208">
        <v>0.73275662883943427</v>
      </c>
      <c r="Z4208" t="str">
        <f>HYPERLINK("Melting_Curves/meltCurve_tr_E7EWG4_E7EWG4_HUMAN_.pdf", "Melting_Curves/meltCurve_tr_E7EWG4_E7EWG4_HUMAN_.pdf")</f>
        <v>Melting_Curves/meltCurve_tr_E7EWG4_E7EWG4_HUMAN_.pdf</v>
      </c>
      <c r="AA4208" t="s">
        <v>18358</v>
      </c>
      <c r="AB4208" t="s">
        <v>23032</v>
      </c>
    </row>
    <row r="4209" spans="1:28" x14ac:dyDescent="0.25">
      <c r="A4209" t="s">
        <v>4213</v>
      </c>
      <c r="B4209">
        <v>0.99904790336628502</v>
      </c>
      <c r="C4209">
        <v>0.67891602858417299</v>
      </c>
      <c r="D4209">
        <v>0.626046788598975</v>
      </c>
      <c r="E4209">
        <v>0.75811178742441498</v>
      </c>
      <c r="F4209">
        <v>0.53895368920131503</v>
      </c>
      <c r="G4209">
        <v>0.44500531793204101</v>
      </c>
      <c r="H4209">
        <v>0.53962979958662705</v>
      </c>
      <c r="I4209">
        <v>0.67201497282653899</v>
      </c>
      <c r="J4209">
        <v>0.68514511478250795</v>
      </c>
      <c r="K4209">
        <v>1.2095077761672399</v>
      </c>
      <c r="L4209">
        <v>10231.4912023171</v>
      </c>
      <c r="M4209">
        <v>250</v>
      </c>
      <c r="O4209">
        <v>40.923346035474999</v>
      </c>
      <c r="P4209">
        <v>-0.48306300371816402</v>
      </c>
      <c r="Q4209">
        <v>0.68370313071442301</v>
      </c>
      <c r="R4209">
        <v>0.188942775420778</v>
      </c>
      <c r="S4209" t="s">
        <v>8949</v>
      </c>
      <c r="T4209" t="s">
        <v>9478</v>
      </c>
      <c r="U4209" t="s">
        <v>9478</v>
      </c>
      <c r="V4209" t="s">
        <v>9478</v>
      </c>
      <c r="W4209">
        <v>4</v>
      </c>
      <c r="X4209" t="s">
        <v>13687</v>
      </c>
      <c r="Y4209">
        <v>0.69349351636593359</v>
      </c>
      <c r="Z4209" t="str">
        <f>HYPERLINK("Melting_Curves/meltCurve_tr_E7EX83_E7EX83_HUMAN_.pdf", "Melting_Curves/meltCurve_tr_E7EX83_E7EX83_HUMAN_.pdf")</f>
        <v>Melting_Curves/meltCurve_tr_E7EX83_E7EX83_HUMAN_.pdf</v>
      </c>
      <c r="AA4209" t="s">
        <v>18359</v>
      </c>
      <c r="AB4209" t="s">
        <v>23033</v>
      </c>
    </row>
    <row r="4210" spans="1:28" x14ac:dyDescent="0.25">
      <c r="A4210" t="s">
        <v>4214</v>
      </c>
      <c r="B4210">
        <v>0.99904790336628502</v>
      </c>
      <c r="C4210">
        <v>0.97809118280066398</v>
      </c>
      <c r="D4210">
        <v>0.97971790693855798</v>
      </c>
      <c r="E4210">
        <v>0.71851358110810204</v>
      </c>
      <c r="F4210">
        <v>0.347018325597719</v>
      </c>
      <c r="G4210">
        <v>0.17712229235881899</v>
      </c>
      <c r="H4210">
        <v>0.10801908352470201</v>
      </c>
      <c r="I4210">
        <v>7.0038681275247497E-2</v>
      </c>
      <c r="J4210">
        <v>5.7838831052415197E-2</v>
      </c>
      <c r="K4210">
        <v>5.2799752478378599E-2</v>
      </c>
      <c r="L4210">
        <v>1349.87206128242</v>
      </c>
      <c r="M4210">
        <v>26.2093678484866</v>
      </c>
      <c r="N4210">
        <v>51.808047280349598</v>
      </c>
      <c r="O4210">
        <v>51.2063749582748</v>
      </c>
      <c r="P4210">
        <v>-0.11882263327468599</v>
      </c>
      <c r="Q4210">
        <v>7.1414358916942894E-2</v>
      </c>
      <c r="R4210">
        <v>0.99761457756629301</v>
      </c>
      <c r="S4210" t="s">
        <v>8950</v>
      </c>
      <c r="T4210" t="s">
        <v>9478</v>
      </c>
      <c r="U4210" t="s">
        <v>9478</v>
      </c>
      <c r="V4210" t="s">
        <v>9478</v>
      </c>
      <c r="W4210">
        <v>4</v>
      </c>
      <c r="X4210" t="s">
        <v>13688</v>
      </c>
      <c r="Y4210">
        <v>0.43516853244414938</v>
      </c>
      <c r="Z4210" t="str">
        <f>HYPERLINK("Melting_Curves/meltCurve_tr_E9PAR5_E9PAR5_HUMAN_.pdf", "Melting_Curves/meltCurve_tr_E9PAR5_E9PAR5_HUMAN_.pdf")</f>
        <v>Melting_Curves/meltCurve_tr_E9PAR5_E9PAR5_HUMAN_.pdf</v>
      </c>
      <c r="AA4210" t="s">
        <v>18360</v>
      </c>
      <c r="AB4210" t="s">
        <v>23034</v>
      </c>
    </row>
    <row r="4211" spans="1:28" x14ac:dyDescent="0.25">
      <c r="A4211" t="s">
        <v>4215</v>
      </c>
      <c r="B4211">
        <v>0.99904790336628502</v>
      </c>
      <c r="C4211">
        <v>0.85923653461761795</v>
      </c>
      <c r="D4211">
        <v>0.85271023681218905</v>
      </c>
      <c r="E4211">
        <v>0.69023544211083199</v>
      </c>
      <c r="F4211">
        <v>0.55574300760533402</v>
      </c>
      <c r="G4211">
        <v>0.20206766671662599</v>
      </c>
      <c r="H4211">
        <v>0</v>
      </c>
      <c r="I4211">
        <v>0.10734269532436</v>
      </c>
      <c r="J4211">
        <v>0</v>
      </c>
      <c r="K4211">
        <v>0</v>
      </c>
      <c r="L4211">
        <v>826.53024635291001</v>
      </c>
      <c r="M4211">
        <v>15.713582410761701</v>
      </c>
      <c r="N4211">
        <v>52.599743362959799</v>
      </c>
      <c r="O4211">
        <v>51.769942658822004</v>
      </c>
      <c r="P4211">
        <v>-7.5888173320676905E-2</v>
      </c>
      <c r="Q4211">
        <v>0</v>
      </c>
      <c r="R4211">
        <v>0.97423736988627196</v>
      </c>
      <c r="S4211" t="s">
        <v>8951</v>
      </c>
      <c r="T4211" t="s">
        <v>9478</v>
      </c>
      <c r="U4211" t="s">
        <v>9478</v>
      </c>
      <c r="V4211" t="s">
        <v>9478</v>
      </c>
      <c r="W4211">
        <v>2</v>
      </c>
      <c r="X4211" t="s">
        <v>13689</v>
      </c>
      <c r="Y4211">
        <v>0.44041252757825938</v>
      </c>
      <c r="Z4211" t="str">
        <f>HYPERLINK("Melting_Curves/meltCurve_tr_E9PB09_E9PB09_HUMAN_.pdf", "Melting_Curves/meltCurve_tr_E9PB09_E9PB09_HUMAN_.pdf")</f>
        <v>Melting_Curves/meltCurve_tr_E9PB09_E9PB09_HUMAN_.pdf</v>
      </c>
      <c r="AA4211" t="s">
        <v>18361</v>
      </c>
      <c r="AB4211" t="s">
        <v>23035</v>
      </c>
    </row>
    <row r="4212" spans="1:28" x14ac:dyDescent="0.25">
      <c r="A4212" t="s">
        <v>4216</v>
      </c>
      <c r="B4212">
        <v>0.99904790336628502</v>
      </c>
      <c r="C4212">
        <v>0.908934984084248</v>
      </c>
      <c r="D4212">
        <v>0.86894983434362805</v>
      </c>
      <c r="E4212">
        <v>0.528300435464508</v>
      </c>
      <c r="F4212">
        <v>0.36873536783102001</v>
      </c>
      <c r="G4212">
        <v>0.241228894134567</v>
      </c>
      <c r="H4212">
        <v>0.20267385417580999</v>
      </c>
      <c r="I4212">
        <v>0.15615505275786501</v>
      </c>
      <c r="J4212">
        <v>0.13939371059504299</v>
      </c>
      <c r="K4212">
        <v>9.2363312349228704E-2</v>
      </c>
      <c r="L4212">
        <v>805.45522657325398</v>
      </c>
      <c r="M4212">
        <v>16.127840530651401</v>
      </c>
      <c r="N4212">
        <v>50.8435141449376</v>
      </c>
      <c r="O4212">
        <v>49.193026175923002</v>
      </c>
      <c r="P4212">
        <v>-7.1774247787494694E-2</v>
      </c>
      <c r="Q4212">
        <v>0.12436553278741801</v>
      </c>
      <c r="R4212">
        <v>0.99356233727717802</v>
      </c>
      <c r="S4212" t="s">
        <v>8952</v>
      </c>
      <c r="T4212" t="s">
        <v>9478</v>
      </c>
      <c r="U4212" t="s">
        <v>9478</v>
      </c>
      <c r="V4212" t="s">
        <v>9478</v>
      </c>
      <c r="W4212">
        <v>13</v>
      </c>
      <c r="X4212" t="s">
        <v>13690</v>
      </c>
      <c r="Y4212">
        <v>0.43290039787198592</v>
      </c>
      <c r="Z4212" t="str">
        <f>HYPERLINK("Melting_Curves/meltCurve_tr_E9PB14_E9PB14_HUMAN_.pdf", "Melting_Curves/meltCurve_tr_E9PB14_E9PB14_HUMAN_.pdf")</f>
        <v>Melting_Curves/meltCurve_tr_E9PB14_E9PB14_HUMAN_.pdf</v>
      </c>
      <c r="AA4212" t="s">
        <v>18362</v>
      </c>
      <c r="AB4212" t="s">
        <v>23036</v>
      </c>
    </row>
    <row r="4213" spans="1:28" x14ac:dyDescent="0.25">
      <c r="A4213" t="s">
        <v>4217</v>
      </c>
      <c r="B4213">
        <v>0.99904790336628502</v>
      </c>
      <c r="C4213">
        <v>0.97653911515344305</v>
      </c>
      <c r="D4213">
        <v>0.97865073575973904</v>
      </c>
      <c r="E4213">
        <v>0.87728082844237099</v>
      </c>
      <c r="F4213">
        <v>0.59339130161745002</v>
      </c>
      <c r="G4213">
        <v>0.534099888159284</v>
      </c>
      <c r="H4213">
        <v>0.41863541930440601</v>
      </c>
      <c r="I4213">
        <v>0.358261861805306</v>
      </c>
      <c r="J4213">
        <v>0.30971862763072899</v>
      </c>
      <c r="K4213">
        <v>0.264869056852093</v>
      </c>
      <c r="L4213">
        <v>778.23861806853995</v>
      </c>
      <c r="M4213">
        <v>14.415342656096</v>
      </c>
      <c r="N4213">
        <v>57.103522127576198</v>
      </c>
      <c r="O4213">
        <v>52.979784452745399</v>
      </c>
      <c r="P4213">
        <v>-4.9502871493058501E-2</v>
      </c>
      <c r="Q4213">
        <v>0.27234697553565201</v>
      </c>
      <c r="R4213">
        <v>0.98073369349592698</v>
      </c>
      <c r="S4213" t="s">
        <v>8953</v>
      </c>
      <c r="T4213" t="s">
        <v>9478</v>
      </c>
      <c r="U4213" t="s">
        <v>9478</v>
      </c>
      <c r="V4213" t="s">
        <v>9478</v>
      </c>
      <c r="W4213">
        <v>3</v>
      </c>
      <c r="X4213" t="s">
        <v>13691</v>
      </c>
      <c r="Y4213">
        <v>0.62727779853158361</v>
      </c>
      <c r="Z4213" t="str">
        <f>HYPERLINK("Melting_Curves/meltCurve_tr_E9PB51_E9PB51_HUMAN_.pdf", "Melting_Curves/meltCurve_tr_E9PB51_E9PB51_HUMAN_.pdf")</f>
        <v>Melting_Curves/meltCurve_tr_E9PB51_E9PB51_HUMAN_.pdf</v>
      </c>
      <c r="AA4213" t="s">
        <v>18363</v>
      </c>
      <c r="AB4213" t="s">
        <v>23037</v>
      </c>
    </row>
    <row r="4214" spans="1:28" x14ac:dyDescent="0.25">
      <c r="A4214" t="s">
        <v>4218</v>
      </c>
      <c r="B4214">
        <v>0.99904790336628502</v>
      </c>
      <c r="C4214">
        <v>1.1031899847296101</v>
      </c>
      <c r="D4214">
        <v>0.89678786491370199</v>
      </c>
      <c r="E4214">
        <v>0.60893511716590798</v>
      </c>
      <c r="F4214">
        <v>0.43156856523873199</v>
      </c>
      <c r="G4214">
        <v>0</v>
      </c>
      <c r="H4214">
        <v>0.104287504435568</v>
      </c>
      <c r="I4214">
        <v>0</v>
      </c>
      <c r="J4214">
        <v>0</v>
      </c>
      <c r="K4214">
        <v>0</v>
      </c>
      <c r="L4214">
        <v>1102.85132485585</v>
      </c>
      <c r="M4214">
        <v>21.433754327885701</v>
      </c>
      <c r="N4214">
        <v>51.4539500951173</v>
      </c>
      <c r="O4214">
        <v>51.012343426723902</v>
      </c>
      <c r="P4214">
        <v>-0.10504460680067</v>
      </c>
      <c r="Q4214">
        <v>0</v>
      </c>
      <c r="R4214">
        <v>0.97823623744625499</v>
      </c>
      <c r="S4214" t="s">
        <v>8954</v>
      </c>
      <c r="T4214" t="s">
        <v>9478</v>
      </c>
      <c r="U4214" t="s">
        <v>9478</v>
      </c>
      <c r="V4214" t="s">
        <v>9478</v>
      </c>
      <c r="W4214">
        <v>2</v>
      </c>
      <c r="X4214" t="s">
        <v>13692</v>
      </c>
      <c r="Y4214">
        <v>0.39399004393568438</v>
      </c>
      <c r="Z4214" t="str">
        <f>HYPERLINK("Melting_Curves/meltCurve_tr_E9PBK6_E9PBK6_HUMAN_.pdf", "Melting_Curves/meltCurve_tr_E9PBK6_E9PBK6_HUMAN_.pdf")</f>
        <v>Melting_Curves/meltCurve_tr_E9PBK6_E9PBK6_HUMAN_.pdf</v>
      </c>
      <c r="AA4214" t="s">
        <v>18364</v>
      </c>
      <c r="AB4214" t="s">
        <v>23038</v>
      </c>
    </row>
    <row r="4215" spans="1:28" x14ac:dyDescent="0.25">
      <c r="A4215" t="s">
        <v>4219</v>
      </c>
      <c r="B4215">
        <v>0.99904790336628502</v>
      </c>
      <c r="C4215">
        <v>0.99625601002535102</v>
      </c>
      <c r="D4215">
        <v>0.84655777616178096</v>
      </c>
      <c r="E4215">
        <v>0.40035561084598598</v>
      </c>
      <c r="F4215">
        <v>0.237341421847857</v>
      </c>
      <c r="G4215">
        <v>0.15204297434844299</v>
      </c>
      <c r="H4215">
        <v>0.108167124380151</v>
      </c>
      <c r="I4215">
        <v>7.7907499799539301E-2</v>
      </c>
      <c r="J4215">
        <v>6.5563088046502405E-2</v>
      </c>
      <c r="K4215">
        <v>6.9920991482773504E-2</v>
      </c>
      <c r="L4215">
        <v>1165.6153341285899</v>
      </c>
      <c r="M4215">
        <v>23.8263322379199</v>
      </c>
      <c r="N4215">
        <v>49.317075757009199</v>
      </c>
      <c r="O4215">
        <v>48.5806002868554</v>
      </c>
      <c r="P4215">
        <v>-0.111944681544678</v>
      </c>
      <c r="Q4215">
        <v>8.7018306182713501E-2</v>
      </c>
      <c r="R4215">
        <v>0.99668527631827997</v>
      </c>
      <c r="S4215" t="s">
        <v>8955</v>
      </c>
      <c r="T4215" t="s">
        <v>9478</v>
      </c>
      <c r="U4215" t="s">
        <v>9478</v>
      </c>
      <c r="V4215" t="s">
        <v>9478</v>
      </c>
      <c r="W4215">
        <v>12</v>
      </c>
      <c r="X4215" t="s">
        <v>13693</v>
      </c>
      <c r="Y4215">
        <v>0.36744852155834368</v>
      </c>
      <c r="Z4215" t="str">
        <f>HYPERLINK("Melting_Curves/meltCurve_tr_E9PBL8_E9PBL8_HUMAN_.pdf", "Melting_Curves/meltCurve_tr_E9PBL8_E9PBL8_HUMAN_.pdf")</f>
        <v>Melting_Curves/meltCurve_tr_E9PBL8_E9PBL8_HUMAN_.pdf</v>
      </c>
      <c r="AA4215" t="s">
        <v>18365</v>
      </c>
      <c r="AB4215" t="s">
        <v>23039</v>
      </c>
    </row>
    <row r="4216" spans="1:28" x14ac:dyDescent="0.25">
      <c r="A4216" t="s">
        <v>4220</v>
      </c>
      <c r="B4216">
        <v>0.99904790336628502</v>
      </c>
      <c r="C4216">
        <v>1.0223098325792701</v>
      </c>
      <c r="D4216">
        <v>1.0434569320139699</v>
      </c>
      <c r="E4216">
        <v>0.64291842253144704</v>
      </c>
      <c r="F4216">
        <v>0.34771668539346601</v>
      </c>
      <c r="G4216">
        <v>0.16202219924525901</v>
      </c>
      <c r="H4216">
        <v>0.10215645575712</v>
      </c>
      <c r="I4216">
        <v>4.51622602968852E-2</v>
      </c>
      <c r="J4216">
        <v>3.7344223265378097E-2</v>
      </c>
      <c r="K4216">
        <v>3.3526335497379302E-2</v>
      </c>
      <c r="L4216">
        <v>1312.1553376079601</v>
      </c>
      <c r="M4216">
        <v>25.579222658516301</v>
      </c>
      <c r="N4216">
        <v>51.536197329146397</v>
      </c>
      <c r="O4216">
        <v>50.987255179404798</v>
      </c>
      <c r="P4216">
        <v>-0.118420977876891</v>
      </c>
      <c r="Q4216">
        <v>5.5813924706095697E-2</v>
      </c>
      <c r="R4216">
        <v>0.99195515880104201</v>
      </c>
      <c r="S4216" t="s">
        <v>8956</v>
      </c>
      <c r="T4216" t="s">
        <v>9478</v>
      </c>
      <c r="U4216" t="s">
        <v>9478</v>
      </c>
      <c r="V4216" t="s">
        <v>9478</v>
      </c>
      <c r="W4216">
        <v>4</v>
      </c>
      <c r="X4216" t="s">
        <v>13694</v>
      </c>
      <c r="Y4216">
        <v>0.41956689206454528</v>
      </c>
      <c r="Z4216" t="str">
        <f>HYPERLINK("Melting_Curves/meltCurve_tr_E9PC74_E9PC74_HUMAN_.pdf", "Melting_Curves/meltCurve_tr_E9PC74_E9PC74_HUMAN_.pdf")</f>
        <v>Melting_Curves/meltCurve_tr_E9PC74_E9PC74_HUMAN_.pdf</v>
      </c>
      <c r="AA4216" t="s">
        <v>18366</v>
      </c>
      <c r="AB4216" t="s">
        <v>23040</v>
      </c>
    </row>
    <row r="4217" spans="1:28" x14ac:dyDescent="0.25">
      <c r="A4217" t="s">
        <v>4221</v>
      </c>
      <c r="B4217">
        <v>0.99904790336628502</v>
      </c>
      <c r="C4217">
        <v>1.04097678671989</v>
      </c>
      <c r="D4217">
        <v>0.80844431181408904</v>
      </c>
      <c r="E4217">
        <v>0.40935232313198999</v>
      </c>
      <c r="F4217">
        <v>0.23877727619800701</v>
      </c>
      <c r="G4217">
        <v>0.159197754221547</v>
      </c>
      <c r="H4217">
        <v>0.116373804528876</v>
      </c>
      <c r="I4217">
        <v>9.8317613554889494E-2</v>
      </c>
      <c r="J4217">
        <v>8.8834701573480099E-2</v>
      </c>
      <c r="K4217">
        <v>8.7272885720806007E-2</v>
      </c>
      <c r="L4217">
        <v>1158.04480628175</v>
      </c>
      <c r="M4217">
        <v>23.753247467474502</v>
      </c>
      <c r="N4217">
        <v>49.232440258876998</v>
      </c>
      <c r="O4217">
        <v>48.4114878046421</v>
      </c>
      <c r="P4217">
        <v>-0.110002075758819</v>
      </c>
      <c r="Q4217">
        <v>0.10323354276428399</v>
      </c>
      <c r="R4217">
        <v>0.99433868756707</v>
      </c>
      <c r="S4217" t="s">
        <v>8957</v>
      </c>
      <c r="T4217" t="s">
        <v>9478</v>
      </c>
      <c r="U4217" t="s">
        <v>9478</v>
      </c>
      <c r="V4217" t="s">
        <v>9478</v>
      </c>
      <c r="W4217">
        <v>6</v>
      </c>
      <c r="X4217" t="s">
        <v>13695</v>
      </c>
      <c r="Y4217">
        <v>0.3737079006763549</v>
      </c>
      <c r="Z4217" t="str">
        <f>HYPERLINK("Melting_Curves/meltCurve_tr_E9PCG9_E9PCG9_HUMAN_.pdf", "Melting_Curves/meltCurve_tr_E9PCG9_E9PCG9_HUMAN_.pdf")</f>
        <v>Melting_Curves/meltCurve_tr_E9PCG9_E9PCG9_HUMAN_.pdf</v>
      </c>
      <c r="AA4217" t="s">
        <v>18367</v>
      </c>
      <c r="AB4217" t="s">
        <v>23041</v>
      </c>
    </row>
    <row r="4218" spans="1:28" x14ac:dyDescent="0.25">
      <c r="A4218" t="s">
        <v>4222</v>
      </c>
      <c r="B4218">
        <v>0.99904790336628502</v>
      </c>
      <c r="C4218">
        <v>0.99370633419097198</v>
      </c>
      <c r="D4218">
        <v>0.98531187582684798</v>
      </c>
      <c r="E4218">
        <v>0.90947065713910402</v>
      </c>
      <c r="F4218">
        <v>0.89516814934503397</v>
      </c>
      <c r="G4218">
        <v>0.65767593822067305</v>
      </c>
      <c r="H4218">
        <v>0.46940117512402801</v>
      </c>
      <c r="I4218">
        <v>0.55841307653158001</v>
      </c>
      <c r="J4218">
        <v>0.52349650220652</v>
      </c>
      <c r="K4218">
        <v>0.49006376964564802</v>
      </c>
      <c r="L4218">
        <v>1457.7520105215899</v>
      </c>
      <c r="M4218">
        <v>26.4476500041532</v>
      </c>
      <c r="O4218">
        <v>54.806151808177098</v>
      </c>
      <c r="P4218">
        <v>-6.0329471500243703E-2</v>
      </c>
      <c r="Q4218">
        <v>0.49993414855680501</v>
      </c>
      <c r="R4218">
        <v>0.97541646472949906</v>
      </c>
      <c r="S4218" t="s">
        <v>8958</v>
      </c>
      <c r="T4218" t="s">
        <v>9478</v>
      </c>
      <c r="U4218" t="s">
        <v>9478</v>
      </c>
      <c r="V4218" t="s">
        <v>9478</v>
      </c>
      <c r="W4218">
        <v>5</v>
      </c>
      <c r="X4218" t="s">
        <v>13696</v>
      </c>
      <c r="Y4218">
        <v>0.75612697038171583</v>
      </c>
      <c r="Z4218" t="str">
        <f>HYPERLINK("Melting_Curves/meltCurve_tr_E9PCJ7_E9PCJ7_HUMAN_.pdf", "Melting_Curves/meltCurve_tr_E9PCJ7_E9PCJ7_HUMAN_.pdf")</f>
        <v>Melting_Curves/meltCurve_tr_E9PCJ7_E9PCJ7_HUMAN_.pdf</v>
      </c>
      <c r="AA4218" t="s">
        <v>18368</v>
      </c>
      <c r="AB4218" t="s">
        <v>23042</v>
      </c>
    </row>
    <row r="4219" spans="1:28" x14ac:dyDescent="0.25">
      <c r="A4219" t="s">
        <v>4223</v>
      </c>
      <c r="B4219">
        <v>0.99904790336628502</v>
      </c>
      <c r="C4219">
        <v>0.98236774284020001</v>
      </c>
      <c r="D4219">
        <v>1.09948148532203</v>
      </c>
      <c r="E4219">
        <v>0.91167709505599104</v>
      </c>
      <c r="F4219">
        <v>0.51183519236054897</v>
      </c>
      <c r="G4219">
        <v>0.35109001062244699</v>
      </c>
      <c r="H4219">
        <v>0.31781708806016001</v>
      </c>
      <c r="I4219">
        <v>0.25129990856593798</v>
      </c>
      <c r="J4219">
        <v>0.20387148378323799</v>
      </c>
      <c r="K4219">
        <v>5.5559779839595202E-2</v>
      </c>
      <c r="L4219">
        <v>1519.39781263431</v>
      </c>
      <c r="M4219">
        <v>28.812792753541299</v>
      </c>
      <c r="N4219">
        <v>53.739074736658402</v>
      </c>
      <c r="O4219">
        <v>52.481384765902902</v>
      </c>
      <c r="P4219">
        <v>-0.10865169317578501</v>
      </c>
      <c r="Q4219">
        <v>0.208386690822884</v>
      </c>
      <c r="R4219">
        <v>0.95871679654182995</v>
      </c>
      <c r="S4219" t="s">
        <v>8959</v>
      </c>
      <c r="T4219" t="s">
        <v>9478</v>
      </c>
      <c r="U4219" t="s">
        <v>9478</v>
      </c>
      <c r="V4219" t="s">
        <v>9478</v>
      </c>
      <c r="W4219">
        <v>2</v>
      </c>
      <c r="X4219" t="s">
        <v>13697</v>
      </c>
      <c r="Y4219">
        <v>0.54992076754542607</v>
      </c>
      <c r="Z4219" t="str">
        <f>HYPERLINK("Melting_Curves/meltCurve_tr_E9PCS8_E9PCS8_HUMAN_.pdf", "Melting_Curves/meltCurve_tr_E9PCS8_E9PCS8_HUMAN_.pdf")</f>
        <v>Melting_Curves/meltCurve_tr_E9PCS8_E9PCS8_HUMAN_.pdf</v>
      </c>
      <c r="AA4219" t="s">
        <v>18369</v>
      </c>
      <c r="AB4219" t="s">
        <v>23043</v>
      </c>
    </row>
    <row r="4220" spans="1:28" x14ac:dyDescent="0.25">
      <c r="A4220" t="s">
        <v>4224</v>
      </c>
      <c r="B4220">
        <v>0.99904790336628502</v>
      </c>
      <c r="C4220">
        <v>0.95332396960931398</v>
      </c>
      <c r="D4220">
        <v>0.89172650782399199</v>
      </c>
      <c r="E4220">
        <v>0.70346067497408804</v>
      </c>
      <c r="F4220">
        <v>0.45900561081511598</v>
      </c>
      <c r="G4220">
        <v>0.28432017974474699</v>
      </c>
      <c r="H4220">
        <v>0.13938958278795599</v>
      </c>
      <c r="I4220">
        <v>8.7971857936367095E-2</v>
      </c>
      <c r="J4220">
        <v>5.9477563393803001E-2</v>
      </c>
      <c r="K4220">
        <v>4.9254155798612101E-2</v>
      </c>
      <c r="L4220">
        <v>755.68721404231098</v>
      </c>
      <c r="M4220">
        <v>14.357858181545501</v>
      </c>
      <c r="N4220">
        <v>52.7846566695696</v>
      </c>
      <c r="O4220">
        <v>51.642898797346199</v>
      </c>
      <c r="P4220">
        <v>-6.8102766349695795E-2</v>
      </c>
      <c r="Q4220">
        <v>2.02988268004031E-2</v>
      </c>
      <c r="R4220">
        <v>0.99884528559153696</v>
      </c>
      <c r="S4220" t="s">
        <v>8960</v>
      </c>
      <c r="T4220" t="s">
        <v>9478</v>
      </c>
      <c r="U4220" t="s">
        <v>9478</v>
      </c>
      <c r="V4220" t="s">
        <v>9478</v>
      </c>
      <c r="W4220">
        <v>11</v>
      </c>
      <c r="X4220" t="s">
        <v>13698</v>
      </c>
      <c r="Y4220">
        <v>0.45559689098432649</v>
      </c>
      <c r="Z4220" t="str">
        <f>HYPERLINK("Melting_Curves/meltCurve_tr_E9PCY7_E9PCY7_HUMAN_.pdf", "Melting_Curves/meltCurve_tr_E9PCY7_E9PCY7_HUMAN_.pdf")</f>
        <v>Melting_Curves/meltCurve_tr_E9PCY7_E9PCY7_HUMAN_.pdf</v>
      </c>
      <c r="AA4220" t="s">
        <v>18370</v>
      </c>
      <c r="AB4220" t="s">
        <v>23044</v>
      </c>
    </row>
    <row r="4221" spans="1:28" x14ac:dyDescent="0.25">
      <c r="A4221" t="s">
        <v>4225</v>
      </c>
      <c r="B4221">
        <v>0.99904790336628502</v>
      </c>
      <c r="C4221">
        <v>1.1202141831402499</v>
      </c>
      <c r="D4221">
        <v>1.02798935499594</v>
      </c>
      <c r="E4221">
        <v>0.84634697041389795</v>
      </c>
      <c r="F4221">
        <v>0.898864280375407</v>
      </c>
      <c r="G4221">
        <v>0.64214064938944504</v>
      </c>
      <c r="H4221">
        <v>0.61762240474653596</v>
      </c>
      <c r="I4221">
        <v>0.56831523024600294</v>
      </c>
      <c r="J4221">
        <v>0.63917032872588597</v>
      </c>
      <c r="K4221">
        <v>0.504298234609869</v>
      </c>
      <c r="L4221">
        <v>1052.8051007680599</v>
      </c>
      <c r="M4221">
        <v>19.378226076525401</v>
      </c>
      <c r="O4221">
        <v>53.760632761565098</v>
      </c>
      <c r="P4221">
        <v>-3.9982208821227799E-2</v>
      </c>
      <c r="Q4221">
        <v>0.55632892233145204</v>
      </c>
      <c r="R4221">
        <v>0.909429928015971</v>
      </c>
      <c r="S4221" t="s">
        <v>8961</v>
      </c>
      <c r="T4221" t="s">
        <v>9478</v>
      </c>
      <c r="U4221" t="s">
        <v>9478</v>
      </c>
      <c r="V4221" t="s">
        <v>9478</v>
      </c>
      <c r="W4221">
        <v>3</v>
      </c>
      <c r="X4221" t="s">
        <v>13699</v>
      </c>
      <c r="Y4221">
        <v>0.77454334604755026</v>
      </c>
      <c r="Z4221" t="str">
        <f>HYPERLINK("Melting_Curves/meltCurve_tr_E9PDC3_E9PDC3_HUMAN_.pdf", "Melting_Curves/meltCurve_tr_E9PDC3_E9PDC3_HUMAN_.pdf")</f>
        <v>Melting_Curves/meltCurve_tr_E9PDC3_E9PDC3_HUMAN_.pdf</v>
      </c>
      <c r="AA4221" t="s">
        <v>18371</v>
      </c>
      <c r="AB4221" t="s">
        <v>23045</v>
      </c>
    </row>
    <row r="4222" spans="1:28" x14ac:dyDescent="0.25">
      <c r="A4222" t="s">
        <v>4226</v>
      </c>
      <c r="B4222">
        <v>0.99904790336628502</v>
      </c>
      <c r="C4222">
        <v>0.76195356650053703</v>
      </c>
      <c r="D4222">
        <v>0.87890889209203604</v>
      </c>
      <c r="E4222">
        <v>0.61571580954019201</v>
      </c>
      <c r="F4222">
        <v>0.58836973371085899</v>
      </c>
      <c r="G4222">
        <v>0.47997518443331899</v>
      </c>
      <c r="H4222">
        <v>0.27868002297588002</v>
      </c>
      <c r="I4222">
        <v>0.25264139153708198</v>
      </c>
      <c r="J4222">
        <v>0.236502382017864</v>
      </c>
      <c r="K4222">
        <v>0.10240677013864399</v>
      </c>
      <c r="L4222">
        <v>411.12753249760198</v>
      </c>
      <c r="M4222">
        <v>7.5137288328504797</v>
      </c>
      <c r="N4222">
        <v>54.716844505586401</v>
      </c>
      <c r="O4222">
        <v>51.243461547545799</v>
      </c>
      <c r="P4222">
        <v>-3.6709361847945397E-2</v>
      </c>
      <c r="Q4222">
        <v>0</v>
      </c>
      <c r="R4222">
        <v>0.95406960446038702</v>
      </c>
      <c r="S4222" t="s">
        <v>8962</v>
      </c>
      <c r="T4222" t="s">
        <v>9478</v>
      </c>
      <c r="U4222" t="s">
        <v>9478</v>
      </c>
      <c r="V4222" t="s">
        <v>9478</v>
      </c>
      <c r="W4222">
        <v>1</v>
      </c>
      <c r="X4222" t="s">
        <v>13700</v>
      </c>
      <c r="Y4222">
        <v>0.519974094088405</v>
      </c>
      <c r="Z4222" t="str">
        <f>HYPERLINK("Melting_Curves/meltCurve_tr_E9PE72_E9PE72_HUMAN_.pdf", "Melting_Curves/meltCurve_tr_E9PE72_E9PE72_HUMAN_.pdf")</f>
        <v>Melting_Curves/meltCurve_tr_E9PE72_E9PE72_HUMAN_.pdf</v>
      </c>
      <c r="AA4222" t="s">
        <v>18372</v>
      </c>
      <c r="AB4222" t="s">
        <v>23046</v>
      </c>
    </row>
    <row r="4223" spans="1:28" x14ac:dyDescent="0.25">
      <c r="A4223" t="s">
        <v>4227</v>
      </c>
      <c r="B4223">
        <v>0.99904790336628502</v>
      </c>
      <c r="C4223">
        <v>1.1155645718787</v>
      </c>
      <c r="D4223">
        <v>0.99183730591656505</v>
      </c>
      <c r="E4223">
        <v>0.68988948404828798</v>
      </c>
      <c r="F4223">
        <v>1.1426971100072001</v>
      </c>
      <c r="G4223">
        <v>0.705173151819251</v>
      </c>
      <c r="H4223">
        <v>0.46841222685385597</v>
      </c>
      <c r="I4223">
        <v>0.58885205036430999</v>
      </c>
      <c r="J4223">
        <v>0.59427780708219302</v>
      </c>
      <c r="K4223">
        <v>0.83528337638274397</v>
      </c>
      <c r="L4223">
        <v>14178.0694550055</v>
      </c>
      <c r="M4223">
        <v>250</v>
      </c>
      <c r="O4223">
        <v>56.708657561010902</v>
      </c>
      <c r="P4223">
        <v>-0.41692674461411799</v>
      </c>
      <c r="Q4223">
        <v>0.621706364190865</v>
      </c>
      <c r="R4223">
        <v>0.60680672089150001</v>
      </c>
      <c r="S4223" t="s">
        <v>8963</v>
      </c>
      <c r="T4223" t="s">
        <v>9478</v>
      </c>
      <c r="U4223" t="s">
        <v>9478</v>
      </c>
      <c r="V4223" t="s">
        <v>9478</v>
      </c>
      <c r="W4223">
        <v>1</v>
      </c>
      <c r="X4223" t="s">
        <v>13701</v>
      </c>
      <c r="Y4223">
        <v>0.83248229341348745</v>
      </c>
      <c r="Z4223" t="str">
        <f>HYPERLINK("Melting_Curves/meltCurve_tr_E9PE75_E9PE75_HUMAN_.pdf", "Melting_Curves/meltCurve_tr_E9PE75_E9PE75_HUMAN_.pdf")</f>
        <v>Melting_Curves/meltCurve_tr_E9PE75_E9PE75_HUMAN_.pdf</v>
      </c>
      <c r="AA4223" t="s">
        <v>18373</v>
      </c>
      <c r="AB4223" t="s">
        <v>23047</v>
      </c>
    </row>
    <row r="4224" spans="1:28" x14ac:dyDescent="0.25">
      <c r="A4224" t="s">
        <v>4228</v>
      </c>
      <c r="B4224">
        <v>0.99904790336628502</v>
      </c>
      <c r="C4224">
        <v>1.09975909252422</v>
      </c>
      <c r="D4224">
        <v>0.96827445996230099</v>
      </c>
      <c r="E4224">
        <v>0.92127105402296905</v>
      </c>
      <c r="F4224">
        <v>0.92061044919912305</v>
      </c>
      <c r="G4224">
        <v>0.61863580625029202</v>
      </c>
      <c r="H4224">
        <v>0.431262553299401</v>
      </c>
      <c r="I4224">
        <v>0.41115112947715998</v>
      </c>
      <c r="J4224">
        <v>0.53085820149432505</v>
      </c>
      <c r="K4224">
        <v>0.43188686106489399</v>
      </c>
      <c r="L4224">
        <v>1931.81767726201</v>
      </c>
      <c r="M4224">
        <v>34.769620468686398</v>
      </c>
      <c r="N4224">
        <v>59.348986627194002</v>
      </c>
      <c r="O4224">
        <v>55.377687554591397</v>
      </c>
      <c r="P4224">
        <v>-8.70115016283695E-2</v>
      </c>
      <c r="Q4224">
        <v>0.44566809319825901</v>
      </c>
      <c r="R4224">
        <v>0.96133211790742701</v>
      </c>
      <c r="S4224" t="s">
        <v>8964</v>
      </c>
      <c r="T4224" t="s">
        <v>9478</v>
      </c>
      <c r="U4224" t="s">
        <v>9478</v>
      </c>
      <c r="V4224" t="s">
        <v>9478</v>
      </c>
      <c r="W4224">
        <v>3</v>
      </c>
      <c r="X4224" t="s">
        <v>13702</v>
      </c>
      <c r="Y4224">
        <v>0.73597861136844289</v>
      </c>
      <c r="Z4224" t="str">
        <f>HYPERLINK("Melting_Curves/meltCurve_tr_E9PEG3_E9PEG3_HUMAN_.pdf", "Melting_Curves/meltCurve_tr_E9PEG3_E9PEG3_HUMAN_.pdf")</f>
        <v>Melting_Curves/meltCurve_tr_E9PEG3_E9PEG3_HUMAN_.pdf</v>
      </c>
      <c r="AA4224" t="s">
        <v>18374</v>
      </c>
      <c r="AB4224" t="s">
        <v>23048</v>
      </c>
    </row>
    <row r="4225" spans="1:28" x14ac:dyDescent="0.25">
      <c r="A4225" t="s">
        <v>4229</v>
      </c>
      <c r="B4225">
        <v>0.99904790336628502</v>
      </c>
      <c r="C4225">
        <v>0.99947098357133501</v>
      </c>
      <c r="D4225">
        <v>1.06019632197462</v>
      </c>
      <c r="E4225">
        <v>0.74337470195556599</v>
      </c>
      <c r="F4225">
        <v>0.36289920564052403</v>
      </c>
      <c r="G4225">
        <v>0.16896665958627299</v>
      </c>
      <c r="H4225">
        <v>9.83400110922307E-2</v>
      </c>
      <c r="I4225">
        <v>7.8638173840223299E-2</v>
      </c>
      <c r="J4225">
        <v>6.9515303676400894E-2</v>
      </c>
      <c r="K4225">
        <v>6.5696666335104806E-2</v>
      </c>
      <c r="L4225">
        <v>1587.1372084632601</v>
      </c>
      <c r="M4225">
        <v>30.7331700717377</v>
      </c>
      <c r="N4225">
        <v>51.947876202965901</v>
      </c>
      <c r="O4225">
        <v>51.425312387345798</v>
      </c>
      <c r="P4225">
        <v>-0.13705962440462899</v>
      </c>
      <c r="Q4225">
        <v>8.2646892354463403E-2</v>
      </c>
      <c r="R4225">
        <v>0.994852184068302</v>
      </c>
      <c r="S4225" t="s">
        <v>8965</v>
      </c>
      <c r="T4225" t="s">
        <v>9478</v>
      </c>
      <c r="U4225" t="s">
        <v>9478</v>
      </c>
      <c r="V4225" t="s">
        <v>9478</v>
      </c>
      <c r="W4225">
        <v>44</v>
      </c>
      <c r="X4225" t="s">
        <v>13703</v>
      </c>
      <c r="Y4225">
        <v>0.44421036046278789</v>
      </c>
      <c r="Z4225" t="str">
        <f>HYPERLINK("Melting_Curves/meltCurve_tr_E9PEZ3_E9PEZ3_HUMAN_.pdf", "Melting_Curves/meltCurve_tr_E9PEZ3_E9PEZ3_HUMAN_.pdf")</f>
        <v>Melting_Curves/meltCurve_tr_E9PEZ3_E9PEZ3_HUMAN_.pdf</v>
      </c>
      <c r="AA4225" t="s">
        <v>18375</v>
      </c>
      <c r="AB4225" t="s">
        <v>23049</v>
      </c>
    </row>
    <row r="4226" spans="1:28" x14ac:dyDescent="0.25">
      <c r="A4226" t="s">
        <v>4230</v>
      </c>
      <c r="B4226">
        <v>0.99904790336628502</v>
      </c>
      <c r="C4226">
        <v>0.88321278056539698</v>
      </c>
      <c r="D4226">
        <v>0.64503723494865295</v>
      </c>
      <c r="E4226">
        <v>0.286671496274366</v>
      </c>
      <c r="F4226">
        <v>0.15635535730352301</v>
      </c>
      <c r="G4226">
        <v>6.3941962079720596E-2</v>
      </c>
      <c r="H4226">
        <v>1.21055076701953E-2</v>
      </c>
      <c r="I4226">
        <v>1.26897832987712E-2</v>
      </c>
      <c r="J4226">
        <v>1.0501597145246599E-2</v>
      </c>
      <c r="K4226">
        <v>1.9794052372198698E-2</v>
      </c>
      <c r="L4226">
        <v>876.03287726217195</v>
      </c>
      <c r="M4226">
        <v>18.430770784531699</v>
      </c>
      <c r="N4226">
        <v>47.5839202030172</v>
      </c>
      <c r="O4226">
        <v>46.982067406314101</v>
      </c>
      <c r="P4226">
        <v>-9.7082935573191698E-2</v>
      </c>
      <c r="Q4226">
        <v>1.01445465171296E-2</v>
      </c>
      <c r="R4226">
        <v>0.99876336950536704</v>
      </c>
      <c r="S4226" t="s">
        <v>8966</v>
      </c>
      <c r="T4226" t="s">
        <v>9478</v>
      </c>
      <c r="U4226" t="s">
        <v>9478</v>
      </c>
      <c r="V4226" t="s">
        <v>9478</v>
      </c>
      <c r="W4226">
        <v>2</v>
      </c>
      <c r="X4226" t="s">
        <v>13704</v>
      </c>
      <c r="Y4226">
        <v>0.27559781443482828</v>
      </c>
      <c r="Z4226" t="str">
        <f>HYPERLINK("Melting_Curves/meltCurve_tr_E9PF10_E9PF10_HUMAN_.pdf", "Melting_Curves/meltCurve_tr_E9PF10_E9PF10_HUMAN_.pdf")</f>
        <v>Melting_Curves/meltCurve_tr_E9PF10_E9PF10_HUMAN_.pdf</v>
      </c>
      <c r="AA4226" t="s">
        <v>18376</v>
      </c>
      <c r="AB4226" t="s">
        <v>23050</v>
      </c>
    </row>
    <row r="4227" spans="1:28" x14ac:dyDescent="0.25">
      <c r="A4227" t="s">
        <v>4231</v>
      </c>
      <c r="B4227">
        <v>0.99904790336628502</v>
      </c>
      <c r="C4227">
        <v>0.96187636500514895</v>
      </c>
      <c r="D4227">
        <v>0.88934497092017595</v>
      </c>
      <c r="E4227">
        <v>0.55125531977529196</v>
      </c>
      <c r="F4227">
        <v>0.29141207866528701</v>
      </c>
      <c r="G4227">
        <v>0.17247778653088799</v>
      </c>
      <c r="H4227">
        <v>0.121958853748731</v>
      </c>
      <c r="I4227">
        <v>0.10525276311126799</v>
      </c>
      <c r="J4227">
        <v>7.1045278771104295E-2</v>
      </c>
      <c r="K4227">
        <v>8.9387364159039001E-2</v>
      </c>
      <c r="L4227">
        <v>1064.7449966321401</v>
      </c>
      <c r="M4227">
        <v>21.2693310746976</v>
      </c>
      <c r="N4227">
        <v>50.533657968409202</v>
      </c>
      <c r="O4227">
        <v>49.623888195310101</v>
      </c>
      <c r="P4227">
        <v>-9.7473540557420704E-2</v>
      </c>
      <c r="Q4227">
        <v>9.03535923450247E-2</v>
      </c>
      <c r="R4227">
        <v>0.99887960859954095</v>
      </c>
      <c r="S4227" t="s">
        <v>8967</v>
      </c>
      <c r="T4227" t="s">
        <v>9478</v>
      </c>
      <c r="U4227" t="s">
        <v>9478</v>
      </c>
      <c r="V4227" t="s">
        <v>9478</v>
      </c>
      <c r="W4227">
        <v>4</v>
      </c>
      <c r="X4227" t="s">
        <v>13705</v>
      </c>
      <c r="Y4227">
        <v>0.40661509525668571</v>
      </c>
      <c r="Z4227" t="str">
        <f>HYPERLINK("Melting_Curves/meltCurve_tr_E9PF19_E9PF19_HUMAN_.pdf", "Melting_Curves/meltCurve_tr_E9PF19_E9PF19_HUMAN_.pdf")</f>
        <v>Melting_Curves/meltCurve_tr_E9PF19_E9PF19_HUMAN_.pdf</v>
      </c>
      <c r="AA4227" t="s">
        <v>18377</v>
      </c>
      <c r="AB4227" t="s">
        <v>23051</v>
      </c>
    </row>
    <row r="4228" spans="1:28" x14ac:dyDescent="0.25">
      <c r="A4228" t="s">
        <v>4232</v>
      </c>
      <c r="B4228">
        <v>0.99904790336628502</v>
      </c>
      <c r="C4228">
        <v>0.98387357664601005</v>
      </c>
      <c r="D4228">
        <v>0.88568826103287901</v>
      </c>
      <c r="E4228">
        <v>0.89901396157882896</v>
      </c>
      <c r="F4228">
        <v>0.85790608630836296</v>
      </c>
      <c r="G4228">
        <v>0.67938965794489403</v>
      </c>
      <c r="H4228">
        <v>0.49249211196509901</v>
      </c>
      <c r="I4228">
        <v>0.44673969309899397</v>
      </c>
      <c r="J4228">
        <v>0.47429481520870198</v>
      </c>
      <c r="K4228">
        <v>0.56739521322037401</v>
      </c>
      <c r="L4228">
        <v>1047.66983113573</v>
      </c>
      <c r="M4228">
        <v>19.063364666795898</v>
      </c>
      <c r="N4228">
        <v>64.686046151924302</v>
      </c>
      <c r="O4228">
        <v>54.363202471421197</v>
      </c>
      <c r="P4228">
        <v>-4.6327586532667997E-2</v>
      </c>
      <c r="Q4228">
        <v>0.47156929877357401</v>
      </c>
      <c r="R4228">
        <v>0.93801966496172295</v>
      </c>
      <c r="S4228" t="s">
        <v>8968</v>
      </c>
      <c r="T4228" t="s">
        <v>9478</v>
      </c>
      <c r="U4228" t="s">
        <v>9478</v>
      </c>
      <c r="V4228" t="s">
        <v>9478</v>
      </c>
      <c r="W4228">
        <v>6</v>
      </c>
      <c r="X4228" t="s">
        <v>13706</v>
      </c>
      <c r="Y4228">
        <v>0.74258955375042013</v>
      </c>
      <c r="Z4228" t="str">
        <f>HYPERLINK("Melting_Curves/meltCurve_tr_E9PFC1_E9PFC1_HUMAN_.pdf", "Melting_Curves/meltCurve_tr_E9PFC1_E9PFC1_HUMAN_.pdf")</f>
        <v>Melting_Curves/meltCurve_tr_E9PFC1_E9PFC1_HUMAN_.pdf</v>
      </c>
      <c r="AA4228" t="s">
        <v>18378</v>
      </c>
      <c r="AB4228" t="s">
        <v>23052</v>
      </c>
    </row>
    <row r="4229" spans="1:28" x14ac:dyDescent="0.25">
      <c r="A4229" t="s">
        <v>4233</v>
      </c>
      <c r="B4229">
        <v>0.99904790336628502</v>
      </c>
      <c r="C4229">
        <v>0.94856772313347304</v>
      </c>
      <c r="D4229">
        <v>0.92906790923683102</v>
      </c>
      <c r="E4229">
        <v>0.83329466105857497</v>
      </c>
      <c r="F4229">
        <v>0.67032438894061597</v>
      </c>
      <c r="G4229">
        <v>0.36775387040085</v>
      </c>
      <c r="H4229">
        <v>0.27353386595372597</v>
      </c>
      <c r="I4229">
        <v>0.24665254607326201</v>
      </c>
      <c r="J4229">
        <v>0.25008309691408798</v>
      </c>
      <c r="K4229">
        <v>0.26073106429884302</v>
      </c>
      <c r="L4229">
        <v>1089.48186490691</v>
      </c>
      <c r="M4229">
        <v>20.443816132227099</v>
      </c>
      <c r="N4229">
        <v>54.969516779423898</v>
      </c>
      <c r="O4229">
        <v>52.789456791304502</v>
      </c>
      <c r="P4229">
        <v>-7.4346544003044204E-2</v>
      </c>
      <c r="Q4229">
        <v>0.23212033016285699</v>
      </c>
      <c r="R4229">
        <v>0.99331926659024805</v>
      </c>
      <c r="S4229" t="s">
        <v>8969</v>
      </c>
      <c r="T4229" t="s">
        <v>9478</v>
      </c>
      <c r="U4229" t="s">
        <v>9478</v>
      </c>
      <c r="V4229" t="s">
        <v>9478</v>
      </c>
      <c r="W4229">
        <v>9</v>
      </c>
      <c r="X4229" t="s">
        <v>13707</v>
      </c>
      <c r="Y4229">
        <v>0.58247833056318143</v>
      </c>
      <c r="Z4229" t="str">
        <f>HYPERLINK("Melting_Curves/meltCurve_tr_E9PFD7_E9PFD7_HUMAN_.pdf", "Melting_Curves/meltCurve_tr_E9PFD7_E9PFD7_HUMAN_.pdf")</f>
        <v>Melting_Curves/meltCurve_tr_E9PFD7_E9PFD7_HUMAN_.pdf</v>
      </c>
      <c r="AA4229" t="s">
        <v>18379</v>
      </c>
      <c r="AB4229" t="s">
        <v>23053</v>
      </c>
    </row>
    <row r="4230" spans="1:28" x14ac:dyDescent="0.25">
      <c r="A4230" t="s">
        <v>4234</v>
      </c>
      <c r="B4230">
        <v>0.99904790336628502</v>
      </c>
      <c r="C4230">
        <v>0.98632363056917904</v>
      </c>
      <c r="D4230">
        <v>1.0293356095036099</v>
      </c>
      <c r="E4230">
        <v>0.90500593523335704</v>
      </c>
      <c r="F4230">
        <v>0.82724567314687503</v>
      </c>
      <c r="G4230">
        <v>0.70536848554834297</v>
      </c>
      <c r="H4230">
        <v>0.52207885229980699</v>
      </c>
      <c r="I4230">
        <v>0.44203061915146402</v>
      </c>
      <c r="J4230">
        <v>0.53566906014341098</v>
      </c>
      <c r="K4230">
        <v>0.41813347227187497</v>
      </c>
      <c r="L4230">
        <v>921.03606656409602</v>
      </c>
      <c r="M4230">
        <v>16.4454129686032</v>
      </c>
      <c r="N4230">
        <v>63.272145596539303</v>
      </c>
      <c r="O4230">
        <v>55.197180618030899</v>
      </c>
      <c r="P4230">
        <v>-4.2879207618225099E-2</v>
      </c>
      <c r="Q4230">
        <v>0.42436357822437198</v>
      </c>
      <c r="R4230">
        <v>0.97525475619930102</v>
      </c>
      <c r="S4230" t="s">
        <v>8970</v>
      </c>
      <c r="T4230" t="s">
        <v>9478</v>
      </c>
      <c r="U4230" t="s">
        <v>9478</v>
      </c>
      <c r="V4230" t="s">
        <v>9478</v>
      </c>
      <c r="W4230">
        <v>2</v>
      </c>
      <c r="X4230" t="s">
        <v>13708</v>
      </c>
      <c r="Y4230">
        <v>0.7408440832970391</v>
      </c>
      <c r="Z4230" t="str">
        <f>HYPERLINK("Melting_Curves/meltCurve_tr_E9PFK5_E9PFK5_HUMAN_.pdf", "Melting_Curves/meltCurve_tr_E9PFK5_E9PFK5_HUMAN_.pdf")</f>
        <v>Melting_Curves/meltCurve_tr_E9PFK5_E9PFK5_HUMAN_.pdf</v>
      </c>
      <c r="AA4230" t="s">
        <v>18380</v>
      </c>
      <c r="AB4230" t="s">
        <v>23054</v>
      </c>
    </row>
    <row r="4231" spans="1:28" x14ac:dyDescent="0.25">
      <c r="A4231" t="s">
        <v>4235</v>
      </c>
      <c r="B4231">
        <v>0.99904790336628502</v>
      </c>
      <c r="C4231">
        <v>1.0050086942966301</v>
      </c>
      <c r="D4231">
        <v>0.97700199969966595</v>
      </c>
      <c r="E4231">
        <v>0.67067189659057103</v>
      </c>
      <c r="F4231">
        <v>0.27632385640799001</v>
      </c>
      <c r="G4231">
        <v>0.114989835198104</v>
      </c>
      <c r="H4231">
        <v>6.5976388105642395E-2</v>
      </c>
      <c r="I4231">
        <v>4.9163840958311403E-2</v>
      </c>
      <c r="J4231">
        <v>4.1284075155904598E-2</v>
      </c>
      <c r="K4231">
        <v>4.0717490724274399E-2</v>
      </c>
      <c r="L4231">
        <v>1542.9020275401499</v>
      </c>
      <c r="M4231">
        <v>30.2306336888436</v>
      </c>
      <c r="N4231">
        <v>51.2214894608313</v>
      </c>
      <c r="O4231">
        <v>50.815930184880798</v>
      </c>
      <c r="P4231">
        <v>-0.14108288247772299</v>
      </c>
      <c r="Q4231">
        <v>5.1397642583223199E-2</v>
      </c>
      <c r="R4231">
        <v>0.99930423623144704</v>
      </c>
      <c r="S4231" t="s">
        <v>8971</v>
      </c>
      <c r="T4231" t="s">
        <v>9478</v>
      </c>
      <c r="U4231" t="s">
        <v>9478</v>
      </c>
      <c r="V4231" t="s">
        <v>9478</v>
      </c>
      <c r="W4231">
        <v>18</v>
      </c>
      <c r="X4231" t="s">
        <v>13709</v>
      </c>
      <c r="Y4231">
        <v>0.40628773679156599</v>
      </c>
      <c r="Z4231" t="str">
        <f>HYPERLINK("Melting_Curves/meltCurve_tr_E9PFR3_E9PFR3_HUMAN_.pdf", "Melting_Curves/meltCurve_tr_E9PFR3_E9PFR3_HUMAN_.pdf")</f>
        <v>Melting_Curves/meltCurve_tr_E9PFR3_E9PFR3_HUMAN_.pdf</v>
      </c>
      <c r="AA4231" t="s">
        <v>18381</v>
      </c>
      <c r="AB4231" t="s">
        <v>23055</v>
      </c>
    </row>
    <row r="4232" spans="1:28" x14ac:dyDescent="0.25">
      <c r="A4232" t="s">
        <v>4236</v>
      </c>
      <c r="B4232">
        <v>0.99904790336628502</v>
      </c>
      <c r="C4232">
        <v>0.96021460530194602</v>
      </c>
      <c r="D4232">
        <v>0.95568858152914604</v>
      </c>
      <c r="E4232">
        <v>0.69015384356190101</v>
      </c>
      <c r="F4232">
        <v>0.251797305392921</v>
      </c>
      <c r="G4232">
        <v>0.14035950969511199</v>
      </c>
      <c r="H4232">
        <v>0.111139591602502</v>
      </c>
      <c r="I4232">
        <v>6.7179707664838398E-2</v>
      </c>
      <c r="J4232">
        <v>7.4487674061240905E-2</v>
      </c>
      <c r="K4232">
        <v>8.4283738006697501E-2</v>
      </c>
      <c r="L4232">
        <v>1781.15122209586</v>
      </c>
      <c r="M4232">
        <v>35.011211251328398</v>
      </c>
      <c r="N4232">
        <v>51.158315477440198</v>
      </c>
      <c r="O4232">
        <v>50.708631726360203</v>
      </c>
      <c r="P4232">
        <v>-0.15733796880654299</v>
      </c>
      <c r="Q4232">
        <v>8.8478968869514896E-2</v>
      </c>
      <c r="R4232">
        <v>0.99712390413817797</v>
      </c>
      <c r="S4232" t="s">
        <v>8972</v>
      </c>
      <c r="T4232" t="s">
        <v>9478</v>
      </c>
      <c r="U4232" t="s">
        <v>9478</v>
      </c>
      <c r="V4232" t="s">
        <v>9478</v>
      </c>
      <c r="W4232">
        <v>5</v>
      </c>
      <c r="X4232" t="s">
        <v>13710</v>
      </c>
      <c r="Y4232">
        <v>0.4230592010342652</v>
      </c>
      <c r="Z4232" t="str">
        <f>HYPERLINK("Melting_Curves/meltCurve_tr_E9PG46_E9PG46_HUMAN_.pdf", "Melting_Curves/meltCurve_tr_E9PG46_E9PG46_HUMAN_.pdf")</f>
        <v>Melting_Curves/meltCurve_tr_E9PG46_E9PG46_HUMAN_.pdf</v>
      </c>
      <c r="AA4232" t="s">
        <v>18382</v>
      </c>
      <c r="AB4232" t="s">
        <v>23056</v>
      </c>
    </row>
    <row r="4233" spans="1:28" x14ac:dyDescent="0.25">
      <c r="A4233" t="s">
        <v>4237</v>
      </c>
      <c r="B4233">
        <v>0.99904790336628502</v>
      </c>
      <c r="C4233">
        <v>0.96135299552907605</v>
      </c>
      <c r="D4233">
        <v>0.88817909814874096</v>
      </c>
      <c r="E4233">
        <v>0.75093415198246904</v>
      </c>
      <c r="F4233">
        <v>0.617092477937356</v>
      </c>
      <c r="G4233">
        <v>0.36693218354978802</v>
      </c>
      <c r="H4233">
        <v>0.240499202680408</v>
      </c>
      <c r="I4233">
        <v>0.20681434391189901</v>
      </c>
      <c r="J4233">
        <v>0.20563242979341201</v>
      </c>
      <c r="K4233">
        <v>0.20880499541806199</v>
      </c>
      <c r="L4233">
        <v>777.46987726679595</v>
      </c>
      <c r="M4233">
        <v>14.6683736718139</v>
      </c>
      <c r="N4233">
        <v>54.430959943184298</v>
      </c>
      <c r="O4233">
        <v>52.047256111037598</v>
      </c>
      <c r="P4233">
        <v>-5.9211680256893599E-2</v>
      </c>
      <c r="Q4233">
        <v>0.159698067976422</v>
      </c>
      <c r="R4233">
        <v>0.99566329572656398</v>
      </c>
      <c r="S4233" t="s">
        <v>8973</v>
      </c>
      <c r="T4233" t="s">
        <v>9478</v>
      </c>
      <c r="U4233" t="s">
        <v>9478</v>
      </c>
      <c r="V4233" t="s">
        <v>9478</v>
      </c>
      <c r="W4233">
        <v>39</v>
      </c>
      <c r="X4233" t="s">
        <v>13711</v>
      </c>
      <c r="Y4233">
        <v>0.54256229801987021</v>
      </c>
      <c r="Z4233" t="str">
        <f>HYPERLINK("Melting_Curves/meltCurve_tr_E9PGF5_E9PGF5_HUMAN_.pdf", "Melting_Curves/meltCurve_tr_E9PGF5_E9PGF5_HUMAN_.pdf")</f>
        <v>Melting_Curves/meltCurve_tr_E9PGF5_E9PGF5_HUMAN_.pdf</v>
      </c>
      <c r="AA4233" t="s">
        <v>18339</v>
      </c>
      <c r="AB4233" t="s">
        <v>23057</v>
      </c>
    </row>
    <row r="4234" spans="1:28" x14ac:dyDescent="0.25">
      <c r="A4234" t="s">
        <v>4238</v>
      </c>
      <c r="B4234">
        <v>0.99904790336628502</v>
      </c>
      <c r="C4234">
        <v>1.0179658855023801</v>
      </c>
      <c r="D4234">
        <v>1.05052683287301</v>
      </c>
      <c r="E4234">
        <v>0.94232348964698498</v>
      </c>
      <c r="F4234">
        <v>0.77451738591329</v>
      </c>
      <c r="G4234">
        <v>0.29784040768196601</v>
      </c>
      <c r="H4234">
        <v>7.2282693259726499E-2</v>
      </c>
      <c r="I4234">
        <v>4.7829365015739499E-2</v>
      </c>
      <c r="J4234">
        <v>3.5972171416069801E-2</v>
      </c>
      <c r="K4234">
        <v>3.7595894545153399E-2</v>
      </c>
      <c r="L4234">
        <v>1639.5982697920199</v>
      </c>
      <c r="M4234">
        <v>29.7494371418416</v>
      </c>
      <c r="N4234">
        <v>55.231051834195398</v>
      </c>
      <c r="O4234">
        <v>54.866356930039402</v>
      </c>
      <c r="P4234">
        <v>-0.131399064037065</v>
      </c>
      <c r="Q4234">
        <v>3.06587162013509E-2</v>
      </c>
      <c r="R4234">
        <v>0.998199497341419</v>
      </c>
      <c r="S4234" t="s">
        <v>8974</v>
      </c>
      <c r="T4234" t="s">
        <v>9478</v>
      </c>
      <c r="U4234" t="s">
        <v>9478</v>
      </c>
      <c r="V4234" t="s">
        <v>9478</v>
      </c>
      <c r="W4234">
        <v>17</v>
      </c>
      <c r="X4234" t="s">
        <v>13712</v>
      </c>
      <c r="Y4234">
        <v>0.52553734484337122</v>
      </c>
      <c r="Z4234" t="str">
        <f>HYPERLINK("Melting_Curves/meltCurve_tr_E9PGF9_E9PGF9_HUMAN_.pdf", "Melting_Curves/meltCurve_tr_E9PGF9_E9PGF9_HUMAN_.pdf")</f>
        <v>Melting_Curves/meltCurve_tr_E9PGF9_E9PGF9_HUMAN_.pdf</v>
      </c>
      <c r="AA4234" t="s">
        <v>18383</v>
      </c>
      <c r="AB4234" t="s">
        <v>23058</v>
      </c>
    </row>
    <row r="4235" spans="1:28" x14ac:dyDescent="0.25">
      <c r="A4235" t="s">
        <v>4239</v>
      </c>
      <c r="B4235">
        <v>0.99904790336628502</v>
      </c>
      <c r="C4235">
        <v>0.885423927502349</v>
      </c>
      <c r="D4235">
        <v>0.82985621603940296</v>
      </c>
      <c r="E4235">
        <v>0.78945626700539595</v>
      </c>
      <c r="F4235">
        <v>0.80721667278081399</v>
      </c>
      <c r="G4235">
        <v>0.44392035852241302</v>
      </c>
      <c r="H4235">
        <v>0.357029880297557</v>
      </c>
      <c r="I4235">
        <v>0.34559695623319397</v>
      </c>
      <c r="J4235">
        <v>0.28417641865482501</v>
      </c>
      <c r="K4235">
        <v>0.29701105644069697</v>
      </c>
      <c r="L4235">
        <v>536.51964939001402</v>
      </c>
      <c r="M4235">
        <v>9.6997165689560205</v>
      </c>
      <c r="N4235">
        <v>57.643402959419603</v>
      </c>
      <c r="O4235">
        <v>53.115411681837799</v>
      </c>
      <c r="P4235">
        <v>-3.8269808328466798E-2</v>
      </c>
      <c r="Q4235">
        <v>0.16219964022421801</v>
      </c>
      <c r="R4235">
        <v>0.94606376042139595</v>
      </c>
      <c r="S4235" t="s">
        <v>8975</v>
      </c>
      <c r="T4235" t="s">
        <v>9478</v>
      </c>
      <c r="U4235" t="s">
        <v>9478</v>
      </c>
      <c r="V4235" t="s">
        <v>9478</v>
      </c>
      <c r="W4235">
        <v>2</v>
      </c>
      <c r="X4235" t="s">
        <v>13713</v>
      </c>
      <c r="Y4235">
        <v>0.61046347521968725</v>
      </c>
      <c r="Z4235" t="str">
        <f>HYPERLINK("Melting_Curves/meltCurve_tr_E9PGM7_E9PGM7_HUMAN_.pdf", "Melting_Curves/meltCurve_tr_E9PGM7_E9PGM7_HUMAN_.pdf")</f>
        <v>Melting_Curves/meltCurve_tr_E9PGM7_E9PGM7_HUMAN_.pdf</v>
      </c>
      <c r="AA4235" t="s">
        <v>18384</v>
      </c>
      <c r="AB4235" t="s">
        <v>23059</v>
      </c>
    </row>
    <row r="4236" spans="1:28" x14ac:dyDescent="0.25">
      <c r="A4236" t="s">
        <v>4240</v>
      </c>
      <c r="B4236">
        <v>0.99904790336628502</v>
      </c>
      <c r="C4236">
        <v>0.974694188842394</v>
      </c>
      <c r="D4236">
        <v>1.0549438535223501</v>
      </c>
      <c r="E4236">
        <v>0.89720080414312797</v>
      </c>
      <c r="F4236">
        <v>0.89215467973643103</v>
      </c>
      <c r="G4236">
        <v>0.72879883577545701</v>
      </c>
      <c r="H4236">
        <v>0.59172789952554605</v>
      </c>
      <c r="I4236">
        <v>0.50584416087244699</v>
      </c>
      <c r="J4236">
        <v>0.34361051212090699</v>
      </c>
      <c r="K4236">
        <v>0.140144491955634</v>
      </c>
      <c r="L4236">
        <v>735.44207148988596</v>
      </c>
      <c r="M4236">
        <v>11.728757239810299</v>
      </c>
      <c r="N4236">
        <v>62.704177150663703</v>
      </c>
      <c r="O4236">
        <v>60.964598723078701</v>
      </c>
      <c r="P4236">
        <v>-4.8109252321686301E-2</v>
      </c>
      <c r="Q4236">
        <v>0</v>
      </c>
      <c r="R4236">
        <v>0.97442741523603604</v>
      </c>
      <c r="S4236" t="s">
        <v>8976</v>
      </c>
      <c r="T4236" t="s">
        <v>9478</v>
      </c>
      <c r="U4236" t="s">
        <v>9478</v>
      </c>
      <c r="V4236" t="s">
        <v>9478</v>
      </c>
      <c r="W4236">
        <v>14</v>
      </c>
      <c r="X4236" t="s">
        <v>13714</v>
      </c>
      <c r="Y4236">
        <v>0.73844554006311625</v>
      </c>
      <c r="Z4236" t="str">
        <f>HYPERLINK("Melting_Curves/meltCurve_tr_E9PGT1_E9PGT1_HUMAN_.pdf", "Melting_Curves/meltCurve_tr_E9PGT1_E9PGT1_HUMAN_.pdf")</f>
        <v>Melting_Curves/meltCurve_tr_E9PGT1_E9PGT1_HUMAN_.pdf</v>
      </c>
      <c r="AA4236" t="s">
        <v>18385</v>
      </c>
      <c r="AB4236" t="s">
        <v>23060</v>
      </c>
    </row>
    <row r="4237" spans="1:28" x14ac:dyDescent="0.25">
      <c r="A4237" t="s">
        <v>4241</v>
      </c>
      <c r="B4237">
        <v>0.99904790336628502</v>
      </c>
      <c r="C4237">
        <v>0.80827839071114504</v>
      </c>
      <c r="D4237">
        <v>1.1852358960546501</v>
      </c>
      <c r="E4237">
        <v>0.93336569007977099</v>
      </c>
      <c r="F4237">
        <v>0.70629158690399796</v>
      </c>
      <c r="G4237">
        <v>0.50638326150735402</v>
      </c>
      <c r="H4237">
        <v>0.45220536613395601</v>
      </c>
      <c r="I4237">
        <v>0.31679987442819302</v>
      </c>
      <c r="J4237">
        <v>0.181889945462238</v>
      </c>
      <c r="K4237">
        <v>9.6965171855900006E-2</v>
      </c>
      <c r="L4237">
        <v>692.71242661275801</v>
      </c>
      <c r="M4237">
        <v>11.8458452461817</v>
      </c>
      <c r="N4237">
        <v>58.581382375703697</v>
      </c>
      <c r="O4237">
        <v>56.885428111374303</v>
      </c>
      <c r="P4237">
        <v>-5.15308034784022E-2</v>
      </c>
      <c r="Q4237">
        <v>1.0417947619517901E-2</v>
      </c>
      <c r="R4237">
        <v>0.91490403632124995</v>
      </c>
      <c r="S4237" t="s">
        <v>8977</v>
      </c>
      <c r="T4237" t="s">
        <v>9478</v>
      </c>
      <c r="U4237" t="s">
        <v>9478</v>
      </c>
      <c r="V4237" t="s">
        <v>9478</v>
      </c>
      <c r="W4237">
        <v>14</v>
      </c>
      <c r="X4237" t="s">
        <v>13715</v>
      </c>
      <c r="Y4237">
        <v>0.63012291912853025</v>
      </c>
      <c r="Z4237" t="str">
        <f>HYPERLINK("Melting_Curves/meltCurve_tr_E9PH29_E9PH29_HUMAN_.pdf", "Melting_Curves/meltCurve_tr_E9PH29_E9PH29_HUMAN_.pdf")</f>
        <v>Melting_Curves/meltCurve_tr_E9PH29_E9PH29_HUMAN_.pdf</v>
      </c>
      <c r="AA4237" t="s">
        <v>18386</v>
      </c>
      <c r="AB4237" t="s">
        <v>23061</v>
      </c>
    </row>
    <row r="4238" spans="1:28" x14ac:dyDescent="0.25">
      <c r="A4238" t="s">
        <v>4242</v>
      </c>
      <c r="B4238">
        <v>0.99904790336628502</v>
      </c>
      <c r="C4238">
        <v>1.1110913954244901</v>
      </c>
      <c r="D4238">
        <v>1.0461960049813399</v>
      </c>
      <c r="E4238">
        <v>0.74263101652580199</v>
      </c>
      <c r="F4238">
        <v>0.60672749381080004</v>
      </c>
      <c r="G4238">
        <v>0.35766592064819502</v>
      </c>
      <c r="H4238">
        <v>0.15983972118805601</v>
      </c>
      <c r="I4238">
        <v>7.7871772583978802E-2</v>
      </c>
      <c r="J4238">
        <v>7.2971233733270302E-2</v>
      </c>
      <c r="K4238">
        <v>8.2753448777707003E-2</v>
      </c>
      <c r="L4238">
        <v>941.66334906781697</v>
      </c>
      <c r="M4238">
        <v>17.423387620476699</v>
      </c>
      <c r="N4238">
        <v>54.356201259412501</v>
      </c>
      <c r="O4238">
        <v>53.349064704268201</v>
      </c>
      <c r="P4238">
        <v>-7.7787813956641305E-2</v>
      </c>
      <c r="Q4238">
        <v>4.73323639085911E-2</v>
      </c>
      <c r="R4238">
        <v>0.98180289762524198</v>
      </c>
      <c r="S4238" t="s">
        <v>8978</v>
      </c>
      <c r="T4238" t="s">
        <v>9478</v>
      </c>
      <c r="U4238" t="s">
        <v>9478</v>
      </c>
      <c r="V4238" t="s">
        <v>9478</v>
      </c>
      <c r="W4238">
        <v>1</v>
      </c>
      <c r="X4238" t="s">
        <v>13716</v>
      </c>
      <c r="Y4238">
        <v>0.5093323067736063</v>
      </c>
      <c r="Z4238" t="str">
        <f>HYPERLINK("Melting_Curves/meltCurve_tr_E9PHH9_E9PHH9_HUMAN_.pdf", "Melting_Curves/meltCurve_tr_E9PHH9_E9PHH9_HUMAN_.pdf")</f>
        <v>Melting_Curves/meltCurve_tr_E9PHH9_E9PHH9_HUMAN_.pdf</v>
      </c>
      <c r="AA4238" t="s">
        <v>18387</v>
      </c>
      <c r="AB4238" t="s">
        <v>23062</v>
      </c>
    </row>
    <row r="4239" spans="1:28" x14ac:dyDescent="0.25">
      <c r="A4239" t="s">
        <v>4243</v>
      </c>
      <c r="B4239">
        <v>0.99904790336628502</v>
      </c>
      <c r="C4239">
        <v>0.92767814717166497</v>
      </c>
      <c r="D4239">
        <v>0.91263482877504998</v>
      </c>
      <c r="E4239">
        <v>0.925651515818253</v>
      </c>
      <c r="F4239">
        <v>0.98211818030392795</v>
      </c>
      <c r="G4239">
        <v>0.76964292590434702</v>
      </c>
      <c r="H4239">
        <v>0.48973406942574599</v>
      </c>
      <c r="I4239">
        <v>0.37360518893025202</v>
      </c>
      <c r="J4239">
        <v>0.305182226775083</v>
      </c>
      <c r="K4239">
        <v>0.27280449358587999</v>
      </c>
      <c r="L4239">
        <v>1340.94433071962</v>
      </c>
      <c r="M4239">
        <v>22.7147872953826</v>
      </c>
      <c r="N4239">
        <v>60.964412479684498</v>
      </c>
      <c r="O4239">
        <v>58.582145231811502</v>
      </c>
      <c r="P4239">
        <v>-7.2078483418770101E-2</v>
      </c>
      <c r="Q4239">
        <v>0.25644397892734699</v>
      </c>
      <c r="R4239">
        <v>0.97799284673751397</v>
      </c>
      <c r="S4239" t="s">
        <v>8979</v>
      </c>
      <c r="T4239" t="s">
        <v>9478</v>
      </c>
      <c r="U4239" t="s">
        <v>9478</v>
      </c>
      <c r="V4239" t="s">
        <v>9478</v>
      </c>
      <c r="W4239">
        <v>3</v>
      </c>
      <c r="X4239" t="s">
        <v>13717</v>
      </c>
      <c r="Y4239">
        <v>0.73493666624497478</v>
      </c>
      <c r="Z4239" t="str">
        <f>HYPERLINK("Melting_Curves/meltCurve_tr_E9PHK0_E9PHK0_HUMAN_.pdf", "Melting_Curves/meltCurve_tr_E9PHK0_E9PHK0_HUMAN_.pdf")</f>
        <v>Melting_Curves/meltCurve_tr_E9PHK0_E9PHK0_HUMAN_.pdf</v>
      </c>
      <c r="AA4239" t="s">
        <v>18388</v>
      </c>
      <c r="AB4239" t="s">
        <v>23063</v>
      </c>
    </row>
    <row r="4240" spans="1:28" x14ac:dyDescent="0.25">
      <c r="A4240" t="s">
        <v>4244</v>
      </c>
      <c r="B4240">
        <v>0.99904790336628502</v>
      </c>
      <c r="C4240">
        <v>0.901426031492087</v>
      </c>
      <c r="D4240">
        <v>0.87154659237616705</v>
      </c>
      <c r="E4240">
        <v>0.40514774787133301</v>
      </c>
      <c r="F4240">
        <v>0.14555873162296201</v>
      </c>
      <c r="G4240">
        <v>9.5453050207707807E-2</v>
      </c>
      <c r="H4240">
        <v>5.6145715644802197E-2</v>
      </c>
      <c r="I4240">
        <v>4.0094959486739197E-2</v>
      </c>
      <c r="J4240">
        <v>3.40065066063438E-2</v>
      </c>
      <c r="K4240">
        <v>2.9205964540851601E-2</v>
      </c>
      <c r="L4240">
        <v>1239.9991238679399</v>
      </c>
      <c r="M4240">
        <v>25.290524353215101</v>
      </c>
      <c r="N4240">
        <v>49.193058231809196</v>
      </c>
      <c r="O4240">
        <v>48.726704421217903</v>
      </c>
      <c r="P4240">
        <v>-0.12454729041390999</v>
      </c>
      <c r="Q4240">
        <v>4.0161789089742703E-2</v>
      </c>
      <c r="R4240">
        <v>0.99500811289282398</v>
      </c>
      <c r="S4240" t="s">
        <v>8980</v>
      </c>
      <c r="T4240" t="s">
        <v>9478</v>
      </c>
      <c r="U4240" t="s">
        <v>9478</v>
      </c>
      <c r="V4240" t="s">
        <v>9478</v>
      </c>
      <c r="W4240">
        <v>18</v>
      </c>
      <c r="X4240" t="s">
        <v>13718</v>
      </c>
      <c r="Y4240">
        <v>0.33738626307144148</v>
      </c>
      <c r="Z4240" t="str">
        <f>HYPERLINK("Melting_Curves/meltCurve_tr_E9PHM2_E9PHM2_HUMAN_.pdf", "Melting_Curves/meltCurve_tr_E9PHM2_E9PHM2_HUMAN_.pdf")</f>
        <v>Melting_Curves/meltCurve_tr_E9PHM2_E9PHM2_HUMAN_.pdf</v>
      </c>
      <c r="AA4240" t="s">
        <v>18389</v>
      </c>
      <c r="AB4240" t="s">
        <v>23064</v>
      </c>
    </row>
    <row r="4241" spans="1:28" x14ac:dyDescent="0.25">
      <c r="A4241" t="s">
        <v>4245</v>
      </c>
      <c r="B4241">
        <v>0.99904790336628502</v>
      </c>
      <c r="C4241">
        <v>1.1754985663214199</v>
      </c>
      <c r="D4241">
        <v>1.2708743509021601</v>
      </c>
      <c r="E4241">
        <v>1.0975092302846501</v>
      </c>
      <c r="F4241">
        <v>0.61602207273571397</v>
      </c>
      <c r="G4241">
        <v>0.30561991059083699</v>
      </c>
      <c r="H4241">
        <v>0.28630641101620202</v>
      </c>
      <c r="I4241">
        <v>0.208493897927639</v>
      </c>
      <c r="J4241">
        <v>0.183950323726638</v>
      </c>
      <c r="K4241">
        <v>0.35448664009361402</v>
      </c>
      <c r="L4241">
        <v>13244.8239240817</v>
      </c>
      <c r="M4241">
        <v>250</v>
      </c>
      <c r="N4241">
        <v>53.1423123675103</v>
      </c>
      <c r="O4241">
        <v>52.975905397780899</v>
      </c>
      <c r="P4241">
        <v>-0.86386982312138805</v>
      </c>
      <c r="Q4241">
        <v>0.26777142479264598</v>
      </c>
      <c r="R4241">
        <v>0.92305448274898105</v>
      </c>
      <c r="S4241" t="s">
        <v>8981</v>
      </c>
      <c r="T4241" t="s">
        <v>9478</v>
      </c>
      <c r="U4241" t="s">
        <v>9478</v>
      </c>
      <c r="V4241" t="s">
        <v>9478</v>
      </c>
      <c r="W4241">
        <v>1</v>
      </c>
      <c r="X4241" t="s">
        <v>13719</v>
      </c>
      <c r="Y4241">
        <v>0.58463321232073184</v>
      </c>
      <c r="Z4241" t="str">
        <f>HYPERLINK("Melting_Curves/meltCurve_tr_E9PHY8_E9PHY8_HUMAN_.pdf", "Melting_Curves/meltCurve_tr_E9PHY8_E9PHY8_HUMAN_.pdf")</f>
        <v>Melting_Curves/meltCurve_tr_E9PHY8_E9PHY8_HUMAN_.pdf</v>
      </c>
      <c r="AA4241" t="s">
        <v>18390</v>
      </c>
      <c r="AB4241" t="s">
        <v>23065</v>
      </c>
    </row>
    <row r="4242" spans="1:28" x14ac:dyDescent="0.25">
      <c r="A4242" t="s">
        <v>4246</v>
      </c>
      <c r="B4242">
        <v>0.99904790336628502</v>
      </c>
      <c r="C4242">
        <v>0.97373062352909201</v>
      </c>
      <c r="D4242">
        <v>0.86865102502953395</v>
      </c>
      <c r="E4242">
        <v>0.295519132513549</v>
      </c>
      <c r="F4242">
        <v>8.1677084490538995E-2</v>
      </c>
      <c r="G4242">
        <v>2.1506600536975701E-2</v>
      </c>
      <c r="H4242">
        <v>9.1551823370100097E-3</v>
      </c>
      <c r="I4242">
        <v>7.2869980077377803E-3</v>
      </c>
      <c r="J4242">
        <v>3.2040063181702902E-3</v>
      </c>
      <c r="K4242">
        <v>2.2741051717372501E-3</v>
      </c>
      <c r="L4242">
        <v>1552.23145052934</v>
      </c>
      <c r="M4242">
        <v>31.913765139111401</v>
      </c>
      <c r="N4242">
        <v>48.660499488912798</v>
      </c>
      <c r="O4242">
        <v>48.448531287452901</v>
      </c>
      <c r="P4242">
        <v>-0.16348972175054499</v>
      </c>
      <c r="Q4242">
        <v>7.2251961253706901E-3</v>
      </c>
      <c r="R4242">
        <v>0.99980212340824903</v>
      </c>
      <c r="S4242" t="s">
        <v>8982</v>
      </c>
      <c r="T4242" t="s">
        <v>9478</v>
      </c>
      <c r="U4242" t="s">
        <v>9478</v>
      </c>
      <c r="V4242" t="s">
        <v>9478</v>
      </c>
      <c r="W4242">
        <v>1</v>
      </c>
      <c r="X4242" t="s">
        <v>13720</v>
      </c>
      <c r="Y4242">
        <v>0.29838638039135162</v>
      </c>
      <c r="Z4242" t="str">
        <f>HYPERLINK("Melting_Curves/meltCurve_tr_E9PIB9_E9PIB9_HUMAN_.pdf", "Melting_Curves/meltCurve_tr_E9PIB9_E9PIB9_HUMAN_.pdf")</f>
        <v>Melting_Curves/meltCurve_tr_E9PIB9_E9PIB9_HUMAN_.pdf</v>
      </c>
      <c r="AA4242" t="s">
        <v>18391</v>
      </c>
      <c r="AB4242" t="s">
        <v>23066</v>
      </c>
    </row>
    <row r="4243" spans="1:28" x14ac:dyDescent="0.25">
      <c r="A4243" t="s">
        <v>4247</v>
      </c>
      <c r="B4243">
        <v>0.99904790336628502</v>
      </c>
      <c r="C4243">
        <v>0.99544317429349505</v>
      </c>
      <c r="D4243">
        <v>0.952288472842446</v>
      </c>
      <c r="E4243">
        <v>0.846162235949388</v>
      </c>
      <c r="F4243">
        <v>0.65681965351690896</v>
      </c>
      <c r="G4243">
        <v>0.32866446578383401</v>
      </c>
      <c r="H4243">
        <v>0.19380005002245901</v>
      </c>
      <c r="I4243">
        <v>0.13300164279198101</v>
      </c>
      <c r="J4243">
        <v>0.12688905310687301</v>
      </c>
      <c r="K4243">
        <v>0.103654318451364</v>
      </c>
      <c r="L4243">
        <v>1059.97747193707</v>
      </c>
      <c r="M4243">
        <v>19.5789911804866</v>
      </c>
      <c r="N4243">
        <v>54.741025961427702</v>
      </c>
      <c r="O4243">
        <v>53.583226756527203</v>
      </c>
      <c r="P4243">
        <v>-8.2496991683310497E-2</v>
      </c>
      <c r="Q4243">
        <v>9.6930284416273105E-2</v>
      </c>
      <c r="R4243">
        <v>0.99924780140073899</v>
      </c>
      <c r="S4243" t="s">
        <v>8983</v>
      </c>
      <c r="T4243" t="s">
        <v>9478</v>
      </c>
      <c r="U4243" t="s">
        <v>9478</v>
      </c>
      <c r="V4243" t="s">
        <v>9478</v>
      </c>
      <c r="W4243">
        <v>3</v>
      </c>
      <c r="X4243" t="s">
        <v>13721</v>
      </c>
      <c r="Y4243">
        <v>0.53519824776449709</v>
      </c>
      <c r="Z4243" t="str">
        <f>HYPERLINK("Melting_Curves/meltCurve_tr_E9PIC2_E9PIC2_HUMAN_.pdf", "Melting_Curves/meltCurve_tr_E9PIC2_E9PIC2_HUMAN_.pdf")</f>
        <v>Melting_Curves/meltCurve_tr_E9PIC2_E9PIC2_HUMAN_.pdf</v>
      </c>
      <c r="AA4243" t="s">
        <v>18392</v>
      </c>
      <c r="AB4243" t="s">
        <v>23067</v>
      </c>
    </row>
    <row r="4244" spans="1:28" x14ac:dyDescent="0.25">
      <c r="A4244" t="s">
        <v>4248</v>
      </c>
      <c r="B4244">
        <v>0.99904790336628502</v>
      </c>
      <c r="C4244">
        <v>0.99722895296374403</v>
      </c>
      <c r="D4244">
        <v>1.0778337870672601</v>
      </c>
      <c r="E4244">
        <v>1.03538415248951</v>
      </c>
      <c r="F4244">
        <v>0.69499117329479398</v>
      </c>
      <c r="G4244">
        <v>0.75549601029687896</v>
      </c>
      <c r="H4244">
        <v>0.38914570471543702</v>
      </c>
      <c r="I4244">
        <v>0.24042362693306299</v>
      </c>
      <c r="J4244">
        <v>8.1711902743406298E-2</v>
      </c>
      <c r="K4244">
        <v>3.8472546120034097E-2</v>
      </c>
      <c r="L4244">
        <v>995.716909140795</v>
      </c>
      <c r="M4244">
        <v>16.783584516179001</v>
      </c>
      <c r="N4244">
        <v>59.3268329584482</v>
      </c>
      <c r="O4244">
        <v>58.503796793908101</v>
      </c>
      <c r="P4244">
        <v>-7.1724726435966002E-2</v>
      </c>
      <c r="Q4244">
        <v>0</v>
      </c>
      <c r="R4244">
        <v>0.96071978000680702</v>
      </c>
      <c r="S4244" t="s">
        <v>8984</v>
      </c>
      <c r="T4244" t="s">
        <v>9478</v>
      </c>
      <c r="U4244" t="s">
        <v>9478</v>
      </c>
      <c r="V4244" t="s">
        <v>9478</v>
      </c>
      <c r="W4244">
        <v>23</v>
      </c>
      <c r="X4244" t="s">
        <v>13722</v>
      </c>
      <c r="Y4244">
        <v>0.65410954667819099</v>
      </c>
      <c r="Z4244" t="str">
        <f>HYPERLINK("Melting_Curves/meltCurve_tr_E9PIR7_E9PIR7_HUMAN_.pdf", "Melting_Curves/meltCurve_tr_E9PIR7_E9PIR7_HUMAN_.pdf")</f>
        <v>Melting_Curves/meltCurve_tr_E9PIR7_E9PIR7_HUMAN_.pdf</v>
      </c>
      <c r="AA4244" t="s">
        <v>18393</v>
      </c>
      <c r="AB4244" t="s">
        <v>23068</v>
      </c>
    </row>
    <row r="4245" spans="1:28" x14ac:dyDescent="0.25">
      <c r="A4245" t="s">
        <v>4249</v>
      </c>
      <c r="B4245">
        <v>0.99904790336628502</v>
      </c>
      <c r="C4245">
        <v>1.0900938035497401</v>
      </c>
      <c r="D4245">
        <v>1.02999169292045</v>
      </c>
      <c r="E4245">
        <v>0.915986862926779</v>
      </c>
      <c r="F4245">
        <v>1.1059478903064901</v>
      </c>
      <c r="G4245">
        <v>0.70444325725896295</v>
      </c>
      <c r="H4245">
        <v>0.438575869473114</v>
      </c>
      <c r="I4245">
        <v>0.26395560780485799</v>
      </c>
      <c r="J4245">
        <v>0.233018506853718</v>
      </c>
      <c r="K4245">
        <v>0.26966776148511101</v>
      </c>
      <c r="L4245">
        <v>1887.80115997602</v>
      </c>
      <c r="M4245">
        <v>32.4043375330209</v>
      </c>
      <c r="N4245">
        <v>59.514746604488003</v>
      </c>
      <c r="O4245">
        <v>58.037142903623803</v>
      </c>
      <c r="P4245">
        <v>-0.104993897209586</v>
      </c>
      <c r="Q4245">
        <v>0.24781470695543201</v>
      </c>
      <c r="R4245">
        <v>0.96733734372193603</v>
      </c>
      <c r="S4245" t="s">
        <v>8985</v>
      </c>
      <c r="T4245" t="s">
        <v>9478</v>
      </c>
      <c r="U4245" t="s">
        <v>9478</v>
      </c>
      <c r="V4245" t="s">
        <v>9478</v>
      </c>
      <c r="W4245">
        <v>2</v>
      </c>
      <c r="X4245" t="s">
        <v>13723</v>
      </c>
      <c r="Y4245">
        <v>0.70991816954551112</v>
      </c>
      <c r="Z4245" t="str">
        <f>HYPERLINK("Melting_Curves/meltCurve_tr_E9PIV9_E9PIV9_HUMAN_.pdf", "Melting_Curves/meltCurve_tr_E9PIV9_E9PIV9_HUMAN_.pdf")</f>
        <v>Melting_Curves/meltCurve_tr_E9PIV9_E9PIV9_HUMAN_.pdf</v>
      </c>
      <c r="AA4245" t="s">
        <v>18394</v>
      </c>
      <c r="AB4245" t="s">
        <v>23069</v>
      </c>
    </row>
    <row r="4246" spans="1:28" x14ac:dyDescent="0.25">
      <c r="A4246" t="s">
        <v>4250</v>
      </c>
      <c r="B4246">
        <v>0.99904790336628502</v>
      </c>
      <c r="C4246">
        <v>1.16003891160724</v>
      </c>
      <c r="D4246">
        <v>1.1188497579033601</v>
      </c>
      <c r="E4246">
        <v>1.03796364953386</v>
      </c>
      <c r="F4246">
        <v>0.99253461337917803</v>
      </c>
      <c r="G4246">
        <v>0.70020879307995398</v>
      </c>
      <c r="H4246">
        <v>0.69159300010753499</v>
      </c>
      <c r="I4246">
        <v>0.62545151768875995</v>
      </c>
      <c r="J4246">
        <v>0.63046525006438403</v>
      </c>
      <c r="K4246">
        <v>0.61684737266617395</v>
      </c>
      <c r="L4246">
        <v>3866.6098601117201</v>
      </c>
      <c r="M4246">
        <v>69.420570530539706</v>
      </c>
      <c r="O4246">
        <v>55.652164475201197</v>
      </c>
      <c r="P4246">
        <v>-0.112094041581799</v>
      </c>
      <c r="Q4246">
        <v>0.64055181390543403</v>
      </c>
      <c r="R4246">
        <v>0.90002991042438396</v>
      </c>
      <c r="S4246" t="s">
        <v>8986</v>
      </c>
      <c r="T4246" t="s">
        <v>9478</v>
      </c>
      <c r="U4246" t="s">
        <v>9478</v>
      </c>
      <c r="V4246" t="s">
        <v>9478</v>
      </c>
      <c r="W4246">
        <v>4</v>
      </c>
      <c r="X4246" t="s">
        <v>13724</v>
      </c>
      <c r="Y4246">
        <v>0.82909990270692235</v>
      </c>
      <c r="Z4246" t="str">
        <f>HYPERLINK("Melting_Curves/meltCurve_tr_E9PJ24_E9PJ24_HUMAN_.pdf", "Melting_Curves/meltCurve_tr_E9PJ24_E9PJ24_HUMAN_.pdf")</f>
        <v>Melting_Curves/meltCurve_tr_E9PJ24_E9PJ24_HUMAN_.pdf</v>
      </c>
      <c r="AA4246" t="s">
        <v>18395</v>
      </c>
      <c r="AB4246" t="s">
        <v>23070</v>
      </c>
    </row>
    <row r="4247" spans="1:28" x14ac:dyDescent="0.25">
      <c r="A4247" t="s">
        <v>4251</v>
      </c>
      <c r="B4247">
        <v>0.99904790336628502</v>
      </c>
      <c r="C4247">
        <v>1.6230708957769799</v>
      </c>
      <c r="D4247">
        <v>1.03058331119722</v>
      </c>
      <c r="E4247">
        <v>1.2493843736138699</v>
      </c>
      <c r="F4247">
        <v>1.4337247727602001</v>
      </c>
      <c r="G4247">
        <v>0.91237878772699799</v>
      </c>
      <c r="H4247">
        <v>0.84436018371546095</v>
      </c>
      <c r="I4247">
        <v>0.91197046636400003</v>
      </c>
      <c r="J4247">
        <v>0.99311922844461098</v>
      </c>
      <c r="K4247">
        <v>0.924739309792033</v>
      </c>
      <c r="L4247">
        <v>1979.1089611540699</v>
      </c>
      <c r="M4247">
        <v>34.349830098959501</v>
      </c>
      <c r="O4247">
        <v>57.422042937574403</v>
      </c>
      <c r="P4247">
        <v>-1.23336450614115E-2</v>
      </c>
      <c r="Q4247">
        <v>0.91752851748969999</v>
      </c>
      <c r="R4247">
        <v>-9.8446245739541402E-2</v>
      </c>
      <c r="S4247" t="s">
        <v>8987</v>
      </c>
      <c r="T4247" t="s">
        <v>9478</v>
      </c>
      <c r="U4247" t="s">
        <v>9478</v>
      </c>
      <c r="V4247" t="s">
        <v>9478</v>
      </c>
      <c r="W4247">
        <v>14</v>
      </c>
      <c r="X4247" t="s">
        <v>13725</v>
      </c>
      <c r="Y4247">
        <v>0.9663866015847129</v>
      </c>
      <c r="Z4247" t="str">
        <f>HYPERLINK("Melting_Curves/meltCurve_tr_E9PJ81_E9PJ81_HUMAN_.pdf", "Melting_Curves/meltCurve_tr_E9PJ81_E9PJ81_HUMAN_.pdf")</f>
        <v>Melting_Curves/meltCurve_tr_E9PJ81_E9PJ81_HUMAN_.pdf</v>
      </c>
      <c r="AA4247" t="s">
        <v>18396</v>
      </c>
      <c r="AB4247" t="s">
        <v>23071</v>
      </c>
    </row>
    <row r="4248" spans="1:28" x14ac:dyDescent="0.25">
      <c r="A4248" t="s">
        <v>4252</v>
      </c>
      <c r="B4248">
        <v>0.99904790336628502</v>
      </c>
      <c r="C4248">
        <v>0.994457672122667</v>
      </c>
      <c r="D4248">
        <v>0.97444098644267996</v>
      </c>
      <c r="E4248">
        <v>0.84137268018043898</v>
      </c>
      <c r="F4248">
        <v>0.86187980079344795</v>
      </c>
      <c r="G4248">
        <v>0.47921538233319599</v>
      </c>
      <c r="H4248">
        <v>0.12780552336318399</v>
      </c>
      <c r="I4248">
        <v>6.5707194942630096E-2</v>
      </c>
      <c r="J4248">
        <v>2.6322784382571299E-2</v>
      </c>
      <c r="K4248">
        <v>2.1705054957489499E-2</v>
      </c>
      <c r="L4248">
        <v>1285.37751284722</v>
      </c>
      <c r="M4248">
        <v>22.707364861120698</v>
      </c>
      <c r="N4248">
        <v>56.606194622165603</v>
      </c>
      <c r="O4248">
        <v>56.172661488160003</v>
      </c>
      <c r="P4248">
        <v>-0.10106256050712401</v>
      </c>
      <c r="Q4248">
        <v>0</v>
      </c>
      <c r="R4248">
        <v>0.99082222380990304</v>
      </c>
      <c r="S4248" t="s">
        <v>8988</v>
      </c>
      <c r="T4248" t="s">
        <v>9478</v>
      </c>
      <c r="U4248" t="s">
        <v>9478</v>
      </c>
      <c r="V4248" t="s">
        <v>9478</v>
      </c>
      <c r="W4248">
        <v>1</v>
      </c>
      <c r="X4248" t="s">
        <v>13726</v>
      </c>
      <c r="Y4248">
        <v>0.56407135934971486</v>
      </c>
      <c r="Z4248" t="str">
        <f>HYPERLINK("Melting_Curves/meltCurve_tr_E9PJB2_E9PJB2_HUMAN_.pdf", "Melting_Curves/meltCurve_tr_E9PJB2_E9PJB2_HUMAN_.pdf")</f>
        <v>Melting_Curves/meltCurve_tr_E9PJB2_E9PJB2_HUMAN_.pdf</v>
      </c>
      <c r="AA4248" t="s">
        <v>18397</v>
      </c>
      <c r="AB4248" t="s">
        <v>23072</v>
      </c>
    </row>
    <row r="4249" spans="1:28" x14ac:dyDescent="0.25">
      <c r="A4249" t="s">
        <v>4253</v>
      </c>
      <c r="B4249">
        <v>0.99904790336628502</v>
      </c>
      <c r="C4249">
        <v>1.0369845077587101</v>
      </c>
      <c r="D4249">
        <v>1.0762788723522401</v>
      </c>
      <c r="E4249">
        <v>0.99359075983193901</v>
      </c>
      <c r="F4249">
        <v>0.83346467011028202</v>
      </c>
      <c r="G4249">
        <v>0.28410693057166497</v>
      </c>
      <c r="H4249">
        <v>0.16282682705368101</v>
      </c>
      <c r="I4249">
        <v>9.8893039029441202E-2</v>
      </c>
      <c r="J4249">
        <v>6.1844370465487103E-2</v>
      </c>
      <c r="K4249">
        <v>6.0881020395511902E-2</v>
      </c>
      <c r="L4249">
        <v>2024.6930142505</v>
      </c>
      <c r="M4249">
        <v>36.721685646933601</v>
      </c>
      <c r="N4249">
        <v>55.418031917244598</v>
      </c>
      <c r="O4249">
        <v>54.9734212903547</v>
      </c>
      <c r="P4249">
        <v>-0.15277246438154701</v>
      </c>
      <c r="Q4249">
        <v>8.5183543325291294E-2</v>
      </c>
      <c r="R4249">
        <v>0.99387159688927595</v>
      </c>
      <c r="S4249" t="s">
        <v>8989</v>
      </c>
      <c r="T4249" t="s">
        <v>9478</v>
      </c>
      <c r="U4249" t="s">
        <v>9478</v>
      </c>
      <c r="V4249" t="s">
        <v>9478</v>
      </c>
      <c r="W4249">
        <v>5</v>
      </c>
      <c r="X4249" t="s">
        <v>13727</v>
      </c>
      <c r="Y4249">
        <v>0.55085633815037804</v>
      </c>
      <c r="Z4249" t="str">
        <f>HYPERLINK("Melting_Curves/meltCurve_tr_E9PJD7_E9PJD7_HUMAN_.pdf", "Melting_Curves/meltCurve_tr_E9PJD7_E9PJD7_HUMAN_.pdf")</f>
        <v>Melting_Curves/meltCurve_tr_E9PJD7_E9PJD7_HUMAN_.pdf</v>
      </c>
      <c r="AA4249" t="s">
        <v>18398</v>
      </c>
      <c r="AB4249" t="s">
        <v>23073</v>
      </c>
    </row>
    <row r="4250" spans="1:28" x14ac:dyDescent="0.25">
      <c r="A4250" t="s">
        <v>4254</v>
      </c>
      <c r="B4250">
        <v>0.99904790336628502</v>
      </c>
      <c r="C4250">
        <v>0.97118602749551097</v>
      </c>
      <c r="D4250">
        <v>1.0429478089311599</v>
      </c>
      <c r="E4250">
        <v>0.96381503763563003</v>
      </c>
      <c r="F4250">
        <v>0.80059317456901202</v>
      </c>
      <c r="G4250">
        <v>0.32121457529910702</v>
      </c>
      <c r="H4250">
        <v>0.14283956051615401</v>
      </c>
      <c r="I4250">
        <v>0.13825750537677101</v>
      </c>
      <c r="J4250">
        <v>6.2573103478863495E-2</v>
      </c>
      <c r="K4250">
        <v>9.5302126651278102E-2</v>
      </c>
      <c r="L4250">
        <v>1746.97735815019</v>
      </c>
      <c r="M4250">
        <v>31.714701567620398</v>
      </c>
      <c r="N4250">
        <v>55.452417523337601</v>
      </c>
      <c r="O4250">
        <v>54.866529305715503</v>
      </c>
      <c r="P4250">
        <v>-0.13078658177883001</v>
      </c>
      <c r="Q4250">
        <v>9.4960005641056097E-2</v>
      </c>
      <c r="R4250">
        <v>0.99689076673835297</v>
      </c>
      <c r="S4250" t="s">
        <v>8990</v>
      </c>
      <c r="T4250" t="s">
        <v>9478</v>
      </c>
      <c r="U4250" t="s">
        <v>9478</v>
      </c>
      <c r="V4250" t="s">
        <v>9478</v>
      </c>
      <c r="W4250">
        <v>1</v>
      </c>
      <c r="X4250" t="s">
        <v>13728</v>
      </c>
      <c r="Y4250">
        <v>0.5554240507087681</v>
      </c>
      <c r="Z4250" t="str">
        <f>HYPERLINK("Melting_Curves/meltCurve_tr_E9PJH1_E9PJH1_HUMAN_.pdf", "Melting_Curves/meltCurve_tr_E9PJH1_E9PJH1_HUMAN_.pdf")</f>
        <v>Melting_Curves/meltCurve_tr_E9PJH1_E9PJH1_HUMAN_.pdf</v>
      </c>
      <c r="AA4250" t="s">
        <v>18399</v>
      </c>
      <c r="AB4250" t="s">
        <v>23074</v>
      </c>
    </row>
    <row r="4251" spans="1:28" x14ac:dyDescent="0.25">
      <c r="A4251" t="s">
        <v>4255</v>
      </c>
      <c r="B4251">
        <v>0.99904790336628502</v>
      </c>
      <c r="C4251">
        <v>1.0646543329620599</v>
      </c>
      <c r="D4251">
        <v>1.08120866192456</v>
      </c>
      <c r="E4251">
        <v>0.85771542207223495</v>
      </c>
      <c r="F4251">
        <v>0.58194460677084203</v>
      </c>
      <c r="G4251">
        <v>0.43200227309672301</v>
      </c>
      <c r="H4251">
        <v>0.328806893264042</v>
      </c>
      <c r="I4251">
        <v>0.27299854879340402</v>
      </c>
      <c r="J4251">
        <v>0.30063053651814597</v>
      </c>
      <c r="K4251">
        <v>0.27684001649263701</v>
      </c>
      <c r="L4251">
        <v>1369.96074260758</v>
      </c>
      <c r="M4251">
        <v>26.0339678528075</v>
      </c>
      <c r="N4251">
        <v>54.489624743879801</v>
      </c>
      <c r="O4251">
        <v>52.3145162260357</v>
      </c>
      <c r="P4251">
        <v>-8.7693212638808707E-2</v>
      </c>
      <c r="Q4251">
        <v>0.29514012475413698</v>
      </c>
      <c r="R4251">
        <v>0.98205852445835895</v>
      </c>
      <c r="S4251" t="s">
        <v>8991</v>
      </c>
      <c r="T4251" t="s">
        <v>9478</v>
      </c>
      <c r="U4251" t="s">
        <v>9478</v>
      </c>
      <c r="V4251" t="s">
        <v>9478</v>
      </c>
      <c r="W4251">
        <v>17</v>
      </c>
      <c r="X4251" t="s">
        <v>13729</v>
      </c>
      <c r="Y4251">
        <v>0.59768919435233436</v>
      </c>
      <c r="Z4251" t="str">
        <f>HYPERLINK("Melting_Curves/meltCurve_tr_E9PK01_E9PK01_HUMAN_.pdf", "Melting_Curves/meltCurve_tr_E9PK01_E9PK01_HUMAN_.pdf")</f>
        <v>Melting_Curves/meltCurve_tr_E9PK01_E9PK01_HUMAN_.pdf</v>
      </c>
      <c r="AA4251" t="s">
        <v>15201</v>
      </c>
      <c r="AB4251" t="s">
        <v>23075</v>
      </c>
    </row>
    <row r="4252" spans="1:28" x14ac:dyDescent="0.25">
      <c r="A4252" t="s">
        <v>4256</v>
      </c>
      <c r="B4252">
        <v>0.99904790336628502</v>
      </c>
      <c r="C4252">
        <v>0.94981719402901199</v>
      </c>
      <c r="D4252">
        <v>0.86392531829272401</v>
      </c>
      <c r="E4252">
        <v>0.603193233657075</v>
      </c>
      <c r="F4252">
        <v>0.41540728355932599</v>
      </c>
      <c r="G4252">
        <v>0.164579738511581</v>
      </c>
      <c r="H4252">
        <v>0.155805794843075</v>
      </c>
      <c r="I4252">
        <v>0.13655493190102</v>
      </c>
      <c r="J4252">
        <v>0.106119424264359</v>
      </c>
      <c r="K4252">
        <v>9.8084322114124295E-2</v>
      </c>
      <c r="L4252">
        <v>874.45557190679006</v>
      </c>
      <c r="M4252">
        <v>17.230741184551601</v>
      </c>
      <c r="N4252">
        <v>51.370184400581799</v>
      </c>
      <c r="O4252">
        <v>50.080971792064801</v>
      </c>
      <c r="P4252">
        <v>-7.7938607248327296E-2</v>
      </c>
      <c r="Q4252">
        <v>9.3942082406139799E-2</v>
      </c>
      <c r="R4252">
        <v>0.99691520375632303</v>
      </c>
      <c r="S4252" t="s">
        <v>8992</v>
      </c>
      <c r="T4252" t="s">
        <v>9478</v>
      </c>
      <c r="U4252" t="s">
        <v>9478</v>
      </c>
      <c r="V4252" t="s">
        <v>9478</v>
      </c>
      <c r="W4252">
        <v>11</v>
      </c>
      <c r="X4252" t="s">
        <v>13730</v>
      </c>
      <c r="Y4252">
        <v>0.43517717639491199</v>
      </c>
      <c r="Z4252" t="str">
        <f>HYPERLINK("Melting_Curves/meltCurve_tr_E9PK67_E9PK67_HUMAN_.pdf", "Melting_Curves/meltCurve_tr_E9PK67_E9PK67_HUMAN_.pdf")</f>
        <v>Melting_Curves/meltCurve_tr_E9PK67_E9PK67_HUMAN_.pdf</v>
      </c>
      <c r="AA4252" t="s">
        <v>18400</v>
      </c>
      <c r="AB4252" t="s">
        <v>23076</v>
      </c>
    </row>
    <row r="4253" spans="1:28" x14ac:dyDescent="0.25">
      <c r="A4253" t="s">
        <v>4257</v>
      </c>
      <c r="B4253">
        <v>0.99904790336628502</v>
      </c>
      <c r="C4253">
        <v>1.10602822520662</v>
      </c>
      <c r="D4253">
        <v>1.0727197089181399</v>
      </c>
      <c r="E4253">
        <v>0.95703160258020703</v>
      </c>
      <c r="F4253">
        <v>0.92661247179310002</v>
      </c>
      <c r="G4253">
        <v>0.51445149935321</v>
      </c>
      <c r="H4253">
        <v>0.34460142550037098</v>
      </c>
      <c r="I4253">
        <v>0.30112266393860299</v>
      </c>
      <c r="J4253">
        <v>0.29057298737640302</v>
      </c>
      <c r="K4253">
        <v>0.217518058754294</v>
      </c>
      <c r="L4253">
        <v>1857.80397911253</v>
      </c>
      <c r="M4253">
        <v>33.172040871520899</v>
      </c>
      <c r="N4253">
        <v>57.351404944753803</v>
      </c>
      <c r="O4253">
        <v>55.802756757529501</v>
      </c>
      <c r="P4253">
        <v>-0.108413983583849</v>
      </c>
      <c r="Q4253">
        <v>0.27049737667858398</v>
      </c>
      <c r="R4253">
        <v>0.98140409758214397</v>
      </c>
      <c r="S4253" t="s">
        <v>8993</v>
      </c>
      <c r="T4253" t="s">
        <v>9478</v>
      </c>
      <c r="U4253" t="s">
        <v>9478</v>
      </c>
      <c r="V4253" t="s">
        <v>9478</v>
      </c>
      <c r="W4253">
        <v>1</v>
      </c>
      <c r="X4253" t="s">
        <v>13731</v>
      </c>
      <c r="Y4253">
        <v>0.6637224819549421</v>
      </c>
      <c r="Z4253" t="str">
        <f>HYPERLINK("Melting_Curves/meltCurve_tr_E9PKB0_E9PKB0_HUMAN_.pdf", "Melting_Curves/meltCurve_tr_E9PKB0_E9PKB0_HUMAN_.pdf")</f>
        <v>Melting_Curves/meltCurve_tr_E9PKB0_E9PKB0_HUMAN_.pdf</v>
      </c>
      <c r="AA4253" t="s">
        <v>18401</v>
      </c>
      <c r="AB4253" t="s">
        <v>23077</v>
      </c>
    </row>
    <row r="4254" spans="1:28" x14ac:dyDescent="0.25">
      <c r="A4254" t="s">
        <v>4258</v>
      </c>
      <c r="B4254">
        <v>0.99904790336628502</v>
      </c>
      <c r="C4254">
        <v>1.0333328721862201</v>
      </c>
      <c r="D4254">
        <v>0.95129296391434803</v>
      </c>
      <c r="E4254">
        <v>0.85893766205997601</v>
      </c>
      <c r="F4254">
        <v>0.73726387112535996</v>
      </c>
      <c r="G4254">
        <v>0.50850879527106196</v>
      </c>
      <c r="H4254">
        <v>0.43681940095556598</v>
      </c>
      <c r="I4254">
        <v>0.34708247220409999</v>
      </c>
      <c r="J4254">
        <v>0.382599066628866</v>
      </c>
      <c r="K4254">
        <v>0.41610175471030902</v>
      </c>
      <c r="L4254">
        <v>1050.1440615016199</v>
      </c>
      <c r="M4254">
        <v>19.619550535283398</v>
      </c>
      <c r="N4254">
        <v>57.516062226292398</v>
      </c>
      <c r="O4254">
        <v>52.978615495787999</v>
      </c>
      <c r="P4254">
        <v>-5.8159238400266898E-2</v>
      </c>
      <c r="Q4254">
        <v>0.37183311847852302</v>
      </c>
      <c r="R4254">
        <v>0.99011899812241599</v>
      </c>
      <c r="S4254" t="s">
        <v>8994</v>
      </c>
      <c r="T4254" t="s">
        <v>9478</v>
      </c>
      <c r="U4254" t="s">
        <v>9478</v>
      </c>
      <c r="V4254" t="s">
        <v>9478</v>
      </c>
      <c r="W4254">
        <v>13</v>
      </c>
      <c r="X4254" t="s">
        <v>13732</v>
      </c>
      <c r="Y4254">
        <v>0.66390969294766433</v>
      </c>
      <c r="Z4254" t="str">
        <f>HYPERLINK("Melting_Curves/meltCurve_tr_E9PKC0_E9PKC0_HUMAN_.pdf", "Melting_Curves/meltCurve_tr_E9PKC0_E9PKC0_HUMAN_.pdf")</f>
        <v>Melting_Curves/meltCurve_tr_E9PKC0_E9PKC0_HUMAN_.pdf</v>
      </c>
      <c r="AA4254" t="s">
        <v>16434</v>
      </c>
      <c r="AB4254" t="s">
        <v>23078</v>
      </c>
    </row>
    <row r="4255" spans="1:28" x14ac:dyDescent="0.25">
      <c r="A4255" t="s">
        <v>4259</v>
      </c>
      <c r="B4255">
        <v>0.99904790336628502</v>
      </c>
      <c r="C4255">
        <v>0.96932735898474998</v>
      </c>
      <c r="D4255">
        <v>1.1526511451316199</v>
      </c>
      <c r="E4255">
        <v>0.82384291567697698</v>
      </c>
      <c r="F4255">
        <v>0.27725812652958698</v>
      </c>
      <c r="G4255">
        <v>0.11774360415695</v>
      </c>
      <c r="H4255">
        <v>4.9153339227949303E-2</v>
      </c>
      <c r="I4255">
        <v>2.9575624403566699E-2</v>
      </c>
      <c r="J4255">
        <v>4.89059119625962E-2</v>
      </c>
      <c r="K4255">
        <v>2.3299197953623701E-2</v>
      </c>
      <c r="L4255">
        <v>2333.9732299717698</v>
      </c>
      <c r="M4255">
        <v>45.170725245540503</v>
      </c>
      <c r="N4255">
        <v>51.790780477255701</v>
      </c>
      <c r="O4255">
        <v>51.569077103749102</v>
      </c>
      <c r="P4255">
        <v>-0.208040191208368</v>
      </c>
      <c r="Q4255">
        <v>4.9966382538926102E-2</v>
      </c>
      <c r="R4255">
        <v>0.98545887316948</v>
      </c>
      <c r="S4255" t="s">
        <v>8995</v>
      </c>
      <c r="T4255" t="s">
        <v>9478</v>
      </c>
      <c r="U4255" t="s">
        <v>9478</v>
      </c>
      <c r="V4255" t="s">
        <v>9478</v>
      </c>
      <c r="W4255">
        <v>4</v>
      </c>
      <c r="X4255" t="s">
        <v>13733</v>
      </c>
      <c r="Y4255">
        <v>0.42218671151434689</v>
      </c>
      <c r="Z4255" t="str">
        <f>HYPERLINK("Melting_Curves/meltCurve_tr_E9PKF3_E9PKF3_HUMAN_.pdf", "Melting_Curves/meltCurve_tr_E9PKF3_E9PKF3_HUMAN_.pdf")</f>
        <v>Melting_Curves/meltCurve_tr_E9PKF3_E9PKF3_HUMAN_.pdf</v>
      </c>
      <c r="AA4255" t="s">
        <v>15135</v>
      </c>
      <c r="AB4255" t="s">
        <v>23079</v>
      </c>
    </row>
    <row r="4256" spans="1:28" x14ac:dyDescent="0.25">
      <c r="A4256" t="s">
        <v>4260</v>
      </c>
      <c r="B4256">
        <v>0.99904790336628502</v>
      </c>
      <c r="C4256">
        <v>0.98698964279359802</v>
      </c>
      <c r="D4256">
        <v>0.97229859710794697</v>
      </c>
      <c r="E4256">
        <v>0.56297854984094398</v>
      </c>
      <c r="F4256">
        <v>0.240739425656529</v>
      </c>
      <c r="G4256">
        <v>0.12286097331516201</v>
      </c>
      <c r="H4256">
        <v>6.6281528516288601E-2</v>
      </c>
      <c r="I4256">
        <v>5.1319932901068101E-2</v>
      </c>
      <c r="J4256">
        <v>4.46771411273236E-2</v>
      </c>
      <c r="K4256">
        <v>3.6807599797272203E-2</v>
      </c>
      <c r="L4256">
        <v>1434.2818068909201</v>
      </c>
      <c r="M4256">
        <v>28.4794857111306</v>
      </c>
      <c r="N4256">
        <v>50.568884655216102</v>
      </c>
      <c r="O4256">
        <v>50.115589345006697</v>
      </c>
      <c r="P4256">
        <v>-0.13425503663499899</v>
      </c>
      <c r="Q4256">
        <v>5.5008885044585697E-2</v>
      </c>
      <c r="R4256">
        <v>0.99820842687336098</v>
      </c>
      <c r="S4256" t="s">
        <v>8996</v>
      </c>
      <c r="T4256" t="s">
        <v>9478</v>
      </c>
      <c r="U4256" t="s">
        <v>9478</v>
      </c>
      <c r="V4256" t="s">
        <v>9478</v>
      </c>
      <c r="W4256">
        <v>12</v>
      </c>
      <c r="X4256" t="s">
        <v>13734</v>
      </c>
      <c r="Y4256">
        <v>0.38793548215356188</v>
      </c>
      <c r="Z4256" t="str">
        <f>HYPERLINK("Melting_Curves/meltCurve_tr_E9PKG1_E9PKG1_HUMAN_.pdf", "Melting_Curves/meltCurve_tr_E9PKG1_E9PKG1_HUMAN_.pdf")</f>
        <v>Melting_Curves/meltCurve_tr_E9PKG1_E9PKG1_HUMAN_.pdf</v>
      </c>
      <c r="AA4256" t="s">
        <v>18402</v>
      </c>
      <c r="AB4256" t="s">
        <v>23080</v>
      </c>
    </row>
    <row r="4257" spans="1:28" x14ac:dyDescent="0.25">
      <c r="A4257" t="s">
        <v>4261</v>
      </c>
      <c r="B4257">
        <v>0.99904790336628502</v>
      </c>
      <c r="C4257">
        <v>0.94738883773678595</v>
      </c>
      <c r="D4257">
        <v>0.95823995641792203</v>
      </c>
      <c r="E4257">
        <v>0.77415041008626395</v>
      </c>
      <c r="F4257">
        <v>0.52557097987395995</v>
      </c>
      <c r="G4257">
        <v>0.22290845570086301</v>
      </c>
      <c r="H4257">
        <v>0.126272648744677</v>
      </c>
      <c r="I4257">
        <v>0.103474361659062</v>
      </c>
      <c r="J4257">
        <v>0.11776860997772801</v>
      </c>
      <c r="K4257">
        <v>0.12441551176175999</v>
      </c>
      <c r="L4257">
        <v>1170.91583925947</v>
      </c>
      <c r="M4257">
        <v>22.2786005966998</v>
      </c>
      <c r="N4257">
        <v>53.093029311195501</v>
      </c>
      <c r="O4257">
        <v>52.139907801398302</v>
      </c>
      <c r="P4257">
        <v>-9.6080769096219903E-2</v>
      </c>
      <c r="Q4257">
        <v>0.100565400230894</v>
      </c>
      <c r="R4257">
        <v>0.99742048901303404</v>
      </c>
      <c r="S4257" t="s">
        <v>8997</v>
      </c>
      <c r="T4257" t="s">
        <v>9478</v>
      </c>
      <c r="U4257" t="s">
        <v>9478</v>
      </c>
      <c r="V4257" t="s">
        <v>9478</v>
      </c>
      <c r="W4257">
        <v>3</v>
      </c>
      <c r="X4257" t="s">
        <v>13735</v>
      </c>
      <c r="Y4257">
        <v>0.48729774871764592</v>
      </c>
      <c r="Z4257" t="str">
        <f>HYPERLINK("Melting_Curves/meltCurve_tr_E9PKV8_E9PKV8_HUMAN_.pdf", "Melting_Curves/meltCurve_tr_E9PKV8_E9PKV8_HUMAN_.pdf")</f>
        <v>Melting_Curves/meltCurve_tr_E9PKV8_E9PKV8_HUMAN_.pdf</v>
      </c>
      <c r="AA4257" t="s">
        <v>18403</v>
      </c>
      <c r="AB4257" t="s">
        <v>23081</v>
      </c>
    </row>
    <row r="4258" spans="1:28" x14ac:dyDescent="0.25">
      <c r="A4258" t="s">
        <v>4262</v>
      </c>
      <c r="B4258">
        <v>0.99904790336628502</v>
      </c>
      <c r="C4258">
        <v>0.92244877376474599</v>
      </c>
      <c r="D4258">
        <v>0.87725824842227795</v>
      </c>
      <c r="E4258">
        <v>0.84019699891770805</v>
      </c>
      <c r="F4258">
        <v>0.81484020717592698</v>
      </c>
      <c r="G4258">
        <v>0.67522471307340504</v>
      </c>
      <c r="H4258">
        <v>0.56405623564917995</v>
      </c>
      <c r="I4258">
        <v>0.51362242339989295</v>
      </c>
      <c r="J4258">
        <v>0.60305746919638403</v>
      </c>
      <c r="K4258">
        <v>0.57457583558947001</v>
      </c>
      <c r="L4258">
        <v>519.19795253252698</v>
      </c>
      <c r="M4258">
        <v>9.7278365838582097</v>
      </c>
      <c r="O4258">
        <v>51.263439772975502</v>
      </c>
      <c r="P4258">
        <v>-2.3861606607979799E-2</v>
      </c>
      <c r="Q4258">
        <v>0.49729123547432602</v>
      </c>
      <c r="R4258">
        <v>0.93989500141801097</v>
      </c>
      <c r="S4258" t="s">
        <v>8998</v>
      </c>
      <c r="T4258" t="s">
        <v>9478</v>
      </c>
      <c r="U4258" t="s">
        <v>9478</v>
      </c>
      <c r="V4258" t="s">
        <v>9478</v>
      </c>
      <c r="W4258">
        <v>6</v>
      </c>
      <c r="X4258" t="s">
        <v>13736</v>
      </c>
      <c r="Y4258">
        <v>0.73820848651438975</v>
      </c>
      <c r="Z4258" t="str">
        <f>HYPERLINK("Melting_Curves/meltCurve_tr_E9PKY5_E9PKY5_HUMAN_.pdf", "Melting_Curves/meltCurve_tr_E9PKY5_E9PKY5_HUMAN_.pdf")</f>
        <v>Melting_Curves/meltCurve_tr_E9PKY5_E9PKY5_HUMAN_.pdf</v>
      </c>
      <c r="AA4258" t="s">
        <v>18404</v>
      </c>
      <c r="AB4258" t="s">
        <v>22949</v>
      </c>
    </row>
    <row r="4259" spans="1:28" x14ac:dyDescent="0.25">
      <c r="A4259" t="s">
        <v>4263</v>
      </c>
      <c r="B4259">
        <v>0.99904790336628502</v>
      </c>
      <c r="C4259">
        <v>0.90050688574568505</v>
      </c>
      <c r="D4259">
        <v>0.66853040867425695</v>
      </c>
      <c r="E4259">
        <v>0.324573738368235</v>
      </c>
      <c r="F4259">
        <v>0.176055945739923</v>
      </c>
      <c r="G4259">
        <v>0.106639576208127</v>
      </c>
      <c r="H4259">
        <v>7.5244745809631697E-2</v>
      </c>
      <c r="I4259">
        <v>6.3457027311616301E-2</v>
      </c>
      <c r="J4259">
        <v>6.5787613663987402E-2</v>
      </c>
      <c r="K4259">
        <v>5.8145571563044403E-2</v>
      </c>
      <c r="L4259">
        <v>919.896603154947</v>
      </c>
      <c r="M4259">
        <v>19.3542505277373</v>
      </c>
      <c r="N4259">
        <v>47.856586507520099</v>
      </c>
      <c r="O4259">
        <v>47.030771881577301</v>
      </c>
      <c r="P4259">
        <v>-9.6509949299740494E-2</v>
      </c>
      <c r="Q4259">
        <v>6.1959674336078602E-2</v>
      </c>
      <c r="R4259">
        <v>0.99939429734440299</v>
      </c>
      <c r="S4259" t="s">
        <v>8999</v>
      </c>
      <c r="T4259" t="s">
        <v>9478</v>
      </c>
      <c r="U4259" t="s">
        <v>9478</v>
      </c>
      <c r="V4259" t="s">
        <v>9478</v>
      </c>
      <c r="W4259">
        <v>39</v>
      </c>
      <c r="X4259" t="s">
        <v>13737</v>
      </c>
      <c r="Y4259">
        <v>0.31186626511115789</v>
      </c>
      <c r="Z4259" t="str">
        <f>HYPERLINK("Melting_Curves/meltCurve_tr_E9PL22_E9PL22_HUMAN_.pdf", "Melting_Curves/meltCurve_tr_E9PL22_E9PL22_HUMAN_.pdf")</f>
        <v>Melting_Curves/meltCurve_tr_E9PL22_E9PL22_HUMAN_.pdf</v>
      </c>
      <c r="AA4259" t="s">
        <v>18405</v>
      </c>
      <c r="AB4259" t="s">
        <v>23082</v>
      </c>
    </row>
    <row r="4260" spans="1:28" x14ac:dyDescent="0.25">
      <c r="A4260" t="s">
        <v>4264</v>
      </c>
      <c r="B4260">
        <v>0.99904790336628502</v>
      </c>
      <c r="C4260">
        <v>1.0868524793094301</v>
      </c>
      <c r="D4260">
        <v>1.0901936283340301</v>
      </c>
      <c r="E4260">
        <v>0.84171849781109598</v>
      </c>
      <c r="F4260">
        <v>0.63915820080740104</v>
      </c>
      <c r="G4260">
        <v>0.41389357544180799</v>
      </c>
      <c r="H4260">
        <v>0.26585090389375099</v>
      </c>
      <c r="I4260">
        <v>0.24529661436374001</v>
      </c>
      <c r="J4260">
        <v>0.22530852344042199</v>
      </c>
      <c r="K4260">
        <v>0.20427378218775499</v>
      </c>
      <c r="L4260">
        <v>1167.1708051560499</v>
      </c>
      <c r="M4260">
        <v>21.767264327092398</v>
      </c>
      <c r="N4260">
        <v>55.052635504116601</v>
      </c>
      <c r="O4260">
        <v>53.174060513709897</v>
      </c>
      <c r="P4260">
        <v>-8.0217791050171502E-2</v>
      </c>
      <c r="Q4260">
        <v>0.21617962363628199</v>
      </c>
      <c r="R4260">
        <v>0.982206499323513</v>
      </c>
      <c r="S4260" t="s">
        <v>9000</v>
      </c>
      <c r="T4260" t="s">
        <v>9478</v>
      </c>
      <c r="U4260" t="s">
        <v>9478</v>
      </c>
      <c r="V4260" t="s">
        <v>9478</v>
      </c>
      <c r="W4260">
        <v>11</v>
      </c>
      <c r="X4260" t="s">
        <v>13738</v>
      </c>
      <c r="Y4260">
        <v>0.58132759157634561</v>
      </c>
      <c r="Z4260" t="str">
        <f>HYPERLINK("Melting_Curves/meltCurve_tr_E9PL24_E9PL24_HUMAN_.pdf", "Melting_Curves/meltCurve_tr_E9PL24_E9PL24_HUMAN_.pdf")</f>
        <v>Melting_Curves/meltCurve_tr_E9PL24_E9PL24_HUMAN_.pdf</v>
      </c>
      <c r="AA4260" t="s">
        <v>18406</v>
      </c>
      <c r="AB4260" t="s">
        <v>23083</v>
      </c>
    </row>
    <row r="4261" spans="1:28" x14ac:dyDescent="0.25">
      <c r="A4261" t="s">
        <v>4265</v>
      </c>
      <c r="B4261">
        <v>0.99904790336628502</v>
      </c>
      <c r="C4261">
        <v>0.94695428537205395</v>
      </c>
      <c r="D4261">
        <v>0.90324882326252898</v>
      </c>
      <c r="E4261">
        <v>0.91796003767945</v>
      </c>
      <c r="F4261">
        <v>0.90407243574784901</v>
      </c>
      <c r="G4261">
        <v>0.74043408413448697</v>
      </c>
      <c r="H4261">
        <v>0.56360464509702202</v>
      </c>
      <c r="I4261">
        <v>0.456944459818663</v>
      </c>
      <c r="J4261">
        <v>0.40523233983552898</v>
      </c>
      <c r="K4261">
        <v>0.39087777151062802</v>
      </c>
      <c r="L4261">
        <v>754.50796278595794</v>
      </c>
      <c r="M4261">
        <v>12.757187178148801</v>
      </c>
      <c r="N4261">
        <v>63.254226651083002</v>
      </c>
      <c r="O4261">
        <v>57.746977349467301</v>
      </c>
      <c r="P4261">
        <v>-3.9675177010544599E-2</v>
      </c>
      <c r="Q4261">
        <v>0.281758232424629</v>
      </c>
      <c r="R4261">
        <v>0.97862419179042104</v>
      </c>
      <c r="S4261" t="s">
        <v>9001</v>
      </c>
      <c r="T4261" t="s">
        <v>9478</v>
      </c>
      <c r="U4261" t="s">
        <v>9478</v>
      </c>
      <c r="V4261" t="s">
        <v>9478</v>
      </c>
      <c r="W4261">
        <v>7</v>
      </c>
      <c r="X4261" t="s">
        <v>13739</v>
      </c>
      <c r="Y4261">
        <v>0.74602094777387329</v>
      </c>
      <c r="Z4261" t="str">
        <f>HYPERLINK("Melting_Curves/meltCurve_tr_E9PL57_E9PL57_HUMAN_.pdf", "Melting_Curves/meltCurve_tr_E9PL57_E9PL57_HUMAN_.pdf")</f>
        <v>Melting_Curves/meltCurve_tr_E9PL57_E9PL57_HUMAN_.pdf</v>
      </c>
      <c r="AA4261" t="s">
        <v>18407</v>
      </c>
      <c r="AB4261" t="s">
        <v>23084</v>
      </c>
    </row>
    <row r="4262" spans="1:28" x14ac:dyDescent="0.25">
      <c r="A4262" t="s">
        <v>4266</v>
      </c>
      <c r="B4262">
        <v>0.99904790336628502</v>
      </c>
      <c r="C4262">
        <v>0.96324319749371101</v>
      </c>
      <c r="D4262">
        <v>0.92103522611240696</v>
      </c>
      <c r="E4262">
        <v>0.713318131757957</v>
      </c>
      <c r="F4262">
        <v>0.549556182867589</v>
      </c>
      <c r="G4262">
        <v>0.32705858716936698</v>
      </c>
      <c r="H4262">
        <v>0.186280579276492</v>
      </c>
      <c r="I4262">
        <v>0.15484337061761799</v>
      </c>
      <c r="J4262">
        <v>0.115027429524235</v>
      </c>
      <c r="K4262">
        <v>0.17251190238112299</v>
      </c>
      <c r="L4262">
        <v>821.72683439168998</v>
      </c>
      <c r="M4262">
        <v>15.608056859847901</v>
      </c>
      <c r="N4262">
        <v>53.515144074443299</v>
      </c>
      <c r="O4262">
        <v>51.8060896565325</v>
      </c>
      <c r="P4262">
        <v>-6.6906548461903706E-2</v>
      </c>
      <c r="Q4262">
        <v>0.111774892887036</v>
      </c>
      <c r="R4262">
        <v>0.99679617059981596</v>
      </c>
      <c r="S4262" t="s">
        <v>9002</v>
      </c>
      <c r="T4262" t="s">
        <v>9478</v>
      </c>
      <c r="U4262" t="s">
        <v>9478</v>
      </c>
      <c r="V4262" t="s">
        <v>9478</v>
      </c>
      <c r="W4262">
        <v>2</v>
      </c>
      <c r="X4262" t="s">
        <v>13740</v>
      </c>
      <c r="Y4262">
        <v>0.50453214295648419</v>
      </c>
      <c r="Z4262" t="str">
        <f>HYPERLINK("Melting_Curves/meltCurve_tr_E9PLD2_E9PLD2_HUMAN_.pdf", "Melting_Curves/meltCurve_tr_E9PLD2_E9PLD2_HUMAN_.pdf")</f>
        <v>Melting_Curves/meltCurve_tr_E9PLD2_E9PLD2_HUMAN_.pdf</v>
      </c>
      <c r="AA4262" t="s">
        <v>18408</v>
      </c>
      <c r="AB4262" t="s">
        <v>23085</v>
      </c>
    </row>
    <row r="4263" spans="1:28" x14ac:dyDescent="0.25">
      <c r="A4263" t="s">
        <v>4267</v>
      </c>
      <c r="B4263">
        <v>0.99904790336628502</v>
      </c>
      <c r="C4263">
        <v>0.85840268539631503</v>
      </c>
      <c r="D4263">
        <v>0.81839693551689396</v>
      </c>
      <c r="E4263">
        <v>0.87448366631945695</v>
      </c>
      <c r="F4263">
        <v>0.74706660737639397</v>
      </c>
      <c r="G4263">
        <v>0.561769186774564</v>
      </c>
      <c r="H4263">
        <v>0.48843012746516201</v>
      </c>
      <c r="I4263">
        <v>0.43431381634975602</v>
      </c>
      <c r="J4263">
        <v>0.50926383400237696</v>
      </c>
      <c r="K4263">
        <v>0.32392164691664499</v>
      </c>
      <c r="L4263">
        <v>361.87225662482001</v>
      </c>
      <c r="M4263">
        <v>6.0943328459716097</v>
      </c>
      <c r="N4263">
        <v>62.037647646119098</v>
      </c>
      <c r="O4263">
        <v>53.936750345495199</v>
      </c>
      <c r="P4263">
        <v>-2.5077220891756399E-2</v>
      </c>
      <c r="Q4263">
        <v>0.114945597117963</v>
      </c>
      <c r="R4263">
        <v>0.92604165815351103</v>
      </c>
      <c r="S4263" t="s">
        <v>9003</v>
      </c>
      <c r="T4263" t="s">
        <v>9478</v>
      </c>
      <c r="U4263" t="s">
        <v>9478</v>
      </c>
      <c r="V4263" t="s">
        <v>9478</v>
      </c>
      <c r="W4263">
        <v>1</v>
      </c>
      <c r="X4263" t="s">
        <v>13741</v>
      </c>
      <c r="Y4263">
        <v>0.66468277130709552</v>
      </c>
      <c r="Z4263" t="str">
        <f>HYPERLINK("Melting_Curves/meltCurve_tr_E9PLD3_E9PLD3_HUMAN_.pdf", "Melting_Curves/meltCurve_tr_E9PLD3_E9PLD3_HUMAN_.pdf")</f>
        <v>Melting_Curves/meltCurve_tr_E9PLD3_E9PLD3_HUMAN_.pdf</v>
      </c>
      <c r="AB4263" t="s">
        <v>22851</v>
      </c>
    </row>
    <row r="4264" spans="1:28" x14ac:dyDescent="0.25">
      <c r="A4264" t="s">
        <v>4268</v>
      </c>
      <c r="B4264">
        <v>0.99904790336628502</v>
      </c>
      <c r="C4264">
        <v>0.94322466967281404</v>
      </c>
      <c r="D4264">
        <v>1.00528147289132</v>
      </c>
      <c r="E4264">
        <v>0.89881110399666697</v>
      </c>
      <c r="F4264">
        <v>0.75415405655605094</v>
      </c>
      <c r="G4264">
        <v>0.41659576706446699</v>
      </c>
      <c r="H4264">
        <v>0.103685065593471</v>
      </c>
      <c r="I4264">
        <v>5.9956161443539498E-2</v>
      </c>
      <c r="J4264">
        <v>3.8911116723447998E-2</v>
      </c>
      <c r="K4264">
        <v>3.19864993963185E-2</v>
      </c>
      <c r="L4264">
        <v>1195.1557015287001</v>
      </c>
      <c r="M4264">
        <v>21.425800531503501</v>
      </c>
      <c r="N4264">
        <v>55.803607761255797</v>
      </c>
      <c r="O4264">
        <v>55.302047848667897</v>
      </c>
      <c r="P4264">
        <v>-9.6444600929638996E-2</v>
      </c>
      <c r="Q4264">
        <v>4.2936120071409003E-3</v>
      </c>
      <c r="R4264">
        <v>0.996301542676584</v>
      </c>
      <c r="S4264" t="s">
        <v>9004</v>
      </c>
      <c r="T4264" t="s">
        <v>9478</v>
      </c>
      <c r="U4264" t="s">
        <v>9478</v>
      </c>
      <c r="V4264" t="s">
        <v>9478</v>
      </c>
      <c r="W4264">
        <v>41</v>
      </c>
      <c r="X4264" t="s">
        <v>13742</v>
      </c>
      <c r="Y4264">
        <v>0.53978628985687216</v>
      </c>
      <c r="Z4264" t="str">
        <f>HYPERLINK("Melting_Curves/meltCurve_tr_E9PLK3_E9PLK3_HUMAN_.pdf", "Melting_Curves/meltCurve_tr_E9PLK3_E9PLK3_HUMAN_.pdf")</f>
        <v>Melting_Curves/meltCurve_tr_E9PLK3_E9PLK3_HUMAN_.pdf</v>
      </c>
      <c r="AA4264" t="s">
        <v>18409</v>
      </c>
      <c r="AB4264" t="s">
        <v>23086</v>
      </c>
    </row>
    <row r="4265" spans="1:28" x14ac:dyDescent="0.25">
      <c r="A4265" t="s">
        <v>4269</v>
      </c>
      <c r="B4265">
        <v>0.99904790336628502</v>
      </c>
      <c r="C4265">
        <v>0.98797104201817998</v>
      </c>
      <c r="D4265">
        <v>0.94838989481494795</v>
      </c>
      <c r="E4265">
        <v>0.585554959461972</v>
      </c>
      <c r="F4265">
        <v>0.33572911400001998</v>
      </c>
      <c r="G4265">
        <v>0.190383540534451</v>
      </c>
      <c r="H4265">
        <v>0.113555961707306</v>
      </c>
      <c r="I4265">
        <v>7.9047897663771696E-2</v>
      </c>
      <c r="J4265">
        <v>6.5142443174106501E-2</v>
      </c>
      <c r="K4265">
        <v>5.8920243120674898E-2</v>
      </c>
      <c r="L4265">
        <v>1088.9934759258999</v>
      </c>
      <c r="M4265">
        <v>21.462339610565198</v>
      </c>
      <c r="N4265">
        <v>51.123909128809998</v>
      </c>
      <c r="O4265">
        <v>50.3054223873675</v>
      </c>
      <c r="P4265">
        <v>-9.8719363919990602E-2</v>
      </c>
      <c r="Q4265">
        <v>7.4472789468143993E-2</v>
      </c>
      <c r="R4265">
        <v>0.99710607057672396</v>
      </c>
      <c r="S4265" t="s">
        <v>9005</v>
      </c>
      <c r="T4265" t="s">
        <v>9478</v>
      </c>
      <c r="U4265" t="s">
        <v>9478</v>
      </c>
      <c r="V4265" t="s">
        <v>9478</v>
      </c>
      <c r="W4265">
        <v>35</v>
      </c>
      <c r="X4265" t="s">
        <v>13743</v>
      </c>
      <c r="Y4265">
        <v>0.41703837983847591</v>
      </c>
      <c r="Z4265" t="str">
        <f>HYPERLINK("Melting_Curves/meltCurve_tr_E9PM46_E9PM46_HUMAN_.pdf", "Melting_Curves/meltCurve_tr_E9PM46_E9PM46_HUMAN_.pdf")</f>
        <v>Melting_Curves/meltCurve_tr_E9PM46_E9PM46_HUMAN_.pdf</v>
      </c>
      <c r="AA4265" t="s">
        <v>18410</v>
      </c>
      <c r="AB4265" t="s">
        <v>22889</v>
      </c>
    </row>
    <row r="4266" spans="1:28" x14ac:dyDescent="0.25">
      <c r="A4266" t="s">
        <v>4270</v>
      </c>
      <c r="B4266">
        <v>0.99904790336628502</v>
      </c>
      <c r="C4266">
        <v>1.03405806872096</v>
      </c>
      <c r="D4266">
        <v>0.99163125117774298</v>
      </c>
      <c r="E4266">
        <v>1.07158258029012</v>
      </c>
      <c r="F4266">
        <v>1.3024832898640699</v>
      </c>
      <c r="G4266">
        <v>1.12463012954674</v>
      </c>
      <c r="H4266">
        <v>1.23625167471624</v>
      </c>
      <c r="I4266">
        <v>1.3262675320344699</v>
      </c>
      <c r="J4266">
        <v>1.4173531055789399</v>
      </c>
      <c r="K4266">
        <v>1.85802798191364</v>
      </c>
      <c r="L4266">
        <v>769.660248036962</v>
      </c>
      <c r="M4266">
        <v>13.3940060610343</v>
      </c>
      <c r="O4266">
        <v>56.227466639122902</v>
      </c>
      <c r="P4266">
        <v>2.9781068928786399E-2</v>
      </c>
      <c r="Q4266">
        <v>1.5</v>
      </c>
      <c r="R4266">
        <v>0.64491536861184995</v>
      </c>
      <c r="S4266" t="s">
        <v>9006</v>
      </c>
      <c r="T4266" t="s">
        <v>9478</v>
      </c>
      <c r="U4266" t="s">
        <v>9478</v>
      </c>
      <c r="V4266" t="s">
        <v>9478</v>
      </c>
      <c r="W4266">
        <v>3</v>
      </c>
      <c r="X4266" t="s">
        <v>13744</v>
      </c>
      <c r="Y4266">
        <v>1.2013547525817621</v>
      </c>
      <c r="Z4266" t="str">
        <f>HYPERLINK("Melting_Curves/meltCurve_tr_E9PM92_E9PM92_HUMAN_.pdf", "Melting_Curves/meltCurve_tr_E9PM92_E9PM92_HUMAN_.pdf")</f>
        <v>Melting_Curves/meltCurve_tr_E9PM92_E9PM92_HUMAN_.pdf</v>
      </c>
      <c r="AA4266" t="s">
        <v>18411</v>
      </c>
      <c r="AB4266" t="s">
        <v>23087</v>
      </c>
    </row>
    <row r="4267" spans="1:28" x14ac:dyDescent="0.25">
      <c r="A4267" t="s">
        <v>4271</v>
      </c>
      <c r="B4267">
        <v>0.99904790336628502</v>
      </c>
      <c r="C4267">
        <v>0.96132976083046295</v>
      </c>
      <c r="D4267">
        <v>0.91497561092248003</v>
      </c>
      <c r="E4267">
        <v>0.76248392133615595</v>
      </c>
      <c r="F4267">
        <v>0.64540726161233797</v>
      </c>
      <c r="G4267">
        <v>0.47721114252728403</v>
      </c>
      <c r="H4267">
        <v>0.347555420907316</v>
      </c>
      <c r="I4267">
        <v>0.294239120595648</v>
      </c>
      <c r="J4267">
        <v>0.26846803642342598</v>
      </c>
      <c r="K4267">
        <v>0.24194534340064699</v>
      </c>
      <c r="L4267">
        <v>646.76460100475299</v>
      </c>
      <c r="M4267">
        <v>11.9893200161463</v>
      </c>
      <c r="N4267">
        <v>56.2256496104403</v>
      </c>
      <c r="O4267">
        <v>52.510018584431499</v>
      </c>
      <c r="P4267">
        <v>-4.6101173025059401E-2</v>
      </c>
      <c r="Q4267">
        <v>0.19255203898595599</v>
      </c>
      <c r="R4267">
        <v>0.99943260087230901</v>
      </c>
      <c r="S4267" t="s">
        <v>9007</v>
      </c>
      <c r="T4267" t="s">
        <v>9478</v>
      </c>
      <c r="U4267" t="s">
        <v>9478</v>
      </c>
      <c r="V4267" t="s">
        <v>9478</v>
      </c>
      <c r="W4267">
        <v>5</v>
      </c>
      <c r="X4267" t="s">
        <v>13745</v>
      </c>
      <c r="Y4267">
        <v>0.58909889888532241</v>
      </c>
      <c r="Z4267" t="str">
        <f>HYPERLINK("Melting_Curves/meltCurve_tr_E9PMI6_E9PMI6_HUMAN_.pdf", "Melting_Curves/meltCurve_tr_E9PMI6_E9PMI6_HUMAN_.pdf")</f>
        <v>Melting_Curves/meltCurve_tr_E9PMI6_E9PMI6_HUMAN_.pdf</v>
      </c>
      <c r="AA4267" t="s">
        <v>18412</v>
      </c>
      <c r="AB4267" t="s">
        <v>23088</v>
      </c>
    </row>
    <row r="4268" spans="1:28" x14ac:dyDescent="0.25">
      <c r="A4268" t="s">
        <v>4272</v>
      </c>
      <c r="B4268">
        <v>0.99904790336628502</v>
      </c>
      <c r="C4268">
        <v>0.95911207992245395</v>
      </c>
      <c r="D4268">
        <v>0.94227766183024797</v>
      </c>
      <c r="E4268">
        <v>0.91338336595942904</v>
      </c>
      <c r="F4268">
        <v>0.90532375138898202</v>
      </c>
      <c r="G4268">
        <v>0.681261265905591</v>
      </c>
      <c r="H4268">
        <v>0.617099632057309</v>
      </c>
      <c r="I4268">
        <v>0.578428043731817</v>
      </c>
      <c r="J4268">
        <v>0.60206947322039395</v>
      </c>
      <c r="K4268">
        <v>0.60623295167805302</v>
      </c>
      <c r="L4268">
        <v>1251.28751486539</v>
      </c>
      <c r="M4268">
        <v>22.904538427175101</v>
      </c>
      <c r="O4268">
        <v>54.219231097019403</v>
      </c>
      <c r="P4268">
        <v>-4.37839484258946E-2</v>
      </c>
      <c r="Q4268">
        <v>0.58542944425432597</v>
      </c>
      <c r="R4268">
        <v>0.96701061565951996</v>
      </c>
      <c r="S4268" t="s">
        <v>9008</v>
      </c>
      <c r="T4268" t="s">
        <v>9478</v>
      </c>
      <c r="U4268" t="s">
        <v>9478</v>
      </c>
      <c r="V4268" t="s">
        <v>9478</v>
      </c>
      <c r="W4268">
        <v>46</v>
      </c>
      <c r="X4268" t="s">
        <v>13746</v>
      </c>
      <c r="Y4268">
        <v>0.79207901389413515</v>
      </c>
      <c r="Z4268" t="str">
        <f>HYPERLINK("Melting_Curves/meltCurve_tr_E9PMS6_E9PMS6_HUMAN_.pdf", "Melting_Curves/meltCurve_tr_E9PMS6_E9PMS6_HUMAN_.pdf")</f>
        <v>Melting_Curves/meltCurve_tr_E9PMS6_E9PMS6_HUMAN_.pdf</v>
      </c>
      <c r="AA4268" t="s">
        <v>18413</v>
      </c>
      <c r="AB4268" t="s">
        <v>23089</v>
      </c>
    </row>
    <row r="4269" spans="1:28" x14ac:dyDescent="0.25">
      <c r="A4269" t="s">
        <v>4273</v>
      </c>
      <c r="B4269">
        <v>0.99904790336628502</v>
      </c>
      <c r="C4269">
        <v>0.98206032396384602</v>
      </c>
      <c r="D4269">
        <v>0.95509381853291397</v>
      </c>
      <c r="E4269">
        <v>0.91021014299332503</v>
      </c>
      <c r="F4269">
        <v>0.91046827930310004</v>
      </c>
      <c r="G4269">
        <v>0.48231533383758501</v>
      </c>
      <c r="H4269">
        <v>0.27655043405267599</v>
      </c>
      <c r="I4269">
        <v>0.170169464175004</v>
      </c>
      <c r="J4269">
        <v>5.9429104308516202E-2</v>
      </c>
      <c r="K4269">
        <v>0</v>
      </c>
      <c r="L4269">
        <v>1080.4258441812899</v>
      </c>
      <c r="M4269">
        <v>18.7767503211535</v>
      </c>
      <c r="N4269">
        <v>57.540620839626897</v>
      </c>
      <c r="O4269">
        <v>56.899880647219398</v>
      </c>
      <c r="P4269">
        <v>-8.2502522005162907E-2</v>
      </c>
      <c r="Q4269">
        <v>0</v>
      </c>
      <c r="R4269">
        <v>0.99000172758515603</v>
      </c>
      <c r="S4269" t="s">
        <v>9009</v>
      </c>
      <c r="T4269" t="s">
        <v>9478</v>
      </c>
      <c r="U4269" t="s">
        <v>9478</v>
      </c>
      <c r="V4269" t="s">
        <v>9478</v>
      </c>
      <c r="W4269">
        <v>1</v>
      </c>
      <c r="X4269" t="s">
        <v>13747</v>
      </c>
      <c r="Y4269">
        <v>0.59724522695300608</v>
      </c>
      <c r="Z4269" t="str">
        <f>HYPERLINK("Melting_Curves/meltCurve_tr_E9PNC7_E9PNC7_HUMAN_.pdf", "Melting_Curves/meltCurve_tr_E9PNC7_E9PNC7_HUMAN_.pdf")</f>
        <v>Melting_Curves/meltCurve_tr_E9PNC7_E9PNC7_HUMAN_.pdf</v>
      </c>
      <c r="AA4269" t="s">
        <v>18414</v>
      </c>
      <c r="AB4269" t="s">
        <v>23090</v>
      </c>
    </row>
    <row r="4270" spans="1:28" x14ac:dyDescent="0.25">
      <c r="A4270" t="s">
        <v>4274</v>
      </c>
      <c r="B4270">
        <v>0.99904790336628502</v>
      </c>
      <c r="C4270">
        <v>1.0119369665382001</v>
      </c>
      <c r="D4270">
        <v>1.01135354741163</v>
      </c>
      <c r="E4270">
        <v>0.97685311920051399</v>
      </c>
      <c r="F4270">
        <v>0.90915649819177802</v>
      </c>
      <c r="G4270">
        <v>0.70806828836793101</v>
      </c>
      <c r="H4270">
        <v>0.63719006554573199</v>
      </c>
      <c r="I4270">
        <v>0.51723494508932399</v>
      </c>
      <c r="J4270">
        <v>0.55266904932024197</v>
      </c>
      <c r="K4270">
        <v>0.637936442815627</v>
      </c>
      <c r="L4270">
        <v>1560.65783752946</v>
      </c>
      <c r="M4270">
        <v>28.138633475669501</v>
      </c>
      <c r="O4270">
        <v>55.1852923703686</v>
      </c>
      <c r="P4270">
        <v>-5.4251842257448599E-2</v>
      </c>
      <c r="Q4270">
        <v>0.57441007028943103</v>
      </c>
      <c r="R4270">
        <v>0.97238245833955395</v>
      </c>
      <c r="S4270" t="s">
        <v>9010</v>
      </c>
      <c r="T4270" t="s">
        <v>9478</v>
      </c>
      <c r="U4270" t="s">
        <v>9478</v>
      </c>
      <c r="V4270" t="s">
        <v>9478</v>
      </c>
      <c r="W4270">
        <v>2</v>
      </c>
      <c r="X4270" t="s">
        <v>13748</v>
      </c>
      <c r="Y4270">
        <v>0.79696230139467705</v>
      </c>
      <c r="Z4270" t="str">
        <f>HYPERLINK("Melting_Curves/meltCurve_tr_E9PNK6_E9PNK6_HUMAN_.pdf", "Melting_Curves/meltCurve_tr_E9PNK6_E9PNK6_HUMAN_.pdf")</f>
        <v>Melting_Curves/meltCurve_tr_E9PNK6_E9PNK6_HUMAN_.pdf</v>
      </c>
      <c r="AA4270" t="s">
        <v>18415</v>
      </c>
      <c r="AB4270" t="s">
        <v>23091</v>
      </c>
    </row>
    <row r="4271" spans="1:28" x14ac:dyDescent="0.25">
      <c r="A4271" t="s">
        <v>4275</v>
      </c>
      <c r="B4271">
        <v>0.99904790336628502</v>
      </c>
      <c r="C4271">
        <v>0.94789731303506897</v>
      </c>
      <c r="D4271">
        <v>0.90609185080274701</v>
      </c>
      <c r="E4271">
        <v>0.88144513269493896</v>
      </c>
      <c r="F4271">
        <v>0.83951915622842799</v>
      </c>
      <c r="G4271">
        <v>0.74942089016396696</v>
      </c>
      <c r="H4271">
        <v>0.445996822095373</v>
      </c>
      <c r="I4271">
        <v>0.30709840888555101</v>
      </c>
      <c r="J4271">
        <v>0.16912678333936201</v>
      </c>
      <c r="K4271">
        <v>0.154934010010567</v>
      </c>
      <c r="L4271">
        <v>788.54686204864299</v>
      </c>
      <c r="M4271">
        <v>13.0975774717609</v>
      </c>
      <c r="N4271">
        <v>60.205550622778702</v>
      </c>
      <c r="O4271">
        <v>58.8539490779308</v>
      </c>
      <c r="P4271">
        <v>-5.56454837513655E-2</v>
      </c>
      <c r="Q4271">
        <v>0</v>
      </c>
      <c r="R4271">
        <v>0.98144621699746903</v>
      </c>
      <c r="S4271" t="s">
        <v>9011</v>
      </c>
      <c r="T4271" t="s">
        <v>9478</v>
      </c>
      <c r="U4271" t="s">
        <v>9478</v>
      </c>
      <c r="V4271" t="s">
        <v>9478</v>
      </c>
      <c r="W4271">
        <v>2</v>
      </c>
      <c r="X4271" t="s">
        <v>13749</v>
      </c>
      <c r="Y4271">
        <v>0.6769896971605005</v>
      </c>
      <c r="Z4271" t="str">
        <f>HYPERLINK("Melting_Curves/meltCurve_tr_E9PNN3_E9PNN3_HUMAN_.pdf", "Melting_Curves/meltCurve_tr_E9PNN3_E9PNN3_HUMAN_.pdf")</f>
        <v>Melting_Curves/meltCurve_tr_E9PNN3_E9PNN3_HUMAN_.pdf</v>
      </c>
      <c r="AA4271" t="s">
        <v>18416</v>
      </c>
      <c r="AB4271" t="s">
        <v>23092</v>
      </c>
    </row>
    <row r="4272" spans="1:28" x14ac:dyDescent="0.25">
      <c r="A4272" t="s">
        <v>4276</v>
      </c>
      <c r="B4272">
        <v>0.99904790336628502</v>
      </c>
      <c r="C4272">
        <v>0.99684409835857202</v>
      </c>
      <c r="D4272">
        <v>0.91714003338931205</v>
      </c>
      <c r="E4272">
        <v>0.62938143247835798</v>
      </c>
      <c r="F4272">
        <v>0.37994145978649302</v>
      </c>
      <c r="G4272">
        <v>0.23644335305884501</v>
      </c>
      <c r="H4272">
        <v>0.211139946616448</v>
      </c>
      <c r="I4272">
        <v>0.19580673060346401</v>
      </c>
      <c r="J4272">
        <v>0.21247571995589701</v>
      </c>
      <c r="K4272">
        <v>0.20792127896825099</v>
      </c>
      <c r="L4272">
        <v>1225.56105306564</v>
      </c>
      <c r="M4272">
        <v>24.379540587328801</v>
      </c>
      <c r="N4272">
        <v>51.354360533283803</v>
      </c>
      <c r="O4272">
        <v>49.935497607379901</v>
      </c>
      <c r="P4272">
        <v>-9.7502169046083997E-2</v>
      </c>
      <c r="Q4272">
        <v>0.201174948936719</v>
      </c>
      <c r="R4272">
        <v>0.99962740560553998</v>
      </c>
      <c r="S4272" t="s">
        <v>9012</v>
      </c>
      <c r="T4272" t="s">
        <v>9478</v>
      </c>
      <c r="U4272" t="s">
        <v>9478</v>
      </c>
      <c r="V4272" t="s">
        <v>9478</v>
      </c>
      <c r="W4272">
        <v>5</v>
      </c>
      <c r="X4272" t="s">
        <v>13750</v>
      </c>
      <c r="Y4272">
        <v>0.48216917136873688</v>
      </c>
      <c r="Z4272" t="str">
        <f>HYPERLINK("Melting_Curves/meltCurve_tr_E9PNU4_E9PNU4_HUMAN_.pdf", "Melting_Curves/meltCurve_tr_E9PNU4_E9PNU4_HUMAN_.pdf")</f>
        <v>Melting_Curves/meltCurve_tr_E9PNU4_E9PNU4_HUMAN_.pdf</v>
      </c>
      <c r="AA4272" t="s">
        <v>18417</v>
      </c>
      <c r="AB4272" t="s">
        <v>23093</v>
      </c>
    </row>
    <row r="4273" spans="1:28" x14ac:dyDescent="0.25">
      <c r="A4273" t="s">
        <v>4277</v>
      </c>
      <c r="B4273">
        <v>0.99904790336628502</v>
      </c>
      <c r="C4273">
        <v>1.0365566834911899</v>
      </c>
      <c r="D4273">
        <v>0.90009092184168404</v>
      </c>
      <c r="E4273">
        <v>0.89927658305952596</v>
      </c>
      <c r="F4273">
        <v>1.09638837045381</v>
      </c>
      <c r="G4273">
        <v>1.06029626896516</v>
      </c>
      <c r="H4273">
        <v>0.86224140249030401</v>
      </c>
      <c r="I4273">
        <v>0.85751166588311001</v>
      </c>
      <c r="J4273">
        <v>1.0540121012200601</v>
      </c>
      <c r="K4273">
        <v>1.2440655852807601</v>
      </c>
      <c r="L4273">
        <v>15000</v>
      </c>
      <c r="M4273">
        <v>222.622035530479</v>
      </c>
      <c r="O4273">
        <v>67.373320976026093</v>
      </c>
      <c r="P4273">
        <v>0.20166534617486601</v>
      </c>
      <c r="Q4273">
        <v>1.2441243943793701</v>
      </c>
      <c r="R4273">
        <v>0.45888344182138102</v>
      </c>
      <c r="S4273" t="s">
        <v>9013</v>
      </c>
      <c r="T4273" t="s">
        <v>9478</v>
      </c>
      <c r="U4273" t="s">
        <v>9478</v>
      </c>
      <c r="V4273" t="s">
        <v>9478</v>
      </c>
      <c r="W4273">
        <v>2</v>
      </c>
      <c r="X4273" t="s">
        <v>13751</v>
      </c>
      <c r="Y4273">
        <v>1.0212944037820779</v>
      </c>
      <c r="Z4273" t="str">
        <f>HYPERLINK("Melting_Curves/meltCurve_tr_E9PP36_E9PP36_HUMAN_.pdf", "Melting_Curves/meltCurve_tr_E9PP36_E9PP36_HUMAN_.pdf")</f>
        <v>Melting_Curves/meltCurve_tr_E9PP36_E9PP36_HUMAN_.pdf</v>
      </c>
      <c r="AA4273" t="s">
        <v>18418</v>
      </c>
      <c r="AB4273" t="s">
        <v>23094</v>
      </c>
    </row>
    <row r="4274" spans="1:28" x14ac:dyDescent="0.25">
      <c r="A4274" t="s">
        <v>4278</v>
      </c>
      <c r="B4274">
        <v>0.99904790336628502</v>
      </c>
      <c r="C4274">
        <v>1.0719180846001299</v>
      </c>
      <c r="D4274">
        <v>1.0046886430603399</v>
      </c>
      <c r="E4274">
        <v>0.86328707896642998</v>
      </c>
      <c r="F4274">
        <v>0.97879570757111001</v>
      </c>
      <c r="G4274">
        <v>0.84907212726925796</v>
      </c>
      <c r="H4274">
        <v>0.61339032268600902</v>
      </c>
      <c r="I4274">
        <v>0.70783889058793803</v>
      </c>
      <c r="J4274">
        <v>0.51031510223896204</v>
      </c>
      <c r="K4274">
        <v>0.568799708679807</v>
      </c>
      <c r="L4274">
        <v>933.47193041351602</v>
      </c>
      <c r="M4274">
        <v>15.844261448130901</v>
      </c>
      <c r="O4274">
        <v>58.0009095939254</v>
      </c>
      <c r="P4274">
        <v>-3.3480755945846097E-2</v>
      </c>
      <c r="Q4274">
        <v>0.50978944792163094</v>
      </c>
      <c r="R4274">
        <v>0.89457886108233697</v>
      </c>
      <c r="S4274" t="s">
        <v>9014</v>
      </c>
      <c r="T4274" t="s">
        <v>9478</v>
      </c>
      <c r="U4274" t="s">
        <v>9478</v>
      </c>
      <c r="V4274" t="s">
        <v>9478</v>
      </c>
      <c r="W4274">
        <v>1</v>
      </c>
      <c r="X4274" t="s">
        <v>13752</v>
      </c>
      <c r="Y4274">
        <v>0.82422499954775552</v>
      </c>
      <c r="Z4274" t="str">
        <f>HYPERLINK("Melting_Curves/meltCurve_tr_E9PP68_E9PP68_HUMAN_.pdf", "Melting_Curves/meltCurve_tr_E9PP68_E9PP68_HUMAN_.pdf")</f>
        <v>Melting_Curves/meltCurve_tr_E9PP68_E9PP68_HUMAN_.pdf</v>
      </c>
      <c r="AA4274" t="s">
        <v>18419</v>
      </c>
      <c r="AB4274" t="s">
        <v>23095</v>
      </c>
    </row>
    <row r="4275" spans="1:28" x14ac:dyDescent="0.25">
      <c r="A4275" t="s">
        <v>4279</v>
      </c>
      <c r="B4275">
        <v>0.99904790336628502</v>
      </c>
      <c r="C4275">
        <v>1.02401389561643</v>
      </c>
      <c r="D4275">
        <v>0.94830364625902297</v>
      </c>
      <c r="E4275">
        <v>0.84538218245405505</v>
      </c>
      <c r="F4275">
        <v>0.71657220769732399</v>
      </c>
      <c r="G4275">
        <v>0.47367782516357798</v>
      </c>
      <c r="H4275">
        <v>0.40520870645176799</v>
      </c>
      <c r="I4275">
        <v>0.34990942600304498</v>
      </c>
      <c r="J4275">
        <v>0.29028917897941803</v>
      </c>
      <c r="K4275">
        <v>0.18371800349370701</v>
      </c>
      <c r="L4275">
        <v>711.21462854996003</v>
      </c>
      <c r="M4275">
        <v>12.818779306323201</v>
      </c>
      <c r="N4275">
        <v>57.552009279816197</v>
      </c>
      <c r="O4275">
        <v>54.184035357553597</v>
      </c>
      <c r="P4275">
        <v>-4.8231011424848397E-2</v>
      </c>
      <c r="Q4275">
        <v>0.184676679587816</v>
      </c>
      <c r="R4275">
        <v>0.98884312827285303</v>
      </c>
      <c r="S4275" t="s">
        <v>9015</v>
      </c>
      <c r="T4275" t="s">
        <v>9478</v>
      </c>
      <c r="U4275" t="s">
        <v>9478</v>
      </c>
      <c r="V4275" t="s">
        <v>9478</v>
      </c>
      <c r="W4275">
        <v>3</v>
      </c>
      <c r="X4275" t="s">
        <v>13753</v>
      </c>
      <c r="Y4275">
        <v>0.62268705608716934</v>
      </c>
      <c r="Z4275" t="str">
        <f>HYPERLINK("Melting_Curves/meltCurve_tr_E9PPR2_E9PPR2_HUMAN_.pdf", "Melting_Curves/meltCurve_tr_E9PPR2_E9PPR2_HUMAN_.pdf")</f>
        <v>Melting_Curves/meltCurve_tr_E9PPR2_E9PPR2_HUMAN_.pdf</v>
      </c>
      <c r="AA4275" t="s">
        <v>18420</v>
      </c>
      <c r="AB4275" t="s">
        <v>23096</v>
      </c>
    </row>
    <row r="4276" spans="1:28" x14ac:dyDescent="0.25">
      <c r="A4276" t="s">
        <v>4280</v>
      </c>
      <c r="B4276">
        <v>0.99904790336628502</v>
      </c>
      <c r="C4276">
        <v>0.91092172131629601</v>
      </c>
      <c r="D4276">
        <v>0.819586490229814</v>
      </c>
      <c r="E4276">
        <v>0.80843697896180999</v>
      </c>
      <c r="F4276">
        <v>0.48617396501501298</v>
      </c>
      <c r="G4276">
        <v>0.18296943037773</v>
      </c>
      <c r="H4276">
        <v>9.0150774194351302E-2</v>
      </c>
      <c r="I4276">
        <v>5.3912423891258297E-2</v>
      </c>
      <c r="J4276">
        <v>4.0407643630364601E-2</v>
      </c>
      <c r="K4276">
        <v>3.04910471338515E-2</v>
      </c>
      <c r="L4276">
        <v>909.65744595960496</v>
      </c>
      <c r="M4276">
        <v>17.217506669350001</v>
      </c>
      <c r="N4276">
        <v>52.859540698447297</v>
      </c>
      <c r="O4276">
        <v>52.136016103449897</v>
      </c>
      <c r="P4276">
        <v>-8.2213870442218895E-2</v>
      </c>
      <c r="Q4276">
        <v>4.2572801625568703E-3</v>
      </c>
      <c r="R4276">
        <v>0.98281079239386304</v>
      </c>
      <c r="S4276" t="s">
        <v>9016</v>
      </c>
      <c r="T4276" t="s">
        <v>9478</v>
      </c>
      <c r="U4276" t="s">
        <v>9478</v>
      </c>
      <c r="V4276" t="s">
        <v>9478</v>
      </c>
      <c r="W4276">
        <v>1</v>
      </c>
      <c r="X4276" t="s">
        <v>13754</v>
      </c>
      <c r="Y4276">
        <v>0.44776907046700898</v>
      </c>
      <c r="Z4276" t="str">
        <f>HYPERLINK("Melting_Curves/meltCurve_tr_E9PQ38_E9PQ38_HUMAN_.pdf", "Melting_Curves/meltCurve_tr_E9PQ38_E9PQ38_HUMAN_.pdf")</f>
        <v>Melting_Curves/meltCurve_tr_E9PQ38_E9PQ38_HUMAN_.pdf</v>
      </c>
      <c r="AA4276" t="s">
        <v>18421</v>
      </c>
      <c r="AB4276" t="s">
        <v>23097</v>
      </c>
    </row>
    <row r="4277" spans="1:28" x14ac:dyDescent="0.25">
      <c r="A4277" t="s">
        <v>4281</v>
      </c>
      <c r="B4277">
        <v>0.99904790336628502</v>
      </c>
      <c r="C4277">
        <v>0.92511049771787501</v>
      </c>
      <c r="D4277">
        <v>0.81257752686112605</v>
      </c>
      <c r="E4277">
        <v>0.75410215486801602</v>
      </c>
      <c r="F4277">
        <v>0.69426569123098902</v>
      </c>
      <c r="G4277">
        <v>0.54053278568743801</v>
      </c>
      <c r="H4277">
        <v>0.289923837233931</v>
      </c>
      <c r="I4277">
        <v>0.186747438560767</v>
      </c>
      <c r="J4277">
        <v>0.17912636256169501</v>
      </c>
      <c r="K4277">
        <v>0.15966874268001</v>
      </c>
      <c r="L4277">
        <v>526.583501194257</v>
      </c>
      <c r="M4277">
        <v>9.3458048100969808</v>
      </c>
      <c r="N4277">
        <v>56.344355819430596</v>
      </c>
      <c r="O4277">
        <v>53.945145435324299</v>
      </c>
      <c r="P4277">
        <v>-4.33388753364101E-2</v>
      </c>
      <c r="Q4277">
        <v>0</v>
      </c>
      <c r="R4277">
        <v>0.97926472006482201</v>
      </c>
      <c r="S4277" t="s">
        <v>9017</v>
      </c>
      <c r="T4277" t="s">
        <v>9478</v>
      </c>
      <c r="U4277" t="s">
        <v>9478</v>
      </c>
      <c r="V4277" t="s">
        <v>9478</v>
      </c>
      <c r="W4277">
        <v>2</v>
      </c>
      <c r="X4277" t="s">
        <v>13755</v>
      </c>
      <c r="Y4277">
        <v>0.56376677301638312</v>
      </c>
      <c r="Z4277" t="str">
        <f>HYPERLINK("Melting_Curves/meltCurve_tr_E9PQ47_E9PQ47_HUMAN_.pdf", "Melting_Curves/meltCurve_tr_E9PQ47_E9PQ47_HUMAN_.pdf")</f>
        <v>Melting_Curves/meltCurve_tr_E9PQ47_E9PQ47_HUMAN_.pdf</v>
      </c>
      <c r="AA4277" t="s">
        <v>18422</v>
      </c>
      <c r="AB4277" t="s">
        <v>23098</v>
      </c>
    </row>
    <row r="4278" spans="1:28" x14ac:dyDescent="0.25">
      <c r="A4278" t="s">
        <v>4282</v>
      </c>
      <c r="B4278">
        <v>0.99904790336628502</v>
      </c>
      <c r="C4278">
        <v>1.0073350747743</v>
      </c>
      <c r="D4278">
        <v>0.94732160584971403</v>
      </c>
      <c r="E4278">
        <v>0.92354697588740597</v>
      </c>
      <c r="F4278">
        <v>0.91837188188864805</v>
      </c>
      <c r="G4278">
        <v>0.67279883036868404</v>
      </c>
      <c r="H4278">
        <v>0.357188487355172</v>
      </c>
      <c r="I4278">
        <v>0.132038833634116</v>
      </c>
      <c r="J4278">
        <v>9.9025360909209603E-2</v>
      </c>
      <c r="K4278">
        <v>8.4610736205917997E-2</v>
      </c>
      <c r="L4278">
        <v>1249.7865556199899</v>
      </c>
      <c r="M4278">
        <v>21.2749282329595</v>
      </c>
      <c r="N4278">
        <v>58.930595777889401</v>
      </c>
      <c r="O4278">
        <v>58.232944765793199</v>
      </c>
      <c r="P4278">
        <v>-8.8371638658125404E-2</v>
      </c>
      <c r="Q4278">
        <v>3.2474405476219603E-2</v>
      </c>
      <c r="R4278">
        <v>0.99422254565336199</v>
      </c>
      <c r="S4278" t="s">
        <v>9018</v>
      </c>
      <c r="T4278" t="s">
        <v>9478</v>
      </c>
      <c r="U4278" t="s">
        <v>9478</v>
      </c>
      <c r="V4278" t="s">
        <v>9478</v>
      </c>
      <c r="W4278">
        <v>6</v>
      </c>
      <c r="X4278" t="s">
        <v>13756</v>
      </c>
      <c r="Y4278">
        <v>0.64660062731470858</v>
      </c>
      <c r="Z4278" t="str">
        <f>HYPERLINK("Melting_Curves/meltCurve_tr_E9PQ74_E9PQ74_HUMAN_.pdf", "Melting_Curves/meltCurve_tr_E9PQ74_E9PQ74_HUMAN_.pdf")</f>
        <v>Melting_Curves/meltCurve_tr_E9PQ74_E9PQ74_HUMAN_.pdf</v>
      </c>
      <c r="AA4278" t="s">
        <v>18423</v>
      </c>
      <c r="AB4278" t="s">
        <v>23099</v>
      </c>
    </row>
    <row r="4279" spans="1:28" x14ac:dyDescent="0.25">
      <c r="A4279" t="s">
        <v>4283</v>
      </c>
      <c r="B4279">
        <v>0.99904790336628502</v>
      </c>
      <c r="C4279">
        <v>0.98879869441152002</v>
      </c>
      <c r="D4279">
        <v>0.97830370497868102</v>
      </c>
      <c r="E4279">
        <v>0.99737198807239502</v>
      </c>
      <c r="F4279">
        <v>0.882604842415744</v>
      </c>
      <c r="G4279">
        <v>0.738357215155789</v>
      </c>
      <c r="H4279">
        <v>0.75112886896320896</v>
      </c>
      <c r="I4279">
        <v>0.67179734149664405</v>
      </c>
      <c r="J4279">
        <v>0.66018700734049796</v>
      </c>
      <c r="K4279">
        <v>1.0136560426951799</v>
      </c>
      <c r="L4279">
        <v>12536.0814697073</v>
      </c>
      <c r="M4279">
        <v>236.545425585842</v>
      </c>
      <c r="O4279">
        <v>52.9927195708038</v>
      </c>
      <c r="P4279">
        <v>-0.25998430381121501</v>
      </c>
      <c r="Q4279">
        <v>0.76702529343266002</v>
      </c>
      <c r="R4279">
        <v>0.57276939484068801</v>
      </c>
      <c r="S4279" t="s">
        <v>9019</v>
      </c>
      <c r="T4279" t="s">
        <v>9478</v>
      </c>
      <c r="U4279" t="s">
        <v>9478</v>
      </c>
      <c r="V4279" t="s">
        <v>9478</v>
      </c>
      <c r="W4279">
        <v>1</v>
      </c>
      <c r="X4279" t="s">
        <v>13757</v>
      </c>
      <c r="Y4279">
        <v>0.86797808330698389</v>
      </c>
      <c r="Z4279" t="str">
        <f>HYPERLINK("Melting_Curves/meltCurve_tr_E9PQD0_E9PQD0_HUMAN_.pdf", "Melting_Curves/meltCurve_tr_E9PQD0_E9PQD0_HUMAN_.pdf")</f>
        <v>Melting_Curves/meltCurve_tr_E9PQD0_E9PQD0_HUMAN_.pdf</v>
      </c>
      <c r="AA4279" t="s">
        <v>18424</v>
      </c>
      <c r="AB4279" t="s">
        <v>23100</v>
      </c>
    </row>
    <row r="4280" spans="1:28" x14ac:dyDescent="0.25">
      <c r="A4280" t="s">
        <v>4284</v>
      </c>
      <c r="B4280">
        <v>0.99904790336628502</v>
      </c>
      <c r="C4280">
        <v>0.88363751806511304</v>
      </c>
      <c r="D4280">
        <v>0.93051832087800701</v>
      </c>
      <c r="E4280">
        <v>0.85555398001976002</v>
      </c>
      <c r="F4280">
        <v>0.63324094641197504</v>
      </c>
      <c r="G4280">
        <v>0.27421007305606399</v>
      </c>
      <c r="H4280">
        <v>0.15619638523315099</v>
      </c>
      <c r="I4280">
        <v>0.111953281880043</v>
      </c>
      <c r="J4280">
        <v>7.7351154038178493E-2</v>
      </c>
      <c r="K4280">
        <v>7.4610932260471705E-2</v>
      </c>
      <c r="L4280">
        <v>1093.39877787306</v>
      </c>
      <c r="M4280">
        <v>20.268072588349899</v>
      </c>
      <c r="N4280">
        <v>54.320903176717501</v>
      </c>
      <c r="O4280">
        <v>53.429931280660398</v>
      </c>
      <c r="P4280">
        <v>-8.8660974887651595E-2</v>
      </c>
      <c r="Q4280">
        <v>6.5129950212496901E-2</v>
      </c>
      <c r="R4280">
        <v>0.98893532622149005</v>
      </c>
      <c r="S4280" t="s">
        <v>9020</v>
      </c>
      <c r="T4280" t="s">
        <v>9478</v>
      </c>
      <c r="U4280" t="s">
        <v>9478</v>
      </c>
      <c r="V4280" t="s">
        <v>9478</v>
      </c>
      <c r="W4280">
        <v>7</v>
      </c>
      <c r="X4280" t="s">
        <v>13758</v>
      </c>
      <c r="Y4280">
        <v>0.51219126152771688</v>
      </c>
      <c r="Z4280" t="str">
        <f>HYPERLINK("Melting_Curves/meltCurve_tr_E9PQR7_E9PQR7_HUMAN_.pdf", "Melting_Curves/meltCurve_tr_E9PQR7_E9PQR7_HUMAN_.pdf")</f>
        <v>Melting_Curves/meltCurve_tr_E9PQR7_E9PQR7_HUMAN_.pdf</v>
      </c>
      <c r="AA4280" t="s">
        <v>18425</v>
      </c>
      <c r="AB4280" t="s">
        <v>23101</v>
      </c>
    </row>
    <row r="4281" spans="1:28" x14ac:dyDescent="0.25">
      <c r="A4281" t="s">
        <v>4285</v>
      </c>
      <c r="B4281">
        <v>0.99904790336628502</v>
      </c>
      <c r="C4281">
        <v>0.86969067932486699</v>
      </c>
      <c r="D4281">
        <v>0.61026098265922202</v>
      </c>
      <c r="E4281">
        <v>0.22873258150528999</v>
      </c>
      <c r="F4281">
        <v>0.102052325195685</v>
      </c>
      <c r="G4281">
        <v>4.4541574871245E-2</v>
      </c>
      <c r="H4281">
        <v>1.9690030545604802E-2</v>
      </c>
      <c r="I4281">
        <v>1.7255588719058901E-2</v>
      </c>
      <c r="J4281">
        <v>1.97858387762418E-2</v>
      </c>
      <c r="K4281">
        <v>1.54335360487214E-2</v>
      </c>
      <c r="L4281">
        <v>978.23792662194001</v>
      </c>
      <c r="M4281">
        <v>20.846453611388299</v>
      </c>
      <c r="N4281">
        <v>46.999190952835299</v>
      </c>
      <c r="O4281">
        <v>46.500454176648603</v>
      </c>
      <c r="P4281">
        <v>-0.11028647552382601</v>
      </c>
      <c r="Q4281">
        <v>1.59996281093297E-2</v>
      </c>
      <c r="R4281">
        <v>0.99943284323128401</v>
      </c>
      <c r="S4281" t="s">
        <v>9021</v>
      </c>
      <c r="T4281" t="s">
        <v>9478</v>
      </c>
      <c r="U4281" t="s">
        <v>9478</v>
      </c>
      <c r="V4281" t="s">
        <v>9478</v>
      </c>
      <c r="W4281">
        <v>7</v>
      </c>
      <c r="X4281" t="s">
        <v>13759</v>
      </c>
      <c r="Y4281">
        <v>0.256346718859845</v>
      </c>
      <c r="Z4281" t="str">
        <f>HYPERLINK("Melting_Curves/meltCurve_tr_E9PQW4_E9PQW4_HUMAN_.pdf", "Melting_Curves/meltCurve_tr_E9PQW4_E9PQW4_HUMAN_.pdf")</f>
        <v>Melting_Curves/meltCurve_tr_E9PQW4_E9PQW4_HUMAN_.pdf</v>
      </c>
      <c r="AA4281" t="s">
        <v>18426</v>
      </c>
      <c r="AB4281" t="s">
        <v>23102</v>
      </c>
    </row>
    <row r="4282" spans="1:28" x14ac:dyDescent="0.25">
      <c r="A4282" t="s">
        <v>4286</v>
      </c>
      <c r="B4282">
        <v>0.99904790336628502</v>
      </c>
      <c r="C4282">
        <v>0.90048694674752905</v>
      </c>
      <c r="D4282">
        <v>0.95078481184099595</v>
      </c>
      <c r="E4282">
        <v>0.90567092772641999</v>
      </c>
      <c r="F4282">
        <v>0.67917224766645401</v>
      </c>
      <c r="G4282">
        <v>0.23035208477293101</v>
      </c>
      <c r="H4282">
        <v>8.0966144215329494E-2</v>
      </c>
      <c r="I4282">
        <v>4.7706496081493202E-2</v>
      </c>
      <c r="J4282">
        <v>3.0880412724135199E-2</v>
      </c>
      <c r="K4282">
        <v>2.5432335736852899E-2</v>
      </c>
      <c r="L4282">
        <v>1445.1084132154499</v>
      </c>
      <c r="M4282">
        <v>26.6066041457422</v>
      </c>
      <c r="N4282">
        <v>54.421656638522002</v>
      </c>
      <c r="O4282">
        <v>54.009881417477999</v>
      </c>
      <c r="P4282">
        <v>-0.11999741247619899</v>
      </c>
      <c r="Q4282">
        <v>2.5659108690283199E-2</v>
      </c>
      <c r="R4282">
        <v>0.99308030354177801</v>
      </c>
      <c r="S4282" t="s">
        <v>9022</v>
      </c>
      <c r="T4282" t="s">
        <v>9478</v>
      </c>
      <c r="U4282" t="s">
        <v>9478</v>
      </c>
      <c r="V4282" t="s">
        <v>9478</v>
      </c>
      <c r="W4282">
        <v>9</v>
      </c>
      <c r="X4282" t="s">
        <v>13760</v>
      </c>
      <c r="Y4282">
        <v>0.49859882011658307</v>
      </c>
      <c r="Z4282" t="str">
        <f>HYPERLINK("Melting_Curves/meltCurve_tr_E9PQY3_E9PQY3_HUMAN_.pdf", "Melting_Curves/meltCurve_tr_E9PQY3_E9PQY3_HUMAN_.pdf")</f>
        <v>Melting_Curves/meltCurve_tr_E9PQY3_E9PQY3_HUMAN_.pdf</v>
      </c>
      <c r="AA4282" t="s">
        <v>18427</v>
      </c>
      <c r="AB4282" t="s">
        <v>23103</v>
      </c>
    </row>
    <row r="4283" spans="1:28" x14ac:dyDescent="0.25">
      <c r="A4283" t="s">
        <v>4287</v>
      </c>
      <c r="B4283">
        <v>0.99904790336628502</v>
      </c>
      <c r="C4283">
        <v>0.89409009789166505</v>
      </c>
      <c r="D4283">
        <v>0.74819242379655804</v>
      </c>
      <c r="E4283">
        <v>0.51983702548809396</v>
      </c>
      <c r="F4283">
        <v>0.24505675952696401</v>
      </c>
      <c r="G4283">
        <v>0.13503752783158901</v>
      </c>
      <c r="H4283">
        <v>0.115866024595423</v>
      </c>
      <c r="I4283">
        <v>7.6227274202812001E-2</v>
      </c>
      <c r="J4283">
        <v>9.8779688499954305E-2</v>
      </c>
      <c r="K4283">
        <v>6.3480502422348498E-2</v>
      </c>
      <c r="L4283">
        <v>791.51408652784198</v>
      </c>
      <c r="M4283">
        <v>16.1040795020259</v>
      </c>
      <c r="N4283">
        <v>49.558486606119601</v>
      </c>
      <c r="O4283">
        <v>48.410764903715702</v>
      </c>
      <c r="P4283">
        <v>-7.7999790481523806E-2</v>
      </c>
      <c r="Q4283">
        <v>6.2165344278955099E-2</v>
      </c>
      <c r="R4283">
        <v>0.994318706217726</v>
      </c>
      <c r="S4283" t="s">
        <v>9023</v>
      </c>
      <c r="T4283" t="s">
        <v>9478</v>
      </c>
      <c r="U4283" t="s">
        <v>9478</v>
      </c>
      <c r="V4283" t="s">
        <v>9478</v>
      </c>
      <c r="W4283">
        <v>1</v>
      </c>
      <c r="X4283" t="s">
        <v>13761</v>
      </c>
      <c r="Y4283">
        <v>0.3683278041961216</v>
      </c>
      <c r="Z4283" t="str">
        <f>HYPERLINK("Melting_Curves/meltCurve_tr_E9PR76_E9PR76_HUMAN_.pdf", "Melting_Curves/meltCurve_tr_E9PR76_E9PR76_HUMAN_.pdf")</f>
        <v>Melting_Curves/meltCurve_tr_E9PR76_E9PR76_HUMAN_.pdf</v>
      </c>
      <c r="AA4283" t="s">
        <v>18428</v>
      </c>
      <c r="AB4283" t="s">
        <v>23104</v>
      </c>
    </row>
    <row r="4284" spans="1:28" x14ac:dyDescent="0.25">
      <c r="A4284" t="s">
        <v>4288</v>
      </c>
      <c r="B4284">
        <v>0.99904790336628502</v>
      </c>
      <c r="C4284">
        <v>0.84920978656838797</v>
      </c>
      <c r="D4284">
        <v>0.92524336920829497</v>
      </c>
      <c r="E4284">
        <v>0.88647758077694805</v>
      </c>
      <c r="F4284">
        <v>0.92042139597091299</v>
      </c>
      <c r="G4284">
        <v>0.71278654951570797</v>
      </c>
      <c r="H4284">
        <v>0.63779637820863599</v>
      </c>
      <c r="I4284">
        <v>0.486594970287274</v>
      </c>
      <c r="J4284">
        <v>0.40816787077911598</v>
      </c>
      <c r="K4284">
        <v>0.22322733955191701</v>
      </c>
      <c r="L4284">
        <v>600.40445165506696</v>
      </c>
      <c r="M4284">
        <v>9.4621473789053194</v>
      </c>
      <c r="N4284">
        <v>63.4532828306262</v>
      </c>
      <c r="O4284">
        <v>60.812914626424202</v>
      </c>
      <c r="P4284">
        <v>-3.8921953951842697E-2</v>
      </c>
      <c r="Q4284">
        <v>0</v>
      </c>
      <c r="R4284">
        <v>0.94195776658646502</v>
      </c>
      <c r="S4284" t="s">
        <v>9024</v>
      </c>
      <c r="T4284" t="s">
        <v>9478</v>
      </c>
      <c r="U4284" t="s">
        <v>9478</v>
      </c>
      <c r="V4284" t="s">
        <v>9478</v>
      </c>
      <c r="W4284">
        <v>1</v>
      </c>
      <c r="X4284" t="s">
        <v>13762</v>
      </c>
      <c r="Y4284">
        <v>0.74144340006686704</v>
      </c>
      <c r="Z4284" t="str">
        <f>HYPERLINK("Melting_Curves/meltCurve_tr_E9PRD9_E9PRD9_HUMAN_.pdf", "Melting_Curves/meltCurve_tr_E9PRD9_E9PRD9_HUMAN_.pdf")</f>
        <v>Melting_Curves/meltCurve_tr_E9PRD9_E9PRD9_HUMAN_.pdf</v>
      </c>
      <c r="AA4284" t="s">
        <v>18429</v>
      </c>
      <c r="AB4284" t="s">
        <v>23105</v>
      </c>
    </row>
    <row r="4285" spans="1:28" x14ac:dyDescent="0.25">
      <c r="A4285" t="s">
        <v>4289</v>
      </c>
      <c r="B4285">
        <v>0.99904790336628502</v>
      </c>
      <c r="C4285">
        <v>1.0073144439223001</v>
      </c>
      <c r="D4285">
        <v>0.564248283526257</v>
      </c>
      <c r="E4285">
        <v>0.1443109747195</v>
      </c>
      <c r="F4285">
        <v>4.9281614789168003E-2</v>
      </c>
      <c r="G4285">
        <v>2.9839430280203E-2</v>
      </c>
      <c r="H4285">
        <v>2.1802047273341001E-2</v>
      </c>
      <c r="I4285">
        <v>1.75038750950289E-2</v>
      </c>
      <c r="J4285">
        <v>1.50555799985191E-2</v>
      </c>
      <c r="K4285">
        <v>1.83326135633455E-2</v>
      </c>
      <c r="L4285">
        <v>1585.8415699530599</v>
      </c>
      <c r="M4285">
        <v>34.157011950059299</v>
      </c>
      <c r="N4285">
        <v>46.5046292960755</v>
      </c>
      <c r="O4285">
        <v>46.269723145869598</v>
      </c>
      <c r="P4285">
        <v>-0.17950514082067501</v>
      </c>
      <c r="Q4285">
        <v>2.7359818830838999E-2</v>
      </c>
      <c r="R4285">
        <v>0.99572651222035302</v>
      </c>
      <c r="S4285" t="s">
        <v>9025</v>
      </c>
      <c r="T4285" t="s">
        <v>9478</v>
      </c>
      <c r="U4285" t="s">
        <v>9478</v>
      </c>
      <c r="V4285" t="s">
        <v>9478</v>
      </c>
      <c r="W4285">
        <v>30</v>
      </c>
      <c r="X4285" t="s">
        <v>13763</v>
      </c>
      <c r="Y4285">
        <v>0.2401876513097817</v>
      </c>
      <c r="Z4285" t="str">
        <f>HYPERLINK("Melting_Curves/meltCurve_tr_E9PRE7_E9PRE7_HUMAN_.pdf", "Melting_Curves/meltCurve_tr_E9PRE7_E9PRE7_HUMAN_.pdf")</f>
        <v>Melting_Curves/meltCurve_tr_E9PRE7_E9PRE7_HUMAN_.pdf</v>
      </c>
      <c r="AA4285" t="s">
        <v>14929</v>
      </c>
      <c r="AB4285" t="s">
        <v>19560</v>
      </c>
    </row>
    <row r="4286" spans="1:28" x14ac:dyDescent="0.25">
      <c r="A4286" t="s">
        <v>4290</v>
      </c>
      <c r="B4286">
        <v>0.99904790336628502</v>
      </c>
      <c r="C4286">
        <v>1.2642915655520099</v>
      </c>
      <c r="D4286">
        <v>1.27579401271473</v>
      </c>
      <c r="E4286">
        <v>1.04097898415713</v>
      </c>
      <c r="F4286">
        <v>0.78550397580529896</v>
      </c>
      <c r="G4286">
        <v>0.51526651651300703</v>
      </c>
      <c r="H4286">
        <v>0.39563538271811</v>
      </c>
      <c r="I4286">
        <v>0.303672893046604</v>
      </c>
      <c r="J4286">
        <v>0.14774876706980999</v>
      </c>
      <c r="K4286">
        <v>9.9325418403942198E-2</v>
      </c>
      <c r="L4286">
        <v>1066.3450480178301</v>
      </c>
      <c r="M4286">
        <v>18.615154376926601</v>
      </c>
      <c r="N4286">
        <v>58.155986633348803</v>
      </c>
      <c r="O4286">
        <v>56.634914007713597</v>
      </c>
      <c r="P4286">
        <v>-7.2165607609948598E-2</v>
      </c>
      <c r="Q4286">
        <v>0.12180875035929301</v>
      </c>
      <c r="R4286">
        <v>0.90008207839091503</v>
      </c>
      <c r="S4286" t="s">
        <v>9026</v>
      </c>
      <c r="T4286" t="s">
        <v>9478</v>
      </c>
      <c r="U4286" t="s">
        <v>9478</v>
      </c>
      <c r="V4286" t="s">
        <v>9478</v>
      </c>
      <c r="W4286">
        <v>3</v>
      </c>
      <c r="X4286" t="s">
        <v>13764</v>
      </c>
      <c r="Y4286">
        <v>0.63913523891826096</v>
      </c>
      <c r="Z4286" t="str">
        <f>HYPERLINK("Melting_Curves/meltCurve_tr_E9PRF4_E9PRF4_HUMAN_.pdf", "Melting_Curves/meltCurve_tr_E9PRF4_E9PRF4_HUMAN_.pdf")</f>
        <v>Melting_Curves/meltCurve_tr_E9PRF4_E9PRF4_HUMAN_.pdf</v>
      </c>
      <c r="AA4286" t="s">
        <v>18430</v>
      </c>
      <c r="AB4286" t="s">
        <v>23106</v>
      </c>
    </row>
    <row r="4287" spans="1:28" x14ac:dyDescent="0.25">
      <c r="A4287" t="s">
        <v>4291</v>
      </c>
      <c r="B4287">
        <v>0.99904790336628502</v>
      </c>
      <c r="C4287">
        <v>0.92180140607472205</v>
      </c>
      <c r="D4287">
        <v>0.74493015283855402</v>
      </c>
      <c r="E4287">
        <v>0.401039998778491</v>
      </c>
      <c r="F4287">
        <v>0.18651772506581701</v>
      </c>
      <c r="G4287">
        <v>0.113044242626598</v>
      </c>
      <c r="H4287">
        <v>7.6435945554537699E-2</v>
      </c>
      <c r="I4287">
        <v>5.1422640393475598E-2</v>
      </c>
      <c r="J4287">
        <v>4.7973103144875497E-2</v>
      </c>
      <c r="K4287">
        <v>3.3695819177169802E-2</v>
      </c>
      <c r="L4287">
        <v>913.33746526892105</v>
      </c>
      <c r="M4287">
        <v>18.826398756964501</v>
      </c>
      <c r="N4287">
        <v>48.750591345659203</v>
      </c>
      <c r="O4287">
        <v>47.976231017520398</v>
      </c>
      <c r="P4287">
        <v>-9.3817696518251795E-2</v>
      </c>
      <c r="Q4287">
        <v>4.37186612601589E-2</v>
      </c>
      <c r="R4287">
        <v>0.99905015605993197</v>
      </c>
      <c r="S4287" t="s">
        <v>9027</v>
      </c>
      <c r="T4287" t="s">
        <v>9478</v>
      </c>
      <c r="U4287" t="s">
        <v>9478</v>
      </c>
      <c r="V4287" t="s">
        <v>9478</v>
      </c>
      <c r="W4287">
        <v>13</v>
      </c>
      <c r="X4287" t="s">
        <v>13765</v>
      </c>
      <c r="Y4287">
        <v>0.33036437569422661</v>
      </c>
      <c r="Z4287" t="str">
        <f>HYPERLINK("Melting_Curves/meltCurve_tr_E9PRI4_E9PRI4_HUMAN_.pdf", "Melting_Curves/meltCurve_tr_E9PRI4_E9PRI4_HUMAN_.pdf")</f>
        <v>Melting_Curves/meltCurve_tr_E9PRI4_E9PRI4_HUMAN_.pdf</v>
      </c>
      <c r="AA4287" t="s">
        <v>18431</v>
      </c>
      <c r="AB4287" t="s">
        <v>23107</v>
      </c>
    </row>
    <row r="4288" spans="1:28" x14ac:dyDescent="0.25">
      <c r="A4288" t="s">
        <v>4292</v>
      </c>
      <c r="B4288">
        <v>0.99904790336628502</v>
      </c>
      <c r="C4288">
        <v>0.82289412518482996</v>
      </c>
      <c r="D4288">
        <v>0.80808113733458797</v>
      </c>
      <c r="E4288">
        <v>0.78572605814829899</v>
      </c>
      <c r="F4288">
        <v>0.73576323343861905</v>
      </c>
      <c r="G4288">
        <v>0.35256147824830703</v>
      </c>
      <c r="H4288">
        <v>0.219065097089894</v>
      </c>
      <c r="I4288">
        <v>0.15128763706864101</v>
      </c>
      <c r="J4288">
        <v>0.18576806452481401</v>
      </c>
      <c r="K4288">
        <v>0.14754633118344301</v>
      </c>
      <c r="L4288">
        <v>566.982230941956</v>
      </c>
      <c r="M4288">
        <v>10.2930053405801</v>
      </c>
      <c r="N4288">
        <v>55.177552261542203</v>
      </c>
      <c r="O4288">
        <v>53.126575585017001</v>
      </c>
      <c r="P4288">
        <v>-4.8039172181144098E-2</v>
      </c>
      <c r="Q4288">
        <v>8.6293773614129592E-3</v>
      </c>
      <c r="R4288">
        <v>0.94650637800217496</v>
      </c>
      <c r="S4288" t="s">
        <v>9028</v>
      </c>
      <c r="T4288" t="s">
        <v>9478</v>
      </c>
      <c r="U4288" t="s">
        <v>9478</v>
      </c>
      <c r="V4288" t="s">
        <v>9478</v>
      </c>
      <c r="W4288">
        <v>2</v>
      </c>
      <c r="X4288" t="s">
        <v>13766</v>
      </c>
      <c r="Y4288">
        <v>0.53208595231302214</v>
      </c>
      <c r="Z4288" t="str">
        <f>HYPERLINK("Melting_Curves/meltCurve_tr_E9PRR7_E9PRR7_HUMAN_.pdf", "Melting_Curves/meltCurve_tr_E9PRR7_E9PRR7_HUMAN_.pdf")</f>
        <v>Melting_Curves/meltCurve_tr_E9PRR7_E9PRR7_HUMAN_.pdf</v>
      </c>
      <c r="AA4288" t="s">
        <v>18432</v>
      </c>
      <c r="AB4288" t="s">
        <v>23108</v>
      </c>
    </row>
    <row r="4289" spans="1:28" x14ac:dyDescent="0.25">
      <c r="A4289" t="s">
        <v>4293</v>
      </c>
      <c r="B4289">
        <v>0.99904790336628502</v>
      </c>
      <c r="C4289">
        <v>0.89387053464407895</v>
      </c>
      <c r="D4289">
        <v>0.60392964254624004</v>
      </c>
      <c r="E4289">
        <v>0.19558128287455301</v>
      </c>
      <c r="F4289">
        <v>0.12920132772198201</v>
      </c>
      <c r="G4289">
        <v>5.24313875179796E-2</v>
      </c>
      <c r="H4289">
        <v>1.21632180196731E-2</v>
      </c>
      <c r="I4289">
        <v>0</v>
      </c>
      <c r="J4289">
        <v>0</v>
      </c>
      <c r="K4289">
        <v>0</v>
      </c>
      <c r="L4289">
        <v>1008.55764813911</v>
      </c>
      <c r="M4289">
        <v>21.497514526148201</v>
      </c>
      <c r="N4289">
        <v>46.959917650219303</v>
      </c>
      <c r="O4289">
        <v>46.5147780738127</v>
      </c>
      <c r="P4289">
        <v>-0.114370441554952</v>
      </c>
      <c r="Q4289">
        <v>1.01580184183347E-2</v>
      </c>
      <c r="R4289">
        <v>0.99728028651068201</v>
      </c>
      <c r="S4289" t="s">
        <v>9029</v>
      </c>
      <c r="T4289" t="s">
        <v>9478</v>
      </c>
      <c r="U4289" t="s">
        <v>9478</v>
      </c>
      <c r="V4289" t="s">
        <v>9478</v>
      </c>
      <c r="W4289">
        <v>2</v>
      </c>
      <c r="X4289" t="s">
        <v>13767</v>
      </c>
      <c r="Y4289">
        <v>0.25070397775699399</v>
      </c>
      <c r="Z4289" t="str">
        <f>HYPERLINK("Melting_Curves/meltCurve_tr_F2Z2E1_F2Z2E1_HUMAN_.pdf", "Melting_Curves/meltCurve_tr_F2Z2E1_F2Z2E1_HUMAN_.pdf")</f>
        <v>Melting_Curves/meltCurve_tr_F2Z2E1_F2Z2E1_HUMAN_.pdf</v>
      </c>
      <c r="AA4289" t="s">
        <v>18433</v>
      </c>
      <c r="AB4289" t="s">
        <v>23109</v>
      </c>
    </row>
    <row r="4290" spans="1:28" x14ac:dyDescent="0.25">
      <c r="A4290" t="s">
        <v>4294</v>
      </c>
      <c r="B4290">
        <v>0.99904790336628502</v>
      </c>
      <c r="C4290">
        <v>1.5471268396660101</v>
      </c>
      <c r="D4290">
        <v>1.36973275984828</v>
      </c>
      <c r="E4290">
        <v>1.0900110711095099</v>
      </c>
      <c r="F4290">
        <v>0.16983740602167899</v>
      </c>
      <c r="G4290">
        <v>0.175825517059087</v>
      </c>
      <c r="H4290">
        <v>0</v>
      </c>
      <c r="I4290">
        <v>0</v>
      </c>
      <c r="J4290">
        <v>0</v>
      </c>
      <c r="K4290">
        <v>0</v>
      </c>
      <c r="L4290">
        <v>13153.605676856499</v>
      </c>
      <c r="M4290">
        <v>250</v>
      </c>
      <c r="N4290">
        <v>52.629781509792203</v>
      </c>
      <c r="O4290">
        <v>52.611055690888399</v>
      </c>
      <c r="P4290">
        <v>-1.1461886852002501</v>
      </c>
      <c r="Q4290">
        <v>3.5164852362694198E-2</v>
      </c>
      <c r="R4290">
        <v>0.87160191102556295</v>
      </c>
      <c r="S4290" t="s">
        <v>9030</v>
      </c>
      <c r="T4290" t="s">
        <v>9478</v>
      </c>
      <c r="U4290" t="s">
        <v>9478</v>
      </c>
      <c r="V4290" t="s">
        <v>9478</v>
      </c>
      <c r="W4290">
        <v>3</v>
      </c>
      <c r="X4290" t="s">
        <v>13768</v>
      </c>
      <c r="Y4290">
        <v>0.44094855599733412</v>
      </c>
      <c r="Z4290" t="str">
        <f>HYPERLINK("Melting_Curves/meltCurve_tr_F2Z2I2_F2Z2I2_HUMAN_.pdf", "Melting_Curves/meltCurve_tr_F2Z2I2_F2Z2I2_HUMAN_.pdf")</f>
        <v>Melting_Curves/meltCurve_tr_F2Z2I2_F2Z2I2_HUMAN_.pdf</v>
      </c>
      <c r="AA4290" t="s">
        <v>18434</v>
      </c>
      <c r="AB4290" t="s">
        <v>23110</v>
      </c>
    </row>
    <row r="4291" spans="1:28" x14ac:dyDescent="0.25">
      <c r="A4291" t="s">
        <v>4295</v>
      </c>
      <c r="B4291">
        <v>0.99904790336628502</v>
      </c>
      <c r="C4291">
        <v>0.93812659148698097</v>
      </c>
      <c r="D4291">
        <v>0.95951649198788103</v>
      </c>
      <c r="E4291">
        <v>1.0102960918195301</v>
      </c>
      <c r="F4291">
        <v>0.91209530865956701</v>
      </c>
      <c r="G4291">
        <v>0.67717886050284704</v>
      </c>
      <c r="H4291">
        <v>0.58773296161010302</v>
      </c>
      <c r="I4291">
        <v>0.49220987281190698</v>
      </c>
      <c r="J4291">
        <v>0.50671743972151495</v>
      </c>
      <c r="K4291">
        <v>0.43084559081741702</v>
      </c>
      <c r="L4291">
        <v>1248.84718434208</v>
      </c>
      <c r="M4291">
        <v>22.064310574454499</v>
      </c>
      <c r="N4291">
        <v>63.9738337735794</v>
      </c>
      <c r="O4291">
        <v>56.141533600880898</v>
      </c>
      <c r="P4291">
        <v>-5.2990159149173502E-2</v>
      </c>
      <c r="Q4291">
        <v>0.46068853796877501</v>
      </c>
      <c r="R4291">
        <v>0.97703036360858797</v>
      </c>
      <c r="S4291" t="s">
        <v>9031</v>
      </c>
      <c r="T4291" t="s">
        <v>9478</v>
      </c>
      <c r="U4291" t="s">
        <v>9478</v>
      </c>
      <c r="V4291" t="s">
        <v>9478</v>
      </c>
      <c r="W4291">
        <v>2</v>
      </c>
      <c r="X4291" t="s">
        <v>13769</v>
      </c>
      <c r="Y4291">
        <v>0.76503455503685558</v>
      </c>
      <c r="Z4291" t="str">
        <f>HYPERLINK("Melting_Curves/meltCurve_tr_F2Z2T2_F2Z2T2_HUMAN_.pdf", "Melting_Curves/meltCurve_tr_F2Z2T2_F2Z2T2_HUMAN_.pdf")</f>
        <v>Melting_Curves/meltCurve_tr_F2Z2T2_F2Z2T2_HUMAN_.pdf</v>
      </c>
      <c r="AA4291" t="s">
        <v>18435</v>
      </c>
      <c r="AB4291" t="s">
        <v>23111</v>
      </c>
    </row>
    <row r="4292" spans="1:28" x14ac:dyDescent="0.25">
      <c r="A4292" t="s">
        <v>4296</v>
      </c>
      <c r="B4292">
        <v>0.99904790336628502</v>
      </c>
      <c r="C4292">
        <v>0.94715649425388504</v>
      </c>
      <c r="D4292">
        <v>0.92755111183890104</v>
      </c>
      <c r="E4292">
        <v>0.67502964765323004</v>
      </c>
      <c r="F4292">
        <v>0.21556252096975401</v>
      </c>
      <c r="G4292">
        <v>8.3455579901785704E-2</v>
      </c>
      <c r="H4292">
        <v>4.6751922059435201E-2</v>
      </c>
      <c r="I4292">
        <v>3.8204585258604401E-2</v>
      </c>
      <c r="J4292">
        <v>3.0625690408117998E-2</v>
      </c>
      <c r="K4292">
        <v>2.3021367648981599E-2</v>
      </c>
      <c r="L4292">
        <v>1700.72724883163</v>
      </c>
      <c r="M4292">
        <v>33.422808407761202</v>
      </c>
      <c r="N4292">
        <v>50.998355156080599</v>
      </c>
      <c r="O4292">
        <v>50.704106727194002</v>
      </c>
      <c r="P4292">
        <v>-0.15890673330140001</v>
      </c>
      <c r="Q4292">
        <v>3.5725679804878202E-2</v>
      </c>
      <c r="R4292">
        <v>0.99632147042097696</v>
      </c>
      <c r="S4292" t="s">
        <v>9032</v>
      </c>
      <c r="T4292" t="s">
        <v>9478</v>
      </c>
      <c r="U4292" t="s">
        <v>9478</v>
      </c>
      <c r="V4292" t="s">
        <v>9478</v>
      </c>
      <c r="W4292">
        <v>14</v>
      </c>
      <c r="X4292" t="s">
        <v>13770</v>
      </c>
      <c r="Y4292">
        <v>0.39047431244031328</v>
      </c>
      <c r="Z4292" t="str">
        <f>HYPERLINK("Melting_Curves/meltCurve_tr_F2Z2V0_F2Z2V0_HUMAN_.pdf", "Melting_Curves/meltCurve_tr_F2Z2V0_F2Z2V0_HUMAN_.pdf")</f>
        <v>Melting_Curves/meltCurve_tr_F2Z2V0_F2Z2V0_HUMAN_.pdf</v>
      </c>
      <c r="AA4292" t="s">
        <v>18436</v>
      </c>
      <c r="AB4292" t="s">
        <v>23112</v>
      </c>
    </row>
    <row r="4293" spans="1:28" x14ac:dyDescent="0.25">
      <c r="A4293" t="s">
        <v>4297</v>
      </c>
      <c r="B4293">
        <v>0.99904790336628502</v>
      </c>
      <c r="C4293">
        <v>0.97032674603514402</v>
      </c>
      <c r="D4293">
        <v>0.98712076516317404</v>
      </c>
      <c r="E4293">
        <v>0.92825936927928598</v>
      </c>
      <c r="F4293">
        <v>0.65923298764815497</v>
      </c>
      <c r="G4293">
        <v>0.15225744419753601</v>
      </c>
      <c r="H4293">
        <v>6.7471497430974497E-2</v>
      </c>
      <c r="I4293">
        <v>4.2568896136461802E-2</v>
      </c>
      <c r="J4293">
        <v>3.5017989200845701E-2</v>
      </c>
      <c r="K4293">
        <v>2.4774623665955599E-2</v>
      </c>
      <c r="L4293">
        <v>1861.4735623922099</v>
      </c>
      <c r="M4293">
        <v>34.545635206798501</v>
      </c>
      <c r="N4293">
        <v>53.998220862084402</v>
      </c>
      <c r="O4293">
        <v>53.704871989089803</v>
      </c>
      <c r="P4293">
        <v>-0.15516984434824899</v>
      </c>
      <c r="Q4293">
        <v>3.5091308805915301E-2</v>
      </c>
      <c r="R4293">
        <v>0.99915601658211695</v>
      </c>
      <c r="S4293" t="s">
        <v>9033</v>
      </c>
      <c r="T4293" t="s">
        <v>9478</v>
      </c>
      <c r="U4293" t="s">
        <v>9478</v>
      </c>
      <c r="V4293" t="s">
        <v>9478</v>
      </c>
      <c r="W4293">
        <v>13</v>
      </c>
      <c r="X4293" t="s">
        <v>13771</v>
      </c>
      <c r="Y4293">
        <v>0.48646889189756198</v>
      </c>
      <c r="Z4293" t="str">
        <f>HYPERLINK("Melting_Curves/meltCurve_tr_F2Z2X4_F2Z2X4_HUMAN_.pdf", "Melting_Curves/meltCurve_tr_F2Z2X4_F2Z2X4_HUMAN_.pdf")</f>
        <v>Melting_Curves/meltCurve_tr_F2Z2X4_F2Z2X4_HUMAN_.pdf</v>
      </c>
      <c r="AA4293" t="s">
        <v>18437</v>
      </c>
      <c r="AB4293" t="s">
        <v>23113</v>
      </c>
    </row>
    <row r="4294" spans="1:28" x14ac:dyDescent="0.25">
      <c r="A4294" t="s">
        <v>4298</v>
      </c>
      <c r="B4294">
        <v>0.99904790336628502</v>
      </c>
      <c r="C4294">
        <v>0.95127147240401999</v>
      </c>
      <c r="D4294">
        <v>0.90359413961787005</v>
      </c>
      <c r="E4294">
        <v>0.70391959790533398</v>
      </c>
      <c r="F4294">
        <v>0.46620919499836699</v>
      </c>
      <c r="G4294">
        <v>0.23583782585309901</v>
      </c>
      <c r="H4294">
        <v>0.121618798223494</v>
      </c>
      <c r="I4294">
        <v>4.4406253527559399E-2</v>
      </c>
      <c r="J4294">
        <v>1.8514217697651599E-2</v>
      </c>
      <c r="K4294">
        <v>3.70725927942911E-2</v>
      </c>
      <c r="L4294">
        <v>815.32607004222405</v>
      </c>
      <c r="M4294">
        <v>15.486385223966</v>
      </c>
      <c r="N4294">
        <v>52.647937069671102</v>
      </c>
      <c r="O4294">
        <v>51.793485603537199</v>
      </c>
      <c r="P4294">
        <v>-7.4757306404890506E-2</v>
      </c>
      <c r="Q4294">
        <v>0</v>
      </c>
      <c r="R4294">
        <v>0.99893955148284197</v>
      </c>
      <c r="S4294" t="s">
        <v>9034</v>
      </c>
      <c r="T4294" t="s">
        <v>9478</v>
      </c>
      <c r="U4294" t="s">
        <v>9478</v>
      </c>
      <c r="V4294" t="s">
        <v>9478</v>
      </c>
      <c r="W4294">
        <v>4</v>
      </c>
      <c r="X4294" t="s">
        <v>13772</v>
      </c>
      <c r="Y4294">
        <v>0.44243283106453107</v>
      </c>
      <c r="Z4294" t="str">
        <f>HYPERLINK("Melting_Curves/meltCurve_tr_F2Z3K9_F2Z3K9_HUMAN_.pdf", "Melting_Curves/meltCurve_tr_F2Z3K9_F2Z3K9_HUMAN_.pdf")</f>
        <v>Melting_Curves/meltCurve_tr_F2Z3K9_F2Z3K9_HUMAN_.pdf</v>
      </c>
      <c r="AA4294" t="s">
        <v>18438</v>
      </c>
      <c r="AB4294" t="s">
        <v>23114</v>
      </c>
    </row>
    <row r="4295" spans="1:28" x14ac:dyDescent="0.25">
      <c r="A4295" t="s">
        <v>4299</v>
      </c>
      <c r="B4295">
        <v>0.99904790336628502</v>
      </c>
      <c r="C4295">
        <v>1.1877748783786799</v>
      </c>
      <c r="D4295">
        <v>1.0208903822808799</v>
      </c>
      <c r="E4295">
        <v>1.02814130007663</v>
      </c>
      <c r="F4295">
        <v>1.0715219831098599</v>
      </c>
      <c r="G4295">
        <v>0.88213540040965899</v>
      </c>
      <c r="H4295">
        <v>0.5524261703626</v>
      </c>
      <c r="I4295">
        <v>0.37210353185967499</v>
      </c>
      <c r="J4295">
        <v>9.8245915302396805E-2</v>
      </c>
      <c r="K4295">
        <v>5.18166901071863E-2</v>
      </c>
      <c r="L4295">
        <v>1506.6882829779399</v>
      </c>
      <c r="M4295">
        <v>24.3364650121563</v>
      </c>
      <c r="N4295">
        <v>61.910749109185602</v>
      </c>
      <c r="O4295">
        <v>61.497246270545503</v>
      </c>
      <c r="P4295">
        <v>-9.8934630883828201E-2</v>
      </c>
      <c r="Q4295">
        <v>0</v>
      </c>
      <c r="R4295">
        <v>0.96836385927257596</v>
      </c>
      <c r="S4295" t="s">
        <v>9035</v>
      </c>
      <c r="T4295" t="s">
        <v>9478</v>
      </c>
      <c r="U4295" t="s">
        <v>9478</v>
      </c>
      <c r="V4295" t="s">
        <v>9478</v>
      </c>
      <c r="W4295">
        <v>1</v>
      </c>
      <c r="X4295" t="s">
        <v>13773</v>
      </c>
      <c r="Y4295">
        <v>0.73508019933525603</v>
      </c>
      <c r="Z4295" t="str">
        <f>HYPERLINK("Melting_Curves/meltCurve_tr_F2Z3M0_F2Z3M0_HUMAN_.pdf", "Melting_Curves/meltCurve_tr_F2Z3M0_F2Z3M0_HUMAN_.pdf")</f>
        <v>Melting_Curves/meltCurve_tr_F2Z3M0_F2Z3M0_HUMAN_.pdf</v>
      </c>
      <c r="AA4295" t="s">
        <v>18439</v>
      </c>
      <c r="AB4295" t="s">
        <v>23115</v>
      </c>
    </row>
    <row r="4296" spans="1:28" x14ac:dyDescent="0.25">
      <c r="A4296" t="s">
        <v>4300</v>
      </c>
      <c r="B4296">
        <v>0.99904790336628502</v>
      </c>
      <c r="C4296">
        <v>1.1434014287246399</v>
      </c>
      <c r="D4296">
        <v>1.0381265133524</v>
      </c>
      <c r="E4296">
        <v>1.0015961031438401</v>
      </c>
      <c r="F4296">
        <v>0.91906003712631801</v>
      </c>
      <c r="G4296">
        <v>0.68326303475239603</v>
      </c>
      <c r="H4296">
        <v>0.49024005277347998</v>
      </c>
      <c r="I4296">
        <v>0.39154270230335098</v>
      </c>
      <c r="J4296">
        <v>0.264079915148827</v>
      </c>
      <c r="K4296">
        <v>0.30666575107228899</v>
      </c>
      <c r="L4296">
        <v>1188.10664003337</v>
      </c>
      <c r="M4296">
        <v>20.418509521542902</v>
      </c>
      <c r="N4296">
        <v>60.4310421356668</v>
      </c>
      <c r="O4296">
        <v>57.638223018501598</v>
      </c>
      <c r="P4296">
        <v>-6.5034594049235006E-2</v>
      </c>
      <c r="Q4296">
        <v>0.26569252930869403</v>
      </c>
      <c r="R4296">
        <v>0.97287558372577099</v>
      </c>
      <c r="S4296" t="s">
        <v>9036</v>
      </c>
      <c r="T4296" t="s">
        <v>9478</v>
      </c>
      <c r="U4296" t="s">
        <v>9478</v>
      </c>
      <c r="V4296" t="s">
        <v>9478</v>
      </c>
      <c r="W4296">
        <v>2</v>
      </c>
      <c r="X4296" t="s">
        <v>13774</v>
      </c>
      <c r="Y4296">
        <v>0.71888376822672029</v>
      </c>
      <c r="Z4296" t="str">
        <f>HYPERLINK("Melting_Curves/meltCurve_tr_F5GWI4_F5GWI4_HUMAN_.pdf", "Melting_Curves/meltCurve_tr_F5GWI4_F5GWI4_HUMAN_.pdf")</f>
        <v>Melting_Curves/meltCurve_tr_F5GWI4_F5GWI4_HUMAN_.pdf</v>
      </c>
      <c r="AA4296" t="s">
        <v>18440</v>
      </c>
      <c r="AB4296" t="s">
        <v>23116</v>
      </c>
    </row>
    <row r="4297" spans="1:28" x14ac:dyDescent="0.25">
      <c r="A4297" t="s">
        <v>4301</v>
      </c>
      <c r="B4297">
        <v>0.99904790336628502</v>
      </c>
      <c r="C4297">
        <v>1.0821450497160201</v>
      </c>
      <c r="D4297">
        <v>1.1043237440973499</v>
      </c>
      <c r="E4297">
        <v>0.92347118724886301</v>
      </c>
      <c r="F4297">
        <v>0.72772546859313003</v>
      </c>
      <c r="G4297">
        <v>0.48428727757817103</v>
      </c>
      <c r="H4297">
        <v>0.40756146332536602</v>
      </c>
      <c r="I4297">
        <v>0.36479608485134501</v>
      </c>
      <c r="J4297">
        <v>0.34935136876404899</v>
      </c>
      <c r="K4297">
        <v>0.21800237168544701</v>
      </c>
      <c r="L4297">
        <v>1185.0973116017301</v>
      </c>
      <c r="M4297">
        <v>21.7635492954421</v>
      </c>
      <c r="N4297">
        <v>56.905996105844601</v>
      </c>
      <c r="O4297">
        <v>53.999815512799302</v>
      </c>
      <c r="P4297">
        <v>-7.0098688575118501E-2</v>
      </c>
      <c r="Q4297">
        <v>0.30429942614098998</v>
      </c>
      <c r="R4297">
        <v>0.96715127984228599</v>
      </c>
      <c r="S4297" t="s">
        <v>9037</v>
      </c>
      <c r="T4297" t="s">
        <v>9478</v>
      </c>
      <c r="U4297" t="s">
        <v>9478</v>
      </c>
      <c r="V4297" t="s">
        <v>9478</v>
      </c>
      <c r="W4297">
        <v>3</v>
      </c>
      <c r="X4297" t="s">
        <v>13775</v>
      </c>
      <c r="Y4297">
        <v>0.64765793040106379</v>
      </c>
      <c r="Z4297" t="str">
        <f>HYPERLINK("Melting_Curves/meltCurve_tr_F5GWI9_F5GWI9_HUMAN_.pdf", "Melting_Curves/meltCurve_tr_F5GWI9_F5GWI9_HUMAN_.pdf")</f>
        <v>Melting_Curves/meltCurve_tr_F5GWI9_F5GWI9_HUMAN_.pdf</v>
      </c>
      <c r="AA4297" t="s">
        <v>18441</v>
      </c>
      <c r="AB4297" t="s">
        <v>23117</v>
      </c>
    </row>
    <row r="4298" spans="1:28" x14ac:dyDescent="0.25">
      <c r="A4298" t="s">
        <v>4302</v>
      </c>
      <c r="B4298">
        <v>0.99904790336628502</v>
      </c>
      <c r="C4298">
        <v>1.02195296068717</v>
      </c>
      <c r="D4298">
        <v>1.0649939208678001</v>
      </c>
      <c r="E4298">
        <v>1.00779967311485</v>
      </c>
      <c r="F4298">
        <v>0.65289252972950595</v>
      </c>
      <c r="G4298">
        <v>2.7771221711957801</v>
      </c>
      <c r="H4298">
        <v>0.22538926104246801</v>
      </c>
      <c r="I4298">
        <v>0.16875215294235801</v>
      </c>
      <c r="J4298">
        <v>8.7719774147410806E-2</v>
      </c>
      <c r="K4298">
        <v>0.10913917950790999</v>
      </c>
      <c r="L4298">
        <v>15000</v>
      </c>
      <c r="M4298">
        <v>247.91417825037101</v>
      </c>
      <c r="N4298">
        <v>60.573068593965203</v>
      </c>
      <c r="O4298">
        <v>60.500857385680902</v>
      </c>
      <c r="P4298">
        <v>-0.89957878249991297</v>
      </c>
      <c r="Q4298">
        <v>0.121868691287759</v>
      </c>
      <c r="R4298">
        <v>0.43763970590741902</v>
      </c>
      <c r="S4298" t="s">
        <v>9038</v>
      </c>
      <c r="T4298" t="s">
        <v>9478</v>
      </c>
      <c r="U4298" t="s">
        <v>9478</v>
      </c>
      <c r="V4298" t="s">
        <v>9478</v>
      </c>
      <c r="W4298">
        <v>24</v>
      </c>
      <c r="X4298" t="s">
        <v>13776</v>
      </c>
      <c r="Y4298">
        <v>0.72216066996439188</v>
      </c>
      <c r="Z4298" t="str">
        <f>HYPERLINK("Melting_Curves/meltCurve_tr_F5GWP8_F5GWP8_HUMAN_.pdf", "Melting_Curves/meltCurve_tr_F5GWP8_F5GWP8_HUMAN_.pdf")</f>
        <v>Melting_Curves/meltCurve_tr_F5GWP8_F5GWP8_HUMAN_.pdf</v>
      </c>
      <c r="AA4298" t="s">
        <v>14985</v>
      </c>
      <c r="AB4298" t="s">
        <v>19617</v>
      </c>
    </row>
    <row r="4299" spans="1:28" x14ac:dyDescent="0.25">
      <c r="A4299" t="s">
        <v>4303</v>
      </c>
      <c r="B4299">
        <v>0.99904790336628502</v>
      </c>
      <c r="C4299">
        <v>0.96480356916251797</v>
      </c>
      <c r="D4299">
        <v>0.97306135147515505</v>
      </c>
      <c r="E4299">
        <v>0.81456159912540105</v>
      </c>
      <c r="F4299">
        <v>0.56584998683187404</v>
      </c>
      <c r="G4299">
        <v>0.291172397822755</v>
      </c>
      <c r="H4299">
        <v>0.17934689722347</v>
      </c>
      <c r="I4299">
        <v>0.137413066712814</v>
      </c>
      <c r="J4299">
        <v>0.13474216348905799</v>
      </c>
      <c r="K4299">
        <v>0.12126101531184499</v>
      </c>
      <c r="L4299">
        <v>1106.0968438954801</v>
      </c>
      <c r="M4299">
        <v>20.8228836447134</v>
      </c>
      <c r="N4299">
        <v>53.818254561426599</v>
      </c>
      <c r="O4299">
        <v>52.636657231500799</v>
      </c>
      <c r="P4299">
        <v>-8.7184348542800799E-2</v>
      </c>
      <c r="Q4299">
        <v>0.11847650400105</v>
      </c>
      <c r="R4299">
        <v>0.99925080635394803</v>
      </c>
      <c r="S4299" t="s">
        <v>9039</v>
      </c>
      <c r="T4299" t="s">
        <v>9478</v>
      </c>
      <c r="U4299" t="s">
        <v>9478</v>
      </c>
      <c r="V4299" t="s">
        <v>9478</v>
      </c>
      <c r="W4299">
        <v>20</v>
      </c>
      <c r="X4299" t="s">
        <v>13777</v>
      </c>
      <c r="Y4299">
        <v>0.51527767857565054</v>
      </c>
      <c r="Z4299" t="str">
        <f>HYPERLINK("Melting_Curves/meltCurve_tr_F5GWT4_F5GWT4_HUMAN_.pdf", "Melting_Curves/meltCurve_tr_F5GWT4_F5GWT4_HUMAN_.pdf")</f>
        <v>Melting_Curves/meltCurve_tr_F5GWT4_F5GWT4_HUMAN_.pdf</v>
      </c>
      <c r="AA4299" t="s">
        <v>18442</v>
      </c>
      <c r="AB4299" t="s">
        <v>23118</v>
      </c>
    </row>
    <row r="4300" spans="1:28" x14ac:dyDescent="0.25">
      <c r="A4300" t="s">
        <v>4304</v>
      </c>
      <c r="B4300">
        <v>0.99904790336628502</v>
      </c>
      <c r="C4300">
        <v>0.82561806164266904</v>
      </c>
      <c r="D4300">
        <v>0.81172070744140301</v>
      </c>
      <c r="E4300">
        <v>0.60313999655646799</v>
      </c>
      <c r="F4300">
        <v>0.43079401876323298</v>
      </c>
      <c r="G4300">
        <v>0.193177168114151</v>
      </c>
      <c r="H4300">
        <v>0.101358558338737</v>
      </c>
      <c r="I4300">
        <v>7.1125291220598602E-2</v>
      </c>
      <c r="J4300">
        <v>7.2519477408516497E-2</v>
      </c>
      <c r="K4300">
        <v>7.9861251950838097E-2</v>
      </c>
      <c r="L4300">
        <v>622.70239741997</v>
      </c>
      <c r="M4300">
        <v>12.1596499579152</v>
      </c>
      <c r="N4300">
        <v>51.271399651072798</v>
      </c>
      <c r="O4300">
        <v>49.884538523113399</v>
      </c>
      <c r="P4300">
        <v>-6.0516295381440197E-2</v>
      </c>
      <c r="Q4300">
        <v>7.1634655331340299E-3</v>
      </c>
      <c r="R4300">
        <v>0.98798836872794904</v>
      </c>
      <c r="S4300" t="s">
        <v>9040</v>
      </c>
      <c r="T4300" t="s">
        <v>9478</v>
      </c>
      <c r="U4300" t="s">
        <v>9478</v>
      </c>
      <c r="V4300" t="s">
        <v>9478</v>
      </c>
      <c r="W4300">
        <v>2</v>
      </c>
      <c r="X4300" t="s">
        <v>13778</v>
      </c>
      <c r="Y4300">
        <v>0.40954745757038552</v>
      </c>
      <c r="Z4300" t="str">
        <f>HYPERLINK("Melting_Curves/meltCurve_tr_F5GWU7_F5GWU7_HUMAN_.pdf", "Melting_Curves/meltCurve_tr_F5GWU7_F5GWU7_HUMAN_.pdf")</f>
        <v>Melting_Curves/meltCurve_tr_F5GWU7_F5GWU7_HUMAN_.pdf</v>
      </c>
      <c r="AA4300" t="s">
        <v>18443</v>
      </c>
      <c r="AB4300" t="s">
        <v>23119</v>
      </c>
    </row>
    <row r="4301" spans="1:28" x14ac:dyDescent="0.25">
      <c r="A4301" t="s">
        <v>4305</v>
      </c>
      <c r="B4301">
        <v>0.99904790336628502</v>
      </c>
      <c r="C4301">
        <v>0.97708545629268395</v>
      </c>
      <c r="D4301">
        <v>1.0250543484244301</v>
      </c>
      <c r="E4301">
        <v>0.71458631127323702</v>
      </c>
      <c r="F4301">
        <v>0.36585530886909201</v>
      </c>
      <c r="G4301">
        <v>0.19947874853427999</v>
      </c>
      <c r="H4301">
        <v>0.11590550923456799</v>
      </c>
      <c r="I4301">
        <v>8.4788056345838594E-2</v>
      </c>
      <c r="J4301">
        <v>6.7865614783050102E-2</v>
      </c>
      <c r="K4301">
        <v>5.3258543904462899E-2</v>
      </c>
      <c r="L4301">
        <v>1352.5197711822</v>
      </c>
      <c r="M4301">
        <v>26.221651032887401</v>
      </c>
      <c r="N4301">
        <v>51.934845378202702</v>
      </c>
      <c r="O4301">
        <v>51.283089850778602</v>
      </c>
      <c r="P4301">
        <v>-0.11735285682846899</v>
      </c>
      <c r="Q4301">
        <v>8.1957381763753001E-2</v>
      </c>
      <c r="R4301">
        <v>0.99478749151742396</v>
      </c>
      <c r="S4301" t="s">
        <v>9041</v>
      </c>
      <c r="T4301" t="s">
        <v>9478</v>
      </c>
      <c r="U4301" t="s">
        <v>9478</v>
      </c>
      <c r="V4301" t="s">
        <v>9478</v>
      </c>
      <c r="W4301">
        <v>23</v>
      </c>
      <c r="X4301" t="s">
        <v>13779</v>
      </c>
      <c r="Y4301">
        <v>0.44393343601207552</v>
      </c>
      <c r="Z4301" t="str">
        <f>HYPERLINK("Melting_Curves/meltCurve_tr_F5GWX5_F5GWX5_HUMAN_.pdf", "Melting_Curves/meltCurve_tr_F5GWX5_F5GWX5_HUMAN_.pdf")</f>
        <v>Melting_Curves/meltCurve_tr_F5GWX5_F5GWX5_HUMAN_.pdf</v>
      </c>
      <c r="AA4301" t="s">
        <v>18444</v>
      </c>
      <c r="AB4301" t="s">
        <v>23120</v>
      </c>
    </row>
    <row r="4302" spans="1:28" x14ac:dyDescent="0.25">
      <c r="A4302" t="s">
        <v>4306</v>
      </c>
      <c r="B4302">
        <v>0.99904790336628502</v>
      </c>
      <c r="C4302">
        <v>1.06116174147456</v>
      </c>
      <c r="D4302">
        <v>1.09884872523712</v>
      </c>
      <c r="E4302">
        <v>0.86056968834044301</v>
      </c>
      <c r="F4302">
        <v>0.59435668417138099</v>
      </c>
      <c r="G4302">
        <v>0.35259743301586299</v>
      </c>
      <c r="H4302">
        <v>0.19107871140854399</v>
      </c>
      <c r="I4302">
        <v>0.133183868897159</v>
      </c>
      <c r="J4302">
        <v>0.115000936348285</v>
      </c>
      <c r="K4302">
        <v>5.0640482203221697E-2</v>
      </c>
      <c r="L4302">
        <v>1104.4922907032701</v>
      </c>
      <c r="M4302">
        <v>20.4081209892252</v>
      </c>
      <c r="N4302">
        <v>54.628511221836398</v>
      </c>
      <c r="O4302">
        <v>53.608635774167197</v>
      </c>
      <c r="P4302">
        <v>-8.6945069489941795E-2</v>
      </c>
      <c r="Q4302">
        <v>8.6468358253488406E-2</v>
      </c>
      <c r="R4302">
        <v>0.98484133024930698</v>
      </c>
      <c r="S4302" t="s">
        <v>9042</v>
      </c>
      <c r="T4302" t="s">
        <v>9478</v>
      </c>
      <c r="U4302" t="s">
        <v>9478</v>
      </c>
      <c r="V4302" t="s">
        <v>9478</v>
      </c>
      <c r="W4302">
        <v>2</v>
      </c>
      <c r="X4302" t="s">
        <v>13780</v>
      </c>
      <c r="Y4302">
        <v>0.5284400230299281</v>
      </c>
      <c r="Z4302" t="str">
        <f>HYPERLINK("Melting_Curves/meltCurve_tr_F5GX77_F5GX77_HUMAN_.pdf", "Melting_Curves/meltCurve_tr_F5GX77_F5GX77_HUMAN_.pdf")</f>
        <v>Melting_Curves/meltCurve_tr_F5GX77_F5GX77_HUMAN_.pdf</v>
      </c>
      <c r="AA4302" t="s">
        <v>18445</v>
      </c>
      <c r="AB4302" t="s">
        <v>23121</v>
      </c>
    </row>
    <row r="4303" spans="1:28" x14ac:dyDescent="0.25">
      <c r="A4303" t="s">
        <v>4307</v>
      </c>
      <c r="B4303">
        <v>0.99904790336628502</v>
      </c>
      <c r="C4303">
        <v>1.0341419534490499</v>
      </c>
      <c r="D4303">
        <v>1.0226373758863101</v>
      </c>
      <c r="E4303">
        <v>0.58954050597096197</v>
      </c>
      <c r="F4303">
        <v>0.18777135897435601</v>
      </c>
      <c r="G4303">
        <v>8.6962947418405295E-2</v>
      </c>
      <c r="H4303">
        <v>4.8758385794608901E-2</v>
      </c>
      <c r="I4303">
        <v>3.8268035734759398E-2</v>
      </c>
      <c r="J4303">
        <v>3.6363788486427497E-2</v>
      </c>
      <c r="K4303">
        <v>3.1216584747048699E-2</v>
      </c>
      <c r="L4303">
        <v>1908.29351065944</v>
      </c>
      <c r="M4303">
        <v>37.837956005189398</v>
      </c>
      <c r="N4303">
        <v>50.5636534486569</v>
      </c>
      <c r="O4303">
        <v>50.293068837578403</v>
      </c>
      <c r="P4303">
        <v>-0.17934673388833899</v>
      </c>
      <c r="Q4303">
        <v>4.6473520572296902E-2</v>
      </c>
      <c r="R4303">
        <v>0.99735624494478303</v>
      </c>
      <c r="S4303" t="s">
        <v>9043</v>
      </c>
      <c r="T4303" t="s">
        <v>9478</v>
      </c>
      <c r="U4303" t="s">
        <v>9478</v>
      </c>
      <c r="V4303" t="s">
        <v>9478</v>
      </c>
      <c r="W4303">
        <v>20</v>
      </c>
      <c r="X4303" t="s">
        <v>13781</v>
      </c>
      <c r="Y4303">
        <v>0.38180707603098629</v>
      </c>
      <c r="Z4303" t="str">
        <f>HYPERLINK("Melting_Curves/meltCurve_tr_F5GXC8_F5GXC8_HUMAN_.pdf", "Melting_Curves/meltCurve_tr_F5GXC8_F5GXC8_HUMAN_.pdf")</f>
        <v>Melting_Curves/meltCurve_tr_F5GXC8_F5GXC8_HUMAN_.pdf</v>
      </c>
      <c r="AA4303" t="s">
        <v>18446</v>
      </c>
      <c r="AB4303" t="s">
        <v>23122</v>
      </c>
    </row>
    <row r="4304" spans="1:28" x14ac:dyDescent="0.25">
      <c r="A4304" t="s">
        <v>4308</v>
      </c>
      <c r="B4304">
        <v>0.99904790336628502</v>
      </c>
      <c r="C4304">
        <v>1.0368156489778</v>
      </c>
      <c r="D4304">
        <v>1.0121663970774799</v>
      </c>
      <c r="E4304">
        <v>0.85854560363934596</v>
      </c>
      <c r="F4304">
        <v>0.78688580634962502</v>
      </c>
      <c r="G4304">
        <v>0.54921285805036701</v>
      </c>
      <c r="H4304">
        <v>0.47784544033439702</v>
      </c>
      <c r="I4304">
        <v>0.39201124353666</v>
      </c>
      <c r="J4304">
        <v>0.34925021283687602</v>
      </c>
      <c r="K4304">
        <v>0.28118482047953602</v>
      </c>
      <c r="L4304">
        <v>792.46235256619502</v>
      </c>
      <c r="M4304">
        <v>14.175413911632299</v>
      </c>
      <c r="N4304">
        <v>59.220911505878902</v>
      </c>
      <c r="O4304">
        <v>54.8267283752363</v>
      </c>
      <c r="P4304">
        <v>-4.6934430646102497E-2</v>
      </c>
      <c r="Q4304">
        <v>0.27397195665730201</v>
      </c>
      <c r="R4304">
        <v>0.988408283380524</v>
      </c>
      <c r="S4304" t="s">
        <v>9044</v>
      </c>
      <c r="T4304" t="s">
        <v>9478</v>
      </c>
      <c r="U4304" t="s">
        <v>9478</v>
      </c>
      <c r="V4304" t="s">
        <v>9478</v>
      </c>
      <c r="W4304">
        <v>4</v>
      </c>
      <c r="X4304" t="s">
        <v>13782</v>
      </c>
      <c r="Y4304">
        <v>0.67247737862323731</v>
      </c>
      <c r="Z4304" t="str">
        <f>HYPERLINK("Melting_Curves/meltCurve_tr_F5GXJ9_F5GXJ9_HUMAN_.pdf", "Melting_Curves/meltCurve_tr_F5GXJ9_F5GXJ9_HUMAN_.pdf")</f>
        <v>Melting_Curves/meltCurve_tr_F5GXJ9_F5GXJ9_HUMAN_.pdf</v>
      </c>
      <c r="AA4304" t="s">
        <v>18447</v>
      </c>
      <c r="AB4304" t="s">
        <v>23123</v>
      </c>
    </row>
    <row r="4305" spans="1:28" x14ac:dyDescent="0.25">
      <c r="A4305" t="s">
        <v>4309</v>
      </c>
      <c r="B4305">
        <v>0.99904790336628502</v>
      </c>
      <c r="C4305">
        <v>1.0073929721478301</v>
      </c>
      <c r="D4305">
        <v>0.948111717297909</v>
      </c>
      <c r="E4305">
        <v>0.90264911627317701</v>
      </c>
      <c r="F4305">
        <v>0.81131469185684302</v>
      </c>
      <c r="G4305">
        <v>0.56319300877214795</v>
      </c>
      <c r="H4305">
        <v>0.41885372466188903</v>
      </c>
      <c r="I4305">
        <v>0.29455745336657302</v>
      </c>
      <c r="J4305">
        <v>0.24372413050864</v>
      </c>
      <c r="K4305">
        <v>0.14514551966641301</v>
      </c>
      <c r="L4305">
        <v>725.72298325167696</v>
      </c>
      <c r="M4305">
        <v>12.4506152331496</v>
      </c>
      <c r="N4305">
        <v>58.931131242247602</v>
      </c>
      <c r="O4305">
        <v>56.845748591534402</v>
      </c>
      <c r="P4305">
        <v>-5.12892314061444E-2</v>
      </c>
      <c r="Q4305">
        <v>6.3511526593644202E-2</v>
      </c>
      <c r="R4305">
        <v>0.99642832048811703</v>
      </c>
      <c r="S4305" t="s">
        <v>9045</v>
      </c>
      <c r="T4305" t="s">
        <v>9478</v>
      </c>
      <c r="U4305" t="s">
        <v>9478</v>
      </c>
      <c r="V4305" t="s">
        <v>9478</v>
      </c>
      <c r="W4305">
        <v>2</v>
      </c>
      <c r="X4305" t="s">
        <v>13783</v>
      </c>
      <c r="Y4305">
        <v>0.64544956864220282</v>
      </c>
      <c r="Z4305" t="str">
        <f>HYPERLINK("Melting_Curves/meltCurve_tr_F5GXU7_F5GXU7_HUMAN_.pdf", "Melting_Curves/meltCurve_tr_F5GXU7_F5GXU7_HUMAN_.pdf")</f>
        <v>Melting_Curves/meltCurve_tr_F5GXU7_F5GXU7_HUMAN_.pdf</v>
      </c>
      <c r="AA4305" t="s">
        <v>18448</v>
      </c>
      <c r="AB4305" t="s">
        <v>23124</v>
      </c>
    </row>
    <row r="4306" spans="1:28" x14ac:dyDescent="0.25">
      <c r="A4306" t="s">
        <v>4310</v>
      </c>
      <c r="B4306">
        <v>0.99904790336628502</v>
      </c>
      <c r="C4306">
        <v>0.75064115419225796</v>
      </c>
      <c r="D4306">
        <v>0.74254519693391696</v>
      </c>
      <c r="E4306">
        <v>0.87099973238904105</v>
      </c>
      <c r="F4306">
        <v>0.82426607269669805</v>
      </c>
      <c r="G4306">
        <v>0.65323193260606904</v>
      </c>
      <c r="H4306">
        <v>0.40817455074403602</v>
      </c>
      <c r="I4306">
        <v>0.32243242198341299</v>
      </c>
      <c r="J4306">
        <v>0.252920076613114</v>
      </c>
      <c r="K4306">
        <v>0.20700717312333</v>
      </c>
      <c r="L4306">
        <v>466.81938729855801</v>
      </c>
      <c r="M4306">
        <v>7.8814527942329704</v>
      </c>
      <c r="N4306">
        <v>59.230103780759102</v>
      </c>
      <c r="O4306">
        <v>55.780652485116001</v>
      </c>
      <c r="P4306">
        <v>-3.53656543657591E-2</v>
      </c>
      <c r="Q4306">
        <v>0</v>
      </c>
      <c r="R4306">
        <v>0.87014473891191602</v>
      </c>
      <c r="S4306" t="s">
        <v>9046</v>
      </c>
      <c r="T4306" t="s">
        <v>9478</v>
      </c>
      <c r="U4306" t="s">
        <v>9478</v>
      </c>
      <c r="V4306" t="s">
        <v>9478</v>
      </c>
      <c r="W4306">
        <v>2</v>
      </c>
      <c r="X4306" t="s">
        <v>13784</v>
      </c>
      <c r="Y4306">
        <v>0.63267211793130529</v>
      </c>
      <c r="Z4306" t="str">
        <f>HYPERLINK("Melting_Curves/meltCurve_tr_F5GY03_F5GY03_HUMAN_.pdf", "Melting_Curves/meltCurve_tr_F5GY03_F5GY03_HUMAN_.pdf")</f>
        <v>Melting_Curves/meltCurve_tr_F5GY03_F5GY03_HUMAN_.pdf</v>
      </c>
      <c r="AA4306" t="s">
        <v>18449</v>
      </c>
      <c r="AB4306" t="s">
        <v>23125</v>
      </c>
    </row>
    <row r="4307" spans="1:28" x14ac:dyDescent="0.25">
      <c r="A4307" t="s">
        <v>4311</v>
      </c>
      <c r="B4307">
        <v>0.99904790336628502</v>
      </c>
      <c r="C4307">
        <v>1.03974533243797</v>
      </c>
      <c r="D4307">
        <v>1.02762731214514</v>
      </c>
      <c r="E4307">
        <v>0.78469195474995002</v>
      </c>
      <c r="F4307">
        <v>0.50814196680122303</v>
      </c>
      <c r="G4307">
        <v>0.23705070626611099</v>
      </c>
      <c r="H4307">
        <v>0.116543190833309</v>
      </c>
      <c r="I4307">
        <v>0.101063143480665</v>
      </c>
      <c r="J4307">
        <v>8.89117969767977E-2</v>
      </c>
      <c r="K4307">
        <v>6.3688206615500703E-2</v>
      </c>
      <c r="L4307">
        <v>1223.19070092112</v>
      </c>
      <c r="M4307">
        <v>23.184213169460701</v>
      </c>
      <c r="N4307">
        <v>53.155602659188098</v>
      </c>
      <c r="O4307">
        <v>52.371807394982099</v>
      </c>
      <c r="P4307">
        <v>-0.10189616731194399</v>
      </c>
      <c r="Q4307">
        <v>7.9306176199918296E-2</v>
      </c>
      <c r="R4307">
        <v>0.99618348758504205</v>
      </c>
      <c r="S4307" t="s">
        <v>9047</v>
      </c>
      <c r="T4307" t="s">
        <v>9478</v>
      </c>
      <c r="U4307" t="s">
        <v>9478</v>
      </c>
      <c r="V4307" t="s">
        <v>9478</v>
      </c>
      <c r="W4307">
        <v>9</v>
      </c>
      <c r="X4307" t="s">
        <v>13785</v>
      </c>
      <c r="Y4307">
        <v>0.48063804223029261</v>
      </c>
      <c r="Z4307" t="str">
        <f>HYPERLINK("Melting_Curves/meltCurve_tr_F5GY80_F5GY80_HUMAN_.pdf", "Melting_Curves/meltCurve_tr_F5GY80_F5GY80_HUMAN_.pdf")</f>
        <v>Melting_Curves/meltCurve_tr_F5GY80_F5GY80_HUMAN_.pdf</v>
      </c>
      <c r="AA4307" t="s">
        <v>18450</v>
      </c>
      <c r="AB4307" t="s">
        <v>23126</v>
      </c>
    </row>
    <row r="4308" spans="1:28" x14ac:dyDescent="0.25">
      <c r="A4308" t="s">
        <v>4312</v>
      </c>
      <c r="B4308">
        <v>0.99904790336628502</v>
      </c>
      <c r="C4308">
        <v>0.90983926309668195</v>
      </c>
      <c r="D4308">
        <v>0.95513988589750298</v>
      </c>
      <c r="E4308">
        <v>0.80652286105091797</v>
      </c>
      <c r="F4308">
        <v>0.46389881785998199</v>
      </c>
      <c r="G4308">
        <v>0.30986759186306501</v>
      </c>
      <c r="H4308">
        <v>0.263262298238364</v>
      </c>
      <c r="I4308">
        <v>0.21673769578251201</v>
      </c>
      <c r="J4308">
        <v>0.165834107971226</v>
      </c>
      <c r="K4308">
        <v>0.21551733936644701</v>
      </c>
      <c r="L4308">
        <v>1279.0004810190601</v>
      </c>
      <c r="M4308">
        <v>24.669347270264399</v>
      </c>
      <c r="N4308">
        <v>53.0105786372593</v>
      </c>
      <c r="O4308">
        <v>51.508660284495903</v>
      </c>
      <c r="P4308">
        <v>-9.4682935988843295E-2</v>
      </c>
      <c r="Q4308">
        <v>0.20923377806351701</v>
      </c>
      <c r="R4308">
        <v>0.98705505761322498</v>
      </c>
      <c r="S4308" t="s">
        <v>9048</v>
      </c>
      <c r="T4308" t="s">
        <v>9478</v>
      </c>
      <c r="U4308" t="s">
        <v>9478</v>
      </c>
      <c r="V4308" t="s">
        <v>9478</v>
      </c>
      <c r="W4308">
        <v>2</v>
      </c>
      <c r="X4308" t="s">
        <v>13786</v>
      </c>
      <c r="Y4308">
        <v>0.52886945360500004</v>
      </c>
      <c r="Z4308" t="str">
        <f>HYPERLINK("Melting_Curves/meltCurve_tr_F5GYA2_F5GYA2_HUMAN_.pdf", "Melting_Curves/meltCurve_tr_F5GYA2_F5GYA2_HUMAN_.pdf")</f>
        <v>Melting_Curves/meltCurve_tr_F5GYA2_F5GYA2_HUMAN_.pdf</v>
      </c>
      <c r="AA4308" t="s">
        <v>18451</v>
      </c>
      <c r="AB4308" t="s">
        <v>23127</v>
      </c>
    </row>
    <row r="4309" spans="1:28" x14ac:dyDescent="0.25">
      <c r="A4309" t="s">
        <v>4313</v>
      </c>
      <c r="B4309">
        <v>0.99904790336628502</v>
      </c>
      <c r="C4309">
        <v>0.99710760234289797</v>
      </c>
      <c r="D4309">
        <v>0.89621534932554903</v>
      </c>
      <c r="E4309">
        <v>0.56329406443566399</v>
      </c>
      <c r="F4309">
        <v>0.31588320710918</v>
      </c>
      <c r="G4309">
        <v>0.155326855051892</v>
      </c>
      <c r="H4309">
        <v>0.102625684661657</v>
      </c>
      <c r="I4309">
        <v>7.5610989783183896E-2</v>
      </c>
      <c r="J4309">
        <v>5.1358894317457902E-2</v>
      </c>
      <c r="K4309">
        <v>5.32656717570342E-2</v>
      </c>
      <c r="L4309">
        <v>1037.70003527836</v>
      </c>
      <c r="M4309">
        <v>20.565417747761899</v>
      </c>
      <c r="N4309">
        <v>50.779908607591899</v>
      </c>
      <c r="O4309">
        <v>49.988674828134201</v>
      </c>
      <c r="P4309">
        <v>-9.6576601716366201E-2</v>
      </c>
      <c r="Q4309">
        <v>6.1026716107639399E-2</v>
      </c>
      <c r="R4309">
        <v>0.99901743530106801</v>
      </c>
      <c r="S4309" t="s">
        <v>9049</v>
      </c>
      <c r="T4309" t="s">
        <v>9478</v>
      </c>
      <c r="U4309" t="s">
        <v>9478</v>
      </c>
      <c r="V4309" t="s">
        <v>9478</v>
      </c>
      <c r="W4309">
        <v>19</v>
      </c>
      <c r="X4309" t="s">
        <v>13787</v>
      </c>
      <c r="Y4309">
        <v>0.40074002244957879</v>
      </c>
      <c r="Z4309" t="str">
        <f>HYPERLINK("Melting_Curves/meltCurve_tr_F5GYC4_F5GYC4_HUMAN_.pdf", "Melting_Curves/meltCurve_tr_F5GYC4_F5GYC4_HUMAN_.pdf")</f>
        <v>Melting_Curves/meltCurve_tr_F5GYC4_F5GYC4_HUMAN_.pdf</v>
      </c>
      <c r="AA4309" t="s">
        <v>18452</v>
      </c>
      <c r="AB4309" t="s">
        <v>23128</v>
      </c>
    </row>
    <row r="4310" spans="1:28" x14ac:dyDescent="0.25">
      <c r="A4310" t="s">
        <v>4314</v>
      </c>
      <c r="B4310">
        <v>0.99904790336628502</v>
      </c>
      <c r="C4310">
        <v>0.96050994783314703</v>
      </c>
      <c r="D4310">
        <v>0.95076505854802096</v>
      </c>
      <c r="E4310">
        <v>0.98511368182555903</v>
      </c>
      <c r="F4310">
        <v>0.95174218539427102</v>
      </c>
      <c r="G4310">
        <v>0.78271097135419199</v>
      </c>
      <c r="H4310">
        <v>0.51592097421294003</v>
      </c>
      <c r="I4310">
        <v>0.42668609849084799</v>
      </c>
      <c r="J4310">
        <v>0.37698067386051598</v>
      </c>
      <c r="K4310">
        <v>0.36888048059702899</v>
      </c>
      <c r="L4310">
        <v>1474.6133029278801</v>
      </c>
      <c r="M4310">
        <v>25.2332908283928</v>
      </c>
      <c r="N4310">
        <v>61.482522181449497</v>
      </c>
      <c r="O4310">
        <v>58.075870044893897</v>
      </c>
      <c r="P4310">
        <v>-6.9887560187911799E-2</v>
      </c>
      <c r="Q4310">
        <v>0.35660738218795002</v>
      </c>
      <c r="R4310">
        <v>0.99403844499821403</v>
      </c>
      <c r="S4310" t="s">
        <v>9050</v>
      </c>
      <c r="T4310" t="s">
        <v>9478</v>
      </c>
      <c r="U4310" t="s">
        <v>9478</v>
      </c>
      <c r="V4310" t="s">
        <v>9478</v>
      </c>
      <c r="W4310">
        <v>6</v>
      </c>
      <c r="X4310" t="s">
        <v>13788</v>
      </c>
      <c r="Y4310">
        <v>0.75746755190332649</v>
      </c>
      <c r="Z4310" t="str">
        <f>HYPERLINK("Melting_Curves/meltCurve_tr_F5GYJ5_F5GYJ5_HUMAN_.pdf", "Melting_Curves/meltCurve_tr_F5GYJ5_F5GYJ5_HUMAN_.pdf")</f>
        <v>Melting_Curves/meltCurve_tr_F5GYJ5_F5GYJ5_HUMAN_.pdf</v>
      </c>
      <c r="AB4310" t="s">
        <v>22851</v>
      </c>
    </row>
    <row r="4311" spans="1:28" x14ac:dyDescent="0.25">
      <c r="A4311" t="s">
        <v>4315</v>
      </c>
      <c r="B4311">
        <v>0.99904790336628502</v>
      </c>
      <c r="C4311">
        <v>1.08943638588033</v>
      </c>
      <c r="D4311">
        <v>1.1458806561049999</v>
      </c>
      <c r="E4311">
        <v>0.86211350911910301</v>
      </c>
      <c r="F4311">
        <v>0.66737261388243296</v>
      </c>
      <c r="G4311">
        <v>0.33287811830208502</v>
      </c>
      <c r="H4311">
        <v>0.24111562865868499</v>
      </c>
      <c r="I4311">
        <v>0.23845107289317299</v>
      </c>
      <c r="J4311">
        <v>0.26250953990918002</v>
      </c>
      <c r="K4311">
        <v>0.241449814026405</v>
      </c>
      <c r="L4311">
        <v>1586.7311452691499</v>
      </c>
      <c r="M4311">
        <v>29.774287077555702</v>
      </c>
      <c r="N4311">
        <v>54.488798448956103</v>
      </c>
      <c r="O4311">
        <v>53.053322962069103</v>
      </c>
      <c r="P4311">
        <v>-0.106629911013938</v>
      </c>
      <c r="Q4311">
        <v>0.24001084667872399</v>
      </c>
      <c r="R4311">
        <v>0.97442387661237695</v>
      </c>
      <c r="S4311" t="s">
        <v>9051</v>
      </c>
      <c r="T4311" t="s">
        <v>9478</v>
      </c>
      <c r="U4311" t="s">
        <v>9478</v>
      </c>
      <c r="V4311" t="s">
        <v>9478</v>
      </c>
      <c r="W4311">
        <v>9</v>
      </c>
      <c r="X4311" t="s">
        <v>13789</v>
      </c>
      <c r="Y4311">
        <v>0.58175823636621782</v>
      </c>
      <c r="Z4311" t="str">
        <f>HYPERLINK("Melting_Curves/meltCurve_tr_F5GYK2_F5GYK2_HUMAN_.pdf", "Melting_Curves/meltCurve_tr_F5GYK2_F5GYK2_HUMAN_.pdf")</f>
        <v>Melting_Curves/meltCurve_tr_F5GYK2_F5GYK2_HUMAN_.pdf</v>
      </c>
      <c r="AA4311" t="s">
        <v>18453</v>
      </c>
      <c r="AB4311" t="s">
        <v>23129</v>
      </c>
    </row>
    <row r="4312" spans="1:28" x14ac:dyDescent="0.25">
      <c r="A4312" t="s">
        <v>4316</v>
      </c>
      <c r="B4312">
        <v>0.99904790336628502</v>
      </c>
      <c r="C4312">
        <v>0.88839163642723196</v>
      </c>
      <c r="D4312">
        <v>0.86962368057749295</v>
      </c>
      <c r="E4312">
        <v>0.88205482185837902</v>
      </c>
      <c r="F4312">
        <v>0.71010829201850501</v>
      </c>
      <c r="G4312">
        <v>0.17932277040314901</v>
      </c>
      <c r="H4312">
        <v>7.4570303278267303E-2</v>
      </c>
      <c r="I4312">
        <v>4.7551484500994598E-2</v>
      </c>
      <c r="J4312">
        <v>3.9273196090719199E-2</v>
      </c>
      <c r="K4312">
        <v>2.36677311248778E-2</v>
      </c>
      <c r="L4312">
        <v>1611.31913225481</v>
      </c>
      <c r="M4312">
        <v>29.726957070899001</v>
      </c>
      <c r="N4312">
        <v>54.314541138803399</v>
      </c>
      <c r="O4312">
        <v>53.960454755596899</v>
      </c>
      <c r="P4312">
        <v>-0.13368228789719599</v>
      </c>
      <c r="Q4312">
        <v>2.9364732804973901E-2</v>
      </c>
      <c r="R4312">
        <v>0.98002050280625996</v>
      </c>
      <c r="S4312" t="s">
        <v>9052</v>
      </c>
      <c r="T4312" t="s">
        <v>9478</v>
      </c>
      <c r="U4312" t="s">
        <v>9478</v>
      </c>
      <c r="V4312" t="s">
        <v>9478</v>
      </c>
      <c r="W4312">
        <v>13</v>
      </c>
      <c r="X4312" t="s">
        <v>13790</v>
      </c>
      <c r="Y4312">
        <v>0.49543079709690863</v>
      </c>
      <c r="Z4312" t="str">
        <f>HYPERLINK("Melting_Curves/meltCurve_tr_F5GYN4_F5GYN4_HUMAN_.pdf", "Melting_Curves/meltCurve_tr_F5GYN4_F5GYN4_HUMAN_.pdf")</f>
        <v>Melting_Curves/meltCurve_tr_F5GYN4_F5GYN4_HUMAN_.pdf</v>
      </c>
      <c r="AA4312" t="s">
        <v>18454</v>
      </c>
      <c r="AB4312" t="s">
        <v>23130</v>
      </c>
    </row>
    <row r="4313" spans="1:28" x14ac:dyDescent="0.25">
      <c r="A4313" t="s">
        <v>4317</v>
      </c>
      <c r="B4313">
        <v>0.99904790336628502</v>
      </c>
      <c r="C4313">
        <v>1.24125848281469</v>
      </c>
      <c r="D4313">
        <v>1.11313576138577</v>
      </c>
      <c r="E4313">
        <v>0.99705803321861997</v>
      </c>
      <c r="F4313">
        <v>0.591976396989363</v>
      </c>
      <c r="G4313">
        <v>0.46052590782654801</v>
      </c>
      <c r="H4313">
        <v>0.332275954208407</v>
      </c>
      <c r="I4313">
        <v>0.26055130408879901</v>
      </c>
      <c r="J4313">
        <v>8.4794087286581402E-2</v>
      </c>
      <c r="K4313">
        <v>0</v>
      </c>
      <c r="L4313">
        <v>852.99872203919097</v>
      </c>
      <c r="M4313">
        <v>15.059502719067501</v>
      </c>
      <c r="N4313">
        <v>56.8047054802445</v>
      </c>
      <c r="O4313">
        <v>55.671274415783799</v>
      </c>
      <c r="P4313">
        <v>-6.6204866961852293E-2</v>
      </c>
      <c r="Q4313">
        <v>2.1124997950742599E-2</v>
      </c>
      <c r="R4313">
        <v>0.92474439443203804</v>
      </c>
      <c r="S4313" t="s">
        <v>9053</v>
      </c>
      <c r="T4313" t="s">
        <v>9478</v>
      </c>
      <c r="U4313" t="s">
        <v>9478</v>
      </c>
      <c r="V4313" t="s">
        <v>9478</v>
      </c>
      <c r="W4313">
        <v>3</v>
      </c>
      <c r="X4313" t="s">
        <v>13791</v>
      </c>
      <c r="Y4313">
        <v>0.5802996669518834</v>
      </c>
      <c r="Z4313" t="str">
        <f>HYPERLINK("Melting_Curves/meltCurve_tr_F5GZ54_F5GZ54_HUMAN_.pdf", "Melting_Curves/meltCurve_tr_F5GZ54_F5GZ54_HUMAN_.pdf")</f>
        <v>Melting_Curves/meltCurve_tr_F5GZ54_F5GZ54_HUMAN_.pdf</v>
      </c>
      <c r="AA4313" t="s">
        <v>17174</v>
      </c>
      <c r="AB4313" t="s">
        <v>23131</v>
      </c>
    </row>
    <row r="4314" spans="1:28" x14ac:dyDescent="0.25">
      <c r="A4314" t="s">
        <v>4318</v>
      </c>
      <c r="B4314">
        <v>0.99904790336628502</v>
      </c>
      <c r="C4314">
        <v>0.88922740085712904</v>
      </c>
      <c r="D4314">
        <v>0.86312365588940998</v>
      </c>
      <c r="E4314">
        <v>0.84686268256251696</v>
      </c>
      <c r="F4314">
        <v>0.79156798946640805</v>
      </c>
      <c r="G4314">
        <v>0.64506986302609004</v>
      </c>
      <c r="H4314">
        <v>0.50926035755299504</v>
      </c>
      <c r="I4314">
        <v>0.43296210504171601</v>
      </c>
      <c r="J4314">
        <v>0.38924555982391201</v>
      </c>
      <c r="K4314">
        <v>0.31092863726234399</v>
      </c>
      <c r="L4314">
        <v>405.98246235609901</v>
      </c>
      <c r="M4314">
        <v>6.5573582511479298</v>
      </c>
      <c r="N4314">
        <v>61.9125029927011</v>
      </c>
      <c r="O4314">
        <v>56.911955938536401</v>
      </c>
      <c r="P4314">
        <v>-2.8872601288621801E-2</v>
      </c>
      <c r="Q4314">
        <v>0</v>
      </c>
      <c r="R4314">
        <v>0.98351038754865605</v>
      </c>
      <c r="S4314" t="s">
        <v>9054</v>
      </c>
      <c r="T4314" t="s">
        <v>9478</v>
      </c>
      <c r="U4314" t="s">
        <v>9478</v>
      </c>
      <c r="V4314" t="s">
        <v>9478</v>
      </c>
      <c r="W4314">
        <v>3</v>
      </c>
      <c r="X4314" t="s">
        <v>13792</v>
      </c>
      <c r="Y4314">
        <v>0.67819619869510284</v>
      </c>
      <c r="Z4314" t="str">
        <f>HYPERLINK("Melting_Curves/meltCurve_tr_F5GZY0_F5GZY0_HUMAN_.pdf", "Melting_Curves/meltCurve_tr_F5GZY0_F5GZY0_HUMAN_.pdf")</f>
        <v>Melting_Curves/meltCurve_tr_F5GZY0_F5GZY0_HUMAN_.pdf</v>
      </c>
      <c r="AA4314" t="s">
        <v>18455</v>
      </c>
      <c r="AB4314" t="s">
        <v>23132</v>
      </c>
    </row>
    <row r="4315" spans="1:28" x14ac:dyDescent="0.25">
      <c r="A4315" t="s">
        <v>4319</v>
      </c>
      <c r="B4315">
        <v>0.99904790336628502</v>
      </c>
      <c r="C4315">
        <v>0.93713301042167996</v>
      </c>
      <c r="D4315">
        <v>0.93126927719749297</v>
      </c>
      <c r="E4315">
        <v>0.96412945724244803</v>
      </c>
      <c r="F4315">
        <v>0.92834154715955197</v>
      </c>
      <c r="G4315">
        <v>0.73293908896089099</v>
      </c>
      <c r="H4315">
        <v>0.626579571605974</v>
      </c>
      <c r="I4315">
        <v>0.61461989876908996</v>
      </c>
      <c r="J4315">
        <v>0.53432672016708205</v>
      </c>
      <c r="K4315">
        <v>0.36356161252231001</v>
      </c>
      <c r="L4315">
        <v>509.630551906481</v>
      </c>
      <c r="M4315">
        <v>7.65892706469117</v>
      </c>
      <c r="N4315">
        <v>66.540723805276301</v>
      </c>
      <c r="O4315">
        <v>62.459702996789197</v>
      </c>
      <c r="P4315">
        <v>-3.0696254581149399E-2</v>
      </c>
      <c r="Q4315">
        <v>0</v>
      </c>
      <c r="R4315">
        <v>0.95947927589281201</v>
      </c>
      <c r="S4315" t="s">
        <v>9055</v>
      </c>
      <c r="T4315" t="s">
        <v>9478</v>
      </c>
      <c r="U4315" t="s">
        <v>9478</v>
      </c>
      <c r="V4315" t="s">
        <v>9478</v>
      </c>
      <c r="W4315">
        <v>16</v>
      </c>
      <c r="X4315" t="s">
        <v>13793</v>
      </c>
      <c r="Y4315">
        <v>0.78117047156306196</v>
      </c>
      <c r="Z4315" t="str">
        <f>HYPERLINK("Melting_Curves/meltCurve_tr_F5GZZ9_F5GZZ9_HUMAN_.pdf", "Melting_Curves/meltCurve_tr_F5GZZ9_F5GZZ9_HUMAN_.pdf")</f>
        <v>Melting_Curves/meltCurve_tr_F5GZZ9_F5GZZ9_HUMAN_.pdf</v>
      </c>
      <c r="AA4315" t="s">
        <v>18456</v>
      </c>
      <c r="AB4315" t="s">
        <v>23133</v>
      </c>
    </row>
    <row r="4316" spans="1:28" x14ac:dyDescent="0.25">
      <c r="A4316" t="s">
        <v>4320</v>
      </c>
      <c r="B4316">
        <v>0.99904790336628502</v>
      </c>
      <c r="C4316">
        <v>1.0126724470230299</v>
      </c>
      <c r="D4316">
        <v>0.91050804297518095</v>
      </c>
      <c r="E4316">
        <v>0.37137761944157299</v>
      </c>
      <c r="F4316">
        <v>0.20966527844382199</v>
      </c>
      <c r="G4316">
        <v>0.12717537037311499</v>
      </c>
      <c r="H4316">
        <v>8.1292807166447198E-2</v>
      </c>
      <c r="I4316">
        <v>5.8312457734954901E-2</v>
      </c>
      <c r="J4316">
        <v>5.7220831741982198E-2</v>
      </c>
      <c r="K4316">
        <v>4.61607578792846E-2</v>
      </c>
      <c r="L4316">
        <v>1467.6629858521701</v>
      </c>
      <c r="M4316">
        <v>29.9463739030558</v>
      </c>
      <c r="N4316">
        <v>49.278238044056998</v>
      </c>
      <c r="O4316">
        <v>48.7927012484855</v>
      </c>
      <c r="P4316">
        <v>-0.14188661701624899</v>
      </c>
      <c r="Q4316">
        <v>7.5281973442127906E-2</v>
      </c>
      <c r="R4316">
        <v>0.99520814718350104</v>
      </c>
      <c r="S4316" t="s">
        <v>9056</v>
      </c>
      <c r="T4316" t="s">
        <v>9478</v>
      </c>
      <c r="U4316" t="s">
        <v>9478</v>
      </c>
      <c r="V4316" t="s">
        <v>9478</v>
      </c>
      <c r="W4316">
        <v>11</v>
      </c>
      <c r="X4316" t="s">
        <v>13794</v>
      </c>
      <c r="Y4316">
        <v>0.35865015291119129</v>
      </c>
      <c r="Z4316" t="str">
        <f>HYPERLINK("Melting_Curves/meltCurve_tr_F5H012_F5H012_HUMAN_.pdf", "Melting_Curves/meltCurve_tr_F5H012_F5H012_HUMAN_.pdf")</f>
        <v>Melting_Curves/meltCurve_tr_F5H012_F5H012_HUMAN_.pdf</v>
      </c>
      <c r="AA4316" t="s">
        <v>18457</v>
      </c>
      <c r="AB4316" t="s">
        <v>23134</v>
      </c>
    </row>
    <row r="4317" spans="1:28" x14ac:dyDescent="0.25">
      <c r="A4317" t="s">
        <v>4321</v>
      </c>
      <c r="B4317">
        <v>0.99904790336628502</v>
      </c>
      <c r="C4317">
        <v>1.08679885145968</v>
      </c>
      <c r="D4317">
        <v>1.09123635182825</v>
      </c>
      <c r="E4317">
        <v>1.07800528239551</v>
      </c>
      <c r="F4317">
        <v>0.91840825287726102</v>
      </c>
      <c r="G4317">
        <v>0.56910139438001095</v>
      </c>
      <c r="H4317">
        <v>0.137907895519951</v>
      </c>
      <c r="I4317">
        <v>4.8651576797470501E-2</v>
      </c>
      <c r="J4317">
        <v>2.2911990209116901E-2</v>
      </c>
      <c r="K4317">
        <v>1.9137075174132701E-2</v>
      </c>
      <c r="L4317">
        <v>1900.9994988921001</v>
      </c>
      <c r="M4317">
        <v>33.112769864854698</v>
      </c>
      <c r="N4317">
        <v>57.466275016311101</v>
      </c>
      <c r="O4317">
        <v>57.201686353657401</v>
      </c>
      <c r="P4317">
        <v>-0.142405647905956</v>
      </c>
      <c r="Q4317">
        <v>1.5992015039950101E-2</v>
      </c>
      <c r="R4317">
        <v>0.98900662913496795</v>
      </c>
      <c r="S4317" t="s">
        <v>9057</v>
      </c>
      <c r="T4317" t="s">
        <v>9478</v>
      </c>
      <c r="U4317" t="s">
        <v>9478</v>
      </c>
      <c r="V4317" t="s">
        <v>9478</v>
      </c>
      <c r="W4317">
        <v>6</v>
      </c>
      <c r="X4317" t="s">
        <v>13795</v>
      </c>
      <c r="Y4317">
        <v>0.59252644678869837</v>
      </c>
      <c r="Z4317" t="str">
        <f>HYPERLINK("Melting_Curves/meltCurve_tr_F5H0C8_F5H0C8_HUMAN_.pdf", "Melting_Curves/meltCurve_tr_F5H0C8_F5H0C8_HUMAN_.pdf")</f>
        <v>Melting_Curves/meltCurve_tr_F5H0C8_F5H0C8_HUMAN_.pdf</v>
      </c>
      <c r="AA4317" t="s">
        <v>18458</v>
      </c>
      <c r="AB4317" t="s">
        <v>23135</v>
      </c>
    </row>
    <row r="4318" spans="1:28" x14ac:dyDescent="0.25">
      <c r="A4318" t="s">
        <v>4322</v>
      </c>
      <c r="B4318">
        <v>0.99904790336628502</v>
      </c>
      <c r="C4318">
        <v>0.83226542905801204</v>
      </c>
      <c r="D4318">
        <v>0.77754465529669203</v>
      </c>
      <c r="E4318">
        <v>0</v>
      </c>
      <c r="F4318">
        <v>0.70606183766089003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658.46783092733199</v>
      </c>
      <c r="M4318">
        <v>13.612999487629899</v>
      </c>
      <c r="N4318">
        <v>48.370518259613299</v>
      </c>
      <c r="O4318">
        <v>47.3624905952719</v>
      </c>
      <c r="P4318">
        <v>-7.1865962234738998E-2</v>
      </c>
      <c r="Q4318">
        <v>0</v>
      </c>
      <c r="R4318">
        <v>0.758632521250726</v>
      </c>
      <c r="S4318" t="s">
        <v>9058</v>
      </c>
      <c r="T4318" t="s">
        <v>9478</v>
      </c>
      <c r="U4318" t="s">
        <v>9478</v>
      </c>
      <c r="V4318" t="s">
        <v>9478</v>
      </c>
      <c r="W4318">
        <v>1</v>
      </c>
      <c r="X4318" t="s">
        <v>13796</v>
      </c>
      <c r="Y4318">
        <v>0.30946203461078797</v>
      </c>
      <c r="Z4318" t="str">
        <f>HYPERLINK("Melting_Curves/meltCurve_tr_F5H0E9_F5H0E9_HUMAN_.pdf", "Melting_Curves/meltCurve_tr_F5H0E9_F5H0E9_HUMAN_.pdf")</f>
        <v>Melting_Curves/meltCurve_tr_F5H0E9_F5H0E9_HUMAN_.pdf</v>
      </c>
      <c r="AA4318" t="s">
        <v>18459</v>
      </c>
      <c r="AB4318" t="s">
        <v>23136</v>
      </c>
    </row>
    <row r="4319" spans="1:28" x14ac:dyDescent="0.25">
      <c r="A4319" t="s">
        <v>4323</v>
      </c>
      <c r="B4319">
        <v>0.99904790336628502</v>
      </c>
      <c r="C4319">
        <v>0.97675783255917703</v>
      </c>
      <c r="D4319">
        <v>1.0291626391775299</v>
      </c>
      <c r="E4319">
        <v>0.73582851197028198</v>
      </c>
      <c r="F4319">
        <v>0.38855326079266</v>
      </c>
      <c r="G4319">
        <v>0.211367194398039</v>
      </c>
      <c r="H4319">
        <v>0.12850778181657099</v>
      </c>
      <c r="I4319">
        <v>9.3023797019402499E-2</v>
      </c>
      <c r="J4319">
        <v>7.3141056963314896E-2</v>
      </c>
      <c r="K4319">
        <v>6.3877322429287897E-2</v>
      </c>
      <c r="L4319">
        <v>1343.9017529334001</v>
      </c>
      <c r="M4319">
        <v>25.962391161451499</v>
      </c>
      <c r="N4319">
        <v>52.1604343415936</v>
      </c>
      <c r="O4319">
        <v>51.459226648236701</v>
      </c>
      <c r="P4319">
        <v>-0.11482351745411799</v>
      </c>
      <c r="Q4319">
        <v>8.9658399427702304E-2</v>
      </c>
      <c r="R4319">
        <v>0.99465099914738198</v>
      </c>
      <c r="S4319" t="s">
        <v>9059</v>
      </c>
      <c r="T4319" t="s">
        <v>9478</v>
      </c>
      <c r="U4319" t="s">
        <v>9478</v>
      </c>
      <c r="V4319" t="s">
        <v>9478</v>
      </c>
      <c r="W4319">
        <v>21</v>
      </c>
      <c r="X4319" t="s">
        <v>13797</v>
      </c>
      <c r="Y4319">
        <v>0.45432003466136361</v>
      </c>
      <c r="Z4319" t="str">
        <f>HYPERLINK("Melting_Curves/meltCurve_tr_F5H0L8_F5H0L8_HUMAN_.pdf", "Melting_Curves/meltCurve_tr_F5H0L8_F5H0L8_HUMAN_.pdf")</f>
        <v>Melting_Curves/meltCurve_tr_F5H0L8_F5H0L8_HUMAN_.pdf</v>
      </c>
      <c r="AA4319" t="s">
        <v>18460</v>
      </c>
      <c r="AB4319" t="s">
        <v>23137</v>
      </c>
    </row>
    <row r="4320" spans="1:28" x14ac:dyDescent="0.25">
      <c r="A4320" t="s">
        <v>4324</v>
      </c>
      <c r="B4320">
        <v>0.99904790336628502</v>
      </c>
      <c r="C4320">
        <v>1.12691004077351</v>
      </c>
      <c r="D4320">
        <v>0.91734066119980795</v>
      </c>
      <c r="E4320">
        <v>0.69422379601570094</v>
      </c>
      <c r="F4320">
        <v>0.47977742612319302</v>
      </c>
      <c r="G4320">
        <v>0.235067359488938</v>
      </c>
      <c r="H4320">
        <v>0.176635545973584</v>
      </c>
      <c r="I4320">
        <v>0.114409435837673</v>
      </c>
      <c r="J4320">
        <v>9.9640661363369395E-2</v>
      </c>
      <c r="K4320">
        <v>8.1398813865018405E-2</v>
      </c>
      <c r="L4320">
        <v>991.96547245954696</v>
      </c>
      <c r="M4320">
        <v>19.055021735946799</v>
      </c>
      <c r="N4320">
        <v>52.624051016327897</v>
      </c>
      <c r="O4320">
        <v>51.494780635575999</v>
      </c>
      <c r="P4320">
        <v>-8.3940123004648107E-2</v>
      </c>
      <c r="Q4320">
        <v>9.26680843084106E-2</v>
      </c>
      <c r="R4320">
        <v>0.98521771508280198</v>
      </c>
      <c r="S4320" t="s">
        <v>9060</v>
      </c>
      <c r="T4320" t="s">
        <v>9478</v>
      </c>
      <c r="U4320" t="s">
        <v>9478</v>
      </c>
      <c r="V4320" t="s">
        <v>9478</v>
      </c>
      <c r="W4320">
        <v>4</v>
      </c>
      <c r="X4320" t="s">
        <v>13798</v>
      </c>
      <c r="Y4320">
        <v>0.47102869758406329</v>
      </c>
      <c r="Z4320" t="str">
        <f>HYPERLINK("Melting_Curves/meltCurve_tr_F5H157_F5H157_HUMAN_.pdf", "Melting_Curves/meltCurve_tr_F5H157_F5H157_HUMAN_.pdf")</f>
        <v>Melting_Curves/meltCurve_tr_F5H157_F5H157_HUMAN_.pdf</v>
      </c>
      <c r="AA4320" t="s">
        <v>18461</v>
      </c>
      <c r="AB4320" t="s">
        <v>23138</v>
      </c>
    </row>
    <row r="4321" spans="1:28" x14ac:dyDescent="0.25">
      <c r="A4321" t="s">
        <v>4325</v>
      </c>
      <c r="B4321">
        <v>0.99904790336628502</v>
      </c>
      <c r="C4321">
        <v>1.0306502767760299</v>
      </c>
      <c r="D4321">
        <v>1.0929874781775699</v>
      </c>
      <c r="E4321">
        <v>1.0840982995484401</v>
      </c>
      <c r="F4321">
        <v>0.98872208811528495</v>
      </c>
      <c r="G4321">
        <v>0.91899251465300702</v>
      </c>
      <c r="H4321">
        <v>0.65558147533849198</v>
      </c>
      <c r="I4321">
        <v>0.42597524061939701</v>
      </c>
      <c r="J4321">
        <v>0.14332527723525301</v>
      </c>
      <c r="K4321">
        <v>5.9876029625991201E-2</v>
      </c>
      <c r="L4321">
        <v>1570.02992247932</v>
      </c>
      <c r="M4321">
        <v>25.001881459120099</v>
      </c>
      <c r="N4321">
        <v>62.796477760089701</v>
      </c>
      <c r="O4321">
        <v>62.398875345221299</v>
      </c>
      <c r="P4321">
        <v>-0.10017095858000501</v>
      </c>
      <c r="Q4321">
        <v>0</v>
      </c>
      <c r="R4321">
        <v>0.98574737005766899</v>
      </c>
      <c r="S4321" t="s">
        <v>9061</v>
      </c>
      <c r="T4321" t="s">
        <v>9478</v>
      </c>
      <c r="U4321" t="s">
        <v>9478</v>
      </c>
      <c r="V4321" t="s">
        <v>9478</v>
      </c>
      <c r="W4321">
        <v>23</v>
      </c>
      <c r="X4321" t="s">
        <v>13799</v>
      </c>
      <c r="Y4321">
        <v>0.76269432983652596</v>
      </c>
      <c r="Z4321" t="str">
        <f>HYPERLINK("Melting_Curves/meltCurve_tr_F5H1L4_F5H1L4_HUMAN_.pdf", "Melting_Curves/meltCurve_tr_F5H1L4_F5H1L4_HUMAN_.pdf")</f>
        <v>Melting_Curves/meltCurve_tr_F5H1L4_F5H1L4_HUMAN_.pdf</v>
      </c>
      <c r="AA4321" t="s">
        <v>17578</v>
      </c>
      <c r="AB4321" t="s">
        <v>23139</v>
      </c>
    </row>
    <row r="4322" spans="1:28" x14ac:dyDescent="0.25">
      <c r="A4322" t="s">
        <v>4326</v>
      </c>
      <c r="B4322">
        <v>0.99904790336628502</v>
      </c>
      <c r="C4322">
        <v>0.88137371788027996</v>
      </c>
      <c r="D4322">
        <v>0.78529870745068597</v>
      </c>
      <c r="E4322">
        <v>0.63112782940953505</v>
      </c>
      <c r="F4322">
        <v>0.54053826297811003</v>
      </c>
      <c r="G4322">
        <v>0.36391265780897503</v>
      </c>
      <c r="H4322">
        <v>0.109956148090987</v>
      </c>
      <c r="I4322">
        <v>4.7711609427552801E-2</v>
      </c>
      <c r="J4322">
        <v>3.34531084159439E-2</v>
      </c>
      <c r="K4322">
        <v>9.0139459849731905E-3</v>
      </c>
      <c r="L4322">
        <v>618.02879348905697</v>
      </c>
      <c r="M4322">
        <v>11.7570929696642</v>
      </c>
      <c r="N4322">
        <v>52.566458244669299</v>
      </c>
      <c r="O4322">
        <v>51.114839602656403</v>
      </c>
      <c r="P4322">
        <v>-5.7518329811308E-2</v>
      </c>
      <c r="Q4322">
        <v>0</v>
      </c>
      <c r="R4322">
        <v>0.97899870018314294</v>
      </c>
      <c r="S4322" t="s">
        <v>9062</v>
      </c>
      <c r="T4322" t="s">
        <v>9478</v>
      </c>
      <c r="U4322" t="s">
        <v>9478</v>
      </c>
      <c r="V4322" t="s">
        <v>9478</v>
      </c>
      <c r="W4322">
        <v>2</v>
      </c>
      <c r="X4322" t="s">
        <v>13800</v>
      </c>
      <c r="Y4322">
        <v>0.44901745461026471</v>
      </c>
      <c r="Z4322" t="str">
        <f>HYPERLINK("Melting_Curves/meltCurve_tr_F5H1S8_F5H1S8_HUMAN_.pdf", "Melting_Curves/meltCurve_tr_F5H1S8_F5H1S8_HUMAN_.pdf")</f>
        <v>Melting_Curves/meltCurve_tr_F5H1S8_F5H1S8_HUMAN_.pdf</v>
      </c>
      <c r="AA4322" t="s">
        <v>18462</v>
      </c>
      <c r="AB4322" t="s">
        <v>23140</v>
      </c>
    </row>
    <row r="4323" spans="1:28" x14ac:dyDescent="0.25">
      <c r="A4323" t="s">
        <v>4327</v>
      </c>
      <c r="B4323">
        <v>0.99904790336628502</v>
      </c>
      <c r="C4323">
        <v>1.00762465686585</v>
      </c>
      <c r="D4323">
        <v>1.04616644319854</v>
      </c>
      <c r="E4323">
        <v>0.88307813113790901</v>
      </c>
      <c r="F4323">
        <v>0.40524213818912203</v>
      </c>
      <c r="G4323">
        <v>0.19036799256746501</v>
      </c>
      <c r="H4323">
        <v>0.117694616714952</v>
      </c>
      <c r="I4323">
        <v>9.9286858073720799E-2</v>
      </c>
      <c r="J4323">
        <v>7.5655212316441303E-2</v>
      </c>
      <c r="K4323">
        <v>5.7785372769849602E-2</v>
      </c>
      <c r="L4323">
        <v>2064.7660837948101</v>
      </c>
      <c r="M4323">
        <v>39.532006477592297</v>
      </c>
      <c r="N4323">
        <v>52.5225534086631</v>
      </c>
      <c r="O4323">
        <v>52.097122567877598</v>
      </c>
      <c r="P4323">
        <v>-0.17097108787390999</v>
      </c>
      <c r="Q4323">
        <v>9.8747304296511101E-2</v>
      </c>
      <c r="R4323">
        <v>0.99469955348191197</v>
      </c>
      <c r="S4323" t="s">
        <v>9063</v>
      </c>
      <c r="T4323" t="s">
        <v>9478</v>
      </c>
      <c r="U4323" t="s">
        <v>9478</v>
      </c>
      <c r="V4323" t="s">
        <v>9478</v>
      </c>
      <c r="W4323">
        <v>47</v>
      </c>
      <c r="X4323" t="s">
        <v>13801</v>
      </c>
      <c r="Y4323">
        <v>0.46949484350005949</v>
      </c>
      <c r="Z4323" t="str">
        <f>HYPERLINK("Melting_Curves/meltCurve_tr_F5H1X8_F5H1X8_HUMAN_.pdf", "Melting_Curves/meltCurve_tr_F5H1X8_F5H1X8_HUMAN_.pdf")</f>
        <v>Melting_Curves/meltCurve_tr_F5H1X8_F5H1X8_HUMAN_.pdf</v>
      </c>
      <c r="AA4323" t="s">
        <v>18463</v>
      </c>
      <c r="AB4323" t="s">
        <v>23141</v>
      </c>
    </row>
    <row r="4324" spans="1:28" x14ac:dyDescent="0.25">
      <c r="A4324" t="s">
        <v>4328</v>
      </c>
      <c r="B4324">
        <v>0.99904790336628502</v>
      </c>
      <c r="C4324">
        <v>0.87909471478546597</v>
      </c>
      <c r="D4324">
        <v>0.895931493300957</v>
      </c>
      <c r="E4324">
        <v>0.89570969405294398</v>
      </c>
      <c r="F4324">
        <v>0.84615156804305203</v>
      </c>
      <c r="G4324">
        <v>0.64841799733905803</v>
      </c>
      <c r="H4324">
        <v>0.40830094202084299</v>
      </c>
      <c r="I4324">
        <v>0.21802320930953101</v>
      </c>
      <c r="J4324">
        <v>6.7477751877386305E-2</v>
      </c>
      <c r="K4324">
        <v>3.2030192400116203E-2</v>
      </c>
      <c r="L4324">
        <v>945.55972630657004</v>
      </c>
      <c r="M4324">
        <v>16.0542247502291</v>
      </c>
      <c r="N4324">
        <v>58.897875723034602</v>
      </c>
      <c r="O4324">
        <v>58.0067627935926</v>
      </c>
      <c r="P4324">
        <v>-6.9196532169788494E-2</v>
      </c>
      <c r="Q4324">
        <v>0</v>
      </c>
      <c r="R4324">
        <v>0.97426703064854203</v>
      </c>
      <c r="S4324" t="s">
        <v>9064</v>
      </c>
      <c r="T4324" t="s">
        <v>9478</v>
      </c>
      <c r="U4324" t="s">
        <v>9478</v>
      </c>
      <c r="V4324" t="s">
        <v>9478</v>
      </c>
      <c r="W4324">
        <v>14</v>
      </c>
      <c r="X4324" t="s">
        <v>13802</v>
      </c>
      <c r="Y4324">
        <v>0.64090712371372904</v>
      </c>
      <c r="Z4324" t="str">
        <f>HYPERLINK("Melting_Curves/meltCurve_tr_F5H1Z6_F5H1Z6_HUMAN_.pdf", "Melting_Curves/meltCurve_tr_F5H1Z6_F5H1Z6_HUMAN_.pdf")</f>
        <v>Melting_Curves/meltCurve_tr_F5H1Z6_F5H1Z6_HUMAN_.pdf</v>
      </c>
      <c r="AA4324" t="s">
        <v>18464</v>
      </c>
      <c r="AB4324" t="s">
        <v>23142</v>
      </c>
    </row>
    <row r="4325" spans="1:28" x14ac:dyDescent="0.25">
      <c r="A4325" t="s">
        <v>4329</v>
      </c>
      <c r="B4325">
        <v>0.99904790336628502</v>
      </c>
      <c r="C4325">
        <v>1.0253883707251701</v>
      </c>
      <c r="D4325">
        <v>0.98176253919192402</v>
      </c>
      <c r="E4325">
        <v>0.79454485756029203</v>
      </c>
      <c r="F4325">
        <v>0.69193966198936196</v>
      </c>
      <c r="G4325">
        <v>0.51153294195115895</v>
      </c>
      <c r="H4325">
        <v>0.408956013094879</v>
      </c>
      <c r="I4325">
        <v>0.37648580875841697</v>
      </c>
      <c r="J4325">
        <v>0.41417087406207898</v>
      </c>
      <c r="K4325">
        <v>0.34389814683507502</v>
      </c>
      <c r="L4325">
        <v>910.33269151427805</v>
      </c>
      <c r="M4325">
        <v>17.1934739732772</v>
      </c>
      <c r="N4325">
        <v>57.136282727717401</v>
      </c>
      <c r="O4325">
        <v>52.245733931434103</v>
      </c>
      <c r="P4325">
        <v>-5.2798057381581498E-2</v>
      </c>
      <c r="Q4325">
        <v>0.35828902857481598</v>
      </c>
      <c r="R4325">
        <v>0.99156783601487397</v>
      </c>
      <c r="S4325" t="s">
        <v>9065</v>
      </c>
      <c r="T4325" t="s">
        <v>9478</v>
      </c>
      <c r="U4325" t="s">
        <v>9478</v>
      </c>
      <c r="V4325" t="s">
        <v>9478</v>
      </c>
      <c r="W4325">
        <v>11</v>
      </c>
      <c r="X4325" t="s">
        <v>13803</v>
      </c>
      <c r="Y4325">
        <v>0.64652671003235518</v>
      </c>
      <c r="Z4325" t="str">
        <f>HYPERLINK("Melting_Curves/meltCurve_tr_F5H2B9_F5H2B9_HUMAN_.pdf", "Melting_Curves/meltCurve_tr_F5H2B9_F5H2B9_HUMAN_.pdf")</f>
        <v>Melting_Curves/meltCurve_tr_F5H2B9_F5H2B9_HUMAN_.pdf</v>
      </c>
      <c r="AA4325" t="s">
        <v>18465</v>
      </c>
      <c r="AB4325" t="s">
        <v>23143</v>
      </c>
    </row>
    <row r="4326" spans="1:28" x14ac:dyDescent="0.25">
      <c r="A4326" t="s">
        <v>4330</v>
      </c>
      <c r="B4326">
        <v>0.99904790336628502</v>
      </c>
      <c r="C4326">
        <v>0.999500938206908</v>
      </c>
      <c r="D4326">
        <v>0.94285668349254104</v>
      </c>
      <c r="E4326">
        <v>0.81918221948668901</v>
      </c>
      <c r="F4326">
        <v>0.77280649334358897</v>
      </c>
      <c r="G4326">
        <v>0.50787218360861897</v>
      </c>
      <c r="H4326">
        <v>0.51031106538599003</v>
      </c>
      <c r="I4326">
        <v>0.41946542497453798</v>
      </c>
      <c r="J4326">
        <v>0.45513530946837599</v>
      </c>
      <c r="K4326">
        <v>0.46776654677034901</v>
      </c>
      <c r="L4326">
        <v>930.72725332376399</v>
      </c>
      <c r="M4326">
        <v>17.590744794265799</v>
      </c>
      <c r="N4326">
        <v>59.792966556597101</v>
      </c>
      <c r="O4326">
        <v>52.240474726090198</v>
      </c>
      <c r="P4326">
        <v>-4.7649587538544202E-2</v>
      </c>
      <c r="Q4326">
        <v>0.43399722174246302</v>
      </c>
      <c r="R4326">
        <v>0.97954062100679196</v>
      </c>
      <c r="S4326" t="s">
        <v>9066</v>
      </c>
      <c r="T4326" t="s">
        <v>9478</v>
      </c>
      <c r="U4326" t="s">
        <v>9478</v>
      </c>
      <c r="V4326" t="s">
        <v>9478</v>
      </c>
      <c r="W4326">
        <v>3</v>
      </c>
      <c r="X4326" t="s">
        <v>13804</v>
      </c>
      <c r="Y4326">
        <v>0.68719914307574459</v>
      </c>
      <c r="Z4326" t="str">
        <f>HYPERLINK("Melting_Curves/meltCurve_tr_F5H2Q7_F5H2Q7_HUMAN_.pdf", "Melting_Curves/meltCurve_tr_F5H2Q7_F5H2Q7_HUMAN_.pdf")</f>
        <v>Melting_Curves/meltCurve_tr_F5H2Q7_F5H2Q7_HUMAN_.pdf</v>
      </c>
      <c r="AA4326" t="s">
        <v>18466</v>
      </c>
      <c r="AB4326" t="s">
        <v>23144</v>
      </c>
    </row>
    <row r="4327" spans="1:28" x14ac:dyDescent="0.25">
      <c r="A4327" t="s">
        <v>4331</v>
      </c>
      <c r="B4327">
        <v>0.99904790336628502</v>
      </c>
      <c r="C4327">
        <v>0.985280834950096</v>
      </c>
      <c r="D4327">
        <v>0.94100096960717805</v>
      </c>
      <c r="E4327">
        <v>0.73661129463527197</v>
      </c>
      <c r="F4327">
        <v>0.37544204247761798</v>
      </c>
      <c r="G4327">
        <v>9.6780038716452202E-2</v>
      </c>
      <c r="H4327">
        <v>2.8142889897147701E-2</v>
      </c>
      <c r="I4327">
        <v>1.2303796675108E-2</v>
      </c>
      <c r="J4327">
        <v>5.2959468987578704E-3</v>
      </c>
      <c r="K4327">
        <v>9.1505923945696607E-3</v>
      </c>
      <c r="L4327">
        <v>1306.1780802661101</v>
      </c>
      <c r="M4327">
        <v>25.148858199617699</v>
      </c>
      <c r="N4327">
        <v>51.953035314003998</v>
      </c>
      <c r="O4327">
        <v>51.612809948963097</v>
      </c>
      <c r="P4327">
        <v>-0.121370487570717</v>
      </c>
      <c r="Q4327">
        <v>3.6621779656296001E-3</v>
      </c>
      <c r="R4327">
        <v>0.99960955411601005</v>
      </c>
      <c r="S4327" t="s">
        <v>9067</v>
      </c>
      <c r="T4327" t="s">
        <v>9478</v>
      </c>
      <c r="U4327" t="s">
        <v>9478</v>
      </c>
      <c r="V4327" t="s">
        <v>9478</v>
      </c>
      <c r="W4327">
        <v>2</v>
      </c>
      <c r="X4327" t="s">
        <v>13805</v>
      </c>
      <c r="Y4327">
        <v>0.40912037492837677</v>
      </c>
      <c r="Z4327" t="str">
        <f>HYPERLINK("Melting_Curves/meltCurve_tr_F5H2U2_F5H2U2_HUMAN_.pdf", "Melting_Curves/meltCurve_tr_F5H2U2_F5H2U2_HUMAN_.pdf")</f>
        <v>Melting_Curves/meltCurve_tr_F5H2U2_F5H2U2_HUMAN_.pdf</v>
      </c>
      <c r="AA4327" t="s">
        <v>18467</v>
      </c>
      <c r="AB4327" t="s">
        <v>23145</v>
      </c>
    </row>
    <row r="4328" spans="1:28" x14ac:dyDescent="0.25">
      <c r="A4328" t="s">
        <v>4332</v>
      </c>
      <c r="B4328">
        <v>0.99904790336628502</v>
      </c>
      <c r="C4328">
        <v>1.04362261276791</v>
      </c>
      <c r="D4328">
        <v>0.98560781717666901</v>
      </c>
      <c r="E4328">
        <v>0.90046513367237702</v>
      </c>
      <c r="F4328">
        <v>0.88175710295522602</v>
      </c>
      <c r="G4328">
        <v>0.51115133526838596</v>
      </c>
      <c r="H4328">
        <v>0.40992074809912599</v>
      </c>
      <c r="I4328">
        <v>0.37354990451942699</v>
      </c>
      <c r="J4328">
        <v>0.36052507741780399</v>
      </c>
      <c r="K4328">
        <v>0.31955312144252601</v>
      </c>
      <c r="L4328">
        <v>1506.378420213</v>
      </c>
      <c r="M4328">
        <v>27.2922646834073</v>
      </c>
      <c r="N4328">
        <v>57.672816151540196</v>
      </c>
      <c r="O4328">
        <v>54.900563425138898</v>
      </c>
      <c r="P4328">
        <v>-8.1371780629295107E-2</v>
      </c>
      <c r="Q4328">
        <v>0.34526295115136602</v>
      </c>
      <c r="R4328">
        <v>0.98814798530075199</v>
      </c>
      <c r="S4328" t="s">
        <v>9068</v>
      </c>
      <c r="T4328" t="s">
        <v>9478</v>
      </c>
      <c r="U4328" t="s">
        <v>9478</v>
      </c>
      <c r="V4328" t="s">
        <v>9478</v>
      </c>
      <c r="W4328">
        <v>10</v>
      </c>
      <c r="X4328" t="s">
        <v>13806</v>
      </c>
      <c r="Y4328">
        <v>0.68205234619625044</v>
      </c>
      <c r="Z4328" t="str">
        <f>HYPERLINK("Melting_Curves/meltCurve_tr_F5H2X0_F5H2X0_HUMAN_.pdf", "Melting_Curves/meltCurve_tr_F5H2X0_F5H2X0_HUMAN_.pdf")</f>
        <v>Melting_Curves/meltCurve_tr_F5H2X0_F5H2X0_HUMAN_.pdf</v>
      </c>
      <c r="AA4328" t="s">
        <v>18468</v>
      </c>
      <c r="AB4328" t="s">
        <v>23146</v>
      </c>
    </row>
    <row r="4329" spans="1:28" x14ac:dyDescent="0.25">
      <c r="A4329" t="s">
        <v>4333</v>
      </c>
      <c r="B4329">
        <v>0.99904790336628502</v>
      </c>
      <c r="C4329">
        <v>1.1194610444264399</v>
      </c>
      <c r="D4329">
        <v>1.0526266290217301</v>
      </c>
      <c r="E4329">
        <v>0.75990950937955404</v>
      </c>
      <c r="F4329">
        <v>0.66988277018894005</v>
      </c>
      <c r="G4329">
        <v>0.47702403847596497</v>
      </c>
      <c r="H4329">
        <v>0.38626829262940499</v>
      </c>
      <c r="I4329">
        <v>0.39851827855115202</v>
      </c>
      <c r="J4329">
        <v>0.38429552792793498</v>
      </c>
      <c r="K4329">
        <v>0.38541656793531398</v>
      </c>
      <c r="L4329">
        <v>1154.83248442882</v>
      </c>
      <c r="M4329">
        <v>22.1458880638415</v>
      </c>
      <c r="N4329">
        <v>55.8029176930755</v>
      </c>
      <c r="O4329">
        <v>51.726983405341301</v>
      </c>
      <c r="P4329">
        <v>-6.6057920047217999E-2</v>
      </c>
      <c r="Q4329">
        <v>0.38283764832195299</v>
      </c>
      <c r="R4329">
        <v>0.96484267024477399</v>
      </c>
      <c r="S4329" t="s">
        <v>9069</v>
      </c>
      <c r="T4329" t="s">
        <v>9478</v>
      </c>
      <c r="U4329" t="s">
        <v>9478</v>
      </c>
      <c r="V4329" t="s">
        <v>9478</v>
      </c>
      <c r="W4329">
        <v>38</v>
      </c>
      <c r="X4329" t="s">
        <v>13807</v>
      </c>
      <c r="Y4329">
        <v>0.63981031329327809</v>
      </c>
      <c r="Z4329" t="str">
        <f>HYPERLINK("Melting_Curves/meltCurve_tr_F5H335_F5H335_HUMAN_.pdf", "Melting_Curves/meltCurve_tr_F5H335_F5H335_HUMAN_.pdf")</f>
        <v>Melting_Curves/meltCurve_tr_F5H335_F5H335_HUMAN_.pdf</v>
      </c>
      <c r="AA4329" t="s">
        <v>18469</v>
      </c>
      <c r="AB4329" t="s">
        <v>23147</v>
      </c>
    </row>
    <row r="4330" spans="1:28" x14ac:dyDescent="0.25">
      <c r="A4330" t="s">
        <v>4334</v>
      </c>
      <c r="B4330">
        <v>0.99904790336628502</v>
      </c>
      <c r="C4330">
        <v>1.0117363648330699</v>
      </c>
      <c r="D4330">
        <v>1.0462831245098601</v>
      </c>
      <c r="E4330">
        <v>0.78923958162532004</v>
      </c>
      <c r="F4330">
        <v>0.27484761105535199</v>
      </c>
      <c r="G4330">
        <v>0.108686963436604</v>
      </c>
      <c r="H4330">
        <v>6.1657447580934201E-2</v>
      </c>
      <c r="I4330">
        <v>4.4063095938818797E-2</v>
      </c>
      <c r="J4330">
        <v>3.4953688930652899E-2</v>
      </c>
      <c r="K4330">
        <v>2.8709218656469901E-2</v>
      </c>
      <c r="L4330">
        <v>2116.86753337849</v>
      </c>
      <c r="M4330">
        <v>41.080910990055898</v>
      </c>
      <c r="N4330">
        <v>51.663455495196203</v>
      </c>
      <c r="O4330">
        <v>51.4075730253508</v>
      </c>
      <c r="P4330">
        <v>-0.18966786074048</v>
      </c>
      <c r="Q4330">
        <v>5.0620254160509297E-2</v>
      </c>
      <c r="R4330">
        <v>0.99712652952240899</v>
      </c>
      <c r="S4330" t="s">
        <v>9070</v>
      </c>
      <c r="T4330" t="s">
        <v>9478</v>
      </c>
      <c r="U4330" t="s">
        <v>9478</v>
      </c>
      <c r="V4330" t="s">
        <v>9478</v>
      </c>
      <c r="W4330">
        <v>25</v>
      </c>
      <c r="X4330" t="s">
        <v>13808</v>
      </c>
      <c r="Y4330">
        <v>0.41867803668084658</v>
      </c>
      <c r="Z4330" t="str">
        <f>HYPERLINK("Melting_Curves/meltCurve_tr_F5H365_F5H365_HUMAN_.pdf", "Melting_Curves/meltCurve_tr_F5H365_F5H365_HUMAN_.pdf")</f>
        <v>Melting_Curves/meltCurve_tr_F5H365_F5H365_HUMAN_.pdf</v>
      </c>
      <c r="AA4330" t="s">
        <v>18470</v>
      </c>
      <c r="AB4330" t="s">
        <v>23148</v>
      </c>
    </row>
    <row r="4331" spans="1:28" x14ac:dyDescent="0.25">
      <c r="A4331" t="s">
        <v>4335</v>
      </c>
      <c r="B4331">
        <v>0.99904790336628502</v>
      </c>
      <c r="C4331">
        <v>1.07122222657253</v>
      </c>
      <c r="D4331">
        <v>1.0551914094256301</v>
      </c>
      <c r="E4331">
        <v>0.91535832424388397</v>
      </c>
      <c r="F4331">
        <v>0.65643400879774205</v>
      </c>
      <c r="G4331">
        <v>0.307430810699862</v>
      </c>
      <c r="H4331">
        <v>0.150006370455424</v>
      </c>
      <c r="I4331">
        <v>0.101557648018087</v>
      </c>
      <c r="J4331">
        <v>8.3949325783135798E-2</v>
      </c>
      <c r="K4331">
        <v>8.9053834753937799E-2</v>
      </c>
      <c r="L4331">
        <v>1366.7725170409301</v>
      </c>
      <c r="M4331">
        <v>25.192316125593099</v>
      </c>
      <c r="N4331">
        <v>54.665025948415703</v>
      </c>
      <c r="O4331">
        <v>53.915155709881901</v>
      </c>
      <c r="P4331">
        <v>-0.10672707127074001</v>
      </c>
      <c r="Q4331">
        <v>8.6367210637651598E-2</v>
      </c>
      <c r="R4331">
        <v>0.99400697866608401</v>
      </c>
      <c r="S4331" t="s">
        <v>9071</v>
      </c>
      <c r="T4331" t="s">
        <v>9478</v>
      </c>
      <c r="U4331" t="s">
        <v>9478</v>
      </c>
      <c r="V4331" t="s">
        <v>9478</v>
      </c>
      <c r="W4331">
        <v>6</v>
      </c>
      <c r="X4331" t="s">
        <v>13809</v>
      </c>
      <c r="Y4331">
        <v>0.52879336950119271</v>
      </c>
      <c r="Z4331" t="str">
        <f>HYPERLINK("Melting_Curves/meltCurve_tr_F5H442_F5H442_HUMAN_.pdf", "Melting_Curves/meltCurve_tr_F5H442_F5H442_HUMAN_.pdf")</f>
        <v>Melting_Curves/meltCurve_tr_F5H442_F5H442_HUMAN_.pdf</v>
      </c>
      <c r="AA4331" t="s">
        <v>18471</v>
      </c>
      <c r="AB4331" t="s">
        <v>23149</v>
      </c>
    </row>
    <row r="4332" spans="1:28" x14ac:dyDescent="0.25">
      <c r="A4332" t="s">
        <v>4336</v>
      </c>
      <c r="B4332">
        <v>0.99904790336628502</v>
      </c>
      <c r="C4332">
        <v>0.86447911487350304</v>
      </c>
      <c r="D4332">
        <v>0.87644568593886296</v>
      </c>
      <c r="E4332">
        <v>0.85988415865516798</v>
      </c>
      <c r="F4332">
        <v>0.71776959513447303</v>
      </c>
      <c r="G4332">
        <v>0.43393306815208199</v>
      </c>
      <c r="H4332">
        <v>0.245947109646454</v>
      </c>
      <c r="I4332">
        <v>0.12170380741051399</v>
      </c>
      <c r="J4332">
        <v>9.2435876403081804E-2</v>
      </c>
      <c r="K4332">
        <v>4.3918151363480297E-2</v>
      </c>
      <c r="L4332">
        <v>776.91117759683902</v>
      </c>
      <c r="M4332">
        <v>13.879640754714501</v>
      </c>
      <c r="N4332">
        <v>55.974876524821802</v>
      </c>
      <c r="O4332">
        <v>54.8513166602634</v>
      </c>
      <c r="P4332">
        <v>-6.3268947993554495E-2</v>
      </c>
      <c r="Q4332">
        <v>0</v>
      </c>
      <c r="R4332">
        <v>0.98203809738982695</v>
      </c>
      <c r="S4332" t="s">
        <v>9072</v>
      </c>
      <c r="T4332" t="s">
        <v>9478</v>
      </c>
      <c r="U4332" t="s">
        <v>9478</v>
      </c>
      <c r="V4332" t="s">
        <v>9478</v>
      </c>
      <c r="W4332">
        <v>3</v>
      </c>
      <c r="X4332" t="s">
        <v>13810</v>
      </c>
      <c r="Y4332">
        <v>0.5513877206121266</v>
      </c>
      <c r="Z4332" t="str">
        <f>HYPERLINK("Melting_Curves/meltCurve_tr_F5H4F1_F5H4F1_HUMAN_.pdf", "Melting_Curves/meltCurve_tr_F5H4F1_F5H4F1_HUMAN_.pdf")</f>
        <v>Melting_Curves/meltCurve_tr_F5H4F1_F5H4F1_HUMAN_.pdf</v>
      </c>
      <c r="AA4332" t="s">
        <v>18472</v>
      </c>
      <c r="AB4332" t="s">
        <v>23150</v>
      </c>
    </row>
    <row r="4333" spans="1:28" x14ac:dyDescent="0.25">
      <c r="A4333" t="s">
        <v>4337</v>
      </c>
      <c r="B4333">
        <v>0.99904790336628502</v>
      </c>
      <c r="C4333">
        <v>1.07769998692511</v>
      </c>
      <c r="D4333">
        <v>1.0654053303375799</v>
      </c>
      <c r="E4333">
        <v>0.679106926831892</v>
      </c>
      <c r="F4333">
        <v>0.26417911691669899</v>
      </c>
      <c r="G4333">
        <v>0.163717949152658</v>
      </c>
      <c r="H4333">
        <v>9.4210831287213401E-2</v>
      </c>
      <c r="I4333">
        <v>8.8208498672862595E-2</v>
      </c>
      <c r="J4333">
        <v>7.6943770020573996E-2</v>
      </c>
      <c r="K4333">
        <v>6.7448697831481497E-2</v>
      </c>
      <c r="L4333">
        <v>1903.6732632841399</v>
      </c>
      <c r="M4333">
        <v>37.408137612171799</v>
      </c>
      <c r="N4333">
        <v>51.174759242755201</v>
      </c>
      <c r="O4333">
        <v>50.744518421294302</v>
      </c>
      <c r="P4333">
        <v>-0.16694100133064699</v>
      </c>
      <c r="Q4333">
        <v>9.4173990291947202E-2</v>
      </c>
      <c r="R4333">
        <v>0.99047224968176595</v>
      </c>
      <c r="S4333" t="s">
        <v>9073</v>
      </c>
      <c r="T4333" t="s">
        <v>9478</v>
      </c>
      <c r="U4333" t="s">
        <v>9478</v>
      </c>
      <c r="V4333" t="s">
        <v>9478</v>
      </c>
      <c r="W4333">
        <v>8</v>
      </c>
      <c r="X4333" t="s">
        <v>13811</v>
      </c>
      <c r="Y4333">
        <v>0.42661388563384472</v>
      </c>
      <c r="Z4333" t="str">
        <f>HYPERLINK("Melting_Curves/meltCurve_tr_F5H4G7_F5H4G7_HUMAN_.pdf", "Melting_Curves/meltCurve_tr_F5H4G7_F5H4G7_HUMAN_.pdf")</f>
        <v>Melting_Curves/meltCurve_tr_F5H4G7_F5H4G7_HUMAN_.pdf</v>
      </c>
      <c r="AA4333" t="s">
        <v>18473</v>
      </c>
      <c r="AB4333" t="s">
        <v>23151</v>
      </c>
    </row>
    <row r="4334" spans="1:28" x14ac:dyDescent="0.25">
      <c r="A4334" t="s">
        <v>4338</v>
      </c>
      <c r="B4334">
        <v>0.99904790336628502</v>
      </c>
      <c r="C4334">
        <v>0.96265457107972996</v>
      </c>
      <c r="D4334">
        <v>0.88829749884381204</v>
      </c>
      <c r="E4334">
        <v>0.877902746389702</v>
      </c>
      <c r="F4334">
        <v>1.0673056968666701</v>
      </c>
      <c r="G4334">
        <v>0.76166250052640005</v>
      </c>
      <c r="H4334">
        <v>0.73647438931563003</v>
      </c>
      <c r="I4334">
        <v>0.86981095348647997</v>
      </c>
      <c r="J4334">
        <v>0.95633620367580396</v>
      </c>
      <c r="K4334">
        <v>1.04169642433863</v>
      </c>
      <c r="L4334">
        <v>10747.2415089019</v>
      </c>
      <c r="M4334">
        <v>250</v>
      </c>
      <c r="O4334">
        <v>42.9862149969954</v>
      </c>
      <c r="P4334">
        <v>-0.145488790798977</v>
      </c>
      <c r="Q4334">
        <v>0.89993580099262405</v>
      </c>
      <c r="R4334">
        <v>0.101434477134171</v>
      </c>
      <c r="S4334" t="s">
        <v>9074</v>
      </c>
      <c r="T4334" t="s">
        <v>9478</v>
      </c>
      <c r="U4334" t="s">
        <v>9478</v>
      </c>
      <c r="V4334" t="s">
        <v>9478</v>
      </c>
      <c r="W4334">
        <v>3</v>
      </c>
      <c r="X4334" t="s">
        <v>13812</v>
      </c>
      <c r="Y4334">
        <v>0.90991296674365973</v>
      </c>
      <c r="Z4334" t="str">
        <f>HYPERLINK("Melting_Curves/meltCurve_tr_F5H4J2_F5H4J2_HUMAN_.pdf", "Melting_Curves/meltCurve_tr_F5H4J2_F5H4J2_HUMAN_.pdf")</f>
        <v>Melting_Curves/meltCurve_tr_F5H4J2_F5H4J2_HUMAN_.pdf</v>
      </c>
      <c r="AA4334" t="s">
        <v>18474</v>
      </c>
      <c r="AB4334" t="s">
        <v>23152</v>
      </c>
    </row>
    <row r="4335" spans="1:28" x14ac:dyDescent="0.25">
      <c r="A4335" t="s">
        <v>4339</v>
      </c>
      <c r="B4335">
        <v>0.99904790336628502</v>
      </c>
      <c r="C4335">
        <v>0.50568275293710796</v>
      </c>
      <c r="D4335">
        <v>0.55398168255010805</v>
      </c>
      <c r="E4335">
        <v>0.672516967847402</v>
      </c>
      <c r="F4335">
        <v>0.67310525427371104</v>
      </c>
      <c r="G4335">
        <v>0.72499947485566996</v>
      </c>
      <c r="H4335">
        <v>0.569639665650301</v>
      </c>
      <c r="I4335">
        <v>0.49117030107258802</v>
      </c>
      <c r="J4335">
        <v>0.235212911244434</v>
      </c>
      <c r="K4335">
        <v>0.209165649462245</v>
      </c>
      <c r="L4335">
        <v>193.645819273808</v>
      </c>
      <c r="M4335">
        <v>3.3247287522629301</v>
      </c>
      <c r="N4335">
        <v>58.244095594653103</v>
      </c>
      <c r="O4335">
        <v>44.769377830366103</v>
      </c>
      <c r="P4335">
        <v>-1.89897630467529E-2</v>
      </c>
      <c r="Q4335">
        <v>0</v>
      </c>
      <c r="R4335">
        <v>0.49948051349679101</v>
      </c>
      <c r="S4335" t="s">
        <v>9075</v>
      </c>
      <c r="T4335" t="s">
        <v>9478</v>
      </c>
      <c r="U4335" t="s">
        <v>9478</v>
      </c>
      <c r="V4335" t="s">
        <v>9478</v>
      </c>
      <c r="W4335">
        <v>10</v>
      </c>
      <c r="X4335" t="s">
        <v>13813</v>
      </c>
      <c r="Y4335">
        <v>0.56464439890247542</v>
      </c>
      <c r="Z4335" t="str">
        <f>HYPERLINK("Melting_Curves/meltCurve_tr_F5H4R2_F5H4R2_HUMAN_.pdf", "Melting_Curves/meltCurve_tr_F5H4R2_F5H4R2_HUMAN_.pdf")</f>
        <v>Melting_Curves/meltCurve_tr_F5H4R2_F5H4R2_HUMAN_.pdf</v>
      </c>
      <c r="AA4335" t="s">
        <v>14742</v>
      </c>
      <c r="AB4335" t="s">
        <v>23153</v>
      </c>
    </row>
    <row r="4336" spans="1:28" x14ac:dyDescent="0.25">
      <c r="A4336" t="s">
        <v>4340</v>
      </c>
      <c r="B4336">
        <v>0.99904790336628502</v>
      </c>
      <c r="C4336">
        <v>1.0285271055401299</v>
      </c>
      <c r="D4336">
        <v>0.87722683246869904</v>
      </c>
      <c r="E4336">
        <v>0.632478200865917</v>
      </c>
      <c r="F4336">
        <v>0.41535166417924702</v>
      </c>
      <c r="G4336">
        <v>0.20666462381452799</v>
      </c>
      <c r="H4336">
        <v>0.134544805906538</v>
      </c>
      <c r="I4336">
        <v>0.109567027668523</v>
      </c>
      <c r="J4336">
        <v>0.123744005449701</v>
      </c>
      <c r="K4336">
        <v>0.110627157746225</v>
      </c>
      <c r="L4336">
        <v>961.18700289818401</v>
      </c>
      <c r="M4336">
        <v>18.8273804369232</v>
      </c>
      <c r="N4336">
        <v>51.674365600728798</v>
      </c>
      <c r="O4336">
        <v>50.487120103478297</v>
      </c>
      <c r="P4336">
        <v>-8.3783066842655601E-2</v>
      </c>
      <c r="Q4336">
        <v>0.101353273007593</v>
      </c>
      <c r="R4336">
        <v>0.99710392467665299</v>
      </c>
      <c r="S4336" t="s">
        <v>9076</v>
      </c>
      <c r="T4336" t="s">
        <v>9478</v>
      </c>
      <c r="U4336" t="s">
        <v>9478</v>
      </c>
      <c r="V4336" t="s">
        <v>9478</v>
      </c>
      <c r="W4336">
        <v>4</v>
      </c>
      <c r="X4336" t="s">
        <v>13814</v>
      </c>
      <c r="Y4336">
        <v>0.44638053769441488</v>
      </c>
      <c r="Z4336" t="str">
        <f>HYPERLINK("Melting_Curves/meltCurve_tr_F5H4S0_F5H4S0_HUMAN_.pdf", "Melting_Curves/meltCurve_tr_F5H4S0_F5H4S0_HUMAN_.pdf")</f>
        <v>Melting_Curves/meltCurve_tr_F5H4S0_F5H4S0_HUMAN_.pdf</v>
      </c>
      <c r="AA4336" t="s">
        <v>18475</v>
      </c>
      <c r="AB4336" t="s">
        <v>23154</v>
      </c>
    </row>
    <row r="4337" spans="1:28" x14ac:dyDescent="0.25">
      <c r="A4337" t="s">
        <v>4341</v>
      </c>
      <c r="B4337">
        <v>0.99904790336628502</v>
      </c>
      <c r="C4337">
        <v>1.03439379666255</v>
      </c>
      <c r="D4337">
        <v>1.0121542326278199</v>
      </c>
      <c r="E4337">
        <v>0.66020239994311303</v>
      </c>
      <c r="F4337">
        <v>0.29610713402132899</v>
      </c>
      <c r="G4337">
        <v>0.12665855090955</v>
      </c>
      <c r="H4337">
        <v>8.74744508450188E-2</v>
      </c>
      <c r="I4337">
        <v>6.4102237461505202E-2</v>
      </c>
      <c r="J4337">
        <v>3.4380893141572798E-2</v>
      </c>
      <c r="K4337">
        <v>3.5946053159053699E-2</v>
      </c>
      <c r="L4337">
        <v>1519.1769890226899</v>
      </c>
      <c r="M4337">
        <v>29.750039113343401</v>
      </c>
      <c r="N4337">
        <v>51.279565460748202</v>
      </c>
      <c r="O4337">
        <v>50.835645040934303</v>
      </c>
      <c r="P4337">
        <v>-0.13773277950572299</v>
      </c>
      <c r="Q4337">
        <v>5.8597873126790503E-2</v>
      </c>
      <c r="R4337">
        <v>0.996503799944088</v>
      </c>
      <c r="S4337" t="s">
        <v>9077</v>
      </c>
      <c r="T4337" t="s">
        <v>9478</v>
      </c>
      <c r="U4337" t="s">
        <v>9478</v>
      </c>
      <c r="V4337" t="s">
        <v>9478</v>
      </c>
      <c r="W4337">
        <v>5</v>
      </c>
      <c r="X4337" t="s">
        <v>13815</v>
      </c>
      <c r="Y4337">
        <v>0.41183445788162287</v>
      </c>
      <c r="Z4337" t="str">
        <f>HYPERLINK("Melting_Curves/meltCurve_tr_F5H5C2_F5H5C2_HUMAN_.pdf", "Melting_Curves/meltCurve_tr_F5H5C2_F5H5C2_HUMAN_.pdf")</f>
        <v>Melting_Curves/meltCurve_tr_F5H5C2_F5H5C2_HUMAN_.pdf</v>
      </c>
      <c r="AA4337" t="s">
        <v>18476</v>
      </c>
      <c r="AB4337" t="s">
        <v>23155</v>
      </c>
    </row>
    <row r="4338" spans="1:28" x14ac:dyDescent="0.25">
      <c r="A4338" t="s">
        <v>4342</v>
      </c>
      <c r="B4338">
        <v>0.99904790336628502</v>
      </c>
      <c r="C4338">
        <v>1.0042768043665</v>
      </c>
      <c r="D4338">
        <v>0.970229208434504</v>
      </c>
      <c r="E4338">
        <v>0.92476708235925498</v>
      </c>
      <c r="F4338">
        <v>0.74353079597182603</v>
      </c>
      <c r="G4338">
        <v>0.35591738738733403</v>
      </c>
      <c r="H4338">
        <v>0.206799576596149</v>
      </c>
      <c r="I4338">
        <v>0.16698947245904</v>
      </c>
      <c r="J4338">
        <v>0.15309126371423001</v>
      </c>
      <c r="K4338">
        <v>0.165440975958318</v>
      </c>
      <c r="L4338">
        <v>1448.9251992751599</v>
      </c>
      <c r="M4338">
        <v>26.545243136501099</v>
      </c>
      <c r="N4338">
        <v>55.350281982501997</v>
      </c>
      <c r="O4338">
        <v>54.276290931028598</v>
      </c>
      <c r="P4338">
        <v>-0.103453551977863</v>
      </c>
      <c r="Q4338">
        <v>0.15389508089760101</v>
      </c>
      <c r="R4338">
        <v>0.99935563164026198</v>
      </c>
      <c r="S4338" t="s">
        <v>9078</v>
      </c>
      <c r="T4338" t="s">
        <v>9478</v>
      </c>
      <c r="U4338" t="s">
        <v>9478</v>
      </c>
      <c r="V4338" t="s">
        <v>9478</v>
      </c>
      <c r="W4338">
        <v>13</v>
      </c>
      <c r="X4338" t="s">
        <v>13816</v>
      </c>
      <c r="Y4338">
        <v>0.57222341434490531</v>
      </c>
      <c r="Z4338" t="str">
        <f>HYPERLINK("Melting_Curves/meltCurve_tr_F5H604_F5H604_HUMAN_.pdf", "Melting_Curves/meltCurve_tr_F5H604_F5H604_HUMAN_.pdf")</f>
        <v>Melting_Curves/meltCurve_tr_F5H604_F5H604_HUMAN_.pdf</v>
      </c>
      <c r="AA4338" t="s">
        <v>18477</v>
      </c>
      <c r="AB4338" t="s">
        <v>23156</v>
      </c>
    </row>
    <row r="4339" spans="1:28" x14ac:dyDescent="0.25">
      <c r="A4339" t="s">
        <v>4343</v>
      </c>
      <c r="B4339">
        <v>0.99904790336628502</v>
      </c>
      <c r="C4339">
        <v>0.76450750663904299</v>
      </c>
      <c r="D4339">
        <v>0.876681187079693</v>
      </c>
      <c r="E4339">
        <v>0.80915874019677403</v>
      </c>
      <c r="F4339">
        <v>0.57789301941004101</v>
      </c>
      <c r="G4339">
        <v>6.0383419258828799E-2</v>
      </c>
      <c r="H4339">
        <v>0</v>
      </c>
      <c r="I4339">
        <v>0</v>
      </c>
      <c r="J4339">
        <v>0</v>
      </c>
      <c r="K4339">
        <v>0</v>
      </c>
      <c r="L4339">
        <v>1508.1341308096301</v>
      </c>
      <c r="M4339">
        <v>28.3888570702793</v>
      </c>
      <c r="N4339">
        <v>53.124157956919198</v>
      </c>
      <c r="O4339">
        <v>52.862652057031802</v>
      </c>
      <c r="P4339">
        <v>-0.134258719217276</v>
      </c>
      <c r="Q4339">
        <v>0</v>
      </c>
      <c r="R4339">
        <v>0.95323673511645202</v>
      </c>
      <c r="S4339" t="s">
        <v>9079</v>
      </c>
      <c r="T4339" t="s">
        <v>9478</v>
      </c>
      <c r="U4339" t="s">
        <v>9478</v>
      </c>
      <c r="V4339" t="s">
        <v>9478</v>
      </c>
      <c r="W4339">
        <v>1</v>
      </c>
      <c r="X4339" t="s">
        <v>13817</v>
      </c>
      <c r="Y4339">
        <v>0.44470473799587268</v>
      </c>
      <c r="Z4339" t="str">
        <f>HYPERLINK("Melting_Curves/meltCurve_tr_F5H658_F5H658_HUMAN_.pdf", "Melting_Curves/meltCurve_tr_F5H658_F5H658_HUMAN_.pdf")</f>
        <v>Melting_Curves/meltCurve_tr_F5H658_F5H658_HUMAN_.pdf</v>
      </c>
      <c r="AA4339" t="s">
        <v>18478</v>
      </c>
      <c r="AB4339" t="s">
        <v>23157</v>
      </c>
    </row>
    <row r="4340" spans="1:28" x14ac:dyDescent="0.25">
      <c r="A4340" t="s">
        <v>4344</v>
      </c>
      <c r="B4340">
        <v>0.99904790336628502</v>
      </c>
      <c r="C4340">
        <v>0.85152834462666405</v>
      </c>
      <c r="D4340">
        <v>0.449183806649466</v>
      </c>
      <c r="E4340">
        <v>0.257333217362606</v>
      </c>
      <c r="F4340">
        <v>0.177964489117139</v>
      </c>
      <c r="G4340">
        <v>0.126366335066533</v>
      </c>
      <c r="H4340">
        <v>7.8650054862851607E-2</v>
      </c>
      <c r="I4340">
        <v>5.4887760489000202E-2</v>
      </c>
      <c r="J4340">
        <v>3.6048412424544901E-2</v>
      </c>
      <c r="K4340">
        <v>3.4637217527491403E-2</v>
      </c>
      <c r="L4340">
        <v>899.707399470778</v>
      </c>
      <c r="M4340">
        <v>19.618785840502699</v>
      </c>
      <c r="N4340">
        <v>46.208926465647899</v>
      </c>
      <c r="O4340">
        <v>45.390980947431501</v>
      </c>
      <c r="P4340">
        <v>-0.100608762982003</v>
      </c>
      <c r="Q4340">
        <v>6.8939173257669406E-2</v>
      </c>
      <c r="R4340">
        <v>0.98472838896020798</v>
      </c>
      <c r="S4340" t="s">
        <v>9080</v>
      </c>
      <c r="T4340" t="s">
        <v>9478</v>
      </c>
      <c r="U4340" t="s">
        <v>9478</v>
      </c>
      <c r="V4340" t="s">
        <v>9478</v>
      </c>
      <c r="W4340">
        <v>9</v>
      </c>
      <c r="X4340" t="s">
        <v>13818</v>
      </c>
      <c r="Y4340">
        <v>0.26598913829863918</v>
      </c>
      <c r="Z4340" t="str">
        <f>HYPERLINK("Melting_Curves/meltCurve_tr_F5H698_F5H698_HUMAN_.pdf", "Melting_Curves/meltCurve_tr_F5H698_F5H698_HUMAN_.pdf")</f>
        <v>Melting_Curves/meltCurve_tr_F5H698_F5H698_HUMAN_.pdf</v>
      </c>
      <c r="AA4340" t="s">
        <v>18479</v>
      </c>
      <c r="AB4340" t="s">
        <v>23158</v>
      </c>
    </row>
    <row r="4341" spans="1:28" x14ac:dyDescent="0.25">
      <c r="A4341" t="s">
        <v>4345</v>
      </c>
      <c r="B4341">
        <v>0.99904790336628502</v>
      </c>
      <c r="C4341">
        <v>0.92881909534632701</v>
      </c>
      <c r="D4341">
        <v>0.85116523694806201</v>
      </c>
      <c r="E4341">
        <v>0.66179321748063402</v>
      </c>
      <c r="F4341">
        <v>0.57903411686067396</v>
      </c>
      <c r="G4341">
        <v>0.41611859283333302</v>
      </c>
      <c r="H4341">
        <v>0.303650912923631</v>
      </c>
      <c r="I4341">
        <v>0.241355515715518</v>
      </c>
      <c r="J4341">
        <v>0.30461150201477999</v>
      </c>
      <c r="K4341">
        <v>0.249057420035695</v>
      </c>
      <c r="L4341">
        <v>615.97580429514699</v>
      </c>
      <c r="M4341">
        <v>11.9209981966118</v>
      </c>
      <c r="N4341">
        <v>54.205204590156399</v>
      </c>
      <c r="O4341">
        <v>50.281833928773899</v>
      </c>
      <c r="P4341">
        <v>-4.6622105653737499E-2</v>
      </c>
      <c r="Q4341">
        <v>0.21360100509437299</v>
      </c>
      <c r="R4341">
        <v>0.99194764634048804</v>
      </c>
      <c r="S4341" t="s">
        <v>9081</v>
      </c>
      <c r="T4341" t="s">
        <v>9478</v>
      </c>
      <c r="U4341" t="s">
        <v>9478</v>
      </c>
      <c r="V4341" t="s">
        <v>9478</v>
      </c>
      <c r="W4341">
        <v>1</v>
      </c>
      <c r="X4341" t="s">
        <v>13819</v>
      </c>
      <c r="Y4341">
        <v>0.54435897812283918</v>
      </c>
      <c r="Z4341" t="str">
        <f>HYPERLINK("Melting_Curves/meltCurve_tr_F5H6G7_F5H6G7_HUMAN_.pdf", "Melting_Curves/meltCurve_tr_F5H6G7_F5H6G7_HUMAN_.pdf")</f>
        <v>Melting_Curves/meltCurve_tr_F5H6G7_F5H6G7_HUMAN_.pdf</v>
      </c>
      <c r="AA4341" t="s">
        <v>18480</v>
      </c>
      <c r="AB4341" t="s">
        <v>23159</v>
      </c>
    </row>
    <row r="4342" spans="1:28" x14ac:dyDescent="0.25">
      <c r="A4342" t="s">
        <v>4346</v>
      </c>
      <c r="B4342">
        <v>0.99904790336628502</v>
      </c>
      <c r="C4342">
        <v>1.02472129558303</v>
      </c>
      <c r="D4342">
        <v>0.96931441348387304</v>
      </c>
      <c r="E4342">
        <v>0.95055539583877202</v>
      </c>
      <c r="F4342">
        <v>1.0303924903998201</v>
      </c>
      <c r="G4342">
        <v>0.74295828079694803</v>
      </c>
      <c r="H4342">
        <v>0.71789872735856197</v>
      </c>
      <c r="I4342">
        <v>0.75482717814743605</v>
      </c>
      <c r="J4342">
        <v>0.89380463793504905</v>
      </c>
      <c r="K4342">
        <v>0.90785962836245104</v>
      </c>
      <c r="L4342">
        <v>4893.1594762319401</v>
      </c>
      <c r="M4342">
        <v>89.385718662667898</v>
      </c>
      <c r="O4342">
        <v>54.714688421307599</v>
      </c>
      <c r="P4342">
        <v>-8.0405189494850302E-2</v>
      </c>
      <c r="Q4342">
        <v>0.80312986667164499</v>
      </c>
      <c r="R4342">
        <v>0.69912614454877398</v>
      </c>
      <c r="S4342" t="s">
        <v>9082</v>
      </c>
      <c r="T4342" t="s">
        <v>9478</v>
      </c>
      <c r="U4342" t="s">
        <v>9478</v>
      </c>
      <c r="V4342" t="s">
        <v>9478</v>
      </c>
      <c r="W4342">
        <v>18</v>
      </c>
      <c r="X4342" t="s">
        <v>13820</v>
      </c>
      <c r="Y4342">
        <v>0.90002049997200462</v>
      </c>
      <c r="Z4342" t="str">
        <f>HYPERLINK("Melting_Curves/meltCurve_tr_F5H721_F5H721_HUMAN_.pdf", "Melting_Curves/meltCurve_tr_F5H721_F5H721_HUMAN_.pdf")</f>
        <v>Melting_Curves/meltCurve_tr_F5H721_F5H721_HUMAN_.pdf</v>
      </c>
      <c r="AA4342" t="s">
        <v>18481</v>
      </c>
      <c r="AB4342" t="s">
        <v>23160</v>
      </c>
    </row>
    <row r="4343" spans="1:28" x14ac:dyDescent="0.25">
      <c r="A4343" t="s">
        <v>4347</v>
      </c>
      <c r="B4343">
        <v>0.99904790336628502</v>
      </c>
      <c r="C4343">
        <v>1.02138588367812</v>
      </c>
      <c r="D4343">
        <v>1.4208724058739</v>
      </c>
      <c r="E4343">
        <v>1.05644433597464</v>
      </c>
      <c r="F4343">
        <v>0.342372307562681</v>
      </c>
      <c r="G4343">
        <v>0.47185272827554497</v>
      </c>
      <c r="H4343">
        <v>0.162790217102458</v>
      </c>
      <c r="I4343">
        <v>7.6566929173095599E-2</v>
      </c>
      <c r="J4343">
        <v>0.18071806187046</v>
      </c>
      <c r="K4343">
        <v>0</v>
      </c>
      <c r="L4343">
        <v>13176.3909926044</v>
      </c>
      <c r="M4343">
        <v>250</v>
      </c>
      <c r="N4343">
        <v>52.798754714713297</v>
      </c>
      <c r="O4343">
        <v>52.702191305725499</v>
      </c>
      <c r="P4343">
        <v>-0.97435996479140197</v>
      </c>
      <c r="Q4343">
        <v>0.178385518932584</v>
      </c>
      <c r="R4343">
        <v>0.86524297977328202</v>
      </c>
      <c r="S4343" t="s">
        <v>9083</v>
      </c>
      <c r="T4343" t="s">
        <v>9478</v>
      </c>
      <c r="U4343" t="s">
        <v>9478</v>
      </c>
      <c r="V4343" t="s">
        <v>9478</v>
      </c>
      <c r="W4343">
        <v>18</v>
      </c>
      <c r="X4343" t="s">
        <v>13821</v>
      </c>
      <c r="Y4343">
        <v>0.52643069444656576</v>
      </c>
      <c r="Z4343" t="str">
        <f>HYPERLINK("Melting_Curves/meltCurve_tr_F5H780_F5H780_HUMAN_.pdf", "Melting_Curves/meltCurve_tr_F5H780_F5H780_HUMAN_.pdf")</f>
        <v>Melting_Curves/meltCurve_tr_F5H780_F5H780_HUMAN_.pdf</v>
      </c>
      <c r="AA4343" t="s">
        <v>18393</v>
      </c>
      <c r="AB4343" t="s">
        <v>23068</v>
      </c>
    </row>
    <row r="4344" spans="1:28" x14ac:dyDescent="0.25">
      <c r="A4344" t="s">
        <v>4348</v>
      </c>
      <c r="B4344">
        <v>0.99904790336628502</v>
      </c>
      <c r="C4344">
        <v>1.1067450482724699</v>
      </c>
      <c r="D4344">
        <v>0.81682959974749703</v>
      </c>
      <c r="E4344">
        <v>0.52394555251862496</v>
      </c>
      <c r="F4344">
        <v>0.40803197261553498</v>
      </c>
      <c r="G4344">
        <v>0.26823125634330502</v>
      </c>
      <c r="H4344">
        <v>0.14737759606759299</v>
      </c>
      <c r="I4344">
        <v>0.109754516392436</v>
      </c>
      <c r="J4344">
        <v>6.2427832016473797E-2</v>
      </c>
      <c r="K4344">
        <v>5.2572072273270203E-2</v>
      </c>
      <c r="L4344">
        <v>782.69798493824499</v>
      </c>
      <c r="M4344">
        <v>15.407426385825699</v>
      </c>
      <c r="N4344">
        <v>51.276256013612901</v>
      </c>
      <c r="O4344">
        <v>49.9673535220684</v>
      </c>
      <c r="P4344">
        <v>-7.1955184558998103E-2</v>
      </c>
      <c r="Q4344">
        <v>6.6662253346258499E-2</v>
      </c>
      <c r="R4344">
        <v>0.975069317310857</v>
      </c>
      <c r="S4344" t="s">
        <v>9084</v>
      </c>
      <c r="T4344" t="s">
        <v>9478</v>
      </c>
      <c r="U4344" t="s">
        <v>9478</v>
      </c>
      <c r="V4344" t="s">
        <v>9478</v>
      </c>
      <c r="W4344">
        <v>4</v>
      </c>
      <c r="X4344" t="s">
        <v>13822</v>
      </c>
      <c r="Y4344">
        <v>0.42340537412208601</v>
      </c>
      <c r="Z4344" t="str">
        <f>HYPERLINK("Melting_Curves/meltCurve_tr_F5H7F6_F5H7F6_HUMAN_.pdf", "Melting_Curves/meltCurve_tr_F5H7F6_F5H7F6_HUMAN_.pdf")</f>
        <v>Melting_Curves/meltCurve_tr_F5H7F6_F5H7F6_HUMAN_.pdf</v>
      </c>
      <c r="AA4344" t="s">
        <v>18482</v>
      </c>
      <c r="AB4344" t="s">
        <v>23161</v>
      </c>
    </row>
    <row r="4345" spans="1:28" x14ac:dyDescent="0.25">
      <c r="A4345" t="s">
        <v>4349</v>
      </c>
      <c r="B4345">
        <v>0.99904790336628502</v>
      </c>
      <c r="C4345">
        <v>1.0057694666165</v>
      </c>
      <c r="D4345">
        <v>0.96597789400775003</v>
      </c>
      <c r="E4345">
        <v>0.85258006727819402</v>
      </c>
      <c r="F4345">
        <v>0.88290990879407205</v>
      </c>
      <c r="G4345">
        <v>0.63985053264857095</v>
      </c>
      <c r="H4345">
        <v>0.54391424949648404</v>
      </c>
      <c r="I4345">
        <v>0.53123092482805401</v>
      </c>
      <c r="J4345">
        <v>0.531371388212729</v>
      </c>
      <c r="K4345">
        <v>0.49462012505265801</v>
      </c>
      <c r="L4345">
        <v>900.028269337854</v>
      </c>
      <c r="M4345">
        <v>16.4168372783686</v>
      </c>
      <c r="N4345">
        <v>69.416362117787102</v>
      </c>
      <c r="O4345">
        <v>54.029376688275399</v>
      </c>
      <c r="P4345">
        <v>-3.9188355486587903E-2</v>
      </c>
      <c r="Q4345">
        <v>0.48414599872460201</v>
      </c>
      <c r="R4345">
        <v>0.97528412141270604</v>
      </c>
      <c r="S4345" t="s">
        <v>9085</v>
      </c>
      <c r="T4345" t="s">
        <v>9478</v>
      </c>
      <c r="U4345" t="s">
        <v>9478</v>
      </c>
      <c r="V4345" t="s">
        <v>9478</v>
      </c>
      <c r="W4345">
        <v>1</v>
      </c>
      <c r="X4345" t="s">
        <v>13823</v>
      </c>
      <c r="Y4345">
        <v>0.74810060109687448</v>
      </c>
      <c r="Z4345" t="str">
        <f>HYPERLINK("Melting_Curves/meltCurve_tr_F5H7X2_F5H7X2_HUMAN_.pdf", "Melting_Curves/meltCurve_tr_F5H7X2_F5H7X2_HUMAN_.pdf")</f>
        <v>Melting_Curves/meltCurve_tr_F5H7X2_F5H7X2_HUMAN_.pdf</v>
      </c>
      <c r="AA4345" t="s">
        <v>18483</v>
      </c>
      <c r="AB4345" t="s">
        <v>23162</v>
      </c>
    </row>
    <row r="4346" spans="1:28" x14ac:dyDescent="0.25">
      <c r="A4346" t="s">
        <v>4350</v>
      </c>
      <c r="B4346">
        <v>0.99904790336628502</v>
      </c>
      <c r="C4346">
        <v>0.96012730498607302</v>
      </c>
      <c r="D4346">
        <v>0.70357649068544903</v>
      </c>
      <c r="E4346">
        <v>0.29729659976489298</v>
      </c>
      <c r="F4346">
        <v>0.16726376755210201</v>
      </c>
      <c r="G4346">
        <v>0.10828275793558299</v>
      </c>
      <c r="H4346">
        <v>7.1104745318753299E-2</v>
      </c>
      <c r="I4346">
        <v>5.9806769688532102E-2</v>
      </c>
      <c r="J4346">
        <v>3.5860311823010499E-2</v>
      </c>
      <c r="K4346">
        <v>3.62937052223892E-2</v>
      </c>
      <c r="L4346">
        <v>1064.1369307271</v>
      </c>
      <c r="M4346">
        <v>22.292845056628099</v>
      </c>
      <c r="N4346">
        <v>47.990722811758403</v>
      </c>
      <c r="O4346">
        <v>47.355333002059197</v>
      </c>
      <c r="P4346">
        <v>-0.11108762311654601</v>
      </c>
      <c r="Q4346">
        <v>5.6113311946712402E-2</v>
      </c>
      <c r="R4346">
        <v>0.99751881315717805</v>
      </c>
      <c r="S4346" t="s">
        <v>9086</v>
      </c>
      <c r="T4346" t="s">
        <v>9478</v>
      </c>
      <c r="U4346" t="s">
        <v>9478</v>
      </c>
      <c r="V4346" t="s">
        <v>9478</v>
      </c>
      <c r="W4346">
        <v>19</v>
      </c>
      <c r="X4346" t="s">
        <v>13824</v>
      </c>
      <c r="Y4346">
        <v>0.31014727901219658</v>
      </c>
      <c r="Z4346" t="str">
        <f>HYPERLINK("Melting_Curves/meltCurve_tr_F5H801_F5H801_HUMAN_.pdf", "Melting_Curves/meltCurve_tr_F5H801_F5H801_HUMAN_.pdf")</f>
        <v>Melting_Curves/meltCurve_tr_F5H801_F5H801_HUMAN_.pdf</v>
      </c>
      <c r="AA4346" t="s">
        <v>18484</v>
      </c>
      <c r="AB4346" t="s">
        <v>23163</v>
      </c>
    </row>
    <row r="4347" spans="1:28" x14ac:dyDescent="0.25">
      <c r="A4347" t="s">
        <v>4351</v>
      </c>
      <c r="B4347">
        <v>0.99904790336628502</v>
      </c>
      <c r="C4347">
        <v>1.00219365847331</v>
      </c>
      <c r="D4347">
        <v>1.0597484708454501</v>
      </c>
      <c r="E4347">
        <v>0.99305218601275402</v>
      </c>
      <c r="F4347">
        <v>0.75394699728472003</v>
      </c>
      <c r="G4347">
        <v>0.19187406564916201</v>
      </c>
      <c r="H4347">
        <v>7.0268659305186498E-2</v>
      </c>
      <c r="I4347">
        <v>4.8053460342087899E-2</v>
      </c>
      <c r="J4347">
        <v>3.6421394899187103E-2</v>
      </c>
      <c r="K4347">
        <v>3.0268625000321601E-2</v>
      </c>
      <c r="L4347">
        <v>2108.9916842695102</v>
      </c>
      <c r="M4347">
        <v>38.696262225207697</v>
      </c>
      <c r="N4347">
        <v>54.623706822644898</v>
      </c>
      <c r="O4347">
        <v>54.356236342018803</v>
      </c>
      <c r="P4347">
        <v>-0.17057690333323899</v>
      </c>
      <c r="Q4347">
        <v>4.1571996319802497E-2</v>
      </c>
      <c r="R4347">
        <v>0.99777773133397896</v>
      </c>
      <c r="S4347" t="s">
        <v>9087</v>
      </c>
      <c r="T4347" t="s">
        <v>9478</v>
      </c>
      <c r="U4347" t="s">
        <v>9478</v>
      </c>
      <c r="V4347" t="s">
        <v>9478</v>
      </c>
      <c r="W4347">
        <v>38</v>
      </c>
      <c r="X4347" t="s">
        <v>13825</v>
      </c>
      <c r="Y4347">
        <v>0.50869607047559229</v>
      </c>
      <c r="Z4347" t="str">
        <f>HYPERLINK("Melting_Curves/meltCurve_tr_F5H897_F5H897_HUMAN_.pdf", "Melting_Curves/meltCurve_tr_F5H897_F5H897_HUMAN_.pdf")</f>
        <v>Melting_Curves/meltCurve_tr_F5H897_F5H897_HUMAN_.pdf</v>
      </c>
      <c r="AA4347" t="s">
        <v>18485</v>
      </c>
      <c r="AB4347" t="s">
        <v>23164</v>
      </c>
    </row>
    <row r="4348" spans="1:28" x14ac:dyDescent="0.25">
      <c r="A4348" t="s">
        <v>4352</v>
      </c>
      <c r="B4348">
        <v>0.99904790336628502</v>
      </c>
      <c r="C4348">
        <v>0.92898693562287804</v>
      </c>
      <c r="D4348">
        <v>0.94995195979216696</v>
      </c>
      <c r="E4348">
        <v>0.75823515484968396</v>
      </c>
      <c r="F4348">
        <v>0.58206669987861004</v>
      </c>
      <c r="G4348">
        <v>0.322701925334345</v>
      </c>
      <c r="H4348">
        <v>0.20785851624080001</v>
      </c>
      <c r="I4348">
        <v>0.216700156395916</v>
      </c>
      <c r="J4348">
        <v>9.9745659029312303E-2</v>
      </c>
      <c r="K4348">
        <v>0.213684241364168</v>
      </c>
      <c r="L4348">
        <v>917.29239219675799</v>
      </c>
      <c r="M4348">
        <v>17.36226118978</v>
      </c>
      <c r="N4348">
        <v>53.915741034708901</v>
      </c>
      <c r="O4348">
        <v>52.146609252689501</v>
      </c>
      <c r="P4348">
        <v>-7.0986028473857404E-2</v>
      </c>
      <c r="Q4348">
        <v>0.14723772803825899</v>
      </c>
      <c r="R4348">
        <v>0.98885824870030803</v>
      </c>
      <c r="S4348" t="s">
        <v>9088</v>
      </c>
      <c r="T4348" t="s">
        <v>9478</v>
      </c>
      <c r="U4348" t="s">
        <v>9478</v>
      </c>
      <c r="V4348" t="s">
        <v>9478</v>
      </c>
      <c r="W4348">
        <v>2</v>
      </c>
      <c r="X4348" t="s">
        <v>13826</v>
      </c>
      <c r="Y4348">
        <v>0.52684681442468428</v>
      </c>
      <c r="Z4348" t="str">
        <f>HYPERLINK("Melting_Curves/meltCurve_tr_F5H8B0_F5H8B0_HUMAN_.pdf", "Melting_Curves/meltCurve_tr_F5H8B0_F5H8B0_HUMAN_.pdf")</f>
        <v>Melting_Curves/meltCurve_tr_F5H8B0_F5H8B0_HUMAN_.pdf</v>
      </c>
      <c r="AA4348" t="s">
        <v>18486</v>
      </c>
      <c r="AB4348" t="s">
        <v>23165</v>
      </c>
    </row>
    <row r="4349" spans="1:28" x14ac:dyDescent="0.25">
      <c r="A4349" t="s">
        <v>4353</v>
      </c>
      <c r="B4349">
        <v>0.99904790336628502</v>
      </c>
      <c r="C4349">
        <v>0.90740674184704295</v>
      </c>
      <c r="D4349">
        <v>0.87831396448407595</v>
      </c>
      <c r="E4349">
        <v>0.830487447979254</v>
      </c>
      <c r="F4349">
        <v>0.62187276526433499</v>
      </c>
      <c r="G4349">
        <v>0.303774085890193</v>
      </c>
      <c r="H4349">
        <v>0.183357537420652</v>
      </c>
      <c r="I4349">
        <v>0.178062034396336</v>
      </c>
      <c r="J4349">
        <v>0.170101630586076</v>
      </c>
      <c r="K4349">
        <v>0.18619610129949199</v>
      </c>
      <c r="L4349">
        <v>1038.64437585721</v>
      </c>
      <c r="M4349">
        <v>19.5147785046453</v>
      </c>
      <c r="N4349">
        <v>54.200149728972001</v>
      </c>
      <c r="O4349">
        <v>52.674039956743698</v>
      </c>
      <c r="P4349">
        <v>-7.88936229190879E-2</v>
      </c>
      <c r="Q4349">
        <v>0.148235936571077</v>
      </c>
      <c r="R4349">
        <v>0.98388788562868501</v>
      </c>
      <c r="S4349" t="s">
        <v>9089</v>
      </c>
      <c r="T4349" t="s">
        <v>9478</v>
      </c>
      <c r="U4349" t="s">
        <v>9478</v>
      </c>
      <c r="V4349" t="s">
        <v>9478</v>
      </c>
      <c r="W4349">
        <v>7</v>
      </c>
      <c r="X4349" t="s">
        <v>13827</v>
      </c>
      <c r="Y4349">
        <v>0.53586031335028705</v>
      </c>
      <c r="Z4349" t="str">
        <f>HYPERLINK("Melting_Curves/meltCurve_tr_F5H8D7_F5H8D7_HUMAN_.pdf", "Melting_Curves/meltCurve_tr_F5H8D7_F5H8D7_HUMAN_.pdf")</f>
        <v>Melting_Curves/meltCurve_tr_F5H8D7_F5H8D7_HUMAN_.pdf</v>
      </c>
      <c r="AA4349" t="s">
        <v>18487</v>
      </c>
      <c r="AB4349" t="s">
        <v>23166</v>
      </c>
    </row>
    <row r="4350" spans="1:28" x14ac:dyDescent="0.25">
      <c r="A4350" t="s">
        <v>4354</v>
      </c>
      <c r="B4350">
        <v>0.99904790336628502</v>
      </c>
      <c r="C4350">
        <v>1.0680157180713801</v>
      </c>
      <c r="D4350">
        <v>1.1138910724079401</v>
      </c>
      <c r="E4350">
        <v>0.83747192389116898</v>
      </c>
      <c r="F4350">
        <v>0.51173177437111195</v>
      </c>
      <c r="G4350">
        <v>0.26276257490043298</v>
      </c>
      <c r="H4350">
        <v>0.18157224787274001</v>
      </c>
      <c r="I4350">
        <v>0.18233405179203499</v>
      </c>
      <c r="J4350">
        <v>0.18319511118717999</v>
      </c>
      <c r="K4350">
        <v>0.16671838190872701</v>
      </c>
      <c r="L4350">
        <v>1667.8270408394001</v>
      </c>
      <c r="M4350">
        <v>31.838777900789101</v>
      </c>
      <c r="N4350">
        <v>53.1296174868558</v>
      </c>
      <c r="O4350">
        <v>52.178161878038402</v>
      </c>
      <c r="P4350">
        <v>-0.125049925617326</v>
      </c>
      <c r="Q4350">
        <v>0.18026480689573601</v>
      </c>
      <c r="R4350">
        <v>0.98598393292751196</v>
      </c>
      <c r="S4350" t="s">
        <v>9090</v>
      </c>
      <c r="T4350" t="s">
        <v>9478</v>
      </c>
      <c r="U4350" t="s">
        <v>9478</v>
      </c>
      <c r="V4350" t="s">
        <v>9478</v>
      </c>
      <c r="W4350">
        <v>3</v>
      </c>
      <c r="X4350" t="s">
        <v>13828</v>
      </c>
      <c r="Y4350">
        <v>0.52332101938150777</v>
      </c>
      <c r="Z4350" t="str">
        <f>HYPERLINK("Melting_Curves/meltCurve_tr_F5H8F7_F5H8F7_HUMAN_.pdf", "Melting_Curves/meltCurve_tr_F5H8F7_F5H8F7_HUMAN_.pdf")</f>
        <v>Melting_Curves/meltCurve_tr_F5H8F7_F5H8F7_HUMAN_.pdf</v>
      </c>
      <c r="AA4350" t="s">
        <v>18488</v>
      </c>
      <c r="AB4350" t="s">
        <v>23167</v>
      </c>
    </row>
    <row r="4351" spans="1:28" x14ac:dyDescent="0.25">
      <c r="A4351" t="s">
        <v>4355</v>
      </c>
      <c r="B4351">
        <v>0.99904790336628502</v>
      </c>
      <c r="C4351">
        <v>1.02380930681122</v>
      </c>
      <c r="D4351">
        <v>1.0131424913023801</v>
      </c>
      <c r="E4351">
        <v>0.89069569993334197</v>
      </c>
      <c r="F4351">
        <v>0.65754180338691404</v>
      </c>
      <c r="G4351">
        <v>0.23413945155479801</v>
      </c>
      <c r="H4351">
        <v>6.7817063510115905E-2</v>
      </c>
      <c r="I4351">
        <v>4.52193804949413E-2</v>
      </c>
      <c r="J4351">
        <v>2.66867305085659E-2</v>
      </c>
      <c r="K4351">
        <v>1.8332213152258501E-2</v>
      </c>
      <c r="L4351">
        <v>1407.58236997576</v>
      </c>
      <c r="M4351">
        <v>25.9568335961823</v>
      </c>
      <c r="N4351">
        <v>54.310681476219401</v>
      </c>
      <c r="O4351">
        <v>53.909024651210203</v>
      </c>
      <c r="P4351">
        <v>-0.118037635463921</v>
      </c>
      <c r="Q4351">
        <v>1.9415100473440899E-2</v>
      </c>
      <c r="R4351">
        <v>0.999280733996598</v>
      </c>
      <c r="S4351" t="s">
        <v>9091</v>
      </c>
      <c r="T4351" t="s">
        <v>9478</v>
      </c>
      <c r="U4351" t="s">
        <v>9478</v>
      </c>
      <c r="V4351" t="s">
        <v>9478</v>
      </c>
      <c r="W4351">
        <v>14</v>
      </c>
      <c r="X4351" t="s">
        <v>13829</v>
      </c>
      <c r="Y4351">
        <v>0.492946121006611</v>
      </c>
      <c r="Z4351" t="str">
        <f>HYPERLINK("Melting_Curves/meltCurve_tr_F5H8H2_F5H8H2_HUMAN_.pdf", "Melting_Curves/meltCurve_tr_F5H8H2_F5H8H2_HUMAN_.pdf")</f>
        <v>Melting_Curves/meltCurve_tr_F5H8H2_F5H8H2_HUMAN_.pdf</v>
      </c>
      <c r="AA4351" t="s">
        <v>18489</v>
      </c>
      <c r="AB4351" t="s">
        <v>23168</v>
      </c>
    </row>
    <row r="4352" spans="1:28" x14ac:dyDescent="0.25">
      <c r="A4352" t="s">
        <v>4356</v>
      </c>
      <c r="B4352">
        <v>0.99904790336628502</v>
      </c>
      <c r="C4352">
        <v>1.12320528434363</v>
      </c>
      <c r="D4352">
        <v>1.0820470119082599</v>
      </c>
      <c r="E4352">
        <v>0.97346070435186804</v>
      </c>
      <c r="F4352">
        <v>0.83084411622165699</v>
      </c>
      <c r="G4352">
        <v>0.34996355116600703</v>
      </c>
      <c r="H4352">
        <v>0.195902199018337</v>
      </c>
      <c r="I4352">
        <v>0.15163042278768901</v>
      </c>
      <c r="J4352">
        <v>0.12101226210919901</v>
      </c>
      <c r="K4352">
        <v>0.12278501155736</v>
      </c>
      <c r="L4352">
        <v>1841.6379965335</v>
      </c>
      <c r="M4352">
        <v>33.358439432537899</v>
      </c>
      <c r="N4352">
        <v>55.730434719417602</v>
      </c>
      <c r="O4352">
        <v>55.010291117867901</v>
      </c>
      <c r="P4352">
        <v>-0.13123120373159899</v>
      </c>
      <c r="Q4352">
        <v>0.13436767257575399</v>
      </c>
      <c r="R4352">
        <v>0.98657814393739296</v>
      </c>
      <c r="S4352" t="s">
        <v>9092</v>
      </c>
      <c r="T4352" t="s">
        <v>9478</v>
      </c>
      <c r="U4352" t="s">
        <v>9478</v>
      </c>
      <c r="V4352" t="s">
        <v>9478</v>
      </c>
      <c r="W4352">
        <v>4</v>
      </c>
      <c r="X4352" t="s">
        <v>13830</v>
      </c>
      <c r="Y4352">
        <v>0.57787027079517306</v>
      </c>
      <c r="Z4352" t="str">
        <f>HYPERLINK("Melting_Curves/meltCurve_tr_F5H8H4_F5H8H4_HUMAN_.pdf", "Melting_Curves/meltCurve_tr_F5H8H4_F5H8H4_HUMAN_.pdf")</f>
        <v>Melting_Curves/meltCurve_tr_F5H8H4_F5H8H4_HUMAN_.pdf</v>
      </c>
      <c r="AA4352" t="s">
        <v>18490</v>
      </c>
      <c r="AB4352" t="s">
        <v>23169</v>
      </c>
    </row>
    <row r="4353" spans="1:28" x14ac:dyDescent="0.25">
      <c r="A4353" t="s">
        <v>4357</v>
      </c>
      <c r="B4353">
        <v>0.99904790336628502</v>
      </c>
      <c r="C4353">
        <v>1.02651337532577</v>
      </c>
      <c r="D4353">
        <v>0.987613448955451</v>
      </c>
      <c r="E4353">
        <v>0.95773210303137402</v>
      </c>
      <c r="F4353">
        <v>0.73167175346968705</v>
      </c>
      <c r="G4353">
        <v>0.460872724009662</v>
      </c>
      <c r="H4353">
        <v>0.30990565101235301</v>
      </c>
      <c r="I4353">
        <v>0.24808253696437799</v>
      </c>
      <c r="J4353">
        <v>0.21805909266033</v>
      </c>
      <c r="K4353">
        <v>0.22582104376830001</v>
      </c>
      <c r="L4353">
        <v>1230.0576252118001</v>
      </c>
      <c r="M4353">
        <v>22.4104059306542</v>
      </c>
      <c r="N4353">
        <v>56.333130800422097</v>
      </c>
      <c r="O4353">
        <v>54.456350820588597</v>
      </c>
      <c r="P4353">
        <v>-8.0389264393775001E-2</v>
      </c>
      <c r="Q4353">
        <v>0.21864601967271399</v>
      </c>
      <c r="R4353">
        <v>0.99715113200098304</v>
      </c>
      <c r="S4353" t="s">
        <v>9093</v>
      </c>
      <c r="T4353" t="s">
        <v>9478</v>
      </c>
      <c r="U4353" t="s">
        <v>9478</v>
      </c>
      <c r="V4353" t="s">
        <v>9478</v>
      </c>
      <c r="W4353">
        <v>7</v>
      </c>
      <c r="X4353" t="s">
        <v>13831</v>
      </c>
      <c r="Y4353">
        <v>0.6151151320383309</v>
      </c>
      <c r="Z4353" t="str">
        <f>HYPERLINK("Melting_Curves/meltCurve_tr_F5H8L0_F5H8L0_HUMAN_.pdf", "Melting_Curves/meltCurve_tr_F5H8L0_F5H8L0_HUMAN_.pdf")</f>
        <v>Melting_Curves/meltCurve_tr_F5H8L0_F5H8L0_HUMAN_.pdf</v>
      </c>
      <c r="AA4353" t="s">
        <v>16324</v>
      </c>
      <c r="AB4353" t="s">
        <v>23170</v>
      </c>
    </row>
    <row r="4354" spans="1:28" x14ac:dyDescent="0.25">
      <c r="A4354" t="s">
        <v>4358</v>
      </c>
      <c r="B4354">
        <v>0.99904790336628502</v>
      </c>
      <c r="C4354">
        <v>1.0731148060779301</v>
      </c>
      <c r="D4354">
        <v>1.01199949295168</v>
      </c>
      <c r="E4354">
        <v>0.96854328293178404</v>
      </c>
      <c r="F4354">
        <v>0.95616498838151598</v>
      </c>
      <c r="G4354">
        <v>0.67949160583480295</v>
      </c>
      <c r="H4354">
        <v>0.58309767885767105</v>
      </c>
      <c r="I4354">
        <v>0.63046115663124003</v>
      </c>
      <c r="J4354">
        <v>0.64620358997885297</v>
      </c>
      <c r="K4354">
        <v>0.70926927595479095</v>
      </c>
      <c r="L4354">
        <v>3165.8171923691898</v>
      </c>
      <c r="M4354">
        <v>57.780984749957497</v>
      </c>
      <c r="O4354">
        <v>54.724437615162998</v>
      </c>
      <c r="P4354">
        <v>-9.4343664358413501E-2</v>
      </c>
      <c r="Q4354">
        <v>0.642588204901967</v>
      </c>
      <c r="R4354">
        <v>0.95521690125103598</v>
      </c>
      <c r="S4354" t="s">
        <v>9094</v>
      </c>
      <c r="T4354" t="s">
        <v>9478</v>
      </c>
      <c r="U4354" t="s">
        <v>9478</v>
      </c>
      <c r="V4354" t="s">
        <v>9478</v>
      </c>
      <c r="W4354">
        <v>3</v>
      </c>
      <c r="X4354" t="s">
        <v>13832</v>
      </c>
      <c r="Y4354">
        <v>0.81943744482263159</v>
      </c>
      <c r="Z4354" t="str">
        <f>HYPERLINK("Melting_Curves/meltCurve_tr_F6RY50_F6RY50_HUMAN_.pdf", "Melting_Curves/meltCurve_tr_F6RY50_F6RY50_HUMAN_.pdf")</f>
        <v>Melting_Curves/meltCurve_tr_F6RY50_F6RY50_HUMAN_.pdf</v>
      </c>
      <c r="AA4354" t="s">
        <v>18491</v>
      </c>
      <c r="AB4354" t="s">
        <v>23171</v>
      </c>
    </row>
    <row r="4355" spans="1:28" x14ac:dyDescent="0.25">
      <c r="A4355" t="s">
        <v>4359</v>
      </c>
      <c r="B4355">
        <v>0.99904790336628502</v>
      </c>
      <c r="C4355">
        <v>0.82509935466127304</v>
      </c>
      <c r="D4355">
        <v>0.84735996519074097</v>
      </c>
      <c r="E4355">
        <v>0.67151337976352499</v>
      </c>
      <c r="F4355">
        <v>0.24281764414288401</v>
      </c>
      <c r="G4355">
        <v>0.103539703591632</v>
      </c>
      <c r="H4355">
        <v>6.4968035556344506E-2</v>
      </c>
      <c r="I4355">
        <v>4.4588361408585402E-2</v>
      </c>
      <c r="J4355">
        <v>3.3632766562088003E-2</v>
      </c>
      <c r="K4355">
        <v>2.2450609503884899E-2</v>
      </c>
      <c r="L4355">
        <v>954.70253827009003</v>
      </c>
      <c r="M4355">
        <v>18.827415750545001</v>
      </c>
      <c r="N4355">
        <v>50.7851605320419</v>
      </c>
      <c r="O4355">
        <v>50.146426278153797</v>
      </c>
      <c r="P4355">
        <v>-9.2544301654155794E-2</v>
      </c>
      <c r="Q4355">
        <v>1.40815306460147E-2</v>
      </c>
      <c r="R4355">
        <v>0.973921006020943</v>
      </c>
      <c r="S4355" t="s">
        <v>9095</v>
      </c>
      <c r="T4355" t="s">
        <v>9478</v>
      </c>
      <c r="U4355" t="s">
        <v>9478</v>
      </c>
      <c r="V4355" t="s">
        <v>9478</v>
      </c>
      <c r="W4355">
        <v>12</v>
      </c>
      <c r="X4355" t="s">
        <v>13833</v>
      </c>
      <c r="Y4355">
        <v>0.38133356332965518</v>
      </c>
      <c r="Z4355" t="str">
        <f>HYPERLINK("Melting_Curves/meltCurve_tr_F6T1Q0_F6T1Q0_HUMAN_.pdf", "Melting_Curves/meltCurve_tr_F6T1Q0_F6T1Q0_HUMAN_.pdf")</f>
        <v>Melting_Curves/meltCurve_tr_F6T1Q0_F6T1Q0_HUMAN_.pdf</v>
      </c>
      <c r="AA4355" t="s">
        <v>18492</v>
      </c>
      <c r="AB4355" t="s">
        <v>23172</v>
      </c>
    </row>
    <row r="4356" spans="1:28" x14ac:dyDescent="0.25">
      <c r="A4356" t="s">
        <v>4360</v>
      </c>
      <c r="B4356">
        <v>0.99904790336628502</v>
      </c>
      <c r="C4356">
        <v>1.0365419917205601</v>
      </c>
      <c r="D4356">
        <v>1.02109421278499</v>
      </c>
      <c r="E4356">
        <v>0.77204508106556102</v>
      </c>
      <c r="F4356">
        <v>0.50221465140510602</v>
      </c>
      <c r="G4356">
        <v>0.255290553257849</v>
      </c>
      <c r="H4356">
        <v>0.163250564147913</v>
      </c>
      <c r="I4356">
        <v>0.147648192005191</v>
      </c>
      <c r="J4356">
        <v>0.101228547496254</v>
      </c>
      <c r="K4356">
        <v>8.4041017989034003E-2</v>
      </c>
      <c r="L4356">
        <v>1182.50227856119</v>
      </c>
      <c r="M4356">
        <v>22.5016885966252</v>
      </c>
      <c r="N4356">
        <v>53.135132162236701</v>
      </c>
      <c r="O4356">
        <v>52.141936425908497</v>
      </c>
      <c r="P4356">
        <v>-9.60800168360669E-2</v>
      </c>
      <c r="Q4356">
        <v>0.109454236908043</v>
      </c>
      <c r="R4356">
        <v>0.99522904277102398</v>
      </c>
      <c r="S4356" t="s">
        <v>9096</v>
      </c>
      <c r="T4356" t="s">
        <v>9478</v>
      </c>
      <c r="U4356" t="s">
        <v>9478</v>
      </c>
      <c r="V4356" t="s">
        <v>9478</v>
      </c>
      <c r="W4356">
        <v>5</v>
      </c>
      <c r="X4356" t="s">
        <v>13834</v>
      </c>
      <c r="Y4356">
        <v>0.4919983162070547</v>
      </c>
      <c r="Z4356" t="str">
        <f>HYPERLINK("Melting_Curves/meltCurve_tr_F6TQG2_F6TQG2_HUMAN_.pdf", "Melting_Curves/meltCurve_tr_F6TQG2_F6TQG2_HUMAN_.pdf")</f>
        <v>Melting_Curves/meltCurve_tr_F6TQG2_F6TQG2_HUMAN_.pdf</v>
      </c>
      <c r="AA4356" t="s">
        <v>18493</v>
      </c>
      <c r="AB4356" t="s">
        <v>23173</v>
      </c>
    </row>
    <row r="4357" spans="1:28" x14ac:dyDescent="0.25">
      <c r="A4357" t="s">
        <v>4361</v>
      </c>
      <c r="B4357">
        <v>0.99904790336628502</v>
      </c>
      <c r="C4357">
        <v>1.15292714057289</v>
      </c>
      <c r="D4357">
        <v>1.0748981504002699</v>
      </c>
      <c r="E4357">
        <v>1.0489865165230601</v>
      </c>
      <c r="F4357">
        <v>0.91826142505515096</v>
      </c>
      <c r="G4357">
        <v>0.63547260792414295</v>
      </c>
      <c r="H4357">
        <v>0.46884368024405998</v>
      </c>
      <c r="I4357">
        <v>0.48807517685788498</v>
      </c>
      <c r="J4357">
        <v>0.440458346668814</v>
      </c>
      <c r="K4357">
        <v>0.27706017445501802</v>
      </c>
      <c r="L4357">
        <v>1505.0846134983301</v>
      </c>
      <c r="M4357">
        <v>26.601635061846</v>
      </c>
      <c r="N4357">
        <v>59.888247742275297</v>
      </c>
      <c r="O4357">
        <v>56.261818274041097</v>
      </c>
      <c r="P4357">
        <v>-7.2691066795647602E-2</v>
      </c>
      <c r="Q4357">
        <v>0.38504703083650699</v>
      </c>
      <c r="R4357">
        <v>0.94084462568194704</v>
      </c>
      <c r="S4357" t="s">
        <v>9097</v>
      </c>
      <c r="T4357" t="s">
        <v>9478</v>
      </c>
      <c r="U4357" t="s">
        <v>9478</v>
      </c>
      <c r="V4357" t="s">
        <v>9478</v>
      </c>
      <c r="W4357">
        <v>1</v>
      </c>
      <c r="X4357" t="s">
        <v>13835</v>
      </c>
      <c r="Y4357">
        <v>0.72993606959061097</v>
      </c>
      <c r="Z4357" t="str">
        <f>HYPERLINK("Melting_Curves/meltCurve_tr_F6U1T9_F6U1T9_HUMAN_.pdf", "Melting_Curves/meltCurve_tr_F6U1T9_F6U1T9_HUMAN_.pdf")</f>
        <v>Melting_Curves/meltCurve_tr_F6U1T9_F6U1T9_HUMAN_.pdf</v>
      </c>
      <c r="AA4357" t="s">
        <v>18494</v>
      </c>
      <c r="AB4357" t="s">
        <v>23174</v>
      </c>
    </row>
    <row r="4358" spans="1:28" x14ac:dyDescent="0.25">
      <c r="A4358" t="s">
        <v>4362</v>
      </c>
      <c r="B4358">
        <v>0.99904790336628502</v>
      </c>
      <c r="C4358">
        <v>0.902808222539914</v>
      </c>
      <c r="D4358">
        <v>0.98453990408459802</v>
      </c>
      <c r="E4358">
        <v>0.77463567676560496</v>
      </c>
      <c r="F4358">
        <v>0.76197663665014204</v>
      </c>
      <c r="G4358">
        <v>0.76227290437694795</v>
      </c>
      <c r="H4358">
        <v>0.396381607421811</v>
      </c>
      <c r="I4358">
        <v>0.29098182283238599</v>
      </c>
      <c r="J4358">
        <v>0.21136274509517899</v>
      </c>
      <c r="K4358">
        <v>0.15587493402498401</v>
      </c>
      <c r="L4358">
        <v>636.01781845364405</v>
      </c>
      <c r="M4358">
        <v>10.697153586108501</v>
      </c>
      <c r="N4358">
        <v>59.4567521170449</v>
      </c>
      <c r="O4358">
        <v>57.491858897605198</v>
      </c>
      <c r="P4358">
        <v>-4.65334228826529E-2</v>
      </c>
      <c r="Q4358">
        <v>0</v>
      </c>
      <c r="R4358">
        <v>0.95370630147205904</v>
      </c>
      <c r="S4358" t="s">
        <v>9098</v>
      </c>
      <c r="T4358" t="s">
        <v>9478</v>
      </c>
      <c r="U4358" t="s">
        <v>9478</v>
      </c>
      <c r="V4358" t="s">
        <v>9478</v>
      </c>
      <c r="W4358">
        <v>5</v>
      </c>
      <c r="X4358" t="s">
        <v>13836</v>
      </c>
      <c r="Y4358">
        <v>0.65092365408760933</v>
      </c>
      <c r="Z4358" t="str">
        <f>HYPERLINK("Melting_Curves/meltCurve_tr_F6XY72_F6XY72_HUMAN_.pdf", "Melting_Curves/meltCurve_tr_F6XY72_F6XY72_HUMAN_.pdf")</f>
        <v>Melting_Curves/meltCurve_tr_F6XY72_F6XY72_HUMAN_.pdf</v>
      </c>
      <c r="AA4358" t="s">
        <v>15105</v>
      </c>
      <c r="AB4358" t="s">
        <v>22947</v>
      </c>
    </row>
    <row r="4359" spans="1:28" x14ac:dyDescent="0.25">
      <c r="A4359" t="s">
        <v>4363</v>
      </c>
      <c r="B4359">
        <v>0.99904790336628502</v>
      </c>
      <c r="C4359">
        <v>1.03608795688545</v>
      </c>
      <c r="D4359">
        <v>0.96603344097402699</v>
      </c>
      <c r="E4359">
        <v>0.70929779355215095</v>
      </c>
      <c r="F4359">
        <v>0.46114319824481598</v>
      </c>
      <c r="G4359">
        <v>0.25204436193791602</v>
      </c>
      <c r="H4359">
        <v>0.10815298785612</v>
      </c>
      <c r="I4359">
        <v>6.8105682145646898E-2</v>
      </c>
      <c r="J4359">
        <v>6.2289405963360099E-2</v>
      </c>
      <c r="K4359">
        <v>3.25119411031227E-2</v>
      </c>
      <c r="L4359">
        <v>968.64723353575096</v>
      </c>
      <c r="M4359">
        <v>18.4528748612294</v>
      </c>
      <c r="N4359">
        <v>52.727671466430301</v>
      </c>
      <c r="O4359">
        <v>51.888190122632402</v>
      </c>
      <c r="P4359">
        <v>-8.5406405831722307E-2</v>
      </c>
      <c r="Q4359">
        <v>3.9415674949038297E-2</v>
      </c>
      <c r="R4359">
        <v>0.99654072875382704</v>
      </c>
      <c r="S4359" t="s">
        <v>9099</v>
      </c>
      <c r="T4359" t="s">
        <v>9478</v>
      </c>
      <c r="U4359" t="s">
        <v>9478</v>
      </c>
      <c r="V4359" t="s">
        <v>9478</v>
      </c>
      <c r="W4359">
        <v>8</v>
      </c>
      <c r="X4359" t="s">
        <v>13837</v>
      </c>
      <c r="Y4359">
        <v>0.4546603711877058</v>
      </c>
      <c r="Z4359" t="str">
        <f>HYPERLINK("Melting_Curves/meltCurve_tr_F8VPD4_F8VPD4_HUMAN_.pdf", "Melting_Curves/meltCurve_tr_F8VPD4_F8VPD4_HUMAN_.pdf")</f>
        <v>Melting_Curves/meltCurve_tr_F8VPD4_F8VPD4_HUMAN_.pdf</v>
      </c>
      <c r="AA4359" t="s">
        <v>18495</v>
      </c>
      <c r="AB4359" t="s">
        <v>23175</v>
      </c>
    </row>
    <row r="4360" spans="1:28" x14ac:dyDescent="0.25">
      <c r="A4360" t="s">
        <v>4364</v>
      </c>
      <c r="B4360">
        <v>0.99904790336628502</v>
      </c>
      <c r="C4360">
        <v>1.00856851456531</v>
      </c>
      <c r="D4360">
        <v>0.92672814624645805</v>
      </c>
      <c r="E4360">
        <v>0.71870028929996799</v>
      </c>
      <c r="F4360">
        <v>0.65018725076121997</v>
      </c>
      <c r="G4360">
        <v>0.54179693697141695</v>
      </c>
      <c r="H4360">
        <v>0.44528293115199902</v>
      </c>
      <c r="I4360">
        <v>0.39392965329643198</v>
      </c>
      <c r="J4360">
        <v>0.38241767887692901</v>
      </c>
      <c r="K4360">
        <v>0.480619212858855</v>
      </c>
      <c r="L4360">
        <v>807.18805389088197</v>
      </c>
      <c r="M4360">
        <v>15.7595771099957</v>
      </c>
      <c r="N4360">
        <v>57.480634858622601</v>
      </c>
      <c r="O4360">
        <v>50.415471252650001</v>
      </c>
      <c r="P4360">
        <v>-4.60974196624497E-2</v>
      </c>
      <c r="Q4360">
        <v>0.41017968918377301</v>
      </c>
      <c r="R4360">
        <v>0.97821353105455999</v>
      </c>
      <c r="S4360" t="s">
        <v>9100</v>
      </c>
      <c r="T4360" t="s">
        <v>9478</v>
      </c>
      <c r="U4360" t="s">
        <v>9478</v>
      </c>
      <c r="V4360" t="s">
        <v>9478</v>
      </c>
      <c r="W4360">
        <v>6</v>
      </c>
      <c r="X4360" t="s">
        <v>13838</v>
      </c>
      <c r="Y4360">
        <v>0.64322471111534751</v>
      </c>
      <c r="Z4360" t="str">
        <f>HYPERLINK("Melting_Curves/meltCurve_tr_F8VQR7_F8VQR7_HUMAN_.pdf", "Melting_Curves/meltCurve_tr_F8VQR7_F8VQR7_HUMAN_.pdf")</f>
        <v>Melting_Curves/meltCurve_tr_F8VQR7_F8VQR7_HUMAN_.pdf</v>
      </c>
      <c r="AA4360" t="s">
        <v>18496</v>
      </c>
      <c r="AB4360" t="s">
        <v>23176</v>
      </c>
    </row>
    <row r="4361" spans="1:28" x14ac:dyDescent="0.25">
      <c r="A4361" t="s">
        <v>4365</v>
      </c>
      <c r="B4361">
        <v>0.99904790336628502</v>
      </c>
      <c r="C4361">
        <v>0.95186776043010601</v>
      </c>
      <c r="D4361">
        <v>0.65997449052033696</v>
      </c>
      <c r="E4361">
        <v>0.24999889240961501</v>
      </c>
      <c r="F4361">
        <v>9.7756943090188994E-2</v>
      </c>
      <c r="G4361">
        <v>3.8148803669805401E-2</v>
      </c>
      <c r="H4361">
        <v>2.1170167111079798E-2</v>
      </c>
      <c r="I4361">
        <v>1.3687258383662601E-2</v>
      </c>
      <c r="J4361">
        <v>1.31635172496627E-2</v>
      </c>
      <c r="K4361">
        <v>7.7051353771801804E-3</v>
      </c>
      <c r="L4361">
        <v>1107.7998691511</v>
      </c>
      <c r="M4361">
        <v>23.3573620904995</v>
      </c>
      <c r="N4361">
        <v>47.488148603787401</v>
      </c>
      <c r="O4361">
        <v>47.084727919259997</v>
      </c>
      <c r="P4361">
        <v>-0.122221547848893</v>
      </c>
      <c r="Q4361">
        <v>1.45000773151647E-2</v>
      </c>
      <c r="R4361">
        <v>0.99898611691828698</v>
      </c>
      <c r="S4361" t="s">
        <v>9101</v>
      </c>
      <c r="T4361" t="s">
        <v>9478</v>
      </c>
      <c r="U4361" t="s">
        <v>9478</v>
      </c>
      <c r="V4361" t="s">
        <v>9478</v>
      </c>
      <c r="W4361">
        <v>4</v>
      </c>
      <c r="X4361" t="s">
        <v>13839</v>
      </c>
      <c r="Y4361">
        <v>0.26865333145313269</v>
      </c>
      <c r="Z4361" t="str">
        <f>HYPERLINK("Melting_Curves/meltCurve_tr_F8VQX6_F8VQX6_HUMAN_.pdf", "Melting_Curves/meltCurve_tr_F8VQX6_F8VQX6_HUMAN_.pdf")</f>
        <v>Melting_Curves/meltCurve_tr_F8VQX6_F8VQX6_HUMAN_.pdf</v>
      </c>
      <c r="AA4361" t="s">
        <v>18497</v>
      </c>
      <c r="AB4361" t="s">
        <v>23177</v>
      </c>
    </row>
    <row r="4362" spans="1:28" x14ac:dyDescent="0.25">
      <c r="A4362" t="s">
        <v>4366</v>
      </c>
      <c r="B4362">
        <v>0.99904790336628502</v>
      </c>
      <c r="C4362">
        <v>0.96748676963682101</v>
      </c>
      <c r="D4362">
        <v>0.90623634365857098</v>
      </c>
      <c r="E4362">
        <v>0.98261493568374803</v>
      </c>
      <c r="F4362">
        <v>1.07830924203967</v>
      </c>
      <c r="G4362">
        <v>0.93636529060788598</v>
      </c>
      <c r="H4362">
        <v>0.89119746486735096</v>
      </c>
      <c r="I4362">
        <v>0.84405204607798101</v>
      </c>
      <c r="J4362">
        <v>1.0002013949543</v>
      </c>
      <c r="K4362">
        <v>0.98744340972072697</v>
      </c>
      <c r="L4362">
        <v>233.43855417385501</v>
      </c>
      <c r="M4362">
        <v>4.7579980075089603</v>
      </c>
      <c r="O4362">
        <v>42.308888284853097</v>
      </c>
      <c r="P4362">
        <v>-1.9722397664032202E-3</v>
      </c>
      <c r="Q4362">
        <v>0.93035535732619701</v>
      </c>
      <c r="R4362">
        <v>4.0217278594720102E-2</v>
      </c>
      <c r="S4362" t="s">
        <v>9102</v>
      </c>
      <c r="T4362" t="s">
        <v>9478</v>
      </c>
      <c r="U4362" t="s">
        <v>9478</v>
      </c>
      <c r="V4362" t="s">
        <v>9478</v>
      </c>
      <c r="W4362">
        <v>1</v>
      </c>
      <c r="X4362" t="s">
        <v>13840</v>
      </c>
      <c r="Y4362">
        <v>0.95882546962755766</v>
      </c>
      <c r="Z4362" t="str">
        <f>HYPERLINK("Melting_Curves/meltCurve_tr_F8VRD9_F8VRD9_HUMAN_.pdf", "Melting_Curves/meltCurve_tr_F8VRD9_F8VRD9_HUMAN_.pdf")</f>
        <v>Melting_Curves/meltCurve_tr_F8VRD9_F8VRD9_HUMAN_.pdf</v>
      </c>
      <c r="AA4362" t="s">
        <v>18498</v>
      </c>
      <c r="AB4362" t="s">
        <v>23178</v>
      </c>
    </row>
    <row r="4363" spans="1:28" x14ac:dyDescent="0.25">
      <c r="A4363" t="s">
        <v>4367</v>
      </c>
      <c r="B4363">
        <v>0.99904790336628502</v>
      </c>
      <c r="C4363">
        <v>0.85909193233380099</v>
      </c>
      <c r="D4363">
        <v>0.80394546065738204</v>
      </c>
      <c r="E4363">
        <v>0.92327330246706996</v>
      </c>
      <c r="F4363">
        <v>0.79353791311772703</v>
      </c>
      <c r="G4363">
        <v>0.61763965163746604</v>
      </c>
      <c r="H4363">
        <v>0.50262533293142297</v>
      </c>
      <c r="I4363">
        <v>0.34135984192458502</v>
      </c>
      <c r="J4363">
        <v>0.44167305076116897</v>
      </c>
      <c r="K4363">
        <v>0.38019725515716202</v>
      </c>
      <c r="L4363">
        <v>434.723708923174</v>
      </c>
      <c r="M4363">
        <v>7.38341404456372</v>
      </c>
      <c r="N4363">
        <v>61.763241334387999</v>
      </c>
      <c r="O4363">
        <v>55.021837109782297</v>
      </c>
      <c r="P4363">
        <v>-2.8698656212805901E-2</v>
      </c>
      <c r="Q4363">
        <v>0.14584217872572999</v>
      </c>
      <c r="R4363">
        <v>0.90673580575152801</v>
      </c>
      <c r="S4363" t="s">
        <v>9103</v>
      </c>
      <c r="T4363" t="s">
        <v>9478</v>
      </c>
      <c r="U4363" t="s">
        <v>9478</v>
      </c>
      <c r="V4363" t="s">
        <v>9478</v>
      </c>
      <c r="W4363">
        <v>1</v>
      </c>
      <c r="X4363" t="s">
        <v>13841</v>
      </c>
      <c r="Y4363">
        <v>0.67642343972169039</v>
      </c>
      <c r="Z4363" t="str">
        <f>HYPERLINK("Melting_Curves/meltCurve_tr_F8VSL3_F8VSL3_HUMAN_.pdf", "Melting_Curves/meltCurve_tr_F8VSL3_F8VSL3_HUMAN_.pdf")</f>
        <v>Melting_Curves/meltCurve_tr_F8VSL3_F8VSL3_HUMAN_.pdf</v>
      </c>
      <c r="AA4363" t="s">
        <v>18499</v>
      </c>
      <c r="AB4363" t="s">
        <v>23179</v>
      </c>
    </row>
    <row r="4364" spans="1:28" x14ac:dyDescent="0.25">
      <c r="A4364" t="s">
        <v>4368</v>
      </c>
      <c r="B4364">
        <v>0.99904790336628502</v>
      </c>
      <c r="C4364">
        <v>0.94615012807068599</v>
      </c>
      <c r="D4364">
        <v>0.90372104766293604</v>
      </c>
      <c r="E4364">
        <v>0.626501115416909</v>
      </c>
      <c r="F4364">
        <v>0.463071616689398</v>
      </c>
      <c r="G4364">
        <v>0.200774085354578</v>
      </c>
      <c r="H4364">
        <v>9.0821279147176096E-2</v>
      </c>
      <c r="I4364">
        <v>4.85284005105205E-2</v>
      </c>
      <c r="J4364">
        <v>6.7830746673408202E-2</v>
      </c>
      <c r="K4364">
        <v>3.8963336523112499E-2</v>
      </c>
      <c r="L4364">
        <v>820.84230782917405</v>
      </c>
      <c r="M4364">
        <v>15.8094406920822</v>
      </c>
      <c r="N4364">
        <v>52.044177991076303</v>
      </c>
      <c r="O4364">
        <v>51.111585856406698</v>
      </c>
      <c r="P4364">
        <v>-7.5914563314733396E-2</v>
      </c>
      <c r="Q4364">
        <v>1.8360040615351E-2</v>
      </c>
      <c r="R4364">
        <v>0.99751265699565494</v>
      </c>
      <c r="S4364" t="s">
        <v>9104</v>
      </c>
      <c r="T4364" t="s">
        <v>9478</v>
      </c>
      <c r="U4364" t="s">
        <v>9478</v>
      </c>
      <c r="V4364" t="s">
        <v>9478</v>
      </c>
      <c r="W4364">
        <v>3</v>
      </c>
      <c r="X4364" t="s">
        <v>13842</v>
      </c>
      <c r="Y4364">
        <v>0.42870012607087732</v>
      </c>
      <c r="Z4364" t="str">
        <f>HYPERLINK("Melting_Curves/meltCurve_tr_F8VU65_F8VU65_HUMAN_.pdf", "Melting_Curves/meltCurve_tr_F8VU65_F8VU65_HUMAN_.pdf")</f>
        <v>Melting_Curves/meltCurve_tr_F8VU65_F8VU65_HUMAN_.pdf</v>
      </c>
      <c r="AA4364" t="s">
        <v>18500</v>
      </c>
      <c r="AB4364" t="s">
        <v>23180</v>
      </c>
    </row>
    <row r="4365" spans="1:28" x14ac:dyDescent="0.25">
      <c r="A4365" t="s">
        <v>4369</v>
      </c>
      <c r="B4365">
        <v>0.99904790336628502</v>
      </c>
      <c r="C4365">
        <v>1.0498317814774001</v>
      </c>
      <c r="D4365">
        <v>0.93590072054588003</v>
      </c>
      <c r="E4365">
        <v>0.70526882936805602</v>
      </c>
      <c r="F4365">
        <v>0.54480931755630102</v>
      </c>
      <c r="G4365">
        <v>0.35940799644300497</v>
      </c>
      <c r="H4365">
        <v>0.22041682985229899</v>
      </c>
      <c r="I4365">
        <v>0.19568439889110201</v>
      </c>
      <c r="J4365">
        <v>0.169898527038815</v>
      </c>
      <c r="K4365">
        <v>0.125715927974375</v>
      </c>
      <c r="L4365">
        <v>822.39612254156702</v>
      </c>
      <c r="M4365">
        <v>15.606321091590999</v>
      </c>
      <c r="N4365">
        <v>53.755618717525302</v>
      </c>
      <c r="O4365">
        <v>51.853869457351102</v>
      </c>
      <c r="P4365">
        <v>-6.5287861616480494E-2</v>
      </c>
      <c r="Q4365">
        <v>0.13236811399309301</v>
      </c>
      <c r="R4365">
        <v>0.993247378457355</v>
      </c>
      <c r="S4365" t="s">
        <v>9105</v>
      </c>
      <c r="T4365" t="s">
        <v>9478</v>
      </c>
      <c r="U4365" t="s">
        <v>9478</v>
      </c>
      <c r="V4365" t="s">
        <v>9478</v>
      </c>
      <c r="W4365">
        <v>4</v>
      </c>
      <c r="X4365" t="s">
        <v>13843</v>
      </c>
      <c r="Y4365">
        <v>0.51740243296885813</v>
      </c>
      <c r="Z4365" t="str">
        <f>HYPERLINK("Melting_Curves/meltCurve_tr_F8VUA6_F8VUA6_HUMAN_.pdf", "Melting_Curves/meltCurve_tr_F8VUA6_F8VUA6_HUMAN_.pdf")</f>
        <v>Melting_Curves/meltCurve_tr_F8VUA6_F8VUA6_HUMAN_.pdf</v>
      </c>
      <c r="AA4365" t="s">
        <v>18501</v>
      </c>
      <c r="AB4365" t="s">
        <v>23181</v>
      </c>
    </row>
    <row r="4366" spans="1:28" x14ac:dyDescent="0.25">
      <c r="A4366" t="s">
        <v>4370</v>
      </c>
      <c r="B4366">
        <v>0.99904790336628502</v>
      </c>
      <c r="C4366">
        <v>1.16488761424166</v>
      </c>
      <c r="D4366">
        <v>1.0744358499678599</v>
      </c>
      <c r="E4366">
        <v>0.98725524235288298</v>
      </c>
      <c r="F4366">
        <v>0.86449623443811596</v>
      </c>
      <c r="G4366">
        <v>0.51350724702001804</v>
      </c>
      <c r="H4366">
        <v>0.35851209554515001</v>
      </c>
      <c r="I4366">
        <v>0.26209950417960998</v>
      </c>
      <c r="J4366">
        <v>0.23991754242595401</v>
      </c>
      <c r="K4366">
        <v>0.20697595896184201</v>
      </c>
      <c r="L4366">
        <v>1432.7089752495301</v>
      </c>
      <c r="M4366">
        <v>25.530632986139999</v>
      </c>
      <c r="N4366">
        <v>57.4892532230757</v>
      </c>
      <c r="O4366">
        <v>55.776371281425398</v>
      </c>
      <c r="P4366">
        <v>-8.8328242301862994E-2</v>
      </c>
      <c r="Q4366">
        <v>0.228132468704389</v>
      </c>
      <c r="R4366">
        <v>0.97263230356348596</v>
      </c>
      <c r="S4366" t="s">
        <v>9106</v>
      </c>
      <c r="T4366" t="s">
        <v>9478</v>
      </c>
      <c r="U4366" t="s">
        <v>9478</v>
      </c>
      <c r="V4366" t="s">
        <v>9478</v>
      </c>
      <c r="W4366">
        <v>1</v>
      </c>
      <c r="X4366" t="s">
        <v>13844</v>
      </c>
      <c r="Y4366">
        <v>0.64964377933357043</v>
      </c>
      <c r="Z4366" t="str">
        <f>HYPERLINK("Melting_Curves/meltCurve_tr_F8VVA0_F8VVA0_HUMAN_.pdf", "Melting_Curves/meltCurve_tr_F8VVA0_F8VVA0_HUMAN_.pdf")</f>
        <v>Melting_Curves/meltCurve_tr_F8VVA0_F8VVA0_HUMAN_.pdf</v>
      </c>
      <c r="AA4366" t="s">
        <v>18502</v>
      </c>
      <c r="AB4366" t="s">
        <v>23182</v>
      </c>
    </row>
    <row r="4367" spans="1:28" x14ac:dyDescent="0.25">
      <c r="A4367" t="s">
        <v>4371</v>
      </c>
      <c r="B4367">
        <v>0.99904790336628502</v>
      </c>
      <c r="C4367">
        <v>1.11208941692527</v>
      </c>
      <c r="D4367">
        <v>0.90022685749309095</v>
      </c>
      <c r="E4367">
        <v>0.44650758815911401</v>
      </c>
      <c r="F4367">
        <v>0.215563723527116</v>
      </c>
      <c r="G4367">
        <v>7.6064504644673001E-2</v>
      </c>
      <c r="H4367">
        <v>3.8092590361046202E-2</v>
      </c>
      <c r="I4367">
        <v>1.4312527664219501E-2</v>
      </c>
      <c r="J4367">
        <v>8.3236906750732594E-3</v>
      </c>
      <c r="K4367">
        <v>0</v>
      </c>
      <c r="L4367">
        <v>1305.6738989968601</v>
      </c>
      <c r="M4367">
        <v>26.251684394185101</v>
      </c>
      <c r="N4367">
        <v>49.817377219946302</v>
      </c>
      <c r="O4367">
        <v>49.450868884028203</v>
      </c>
      <c r="P4367">
        <v>-0.129957744442457</v>
      </c>
      <c r="Q4367">
        <v>2.07944150423174E-2</v>
      </c>
      <c r="R4367">
        <v>0.98952021080994801</v>
      </c>
      <c r="S4367" t="s">
        <v>9107</v>
      </c>
      <c r="T4367" t="s">
        <v>9478</v>
      </c>
      <c r="U4367" t="s">
        <v>9478</v>
      </c>
      <c r="V4367" t="s">
        <v>9478</v>
      </c>
      <c r="W4367">
        <v>2</v>
      </c>
      <c r="X4367" t="s">
        <v>13845</v>
      </c>
      <c r="Y4367">
        <v>0.34651124944677042</v>
      </c>
      <c r="Z4367" t="str">
        <f>HYPERLINK("Melting_Curves/meltCurve_tr_F8VVM2_F8VVM2_HUMAN_.pdf", "Melting_Curves/meltCurve_tr_F8VVM2_F8VVM2_HUMAN_.pdf")</f>
        <v>Melting_Curves/meltCurve_tr_F8VVM2_F8VVM2_HUMAN_.pdf</v>
      </c>
      <c r="AA4367" t="s">
        <v>18503</v>
      </c>
      <c r="AB4367" t="s">
        <v>23183</v>
      </c>
    </row>
    <row r="4368" spans="1:28" x14ac:dyDescent="0.25">
      <c r="A4368" t="s">
        <v>4372</v>
      </c>
      <c r="B4368">
        <v>0.99904790336628502</v>
      </c>
      <c r="C4368">
        <v>0.83064711912635003</v>
      </c>
      <c r="D4368">
        <v>0.78291604752772903</v>
      </c>
      <c r="E4368">
        <v>0.52131674007019502</v>
      </c>
      <c r="F4368">
        <v>0.41346165663040602</v>
      </c>
      <c r="G4368">
        <v>0.32123972067573803</v>
      </c>
      <c r="H4368">
        <v>0.162495112064137</v>
      </c>
      <c r="I4368">
        <v>0.16169446659471401</v>
      </c>
      <c r="J4368">
        <v>0.15854142192082399</v>
      </c>
      <c r="K4368">
        <v>0.23444049881392801</v>
      </c>
      <c r="L4368">
        <v>617.36716154098599</v>
      </c>
      <c r="M4368">
        <v>12.5134023173819</v>
      </c>
      <c r="N4368">
        <v>50.756723731861797</v>
      </c>
      <c r="O4368">
        <v>48.127302982715399</v>
      </c>
      <c r="P4368">
        <v>-5.5411753464387502E-2</v>
      </c>
      <c r="Q4368">
        <v>0.14770646282817401</v>
      </c>
      <c r="R4368">
        <v>0.98084860094975401</v>
      </c>
      <c r="S4368" t="s">
        <v>9108</v>
      </c>
      <c r="T4368" t="s">
        <v>9478</v>
      </c>
      <c r="U4368" t="s">
        <v>9478</v>
      </c>
      <c r="V4368" t="s">
        <v>9478</v>
      </c>
      <c r="W4368">
        <v>1</v>
      </c>
      <c r="X4368" t="s">
        <v>13846</v>
      </c>
      <c r="Y4368">
        <v>0.44157667852626747</v>
      </c>
      <c r="Z4368" t="str">
        <f>HYPERLINK("Melting_Curves/meltCurve_tr_F8VVX6_F8VVX6_HUMAN_.pdf", "Melting_Curves/meltCurve_tr_F8VVX6_F8VVX6_HUMAN_.pdf")</f>
        <v>Melting_Curves/meltCurve_tr_F8VVX6_F8VVX6_HUMAN_.pdf</v>
      </c>
      <c r="AA4368" t="s">
        <v>18504</v>
      </c>
      <c r="AB4368" t="s">
        <v>23184</v>
      </c>
    </row>
    <row r="4369" spans="1:28" x14ac:dyDescent="0.25">
      <c r="A4369" t="s">
        <v>4373</v>
      </c>
      <c r="B4369">
        <v>0.99904790336628502</v>
      </c>
      <c r="C4369">
        <v>0.98769719842901504</v>
      </c>
      <c r="D4369">
        <v>1.0080797987733301</v>
      </c>
      <c r="E4369">
        <v>0.65362555989231497</v>
      </c>
      <c r="F4369">
        <v>0.20428434733283499</v>
      </c>
      <c r="G4369">
        <v>0.126916665584583</v>
      </c>
      <c r="H4369">
        <v>6.7353911140848793E-2</v>
      </c>
      <c r="I4369">
        <v>4.4997666559622798E-2</v>
      </c>
      <c r="J4369">
        <v>3.5999874173574802E-2</v>
      </c>
      <c r="K4369">
        <v>2.5157426093959701E-2</v>
      </c>
      <c r="L4369">
        <v>1910.9602418955801</v>
      </c>
      <c r="M4369">
        <v>37.666722850530498</v>
      </c>
      <c r="N4369">
        <v>50.891325270055297</v>
      </c>
      <c r="O4369">
        <v>50.591015750929301</v>
      </c>
      <c r="P4369">
        <v>-0.17586554234343099</v>
      </c>
      <c r="Q4369">
        <v>5.5166731536335598E-2</v>
      </c>
      <c r="R4369">
        <v>0.99676943536437002</v>
      </c>
      <c r="S4369" t="s">
        <v>9109</v>
      </c>
      <c r="T4369" t="s">
        <v>9478</v>
      </c>
      <c r="U4369" t="s">
        <v>9478</v>
      </c>
      <c r="V4369" t="s">
        <v>9478</v>
      </c>
      <c r="W4369">
        <v>21</v>
      </c>
      <c r="X4369" t="s">
        <v>13847</v>
      </c>
      <c r="Y4369">
        <v>0.39694882816231319</v>
      </c>
      <c r="Z4369" t="str">
        <f>HYPERLINK("Melting_Curves/meltCurve_tr_F8VWA6_F8VWA6_HUMAN_.pdf", "Melting_Curves/meltCurve_tr_F8VWA6_F8VWA6_HUMAN_.pdf")</f>
        <v>Melting_Curves/meltCurve_tr_F8VWA6_F8VWA6_HUMAN_.pdf</v>
      </c>
      <c r="AA4369" t="s">
        <v>18505</v>
      </c>
      <c r="AB4369" t="s">
        <v>23185</v>
      </c>
    </row>
    <row r="4370" spans="1:28" x14ac:dyDescent="0.25">
      <c r="A4370" t="s">
        <v>4374</v>
      </c>
      <c r="B4370">
        <v>0.99904790336628502</v>
      </c>
      <c r="C4370">
        <v>0.944095359886029</v>
      </c>
      <c r="D4370">
        <v>0.95550465791821804</v>
      </c>
      <c r="E4370">
        <v>0.81469078660759098</v>
      </c>
      <c r="F4370">
        <v>0.59072667882601104</v>
      </c>
      <c r="G4370">
        <v>0.43841546439129397</v>
      </c>
      <c r="H4370">
        <v>0.35225480299490702</v>
      </c>
      <c r="I4370">
        <v>0.331034475108403</v>
      </c>
      <c r="J4370">
        <v>0.29743240301768797</v>
      </c>
      <c r="K4370">
        <v>0.253633563821966</v>
      </c>
      <c r="L4370">
        <v>877.24924102268199</v>
      </c>
      <c r="M4370">
        <v>16.6379253041117</v>
      </c>
      <c r="N4370">
        <v>55.341939415991597</v>
      </c>
      <c r="O4370">
        <v>51.981832629884501</v>
      </c>
      <c r="P4370">
        <v>-5.8234623508012201E-2</v>
      </c>
      <c r="Q4370">
        <v>0.27227941981480902</v>
      </c>
      <c r="R4370">
        <v>0.99409940312701595</v>
      </c>
      <c r="S4370" t="s">
        <v>9110</v>
      </c>
      <c r="T4370" t="s">
        <v>9478</v>
      </c>
      <c r="U4370" t="s">
        <v>9478</v>
      </c>
      <c r="V4370" t="s">
        <v>9478</v>
      </c>
      <c r="W4370">
        <v>18</v>
      </c>
      <c r="X4370" t="s">
        <v>13848</v>
      </c>
      <c r="Y4370">
        <v>0.59454642240595279</v>
      </c>
      <c r="Z4370" t="str">
        <f>HYPERLINK("Melting_Curves/meltCurve_tr_F8VWL3_F8VWL3_HUMAN_.pdf", "Melting_Curves/meltCurve_tr_F8VWL3_F8VWL3_HUMAN_.pdf")</f>
        <v>Melting_Curves/meltCurve_tr_F8VWL3_F8VWL3_HUMAN_.pdf</v>
      </c>
      <c r="AA4370" t="s">
        <v>18506</v>
      </c>
      <c r="AB4370" t="s">
        <v>23186</v>
      </c>
    </row>
    <row r="4371" spans="1:28" x14ac:dyDescent="0.25">
      <c r="A4371" t="s">
        <v>4375</v>
      </c>
      <c r="B4371">
        <v>0.99904790336628502</v>
      </c>
      <c r="C4371">
        <v>0.88019363200279399</v>
      </c>
      <c r="D4371">
        <v>0.84954023741015305</v>
      </c>
      <c r="E4371">
        <v>0.69876377494297304</v>
      </c>
      <c r="F4371">
        <v>0.35715427391746102</v>
      </c>
      <c r="G4371">
        <v>0.15324919965051401</v>
      </c>
      <c r="H4371">
        <v>7.4424367878647202E-2</v>
      </c>
      <c r="I4371">
        <v>4.1155010997024698E-2</v>
      </c>
      <c r="J4371">
        <v>2.9126766683197199E-2</v>
      </c>
      <c r="K4371">
        <v>1.7902069550009E-2</v>
      </c>
      <c r="L4371">
        <v>847.592896137612</v>
      </c>
      <c r="M4371">
        <v>16.4323844601203</v>
      </c>
      <c r="N4371">
        <v>51.580639351401501</v>
      </c>
      <c r="O4371">
        <v>50.834867850862999</v>
      </c>
      <c r="P4371">
        <v>-8.0818236077416006E-2</v>
      </c>
      <c r="Q4371">
        <v>0</v>
      </c>
      <c r="R4371">
        <v>0.98969779392946</v>
      </c>
      <c r="S4371" t="s">
        <v>9111</v>
      </c>
      <c r="T4371" t="s">
        <v>9478</v>
      </c>
      <c r="U4371" t="s">
        <v>9478</v>
      </c>
      <c r="V4371" t="s">
        <v>9478</v>
      </c>
      <c r="W4371">
        <v>11</v>
      </c>
      <c r="X4371" t="s">
        <v>13849</v>
      </c>
      <c r="Y4371">
        <v>0.40557286534396209</v>
      </c>
      <c r="Z4371" t="str">
        <f>HYPERLINK("Melting_Curves/meltCurve_tr_F8VXY3_F8VXY3_HUMAN_.pdf", "Melting_Curves/meltCurve_tr_F8VXY3_F8VXY3_HUMAN_.pdf")</f>
        <v>Melting_Curves/meltCurve_tr_F8VXY3_F8VXY3_HUMAN_.pdf</v>
      </c>
      <c r="AA4371" t="s">
        <v>18507</v>
      </c>
      <c r="AB4371" t="s">
        <v>23187</v>
      </c>
    </row>
    <row r="4372" spans="1:28" x14ac:dyDescent="0.25">
      <c r="A4372" t="s">
        <v>4376</v>
      </c>
      <c r="B4372">
        <v>0.99904790336628502</v>
      </c>
      <c r="C4372">
        <v>0.98681027741930505</v>
      </c>
      <c r="D4372">
        <v>0.93826663922603304</v>
      </c>
      <c r="E4372">
        <v>0.98095674943387801</v>
      </c>
      <c r="F4372">
        <v>0.92311781561673401</v>
      </c>
      <c r="G4372">
        <v>0.73618091931343099</v>
      </c>
      <c r="H4372">
        <v>0.72240344041335902</v>
      </c>
      <c r="I4372">
        <v>0.63276385168914695</v>
      </c>
      <c r="J4372">
        <v>0.60214641243298395</v>
      </c>
      <c r="K4372">
        <v>0.50974199203023496</v>
      </c>
      <c r="L4372">
        <v>614.30560378190796</v>
      </c>
      <c r="M4372">
        <v>10.0939206168536</v>
      </c>
      <c r="O4372">
        <v>58.615129799035003</v>
      </c>
      <c r="P4372">
        <v>-2.5539182735713001E-2</v>
      </c>
      <c r="Q4372">
        <v>0.40705685570607297</v>
      </c>
      <c r="R4372">
        <v>0.96638283669945801</v>
      </c>
      <c r="S4372" t="s">
        <v>9112</v>
      </c>
      <c r="T4372" t="s">
        <v>9478</v>
      </c>
      <c r="U4372" t="s">
        <v>9478</v>
      </c>
      <c r="V4372" t="s">
        <v>9478</v>
      </c>
      <c r="W4372">
        <v>3</v>
      </c>
      <c r="X4372" t="s">
        <v>13850</v>
      </c>
      <c r="Y4372">
        <v>0.81311528360368501</v>
      </c>
      <c r="Z4372" t="str">
        <f>HYPERLINK("Melting_Curves/meltCurve_tr_F8VZJ2_F8VZJ2_HUMAN_.pdf", "Melting_Curves/meltCurve_tr_F8VZJ2_F8VZJ2_HUMAN_.pdf")</f>
        <v>Melting_Curves/meltCurve_tr_F8VZJ2_F8VZJ2_HUMAN_.pdf</v>
      </c>
      <c r="AA4372" t="s">
        <v>18508</v>
      </c>
      <c r="AB4372" t="s">
        <v>23188</v>
      </c>
    </row>
    <row r="4373" spans="1:28" x14ac:dyDescent="0.25">
      <c r="A4373" t="s">
        <v>4377</v>
      </c>
      <c r="B4373">
        <v>0.99904790336628502</v>
      </c>
      <c r="C4373">
        <v>0.89015670872622799</v>
      </c>
      <c r="D4373">
        <v>0.88112853255629398</v>
      </c>
      <c r="E4373">
        <v>0.787466810073992</v>
      </c>
      <c r="F4373">
        <v>0.67100027133547402</v>
      </c>
      <c r="G4373">
        <v>0.39844786305163399</v>
      </c>
      <c r="H4373">
        <v>0.27671217549541699</v>
      </c>
      <c r="I4373">
        <v>0.21102380335146001</v>
      </c>
      <c r="J4373">
        <v>0.205040927365259</v>
      </c>
      <c r="K4373">
        <v>0.19370810810323799</v>
      </c>
      <c r="L4373">
        <v>667.56492899110401</v>
      </c>
      <c r="M4373">
        <v>12.3119330218518</v>
      </c>
      <c r="N4373">
        <v>55.416271745090299</v>
      </c>
      <c r="O4373">
        <v>52.850083717408502</v>
      </c>
      <c r="P4373">
        <v>-5.14594915842813E-2</v>
      </c>
      <c r="Q4373">
        <v>0.116614745497744</v>
      </c>
      <c r="R4373">
        <v>0.98699530279568304</v>
      </c>
      <c r="S4373" t="s">
        <v>9113</v>
      </c>
      <c r="T4373" t="s">
        <v>9478</v>
      </c>
      <c r="U4373" t="s">
        <v>9478</v>
      </c>
      <c r="V4373" t="s">
        <v>9478</v>
      </c>
      <c r="W4373">
        <v>6</v>
      </c>
      <c r="X4373" t="s">
        <v>13851</v>
      </c>
      <c r="Y4373">
        <v>0.55743337677230542</v>
      </c>
      <c r="Z4373" t="str">
        <f>HYPERLINK("Melting_Curves/meltCurve_tr_F8W038_F8W038_HUMAN_.pdf", "Melting_Curves/meltCurve_tr_F8W038_F8W038_HUMAN_.pdf")</f>
        <v>Melting_Curves/meltCurve_tr_F8W038_F8W038_HUMAN_.pdf</v>
      </c>
      <c r="AA4373" t="s">
        <v>18509</v>
      </c>
      <c r="AB4373" t="s">
        <v>23189</v>
      </c>
    </row>
    <row r="4374" spans="1:28" x14ac:dyDescent="0.25">
      <c r="A4374" t="s">
        <v>4378</v>
      </c>
      <c r="B4374">
        <v>0.99904790336628502</v>
      </c>
      <c r="C4374">
        <v>0.91955601234455098</v>
      </c>
      <c r="D4374">
        <v>1.02344158379932</v>
      </c>
      <c r="E4374">
        <v>0.82115887215288497</v>
      </c>
      <c r="F4374">
        <v>0.83464077469270903</v>
      </c>
      <c r="G4374">
        <v>0.35733679996040502</v>
      </c>
      <c r="H4374">
        <v>0.18435744518967601</v>
      </c>
      <c r="I4374">
        <v>0.19468463235347599</v>
      </c>
      <c r="J4374">
        <v>0.197034926185157</v>
      </c>
      <c r="K4374">
        <v>0.168279373113005</v>
      </c>
      <c r="L4374">
        <v>1539.7289498141499</v>
      </c>
      <c r="M4374">
        <v>28.0856341347517</v>
      </c>
      <c r="N4374">
        <v>55.632822216888101</v>
      </c>
      <c r="O4374">
        <v>54.546975076299397</v>
      </c>
      <c r="P4374">
        <v>-0.107117786843949</v>
      </c>
      <c r="Q4374">
        <v>0.16784478434217801</v>
      </c>
      <c r="R4374">
        <v>0.97698624504188103</v>
      </c>
      <c r="S4374" t="s">
        <v>9114</v>
      </c>
      <c r="T4374" t="s">
        <v>9478</v>
      </c>
      <c r="U4374" t="s">
        <v>9478</v>
      </c>
      <c r="V4374" t="s">
        <v>9478</v>
      </c>
      <c r="W4374">
        <v>1</v>
      </c>
      <c r="X4374" t="s">
        <v>13852</v>
      </c>
      <c r="Y4374">
        <v>0.58524099634811788</v>
      </c>
      <c r="Z4374" t="str">
        <f>HYPERLINK("Melting_Curves/meltCurve_tr_F8W0J4_F8W0J4_HUMAN_.pdf", "Melting_Curves/meltCurve_tr_F8W0J4_F8W0J4_HUMAN_.pdf")</f>
        <v>Melting_Curves/meltCurve_tr_F8W0J4_F8W0J4_HUMAN_.pdf</v>
      </c>
      <c r="AA4374" t="s">
        <v>18510</v>
      </c>
      <c r="AB4374" t="s">
        <v>23190</v>
      </c>
    </row>
    <row r="4375" spans="1:28" x14ac:dyDescent="0.25">
      <c r="A4375" t="s">
        <v>4379</v>
      </c>
      <c r="B4375">
        <v>0.99904790336628502</v>
      </c>
      <c r="C4375">
        <v>0.97592124411728798</v>
      </c>
      <c r="D4375">
        <v>1.00822857414297</v>
      </c>
      <c r="E4375">
        <v>0.82422995379708597</v>
      </c>
      <c r="F4375">
        <v>0.46237267807785198</v>
      </c>
      <c r="G4375">
        <v>0.249033149840928</v>
      </c>
      <c r="H4375">
        <v>0.151330232407732</v>
      </c>
      <c r="I4375">
        <v>0.110815407071205</v>
      </c>
      <c r="J4375">
        <v>0.112195642186723</v>
      </c>
      <c r="K4375">
        <v>7.8411744198450303E-2</v>
      </c>
      <c r="L4375">
        <v>1349.0475959205901</v>
      </c>
      <c r="M4375">
        <v>25.713914086696299</v>
      </c>
      <c r="N4375">
        <v>52.968952347892703</v>
      </c>
      <c r="O4375">
        <v>52.1495022646385</v>
      </c>
      <c r="P4375">
        <v>-0.10986613076040599</v>
      </c>
      <c r="Q4375">
        <v>0.10874789139475501</v>
      </c>
      <c r="R4375">
        <v>0.99607316036509397</v>
      </c>
      <c r="S4375" t="s">
        <v>9115</v>
      </c>
      <c r="T4375" t="s">
        <v>9478</v>
      </c>
      <c r="U4375" t="s">
        <v>9478</v>
      </c>
      <c r="V4375" t="s">
        <v>9478</v>
      </c>
      <c r="W4375">
        <v>6</v>
      </c>
      <c r="X4375" t="s">
        <v>13853</v>
      </c>
      <c r="Y4375">
        <v>0.48676838455938171</v>
      </c>
      <c r="Z4375" t="str">
        <f>HYPERLINK("Melting_Curves/meltCurve_tr_F8W118_F8W118_HUMAN_.pdf", "Melting_Curves/meltCurve_tr_F8W118_F8W118_HUMAN_.pdf")</f>
        <v>Melting_Curves/meltCurve_tr_F8W118_F8W118_HUMAN_.pdf</v>
      </c>
      <c r="AA4375" t="s">
        <v>18511</v>
      </c>
      <c r="AB4375" t="s">
        <v>23191</v>
      </c>
    </row>
    <row r="4376" spans="1:28" x14ac:dyDescent="0.25">
      <c r="A4376" t="s">
        <v>4380</v>
      </c>
      <c r="B4376">
        <v>0.99904790336628502</v>
      </c>
      <c r="C4376">
        <v>1.00180174134802</v>
      </c>
      <c r="D4376">
        <v>0.978679962611262</v>
      </c>
      <c r="E4376">
        <v>0.98423742511392998</v>
      </c>
      <c r="F4376">
        <v>1.0118609570993899</v>
      </c>
      <c r="G4376">
        <v>0.80467053751053796</v>
      </c>
      <c r="H4376">
        <v>0.43259779170956503</v>
      </c>
      <c r="I4376">
        <v>0.12426521246946499</v>
      </c>
      <c r="J4376">
        <v>7.8164579951762098E-2</v>
      </c>
      <c r="K4376">
        <v>6.9299875176607004E-2</v>
      </c>
      <c r="L4376">
        <v>1782.78646145678</v>
      </c>
      <c r="M4376">
        <v>29.729478893879101</v>
      </c>
      <c r="N4376">
        <v>60.122411724461003</v>
      </c>
      <c r="O4376">
        <v>59.697597358411201</v>
      </c>
      <c r="P4376">
        <v>-0.11989534812371599</v>
      </c>
      <c r="Q4376">
        <v>3.6994110488175698E-2</v>
      </c>
      <c r="R4376">
        <v>0.99665158259661901</v>
      </c>
      <c r="S4376" t="s">
        <v>9116</v>
      </c>
      <c r="T4376" t="s">
        <v>9478</v>
      </c>
      <c r="U4376" t="s">
        <v>9478</v>
      </c>
      <c r="V4376" t="s">
        <v>9478</v>
      </c>
      <c r="W4376">
        <v>24</v>
      </c>
      <c r="X4376" t="s">
        <v>13854</v>
      </c>
      <c r="Y4376">
        <v>0.68387174795962435</v>
      </c>
      <c r="Z4376" t="str">
        <f>HYPERLINK("Melting_Curves/meltCurve_tr_F8W1A4_F8W1A4_HUMAN_.pdf", "Melting_Curves/meltCurve_tr_F8W1A4_F8W1A4_HUMAN_.pdf")</f>
        <v>Melting_Curves/meltCurve_tr_F8W1A4_F8W1A4_HUMAN_.pdf</v>
      </c>
      <c r="AA4376" t="s">
        <v>18512</v>
      </c>
      <c r="AB4376" t="s">
        <v>23192</v>
      </c>
    </row>
    <row r="4377" spans="1:28" x14ac:dyDescent="0.25">
      <c r="A4377" t="s">
        <v>4381</v>
      </c>
      <c r="B4377">
        <v>0.99904790336628502</v>
      </c>
      <c r="C4377">
        <v>0.95118606529808902</v>
      </c>
      <c r="D4377">
        <v>0.87454856206927101</v>
      </c>
      <c r="E4377">
        <v>0.69786211547273802</v>
      </c>
      <c r="F4377">
        <v>0.52042747592022598</v>
      </c>
      <c r="G4377">
        <v>0.50687018683316198</v>
      </c>
      <c r="H4377">
        <v>0.27971353060145898</v>
      </c>
      <c r="I4377">
        <v>0.19113010988465901</v>
      </c>
      <c r="J4377">
        <v>8.9149707733390302E-2</v>
      </c>
      <c r="K4377">
        <v>5.0751390619680502E-2</v>
      </c>
      <c r="L4377">
        <v>552.49089935495704</v>
      </c>
      <c r="M4377">
        <v>10.090337273341801</v>
      </c>
      <c r="N4377">
        <v>54.754453098829103</v>
      </c>
      <c r="O4377">
        <v>52.734328269524703</v>
      </c>
      <c r="P4377">
        <v>-4.7858189208914298E-2</v>
      </c>
      <c r="Q4377">
        <v>0</v>
      </c>
      <c r="R4377">
        <v>0.98155809258208504</v>
      </c>
      <c r="S4377" t="s">
        <v>9117</v>
      </c>
      <c r="T4377" t="s">
        <v>9478</v>
      </c>
      <c r="U4377" t="s">
        <v>9478</v>
      </c>
      <c r="V4377" t="s">
        <v>9478</v>
      </c>
      <c r="W4377">
        <v>1</v>
      </c>
      <c r="X4377" t="s">
        <v>13855</v>
      </c>
      <c r="Y4377">
        <v>0.51867370398379076</v>
      </c>
      <c r="Z4377" t="str">
        <f>HYPERLINK("Melting_Curves/meltCurve_tr_F8W1Q3_F8W1Q3_HUMAN_.pdf", "Melting_Curves/meltCurve_tr_F8W1Q3_F8W1Q3_HUMAN_.pdf")</f>
        <v>Melting_Curves/meltCurve_tr_F8W1Q3_F8W1Q3_HUMAN_.pdf</v>
      </c>
      <c r="AA4377" t="s">
        <v>18513</v>
      </c>
      <c r="AB4377" t="s">
        <v>23193</v>
      </c>
    </row>
    <row r="4378" spans="1:28" x14ac:dyDescent="0.25">
      <c r="A4378" t="s">
        <v>4382</v>
      </c>
      <c r="B4378">
        <v>0.99904790336628502</v>
      </c>
      <c r="C4378">
        <v>1.08852071833061</v>
      </c>
      <c r="D4378">
        <v>1.02210019658727</v>
      </c>
      <c r="E4378">
        <v>0.96935697006992905</v>
      </c>
      <c r="F4378">
        <v>0.97042153996927405</v>
      </c>
      <c r="G4378">
        <v>0.751720886335283</v>
      </c>
      <c r="H4378">
        <v>0.69547011255855595</v>
      </c>
      <c r="I4378">
        <v>0.64670046837158202</v>
      </c>
      <c r="J4378">
        <v>0.70902514953814999</v>
      </c>
      <c r="K4378">
        <v>0.68695317778582998</v>
      </c>
      <c r="L4378">
        <v>2575.73646662688</v>
      </c>
      <c r="M4378">
        <v>46.451195540990298</v>
      </c>
      <c r="O4378">
        <v>55.347905151476603</v>
      </c>
      <c r="P4378">
        <v>-6.6508965443121904E-2</v>
      </c>
      <c r="Q4378">
        <v>0.68301117096183395</v>
      </c>
      <c r="R4378">
        <v>0.95640560048324197</v>
      </c>
      <c r="S4378" t="s">
        <v>9118</v>
      </c>
      <c r="T4378" t="s">
        <v>9478</v>
      </c>
      <c r="U4378" t="s">
        <v>9478</v>
      </c>
      <c r="V4378" t="s">
        <v>9478</v>
      </c>
      <c r="W4378">
        <v>9</v>
      </c>
      <c r="X4378" t="s">
        <v>13856</v>
      </c>
      <c r="Y4378">
        <v>0.84716220899681882</v>
      </c>
      <c r="Z4378" t="str">
        <f>HYPERLINK("Melting_Curves/meltCurve_tr_F8W1R7_F8W1R7_HUMAN_.pdf", "Melting_Curves/meltCurve_tr_F8W1R7_F8W1R7_HUMAN_.pdf")</f>
        <v>Melting_Curves/meltCurve_tr_F8W1R7_F8W1R7_HUMAN_.pdf</v>
      </c>
      <c r="AA4378" t="s">
        <v>18514</v>
      </c>
      <c r="AB4378" t="s">
        <v>23194</v>
      </c>
    </row>
    <row r="4379" spans="1:28" x14ac:dyDescent="0.25">
      <c r="A4379" t="s">
        <v>4383</v>
      </c>
      <c r="B4379">
        <v>0.99904790336628502</v>
      </c>
      <c r="C4379">
        <v>0.96622269254999904</v>
      </c>
      <c r="D4379">
        <v>0.93127477040011497</v>
      </c>
      <c r="E4379">
        <v>0.39233946785040102</v>
      </c>
      <c r="F4379">
        <v>0.125574239666359</v>
      </c>
      <c r="G4379">
        <v>8.9802826270124897E-2</v>
      </c>
      <c r="H4379">
        <v>5.5938804034716898E-2</v>
      </c>
      <c r="I4379">
        <v>4.0536623089081701E-2</v>
      </c>
      <c r="J4379">
        <v>4.0178772888536003E-2</v>
      </c>
      <c r="K4379">
        <v>5.2275133069303502E-2</v>
      </c>
      <c r="L4379">
        <v>1715.2436179655199</v>
      </c>
      <c r="M4379">
        <v>34.873627507889999</v>
      </c>
      <c r="N4379">
        <v>49.345172115573298</v>
      </c>
      <c r="O4379">
        <v>49.023663519313097</v>
      </c>
      <c r="P4379">
        <v>-0.16829995399043199</v>
      </c>
      <c r="Q4379">
        <v>5.3651605469159903E-2</v>
      </c>
      <c r="R4379">
        <v>0.99873630584565898</v>
      </c>
      <c r="S4379" t="s">
        <v>9119</v>
      </c>
      <c r="T4379" t="s">
        <v>9478</v>
      </c>
      <c r="U4379" t="s">
        <v>9478</v>
      </c>
      <c r="V4379" t="s">
        <v>9478</v>
      </c>
      <c r="W4379">
        <v>2</v>
      </c>
      <c r="X4379" t="s">
        <v>13857</v>
      </c>
      <c r="Y4379">
        <v>0.34762997613378882</v>
      </c>
      <c r="Z4379" t="str">
        <f>HYPERLINK("Melting_Curves/meltCurve_tr_F8W6D9_F8W6D9_HUMAN_.pdf", "Melting_Curves/meltCurve_tr_F8W6D9_F8W6D9_HUMAN_.pdf")</f>
        <v>Melting_Curves/meltCurve_tr_F8W6D9_F8W6D9_HUMAN_.pdf</v>
      </c>
      <c r="AA4379" t="s">
        <v>18515</v>
      </c>
      <c r="AB4379" t="s">
        <v>23195</v>
      </c>
    </row>
    <row r="4380" spans="1:28" x14ac:dyDescent="0.25">
      <c r="A4380" t="s">
        <v>4384</v>
      </c>
      <c r="B4380">
        <v>0.99904790336628502</v>
      </c>
      <c r="C4380">
        <v>1.34644099896957</v>
      </c>
      <c r="D4380">
        <v>1.3347083772213</v>
      </c>
      <c r="E4380">
        <v>1.22237590768111</v>
      </c>
      <c r="F4380">
        <v>1.3315143292576199</v>
      </c>
      <c r="G4380">
        <v>1.10963055528154</v>
      </c>
      <c r="H4380">
        <v>0.65497794769762097</v>
      </c>
      <c r="I4380">
        <v>0.32642991646307101</v>
      </c>
      <c r="J4380">
        <v>5.4489015370063003E-2</v>
      </c>
      <c r="K4380">
        <v>6.2137653644188801E-2</v>
      </c>
      <c r="L4380">
        <v>2505.12098299216</v>
      </c>
      <c r="M4380">
        <v>40.2537167624902</v>
      </c>
      <c r="N4380">
        <v>62.363171501653902</v>
      </c>
      <c r="O4380">
        <v>62.080285042731603</v>
      </c>
      <c r="P4380">
        <v>-0.15558556248817401</v>
      </c>
      <c r="Q4380">
        <v>4.0210215454029502E-2</v>
      </c>
      <c r="R4380">
        <v>0.83403037263993696</v>
      </c>
      <c r="S4380" t="s">
        <v>9120</v>
      </c>
      <c r="T4380" t="s">
        <v>9478</v>
      </c>
      <c r="U4380" t="s">
        <v>9478</v>
      </c>
      <c r="V4380" t="s">
        <v>9478</v>
      </c>
      <c r="W4380">
        <v>1</v>
      </c>
      <c r="X4380" t="s">
        <v>13858</v>
      </c>
      <c r="Y4380">
        <v>0.75483831506760046</v>
      </c>
      <c r="Z4380" t="str">
        <f>HYPERLINK("Melting_Curves/meltCurve_tr_F8W6W2_F8W6W2_HUMAN_.pdf", "Melting_Curves/meltCurve_tr_F8W6W2_F8W6W2_HUMAN_.pdf")</f>
        <v>Melting_Curves/meltCurve_tr_F8W6W2_F8W6W2_HUMAN_.pdf</v>
      </c>
      <c r="AA4380" t="s">
        <v>15225</v>
      </c>
      <c r="AB4380" t="s">
        <v>23196</v>
      </c>
    </row>
    <row r="4381" spans="1:28" x14ac:dyDescent="0.25">
      <c r="A4381" t="s">
        <v>4385</v>
      </c>
      <c r="B4381">
        <v>0.99904790336628502</v>
      </c>
      <c r="C4381">
        <v>0.968085944660529</v>
      </c>
      <c r="D4381">
        <v>0.95857240894204498</v>
      </c>
      <c r="E4381">
        <v>0.663172784678278</v>
      </c>
      <c r="F4381">
        <v>0.16221827549357601</v>
      </c>
      <c r="G4381">
        <v>0.102300638231399</v>
      </c>
      <c r="H4381">
        <v>5.4612703400890597E-2</v>
      </c>
      <c r="I4381">
        <v>3.9102282563928399E-2</v>
      </c>
      <c r="J4381">
        <v>3.0875889186791398E-2</v>
      </c>
      <c r="K4381">
        <v>2.5394525803824401E-2</v>
      </c>
      <c r="L4381">
        <v>2147.1367023234502</v>
      </c>
      <c r="M4381">
        <v>42.368075358920102</v>
      </c>
      <c r="N4381">
        <v>50.795399392545001</v>
      </c>
      <c r="O4381">
        <v>50.565661898591998</v>
      </c>
      <c r="P4381">
        <v>-0.19971495981759399</v>
      </c>
      <c r="Q4381">
        <v>4.6574317600336798E-2</v>
      </c>
      <c r="R4381">
        <v>0.99707876567223797</v>
      </c>
      <c r="S4381" t="s">
        <v>9121</v>
      </c>
      <c r="T4381" t="s">
        <v>9478</v>
      </c>
      <c r="U4381" t="s">
        <v>9478</v>
      </c>
      <c r="V4381" t="s">
        <v>9478</v>
      </c>
      <c r="W4381">
        <v>16</v>
      </c>
      <c r="X4381" t="s">
        <v>13859</v>
      </c>
      <c r="Y4381">
        <v>0.38891039949310058</v>
      </c>
      <c r="Z4381" t="str">
        <f>HYPERLINK("Melting_Curves/meltCurve_tr_F8W720_F8W720_HUMAN_.pdf", "Melting_Curves/meltCurve_tr_F8W720_F8W720_HUMAN_.pdf")</f>
        <v>Melting_Curves/meltCurve_tr_F8W720_F8W720_HUMAN_.pdf</v>
      </c>
      <c r="AA4381" t="s">
        <v>18516</v>
      </c>
      <c r="AB4381" t="s">
        <v>23197</v>
      </c>
    </row>
    <row r="4382" spans="1:28" x14ac:dyDescent="0.25">
      <c r="A4382" t="s">
        <v>4386</v>
      </c>
      <c r="B4382">
        <v>0.99904790336628502</v>
      </c>
      <c r="C4382">
        <v>0.97571867616676899</v>
      </c>
      <c r="D4382">
        <v>0.986248787832119</v>
      </c>
      <c r="E4382">
        <v>0.86963257990662302</v>
      </c>
      <c r="F4382">
        <v>0.91039566595932497</v>
      </c>
      <c r="G4382">
        <v>0.59963840322434003</v>
      </c>
      <c r="H4382">
        <v>0.52758937954541696</v>
      </c>
      <c r="I4382">
        <v>0.47600806842992699</v>
      </c>
      <c r="J4382">
        <v>0.51624389480669397</v>
      </c>
      <c r="K4382">
        <v>0.37716776713477002</v>
      </c>
      <c r="L4382">
        <v>996.288747553858</v>
      </c>
      <c r="M4382">
        <v>17.901829599852</v>
      </c>
      <c r="N4382">
        <v>62.0810731528844</v>
      </c>
      <c r="O4382">
        <v>54.972383612543297</v>
      </c>
      <c r="P4382">
        <v>-4.7086116086100797E-2</v>
      </c>
      <c r="Q4382">
        <v>0.42166680741692403</v>
      </c>
      <c r="R4382">
        <v>0.96087933150985005</v>
      </c>
      <c r="S4382" t="s">
        <v>9122</v>
      </c>
      <c r="T4382" t="s">
        <v>9478</v>
      </c>
      <c r="U4382" t="s">
        <v>9478</v>
      </c>
      <c r="V4382" t="s">
        <v>9478</v>
      </c>
      <c r="W4382">
        <v>4</v>
      </c>
      <c r="X4382" t="s">
        <v>13860</v>
      </c>
      <c r="Y4382">
        <v>0.73216271076390693</v>
      </c>
      <c r="Z4382" t="str">
        <f>HYPERLINK("Melting_Curves/meltCurve_tr_F8W785_F8W785_HUMAN_.pdf", "Melting_Curves/meltCurve_tr_F8W785_F8W785_HUMAN_.pdf")</f>
        <v>Melting_Curves/meltCurve_tr_F8W785_F8W785_HUMAN_.pdf</v>
      </c>
      <c r="AA4382" t="s">
        <v>18517</v>
      </c>
      <c r="AB4382" t="s">
        <v>23198</v>
      </c>
    </row>
    <row r="4383" spans="1:28" x14ac:dyDescent="0.25">
      <c r="A4383" t="s">
        <v>4387</v>
      </c>
      <c r="B4383">
        <v>0.99904790336628502</v>
      </c>
      <c r="C4383">
        <v>1.0232896129368201</v>
      </c>
      <c r="D4383">
        <v>0.87199256038496897</v>
      </c>
      <c r="E4383">
        <v>0.94693207188722806</v>
      </c>
      <c r="F4383">
        <v>0.72504842074772002</v>
      </c>
      <c r="G4383">
        <v>0.65187073209056601</v>
      </c>
      <c r="H4383">
        <v>0.49709522504431702</v>
      </c>
      <c r="I4383">
        <v>0.80055862991409499</v>
      </c>
      <c r="J4383">
        <v>1.07287006003786</v>
      </c>
      <c r="K4383">
        <v>1.1456536766875201</v>
      </c>
      <c r="L4383">
        <v>11443.77164241</v>
      </c>
      <c r="M4383">
        <v>250</v>
      </c>
      <c r="O4383">
        <v>45.772157198696398</v>
      </c>
      <c r="P4383">
        <v>-0.226270428187207</v>
      </c>
      <c r="Q4383">
        <v>0.83428983020992498</v>
      </c>
      <c r="R4383">
        <v>0.12892516016969899</v>
      </c>
      <c r="S4383" t="s">
        <v>9123</v>
      </c>
      <c r="T4383" t="s">
        <v>9478</v>
      </c>
      <c r="U4383" t="s">
        <v>9478</v>
      </c>
      <c r="V4383" t="s">
        <v>9478</v>
      </c>
      <c r="W4383">
        <v>1</v>
      </c>
      <c r="X4383" t="s">
        <v>13861</v>
      </c>
      <c r="Y4383">
        <v>0.86620282833116569</v>
      </c>
      <c r="Z4383" t="str">
        <f>HYPERLINK("Melting_Curves/meltCurve_tr_F8W7F7_F8W7F7_HUMAN_.pdf", "Melting_Curves/meltCurve_tr_F8W7F7_F8W7F7_HUMAN_.pdf")</f>
        <v>Melting_Curves/meltCurve_tr_F8W7F7_F8W7F7_HUMAN_.pdf</v>
      </c>
      <c r="AA4383" t="s">
        <v>18518</v>
      </c>
      <c r="AB4383" t="s">
        <v>23199</v>
      </c>
    </row>
    <row r="4384" spans="1:28" x14ac:dyDescent="0.25">
      <c r="A4384" t="s">
        <v>4388</v>
      </c>
      <c r="B4384">
        <v>0.99904790336628502</v>
      </c>
      <c r="C4384">
        <v>0.98106922398634899</v>
      </c>
      <c r="D4384">
        <v>0.99309729340446096</v>
      </c>
      <c r="E4384">
        <v>0.90477182667267497</v>
      </c>
      <c r="F4384">
        <v>0.81593716501640501</v>
      </c>
      <c r="G4384">
        <v>0.583792970045105</v>
      </c>
      <c r="H4384">
        <v>0.53785362116122104</v>
      </c>
      <c r="I4384">
        <v>0.47508779950110802</v>
      </c>
      <c r="J4384">
        <v>0.47951079736001301</v>
      </c>
      <c r="K4384">
        <v>0.45797542660198798</v>
      </c>
      <c r="L4384">
        <v>1112.7462616620401</v>
      </c>
      <c r="M4384">
        <v>20.506342028607701</v>
      </c>
      <c r="N4384">
        <v>62.036780572951898</v>
      </c>
      <c r="O4384">
        <v>53.755387307606703</v>
      </c>
      <c r="P4384">
        <v>-5.1337417006869598E-2</v>
      </c>
      <c r="Q4384">
        <v>0.461711640258329</v>
      </c>
      <c r="R4384">
        <v>0.995142102899368</v>
      </c>
      <c r="S4384" t="s">
        <v>9124</v>
      </c>
      <c r="T4384" t="s">
        <v>9478</v>
      </c>
      <c r="U4384" t="s">
        <v>9478</v>
      </c>
      <c r="V4384" t="s">
        <v>9478</v>
      </c>
      <c r="W4384">
        <v>23</v>
      </c>
      <c r="X4384" t="s">
        <v>13862</v>
      </c>
      <c r="Y4384">
        <v>0.72463974340545645</v>
      </c>
      <c r="Z4384" t="str">
        <f>HYPERLINK("Melting_Curves/meltCurve_tr_F8W7U3_F8W7U3_HUMAN_.pdf", "Melting_Curves/meltCurve_tr_F8W7U3_F8W7U3_HUMAN_.pdf")</f>
        <v>Melting_Curves/meltCurve_tr_F8W7U3_F8W7U3_HUMAN_.pdf</v>
      </c>
      <c r="AA4384" t="s">
        <v>18519</v>
      </c>
      <c r="AB4384" t="s">
        <v>23200</v>
      </c>
    </row>
    <row r="4385" spans="1:28" x14ac:dyDescent="0.25">
      <c r="A4385" t="s">
        <v>4389</v>
      </c>
      <c r="B4385">
        <v>0.99904790336628502</v>
      </c>
      <c r="C4385">
        <v>1.05218326765113</v>
      </c>
      <c r="D4385">
        <v>0.634246905466049</v>
      </c>
      <c r="E4385">
        <v>0.84515305728429901</v>
      </c>
      <c r="F4385">
        <v>0.82374422716051698</v>
      </c>
      <c r="G4385">
        <v>0.48387457449793603</v>
      </c>
      <c r="H4385">
        <v>0.33285736777201902</v>
      </c>
      <c r="I4385">
        <v>0.16820126145539799</v>
      </c>
      <c r="J4385">
        <v>0.199986073655193</v>
      </c>
      <c r="K4385">
        <v>0.181174330379403</v>
      </c>
      <c r="L4385">
        <v>565.13937430606597</v>
      </c>
      <c r="M4385">
        <v>9.8947414196768992</v>
      </c>
      <c r="N4385">
        <v>57.115123195725197</v>
      </c>
      <c r="O4385">
        <v>54.929042598707902</v>
      </c>
      <c r="P4385">
        <v>-4.5057004995726402E-2</v>
      </c>
      <c r="Q4385">
        <v>0</v>
      </c>
      <c r="R4385">
        <v>0.88890494368144801</v>
      </c>
      <c r="S4385" t="s">
        <v>9125</v>
      </c>
      <c r="T4385" t="s">
        <v>9478</v>
      </c>
      <c r="U4385" t="s">
        <v>9478</v>
      </c>
      <c r="V4385" t="s">
        <v>9478</v>
      </c>
      <c r="W4385">
        <v>6</v>
      </c>
      <c r="X4385" t="s">
        <v>13863</v>
      </c>
      <c r="Y4385">
        <v>0.58553457825410393</v>
      </c>
      <c r="Z4385" t="str">
        <f>HYPERLINK("Melting_Curves/meltCurve_tr_F8W8I6_F8W8I6_HUMAN_.pdf", "Melting_Curves/meltCurve_tr_F8W8I6_F8W8I6_HUMAN_.pdf")</f>
        <v>Melting_Curves/meltCurve_tr_F8W8I6_F8W8I6_HUMAN_.pdf</v>
      </c>
      <c r="AA4385" t="s">
        <v>18520</v>
      </c>
      <c r="AB4385" t="s">
        <v>23201</v>
      </c>
    </row>
    <row r="4386" spans="1:28" x14ac:dyDescent="0.25">
      <c r="A4386" t="s">
        <v>4390</v>
      </c>
      <c r="B4386">
        <v>0.99904790336628502</v>
      </c>
      <c r="C4386">
        <v>1.2406531623578101</v>
      </c>
      <c r="D4386">
        <v>1.05948700665103</v>
      </c>
      <c r="E4386">
        <v>1.0873258675965201</v>
      </c>
      <c r="F4386">
        <v>0.63855797262054403</v>
      </c>
      <c r="G4386">
        <v>0.53753175294185496</v>
      </c>
      <c r="H4386">
        <v>0.38046286395969803</v>
      </c>
      <c r="I4386">
        <v>0.35776140032741099</v>
      </c>
      <c r="J4386">
        <v>0.39878471273228</v>
      </c>
      <c r="K4386">
        <v>0.38615016106346201</v>
      </c>
      <c r="L4386">
        <v>13225.211404945399</v>
      </c>
      <c r="M4386">
        <v>250</v>
      </c>
      <c r="N4386">
        <v>53.271368072388597</v>
      </c>
      <c r="O4386">
        <v>52.897448128569501</v>
      </c>
      <c r="P4386">
        <v>-0.69457710858501098</v>
      </c>
      <c r="Q4386">
        <v>0.41213815959004302</v>
      </c>
      <c r="R4386">
        <v>0.91844764515056998</v>
      </c>
      <c r="S4386" t="s">
        <v>9126</v>
      </c>
      <c r="T4386" t="s">
        <v>9478</v>
      </c>
      <c r="U4386" t="s">
        <v>9478</v>
      </c>
      <c r="V4386" t="s">
        <v>9478</v>
      </c>
      <c r="W4386">
        <v>2</v>
      </c>
      <c r="X4386" t="s">
        <v>13864</v>
      </c>
      <c r="Y4386">
        <v>0.66498989840745393</v>
      </c>
      <c r="Z4386" t="str">
        <f>HYPERLINK("Melting_Curves/meltCurve_tr_F8W8M3_F8W8M3_HUMAN_.pdf", "Melting_Curves/meltCurve_tr_F8W8M3_F8W8M3_HUMAN_.pdf")</f>
        <v>Melting_Curves/meltCurve_tr_F8W8M3_F8W8M3_HUMAN_.pdf</v>
      </c>
      <c r="AA4386" t="s">
        <v>18521</v>
      </c>
      <c r="AB4386" t="s">
        <v>23202</v>
      </c>
    </row>
    <row r="4387" spans="1:28" x14ac:dyDescent="0.25">
      <c r="A4387" t="s">
        <v>4391</v>
      </c>
      <c r="B4387">
        <v>0.99904790336628502</v>
      </c>
      <c r="C4387">
        <v>1.0399144164204399</v>
      </c>
      <c r="D4387">
        <v>1.0162665128185</v>
      </c>
      <c r="E4387">
        <v>0.97171675795887102</v>
      </c>
      <c r="F4387">
        <v>1.0261606339901701</v>
      </c>
      <c r="G4387">
        <v>0.73293093339771798</v>
      </c>
      <c r="H4387">
        <v>0.71163123687430196</v>
      </c>
      <c r="I4387">
        <v>0.68395534478026399</v>
      </c>
      <c r="J4387">
        <v>0.733395134241696</v>
      </c>
      <c r="K4387">
        <v>0.73227157031410295</v>
      </c>
      <c r="L4387">
        <v>14095.039571143299</v>
      </c>
      <c r="M4387">
        <v>250</v>
      </c>
      <c r="O4387">
        <v>56.376550330362797</v>
      </c>
      <c r="P4387">
        <v>-0.31560849572069399</v>
      </c>
      <c r="Q4387">
        <v>0.71531330844457697</v>
      </c>
      <c r="R4387">
        <v>0.97721945679193301</v>
      </c>
      <c r="S4387" t="s">
        <v>9127</v>
      </c>
      <c r="T4387" t="s">
        <v>9478</v>
      </c>
      <c r="U4387" t="s">
        <v>9478</v>
      </c>
      <c r="V4387" t="s">
        <v>9478</v>
      </c>
      <c r="W4387">
        <v>17</v>
      </c>
      <c r="X4387" t="s">
        <v>13865</v>
      </c>
      <c r="Y4387">
        <v>0.87078191277910011</v>
      </c>
      <c r="Z4387" t="str">
        <f>HYPERLINK("Melting_Curves/meltCurve_tr_F8W8M4_F8W8M4_HUMAN_.pdf", "Melting_Curves/meltCurve_tr_F8W8M4_F8W8M4_HUMAN_.pdf")</f>
        <v>Melting_Curves/meltCurve_tr_F8W8M4_F8W8M4_HUMAN_.pdf</v>
      </c>
      <c r="AA4387" t="s">
        <v>18522</v>
      </c>
      <c r="AB4387" t="s">
        <v>23203</v>
      </c>
    </row>
    <row r="4388" spans="1:28" x14ac:dyDescent="0.25">
      <c r="A4388" t="s">
        <v>4392</v>
      </c>
      <c r="B4388">
        <v>0.99904790336628502</v>
      </c>
      <c r="C4388">
        <v>1.0554486647443899</v>
      </c>
      <c r="D4388">
        <v>0.93289830970861898</v>
      </c>
      <c r="E4388">
        <v>0.81263766735582599</v>
      </c>
      <c r="F4388">
        <v>0.789742213282282</v>
      </c>
      <c r="G4388">
        <v>0.52463492022918701</v>
      </c>
      <c r="H4388">
        <v>0.554788190705645</v>
      </c>
      <c r="I4388">
        <v>0.51943307264739402</v>
      </c>
      <c r="J4388">
        <v>0.54901054237962799</v>
      </c>
      <c r="K4388">
        <v>0.55952903158591205</v>
      </c>
      <c r="L4388">
        <v>1033.1012132292401</v>
      </c>
      <c r="M4388">
        <v>19.910258316992898</v>
      </c>
      <c r="O4388">
        <v>51.3729804843842</v>
      </c>
      <c r="P4388">
        <v>-4.5733825968484298E-2</v>
      </c>
      <c r="Q4388">
        <v>0.52800129738206503</v>
      </c>
      <c r="R4388">
        <v>0.95510584641433405</v>
      </c>
      <c r="S4388" t="s">
        <v>9128</v>
      </c>
      <c r="T4388" t="s">
        <v>9478</v>
      </c>
      <c r="U4388" t="s">
        <v>9478</v>
      </c>
      <c r="V4388" t="s">
        <v>9478</v>
      </c>
      <c r="W4388">
        <v>3</v>
      </c>
      <c r="X4388" t="s">
        <v>13866</v>
      </c>
      <c r="Y4388">
        <v>0.72162476737491943</v>
      </c>
      <c r="Z4388" t="str">
        <f>HYPERLINK("Melting_Curves/meltCurve_tr_F8W914_F8W914_HUMAN_.pdf", "Melting_Curves/meltCurve_tr_F8W914_F8W914_HUMAN_.pdf")</f>
        <v>Melting_Curves/meltCurve_tr_F8W914_F8W914_HUMAN_.pdf</v>
      </c>
      <c r="AA4388" t="s">
        <v>18523</v>
      </c>
      <c r="AB4388" t="s">
        <v>23204</v>
      </c>
    </row>
    <row r="4389" spans="1:28" x14ac:dyDescent="0.25">
      <c r="A4389" t="s">
        <v>4393</v>
      </c>
      <c r="B4389">
        <v>0.99904790336628502</v>
      </c>
      <c r="C4389">
        <v>0.84876915847026202</v>
      </c>
      <c r="D4389">
        <v>0.92284550097447005</v>
      </c>
      <c r="E4389">
        <v>0.80791301353317702</v>
      </c>
      <c r="F4389">
        <v>0.71053373384163898</v>
      </c>
      <c r="G4389">
        <v>0.45186443980923502</v>
      </c>
      <c r="H4389">
        <v>0.38408193534551699</v>
      </c>
      <c r="I4389">
        <v>0.232716047163848</v>
      </c>
      <c r="J4389">
        <v>0.22652305152791199</v>
      </c>
      <c r="K4389">
        <v>0.16397728783027599</v>
      </c>
      <c r="L4389">
        <v>535.30431186322301</v>
      </c>
      <c r="M4389">
        <v>9.4150191588697094</v>
      </c>
      <c r="N4389">
        <v>57.052635002774601</v>
      </c>
      <c r="O4389">
        <v>54.468427885378098</v>
      </c>
      <c r="P4389">
        <v>-4.2550857455257503E-2</v>
      </c>
      <c r="Q4389">
        <v>1.5929509875352198E-2</v>
      </c>
      <c r="R4389">
        <v>0.97861976898594305</v>
      </c>
      <c r="S4389" t="s">
        <v>9129</v>
      </c>
      <c r="T4389" t="s">
        <v>9478</v>
      </c>
      <c r="U4389" t="s">
        <v>9478</v>
      </c>
      <c r="V4389" t="s">
        <v>9478</v>
      </c>
      <c r="W4389">
        <v>7</v>
      </c>
      <c r="X4389" t="s">
        <v>13867</v>
      </c>
      <c r="Y4389">
        <v>0.58454546930469808</v>
      </c>
      <c r="Z4389" t="str">
        <f>HYPERLINK("Melting_Curves/meltCurve_tr_F8W9I4_F8W9I4_HUMAN_.pdf", "Melting_Curves/meltCurve_tr_F8W9I4_F8W9I4_HUMAN_.pdf")</f>
        <v>Melting_Curves/meltCurve_tr_F8W9I4_F8W9I4_HUMAN_.pdf</v>
      </c>
      <c r="AA4389" t="s">
        <v>15618</v>
      </c>
      <c r="AB4389" t="s">
        <v>23205</v>
      </c>
    </row>
    <row r="4390" spans="1:28" x14ac:dyDescent="0.25">
      <c r="A4390" t="s">
        <v>4394</v>
      </c>
      <c r="B4390">
        <v>0.99904790336628502</v>
      </c>
      <c r="C4390">
        <v>1.0731976674572501</v>
      </c>
      <c r="D4390">
        <v>1.08297606945012</v>
      </c>
      <c r="E4390">
        <v>0.75973252945685299</v>
      </c>
      <c r="F4390">
        <v>0.26726062219078101</v>
      </c>
      <c r="G4390">
        <v>0.14157898502167701</v>
      </c>
      <c r="H4390">
        <v>9.2235020782775706E-2</v>
      </c>
      <c r="I4390">
        <v>7.01912514587376E-2</v>
      </c>
      <c r="J4390">
        <v>6.7252280987415897E-2</v>
      </c>
      <c r="K4390">
        <v>5.3728357631772701E-2</v>
      </c>
      <c r="L4390">
        <v>2146.7247785566101</v>
      </c>
      <c r="M4390">
        <v>41.863073813121801</v>
      </c>
      <c r="N4390">
        <v>51.498272105543897</v>
      </c>
      <c r="O4390">
        <v>51.163075560453301</v>
      </c>
      <c r="P4390">
        <v>-0.18790641494878599</v>
      </c>
      <c r="Q4390">
        <v>8.14001442940568E-2</v>
      </c>
      <c r="R4390">
        <v>0.99101365402545705</v>
      </c>
      <c r="S4390" t="s">
        <v>9130</v>
      </c>
      <c r="T4390" t="s">
        <v>9478</v>
      </c>
      <c r="U4390" t="s">
        <v>9478</v>
      </c>
      <c r="V4390" t="s">
        <v>9478</v>
      </c>
      <c r="W4390">
        <v>24</v>
      </c>
      <c r="X4390" t="s">
        <v>13868</v>
      </c>
      <c r="Y4390">
        <v>0.42975409819625021</v>
      </c>
      <c r="Z4390" t="str">
        <f>HYPERLINK("Melting_Curves/meltCurve_tr_F8W9X7_F8W9X7_HUMAN_.pdf", "Melting_Curves/meltCurve_tr_F8W9X7_F8W9X7_HUMAN_.pdf")</f>
        <v>Melting_Curves/meltCurve_tr_F8W9X7_F8W9X7_HUMAN_.pdf</v>
      </c>
      <c r="AA4390" t="s">
        <v>18524</v>
      </c>
      <c r="AB4390" t="s">
        <v>23206</v>
      </c>
    </row>
    <row r="4391" spans="1:28" x14ac:dyDescent="0.25">
      <c r="A4391" t="s">
        <v>4395</v>
      </c>
      <c r="B4391">
        <v>0.99904790336628502</v>
      </c>
      <c r="C4391">
        <v>1.1722820900027799</v>
      </c>
      <c r="D4391">
        <v>1.212447339136</v>
      </c>
      <c r="E4391">
        <v>0.90180852976794501</v>
      </c>
      <c r="F4391">
        <v>0.54359644748008895</v>
      </c>
      <c r="G4391">
        <v>0.25530307790768397</v>
      </c>
      <c r="H4391">
        <v>0.16014899452530501</v>
      </c>
      <c r="I4391">
        <v>0.11240385848321199</v>
      </c>
      <c r="J4391">
        <v>9.4534759913880301E-2</v>
      </c>
      <c r="K4391">
        <v>7.1209181404169902E-2</v>
      </c>
      <c r="L4391">
        <v>1636.19957840692</v>
      </c>
      <c r="M4391">
        <v>30.774155000037499</v>
      </c>
      <c r="N4391">
        <v>53.602663829210002</v>
      </c>
      <c r="O4391">
        <v>52.944971310224801</v>
      </c>
      <c r="P4391">
        <v>-0.12926580029433599</v>
      </c>
      <c r="Q4391">
        <v>0.110430779259376</v>
      </c>
      <c r="R4391">
        <v>0.95816529867691702</v>
      </c>
      <c r="S4391" t="s">
        <v>9131</v>
      </c>
      <c r="T4391" t="s">
        <v>9478</v>
      </c>
      <c r="U4391" t="s">
        <v>9478</v>
      </c>
      <c r="V4391" t="s">
        <v>9478</v>
      </c>
      <c r="W4391">
        <v>6</v>
      </c>
      <c r="X4391" t="s">
        <v>13869</v>
      </c>
      <c r="Y4391">
        <v>0.50639251471703062</v>
      </c>
      <c r="Z4391" t="str">
        <f>HYPERLINK("Melting_Curves/meltCurve_tr_F8WAK8_F8WAK8_HUMAN_.pdf", "Melting_Curves/meltCurve_tr_F8WAK8_F8WAK8_HUMAN_.pdf")</f>
        <v>Melting_Curves/meltCurve_tr_F8WAK8_F8WAK8_HUMAN_.pdf</v>
      </c>
      <c r="AA4391" t="s">
        <v>18525</v>
      </c>
      <c r="AB4391" t="s">
        <v>23207</v>
      </c>
    </row>
    <row r="4392" spans="1:28" x14ac:dyDescent="0.25">
      <c r="A4392" t="s">
        <v>4396</v>
      </c>
      <c r="B4392">
        <v>0.99904790336628502</v>
      </c>
      <c r="C4392">
        <v>1.0363712636664899</v>
      </c>
      <c r="D4392">
        <v>0.91526823348113495</v>
      </c>
      <c r="E4392">
        <v>1.01014692668095</v>
      </c>
      <c r="F4392">
        <v>0.98599497922690105</v>
      </c>
      <c r="G4392">
        <v>0.70159178135182898</v>
      </c>
      <c r="H4392">
        <v>0.64676746286421405</v>
      </c>
      <c r="I4392">
        <v>0.56409072860265697</v>
      </c>
      <c r="J4392">
        <v>0.44579499339359702</v>
      </c>
      <c r="K4392">
        <v>0.46372461948524701</v>
      </c>
      <c r="L4392">
        <v>1100.0901031384701</v>
      </c>
      <c r="M4392">
        <v>18.896096568736599</v>
      </c>
      <c r="N4392">
        <v>65.720789763331496</v>
      </c>
      <c r="O4392">
        <v>57.5775840556446</v>
      </c>
      <c r="P4392">
        <v>-4.5768999768326803E-2</v>
      </c>
      <c r="Q4392">
        <v>0.44217874804566998</v>
      </c>
      <c r="R4392">
        <v>0.95511218123278596</v>
      </c>
      <c r="S4392" t="s">
        <v>9132</v>
      </c>
      <c r="T4392" t="s">
        <v>9478</v>
      </c>
      <c r="U4392" t="s">
        <v>9478</v>
      </c>
      <c r="V4392" t="s">
        <v>9478</v>
      </c>
      <c r="W4392">
        <v>2</v>
      </c>
      <c r="X4392" t="s">
        <v>13870</v>
      </c>
      <c r="Y4392">
        <v>0.78740521957795195</v>
      </c>
      <c r="Z4392" t="str">
        <f>HYPERLINK("Melting_Curves/meltCurve_tr_F8WBL2_F8WBL2_HUMAN_.pdf", "Melting_Curves/meltCurve_tr_F8WBL2_F8WBL2_HUMAN_.pdf")</f>
        <v>Melting_Curves/meltCurve_tr_F8WBL2_F8WBL2_HUMAN_.pdf</v>
      </c>
      <c r="AA4392" t="s">
        <v>18526</v>
      </c>
      <c r="AB4392" t="s">
        <v>23208</v>
      </c>
    </row>
    <row r="4393" spans="1:28" x14ac:dyDescent="0.25">
      <c r="A4393" t="s">
        <v>4397</v>
      </c>
      <c r="B4393">
        <v>0.99904790336628502</v>
      </c>
      <c r="C4393">
        <v>0.82494280177755397</v>
      </c>
      <c r="D4393">
        <v>1.12045714594935</v>
      </c>
      <c r="E4393">
        <v>0.66845033964432499</v>
      </c>
      <c r="F4393">
        <v>0.70439830080677102</v>
      </c>
      <c r="G4393">
        <v>0.98403857413659401</v>
      </c>
      <c r="H4393">
        <v>0.361894647042663</v>
      </c>
      <c r="I4393">
        <v>0.66904928484730397</v>
      </c>
      <c r="J4393">
        <v>0.92720872612018901</v>
      </c>
      <c r="K4393">
        <v>0.47298615449443299</v>
      </c>
      <c r="S4393" t="s">
        <v>9133</v>
      </c>
      <c r="T4393" t="s">
        <v>9478</v>
      </c>
      <c r="U4393" t="s">
        <v>9479</v>
      </c>
      <c r="V4393" t="s">
        <v>9478</v>
      </c>
      <c r="W4393">
        <v>1</v>
      </c>
      <c r="X4393" t="s">
        <v>13871</v>
      </c>
      <c r="Z4393" t="str">
        <f>HYPERLINK("Melting_Curves/meltCurve_tr_F8WCC1_F8WCC1_HUMAN_.pdf", "Melting_Curves/meltCurve_tr_F8WCC1_F8WCC1_HUMAN_.pdf")</f>
        <v>Melting_Curves/meltCurve_tr_F8WCC1_F8WCC1_HUMAN_.pdf</v>
      </c>
      <c r="AA4393" t="s">
        <v>18527</v>
      </c>
      <c r="AB4393" t="s">
        <v>23209</v>
      </c>
    </row>
    <row r="4394" spans="1:28" x14ac:dyDescent="0.25">
      <c r="A4394" t="s">
        <v>4398</v>
      </c>
      <c r="B4394">
        <v>0.99904790336628502</v>
      </c>
      <c r="C4394">
        <v>0.84555459690786305</v>
      </c>
      <c r="D4394">
        <v>0.81277300691389798</v>
      </c>
      <c r="E4394">
        <v>0.93472905178575105</v>
      </c>
      <c r="F4394">
        <v>0.64863823404430798</v>
      </c>
      <c r="G4394">
        <v>0.61141569493896097</v>
      </c>
      <c r="H4394">
        <v>0.34589196005785899</v>
      </c>
      <c r="I4394">
        <v>0.20958254605732601</v>
      </c>
      <c r="J4394">
        <v>3.44859904503588E-2</v>
      </c>
      <c r="K4394">
        <v>2.86564672610179E-2</v>
      </c>
      <c r="L4394">
        <v>728.98039181912998</v>
      </c>
      <c r="M4394">
        <v>12.7399425476384</v>
      </c>
      <c r="N4394">
        <v>57.220054419357503</v>
      </c>
      <c r="O4394">
        <v>55.865206124655799</v>
      </c>
      <c r="P4394">
        <v>-5.7022868990256999E-2</v>
      </c>
      <c r="Q4394">
        <v>0</v>
      </c>
      <c r="R4394">
        <v>0.93605072316746996</v>
      </c>
      <c r="S4394" t="s">
        <v>9134</v>
      </c>
      <c r="T4394" t="s">
        <v>9478</v>
      </c>
      <c r="U4394" t="s">
        <v>9478</v>
      </c>
      <c r="V4394" t="s">
        <v>9478</v>
      </c>
      <c r="W4394">
        <v>1</v>
      </c>
      <c r="X4394" t="s">
        <v>13872</v>
      </c>
      <c r="Y4394">
        <v>0.59003665326312704</v>
      </c>
      <c r="Z4394" t="str">
        <f>HYPERLINK("Melting_Curves/meltCurve_tr_F8WCM7_F8WCM7_HUMAN_.pdf", "Melting_Curves/meltCurve_tr_F8WCM7_F8WCM7_HUMAN_.pdf")</f>
        <v>Melting_Curves/meltCurve_tr_F8WCM7_F8WCM7_HUMAN_.pdf</v>
      </c>
      <c r="AA4394" t="s">
        <v>18528</v>
      </c>
      <c r="AB4394" t="s">
        <v>23210</v>
      </c>
    </row>
    <row r="4395" spans="1:28" x14ac:dyDescent="0.25">
      <c r="A4395" t="s">
        <v>4399</v>
      </c>
      <c r="B4395">
        <v>0.99904790336628502</v>
      </c>
      <c r="C4395">
        <v>1.0575202694284001</v>
      </c>
      <c r="D4395">
        <v>1.01219452103179</v>
      </c>
      <c r="E4395">
        <v>0.94334871411555499</v>
      </c>
      <c r="F4395">
        <v>0.50327199159760705</v>
      </c>
      <c r="G4395">
        <v>0.28907818733016699</v>
      </c>
      <c r="H4395">
        <v>0.20805835465265199</v>
      </c>
      <c r="I4395">
        <v>0.15192510397787301</v>
      </c>
      <c r="J4395">
        <v>0.11846288029956301</v>
      </c>
      <c r="K4395">
        <v>0.102141494121154</v>
      </c>
      <c r="L4395">
        <v>1768.84504179947</v>
      </c>
      <c r="M4395">
        <v>33.494897810775598</v>
      </c>
      <c r="N4395">
        <v>53.393211521362701</v>
      </c>
      <c r="O4395">
        <v>52.622217138826798</v>
      </c>
      <c r="P4395">
        <v>-0.134729669060041</v>
      </c>
      <c r="Q4395">
        <v>0.15333447821388599</v>
      </c>
      <c r="R4395">
        <v>0.98729050120822204</v>
      </c>
      <c r="S4395" t="s">
        <v>9135</v>
      </c>
      <c r="T4395" t="s">
        <v>9478</v>
      </c>
      <c r="U4395" t="s">
        <v>9478</v>
      </c>
      <c r="V4395" t="s">
        <v>9478</v>
      </c>
      <c r="W4395">
        <v>6</v>
      </c>
      <c r="X4395" t="s">
        <v>13873</v>
      </c>
      <c r="Y4395">
        <v>0.51924691671382428</v>
      </c>
      <c r="Z4395" t="str">
        <f>HYPERLINK("Melting_Curves/meltCurve_tr_F8WDV0_F8WDV0_HUMAN_.pdf", "Melting_Curves/meltCurve_tr_F8WDV0_F8WDV0_HUMAN_.pdf")</f>
        <v>Melting_Curves/meltCurve_tr_F8WDV0_F8WDV0_HUMAN_.pdf</v>
      </c>
      <c r="AA4395" t="s">
        <v>18529</v>
      </c>
      <c r="AB4395" t="s">
        <v>23211</v>
      </c>
    </row>
    <row r="4396" spans="1:28" x14ac:dyDescent="0.25">
      <c r="A4396" t="s">
        <v>4400</v>
      </c>
      <c r="B4396">
        <v>0.99904790336628502</v>
      </c>
      <c r="C4396">
        <v>1.1009355983048801</v>
      </c>
      <c r="D4396">
        <v>0.86999530685621695</v>
      </c>
      <c r="E4396">
        <v>0.94389167535297702</v>
      </c>
      <c r="F4396">
        <v>1.33880832174221</v>
      </c>
      <c r="G4396">
        <v>0.76546590442848095</v>
      </c>
      <c r="H4396">
        <v>0.85394014436753296</v>
      </c>
      <c r="I4396">
        <v>1.14824954777482</v>
      </c>
      <c r="J4396">
        <v>1.2623083396107</v>
      </c>
      <c r="K4396">
        <v>1.30060915469566</v>
      </c>
      <c r="L4396">
        <v>15000</v>
      </c>
      <c r="M4396">
        <v>234.48182266737999</v>
      </c>
      <c r="O4396">
        <v>63.966188959215401</v>
      </c>
      <c r="P4396">
        <v>0.25794157141191998</v>
      </c>
      <c r="Q4396">
        <v>1.28146385751318</v>
      </c>
      <c r="R4396">
        <v>0.39727807552357802</v>
      </c>
      <c r="S4396" t="s">
        <v>9136</v>
      </c>
      <c r="T4396" t="s">
        <v>9478</v>
      </c>
      <c r="U4396" t="s">
        <v>9478</v>
      </c>
      <c r="V4396" t="s">
        <v>9478</v>
      </c>
      <c r="W4396">
        <v>1</v>
      </c>
      <c r="X4396" t="s">
        <v>13874</v>
      </c>
      <c r="Y4396">
        <v>1.0565303994371591</v>
      </c>
      <c r="Z4396" t="str">
        <f>HYPERLINK("Melting_Curves/meltCurve_tr_F8WEE4_F8WEE4_HUMAN_.pdf", "Melting_Curves/meltCurve_tr_F8WEE4_F8WEE4_HUMAN_.pdf")</f>
        <v>Melting_Curves/meltCurve_tr_F8WEE4_F8WEE4_HUMAN_.pdf</v>
      </c>
      <c r="AA4396" t="s">
        <v>18530</v>
      </c>
      <c r="AB4396" t="s">
        <v>23212</v>
      </c>
    </row>
    <row r="4397" spans="1:28" x14ac:dyDescent="0.25">
      <c r="A4397" t="s">
        <v>4401</v>
      </c>
      <c r="B4397">
        <v>0.99904790336628502</v>
      </c>
      <c r="C4397">
        <v>0.96239909166865101</v>
      </c>
      <c r="D4397">
        <v>1.01124346553921</v>
      </c>
      <c r="E4397">
        <v>0.87035742332236898</v>
      </c>
      <c r="F4397">
        <v>0.81225860320901599</v>
      </c>
      <c r="G4397">
        <v>0.58129798400138899</v>
      </c>
      <c r="H4397">
        <v>0.38936140589401003</v>
      </c>
      <c r="I4397">
        <v>0.27883294915780998</v>
      </c>
      <c r="J4397">
        <v>0.273011250895493</v>
      </c>
      <c r="K4397">
        <v>0.214992954162847</v>
      </c>
      <c r="L4397">
        <v>860.86502830605104</v>
      </c>
      <c r="M4397">
        <v>15.1486242477365</v>
      </c>
      <c r="N4397">
        <v>58.4820962545149</v>
      </c>
      <c r="O4397">
        <v>55.865233362176099</v>
      </c>
      <c r="P4397">
        <v>-5.5983805409926597E-2</v>
      </c>
      <c r="Q4397">
        <v>0.174249928949328</v>
      </c>
      <c r="R4397">
        <v>0.99479684450140005</v>
      </c>
      <c r="S4397" t="s">
        <v>9137</v>
      </c>
      <c r="T4397" t="s">
        <v>9478</v>
      </c>
      <c r="U4397" t="s">
        <v>9478</v>
      </c>
      <c r="V4397" t="s">
        <v>9478</v>
      </c>
      <c r="W4397">
        <v>3</v>
      </c>
      <c r="X4397" t="s">
        <v>13875</v>
      </c>
      <c r="Y4397">
        <v>0.65071710270928362</v>
      </c>
      <c r="Z4397" t="str">
        <f>HYPERLINK("Melting_Curves/meltCurve_tr_F8WF49_F8WF49_HUMAN_.pdf", "Melting_Curves/meltCurve_tr_F8WF49_F8WF49_HUMAN_.pdf")</f>
        <v>Melting_Curves/meltCurve_tr_F8WF49_F8WF49_HUMAN_.pdf</v>
      </c>
      <c r="AA4397" t="s">
        <v>18531</v>
      </c>
      <c r="AB4397" t="s">
        <v>23213</v>
      </c>
    </row>
    <row r="4398" spans="1:28" x14ac:dyDescent="0.25">
      <c r="A4398" t="s">
        <v>4402</v>
      </c>
      <c r="B4398">
        <v>0.99904790336628502</v>
      </c>
      <c r="C4398">
        <v>0.94073705702404298</v>
      </c>
      <c r="D4398">
        <v>0.89181514394890005</v>
      </c>
      <c r="E4398">
        <v>0.80606148856266002</v>
      </c>
      <c r="F4398">
        <v>0.77252865865655096</v>
      </c>
      <c r="G4398">
        <v>0.53222237894420898</v>
      </c>
      <c r="H4398">
        <v>0.38619895042410102</v>
      </c>
      <c r="I4398">
        <v>0.41239793042057499</v>
      </c>
      <c r="J4398">
        <v>0.42441873283451398</v>
      </c>
      <c r="K4398">
        <v>0.39524983612886</v>
      </c>
      <c r="L4398">
        <v>712.38697303051401</v>
      </c>
      <c r="M4398">
        <v>13.3003135029182</v>
      </c>
      <c r="N4398">
        <v>58.867016249162397</v>
      </c>
      <c r="O4398">
        <v>52.394300877076297</v>
      </c>
      <c r="P4398">
        <v>-4.1307878350676001E-2</v>
      </c>
      <c r="Q4398">
        <v>0.34920417635516598</v>
      </c>
      <c r="R4398">
        <v>0.97200248359799801</v>
      </c>
      <c r="S4398" t="s">
        <v>9138</v>
      </c>
      <c r="T4398" t="s">
        <v>9478</v>
      </c>
      <c r="U4398" t="s">
        <v>9478</v>
      </c>
      <c r="V4398" t="s">
        <v>9478</v>
      </c>
      <c r="W4398">
        <v>10</v>
      </c>
      <c r="X4398" t="s">
        <v>13876</v>
      </c>
      <c r="Y4398">
        <v>0.65922942615812952</v>
      </c>
      <c r="Z4398" t="str">
        <f>HYPERLINK("Melting_Curves/meltCurve_tr_F8WJN3_F8WJN3_HUMAN_.pdf", "Melting_Curves/meltCurve_tr_F8WJN3_F8WJN3_HUMAN_.pdf")</f>
        <v>Melting_Curves/meltCurve_tr_F8WJN3_F8WJN3_HUMAN_.pdf</v>
      </c>
      <c r="AA4398" t="s">
        <v>18532</v>
      </c>
      <c r="AB4398" t="s">
        <v>23214</v>
      </c>
    </row>
    <row r="4399" spans="1:28" x14ac:dyDescent="0.25">
      <c r="A4399" t="s">
        <v>4403</v>
      </c>
      <c r="B4399">
        <v>0.99904790336628502</v>
      </c>
      <c r="C4399">
        <v>0.98750687471140997</v>
      </c>
      <c r="D4399">
        <v>0.94698321032403898</v>
      </c>
      <c r="E4399">
        <v>0.86055743856316502</v>
      </c>
      <c r="F4399">
        <v>0.70541788966694396</v>
      </c>
      <c r="G4399">
        <v>0.38752064445831802</v>
      </c>
      <c r="H4399">
        <v>0.20205942351377501</v>
      </c>
      <c r="I4399">
        <v>0.119034805344318</v>
      </c>
      <c r="J4399">
        <v>7.8964854590742997E-2</v>
      </c>
      <c r="K4399">
        <v>6.5071590184044598E-2</v>
      </c>
      <c r="L4399">
        <v>941.81332941227697</v>
      </c>
      <c r="M4399">
        <v>17.023300010659501</v>
      </c>
      <c r="N4399">
        <v>55.554674448126498</v>
      </c>
      <c r="O4399">
        <v>54.578422686231001</v>
      </c>
      <c r="P4399">
        <v>-7.5330812580852904E-2</v>
      </c>
      <c r="Q4399">
        <v>3.39865428287532E-2</v>
      </c>
      <c r="R4399">
        <v>0.99930395780167602</v>
      </c>
      <c r="S4399" t="s">
        <v>9139</v>
      </c>
      <c r="T4399" t="s">
        <v>9478</v>
      </c>
      <c r="U4399" t="s">
        <v>9478</v>
      </c>
      <c r="V4399" t="s">
        <v>9478</v>
      </c>
      <c r="W4399">
        <v>10</v>
      </c>
      <c r="X4399" t="s">
        <v>13877</v>
      </c>
      <c r="Y4399">
        <v>0.54326321797515253</v>
      </c>
      <c r="Z4399" t="str">
        <f>HYPERLINK("Melting_Curves/meltCurve_tr_G3V0E8_G3V0E8_HUMAN_.pdf", "Melting_Curves/meltCurve_tr_G3V0E8_G3V0E8_HUMAN_.pdf")</f>
        <v>Melting_Curves/meltCurve_tr_G3V0E8_G3V0E8_HUMAN_.pdf</v>
      </c>
      <c r="AA4399" t="s">
        <v>18533</v>
      </c>
      <c r="AB4399" t="s">
        <v>23215</v>
      </c>
    </row>
    <row r="4400" spans="1:28" x14ac:dyDescent="0.25">
      <c r="A4400" t="s">
        <v>4404</v>
      </c>
      <c r="B4400">
        <v>0.99904790336628502</v>
      </c>
      <c r="C4400">
        <v>1.0703463199427901</v>
      </c>
      <c r="D4400">
        <v>0.97641389156597003</v>
      </c>
      <c r="E4400">
        <v>0.75768080252210801</v>
      </c>
      <c r="F4400">
        <v>0.529049532588445</v>
      </c>
      <c r="G4400">
        <v>0.27161988719494801</v>
      </c>
      <c r="H4400">
        <v>0.17135814386650899</v>
      </c>
      <c r="I4400">
        <v>0.18071941834952199</v>
      </c>
      <c r="J4400">
        <v>0.19270721487973899</v>
      </c>
      <c r="K4400">
        <v>0.173216862123313</v>
      </c>
      <c r="L4400">
        <v>1217.08617459113</v>
      </c>
      <c r="M4400">
        <v>23.319451053775101</v>
      </c>
      <c r="N4400">
        <v>53.135719373905701</v>
      </c>
      <c r="O4400">
        <v>51.812622866626</v>
      </c>
      <c r="P4400">
        <v>-9.3440058812170601E-2</v>
      </c>
      <c r="Q4400">
        <v>0.16957074146062401</v>
      </c>
      <c r="R4400">
        <v>0.99420396773961195</v>
      </c>
      <c r="S4400" t="s">
        <v>9140</v>
      </c>
      <c r="T4400" t="s">
        <v>9478</v>
      </c>
      <c r="U4400" t="s">
        <v>9478</v>
      </c>
      <c r="V4400" t="s">
        <v>9478</v>
      </c>
      <c r="W4400">
        <v>6</v>
      </c>
      <c r="X4400" t="s">
        <v>13878</v>
      </c>
      <c r="Y4400">
        <v>0.5157218927887306</v>
      </c>
      <c r="Z4400" t="str">
        <f>HYPERLINK("Melting_Curves/meltCurve_tr_G3V169_G3V169_HUMAN_.pdf", "Melting_Curves/meltCurve_tr_G3V169_G3V169_HUMAN_.pdf")</f>
        <v>Melting_Curves/meltCurve_tr_G3V169_G3V169_HUMAN_.pdf</v>
      </c>
      <c r="AA4400" t="s">
        <v>18534</v>
      </c>
      <c r="AB4400" t="s">
        <v>23216</v>
      </c>
    </row>
    <row r="4401" spans="1:28" x14ac:dyDescent="0.25">
      <c r="A4401" t="s">
        <v>4405</v>
      </c>
      <c r="B4401">
        <v>0.99904790336628502</v>
      </c>
      <c r="C4401">
        <v>1.0757916682294799</v>
      </c>
      <c r="D4401">
        <v>1.0626626712621901</v>
      </c>
      <c r="E4401">
        <v>0.95366161103625502</v>
      </c>
      <c r="F4401">
        <v>0.77377838594297499</v>
      </c>
      <c r="G4401">
        <v>0.48553639858615</v>
      </c>
      <c r="H4401">
        <v>0.29947967498260197</v>
      </c>
      <c r="I4401">
        <v>0.218193787033306</v>
      </c>
      <c r="J4401">
        <v>0.17105407626288299</v>
      </c>
      <c r="K4401">
        <v>0.140886119214443</v>
      </c>
      <c r="L4401">
        <v>1148.0727734290299</v>
      </c>
      <c r="M4401">
        <v>20.516492722781699</v>
      </c>
      <c r="N4401">
        <v>56.917231328789498</v>
      </c>
      <c r="O4401">
        <v>55.4350353417096</v>
      </c>
      <c r="P4401">
        <v>-7.9010008089714395E-2</v>
      </c>
      <c r="Q4401">
        <v>0.146093084972649</v>
      </c>
      <c r="R4401">
        <v>0.99056414743888099</v>
      </c>
      <c r="S4401" t="s">
        <v>9141</v>
      </c>
      <c r="T4401" t="s">
        <v>9478</v>
      </c>
      <c r="U4401" t="s">
        <v>9478</v>
      </c>
      <c r="V4401" t="s">
        <v>9478</v>
      </c>
      <c r="W4401">
        <v>8</v>
      </c>
      <c r="X4401" t="s">
        <v>13879</v>
      </c>
      <c r="Y4401">
        <v>0.61096556729566032</v>
      </c>
      <c r="Z4401" t="str">
        <f>HYPERLINK("Melting_Curves/meltCurve_tr_G3V1P3_G3V1P3_HUMAN_.pdf", "Melting_Curves/meltCurve_tr_G3V1P3_G3V1P3_HUMAN_.pdf")</f>
        <v>Melting_Curves/meltCurve_tr_G3V1P3_G3V1P3_HUMAN_.pdf</v>
      </c>
      <c r="AA4401" t="s">
        <v>18535</v>
      </c>
      <c r="AB4401" t="s">
        <v>23217</v>
      </c>
    </row>
    <row r="4402" spans="1:28" x14ac:dyDescent="0.25">
      <c r="A4402" t="s">
        <v>4406</v>
      </c>
      <c r="B4402">
        <v>0.99904790336628502</v>
      </c>
      <c r="C4402">
        <v>0.82458034799393198</v>
      </c>
      <c r="D4402">
        <v>0.58350717227677895</v>
      </c>
      <c r="E4402">
        <v>0.29465377226747202</v>
      </c>
      <c r="F4402">
        <v>0.17395227826655099</v>
      </c>
      <c r="G4402">
        <v>8.9534283757316896E-2</v>
      </c>
      <c r="H4402">
        <v>5.1686082906336701E-2</v>
      </c>
      <c r="I4402">
        <v>4.6062760350610903E-2</v>
      </c>
      <c r="J4402">
        <v>3.8473554341520999E-2</v>
      </c>
      <c r="K4402">
        <v>3.6154653207374599E-2</v>
      </c>
      <c r="L4402">
        <v>784.44002443559998</v>
      </c>
      <c r="M4402">
        <v>16.717368748443299</v>
      </c>
      <c r="N4402">
        <v>47.137974619432498</v>
      </c>
      <c r="O4402">
        <v>46.267658386461299</v>
      </c>
      <c r="P4402">
        <v>-8.7029765352611102E-2</v>
      </c>
      <c r="Q4402">
        <v>3.6595764371065702E-2</v>
      </c>
      <c r="R4402">
        <v>0.99736994434856496</v>
      </c>
      <c r="S4402" t="s">
        <v>9142</v>
      </c>
      <c r="T4402" t="s">
        <v>9478</v>
      </c>
      <c r="U4402" t="s">
        <v>9478</v>
      </c>
      <c r="V4402" t="s">
        <v>9478</v>
      </c>
      <c r="W4402">
        <v>14</v>
      </c>
      <c r="X4402" t="s">
        <v>13880</v>
      </c>
      <c r="Y4402">
        <v>0.27987502252959179</v>
      </c>
      <c r="Z4402" t="str">
        <f>HYPERLINK("Melting_Curves/meltCurve_tr_G3V1Y8_G3V1Y8_HUMAN_.pdf", "Melting_Curves/meltCurve_tr_G3V1Y8_G3V1Y8_HUMAN_.pdf")</f>
        <v>Melting_Curves/meltCurve_tr_G3V1Y8_G3V1Y8_HUMAN_.pdf</v>
      </c>
      <c r="AA4402" t="s">
        <v>18536</v>
      </c>
      <c r="AB4402" t="s">
        <v>23218</v>
      </c>
    </row>
    <row r="4403" spans="1:28" x14ac:dyDescent="0.25">
      <c r="A4403" t="s">
        <v>4407</v>
      </c>
      <c r="B4403">
        <v>0.99904790336628502</v>
      </c>
      <c r="C4403">
        <v>0.86156639567428495</v>
      </c>
      <c r="D4403">
        <v>0.94090236184999698</v>
      </c>
      <c r="E4403">
        <v>0.67723296859265103</v>
      </c>
      <c r="F4403">
        <v>0.55576675481895599</v>
      </c>
      <c r="G4403">
        <v>0.29241472298624699</v>
      </c>
      <c r="H4403">
        <v>0.21809296938804801</v>
      </c>
      <c r="I4403">
        <v>0.17626901868839401</v>
      </c>
      <c r="J4403">
        <v>0.16731647722846801</v>
      </c>
      <c r="K4403">
        <v>0.15740806160204601</v>
      </c>
      <c r="L4403">
        <v>754.05751893133595</v>
      </c>
      <c r="M4403">
        <v>14.434896486918101</v>
      </c>
      <c r="N4403">
        <v>53.293346912233602</v>
      </c>
      <c r="O4403">
        <v>51.266641234116101</v>
      </c>
      <c r="P4403">
        <v>-6.1651752091959298E-2</v>
      </c>
      <c r="Q4403">
        <v>0.124259178851594</v>
      </c>
      <c r="R4403">
        <v>0.98467047961297505</v>
      </c>
      <c r="S4403" t="s">
        <v>9143</v>
      </c>
      <c r="T4403" t="s">
        <v>9478</v>
      </c>
      <c r="U4403" t="s">
        <v>9478</v>
      </c>
      <c r="V4403" t="s">
        <v>9478</v>
      </c>
      <c r="W4403">
        <v>2</v>
      </c>
      <c r="X4403" t="s">
        <v>13881</v>
      </c>
      <c r="Y4403">
        <v>0.50206316022606701</v>
      </c>
      <c r="Z4403" t="str">
        <f>HYPERLINK("Melting_Curves/meltCurve_tr_G3V238_G3V238_HUMAN_.pdf", "Melting_Curves/meltCurve_tr_G3V238_G3V238_HUMAN_.pdf")</f>
        <v>Melting_Curves/meltCurve_tr_G3V238_G3V238_HUMAN_.pdf</v>
      </c>
      <c r="AA4403" t="s">
        <v>18537</v>
      </c>
      <c r="AB4403" t="s">
        <v>23219</v>
      </c>
    </row>
    <row r="4404" spans="1:28" x14ac:dyDescent="0.25">
      <c r="A4404" t="s">
        <v>4408</v>
      </c>
      <c r="B4404">
        <v>0.99904790336628502</v>
      </c>
      <c r="C4404">
        <v>1.46322495261589</v>
      </c>
      <c r="D4404">
        <v>1.5260827332312299</v>
      </c>
      <c r="E4404">
        <v>1.4124319203920901</v>
      </c>
      <c r="F4404">
        <v>1.46600560534486</v>
      </c>
      <c r="G4404">
        <v>1.1421133771690799</v>
      </c>
      <c r="H4404">
        <v>1.0522411825801801</v>
      </c>
      <c r="I4404">
        <v>0.99666754056455098</v>
      </c>
      <c r="J4404">
        <v>1.1324081862847799</v>
      </c>
      <c r="K4404">
        <v>0.85756013633313199</v>
      </c>
      <c r="L4404">
        <v>15000</v>
      </c>
      <c r="M4404">
        <v>212.490442531307</v>
      </c>
      <c r="Q4404">
        <v>0</v>
      </c>
      <c r="R4404">
        <v>-0.76738753558101602</v>
      </c>
      <c r="S4404" t="s">
        <v>9144</v>
      </c>
      <c r="T4404" t="s">
        <v>9478</v>
      </c>
      <c r="U4404" t="s">
        <v>9478</v>
      </c>
      <c r="V4404" t="s">
        <v>9478</v>
      </c>
      <c r="W4404">
        <v>1</v>
      </c>
      <c r="X4404" t="s">
        <v>13882</v>
      </c>
      <c r="Y4404">
        <v>0.99834292377698441</v>
      </c>
      <c r="Z4404" t="str">
        <f>HYPERLINK("Melting_Curves/meltCurve_tr_G3V2T6_G3V2T6_HUMAN_.pdf", "Melting_Curves/meltCurve_tr_G3V2T6_G3V2T6_HUMAN_.pdf")</f>
        <v>Melting_Curves/meltCurve_tr_G3V2T6_G3V2T6_HUMAN_.pdf</v>
      </c>
      <c r="AB4404" t="s">
        <v>22851</v>
      </c>
    </row>
    <row r="4405" spans="1:28" x14ac:dyDescent="0.25">
      <c r="A4405" t="s">
        <v>4409</v>
      </c>
      <c r="B4405">
        <v>0.99904790336628502</v>
      </c>
      <c r="C4405">
        <v>1.0586137991198401</v>
      </c>
      <c r="D4405">
        <v>1.01950982091884</v>
      </c>
      <c r="E4405">
        <v>0.95971102027579802</v>
      </c>
      <c r="F4405">
        <v>0.88703748265744198</v>
      </c>
      <c r="G4405">
        <v>0.83387416210575704</v>
      </c>
      <c r="H4405">
        <v>0.50448957732784905</v>
      </c>
      <c r="I4405">
        <v>0.355825756193619</v>
      </c>
      <c r="J4405">
        <v>0.33640325747236399</v>
      </c>
      <c r="K4405">
        <v>0.339225756349612</v>
      </c>
      <c r="L4405">
        <v>1520.30376795334</v>
      </c>
      <c r="M4405">
        <v>25.794705293289301</v>
      </c>
      <c r="N4405">
        <v>61.175135407470201</v>
      </c>
      <c r="O4405">
        <v>58.587786398490699</v>
      </c>
      <c r="P4405">
        <v>-7.6467618846938007E-2</v>
      </c>
      <c r="Q4405">
        <v>0.30528142368808597</v>
      </c>
      <c r="R4405">
        <v>0.98397680216804595</v>
      </c>
      <c r="S4405" t="s">
        <v>9145</v>
      </c>
      <c r="T4405" t="s">
        <v>9478</v>
      </c>
      <c r="U4405" t="s">
        <v>9478</v>
      </c>
      <c r="V4405" t="s">
        <v>9478</v>
      </c>
      <c r="W4405">
        <v>2</v>
      </c>
      <c r="X4405" t="s">
        <v>13883</v>
      </c>
      <c r="Y4405">
        <v>0.74935147144348024</v>
      </c>
      <c r="Z4405" t="str">
        <f>HYPERLINK("Melting_Curves/meltCurve_tr_G3V2U7_G3V2U7_HUMAN_.pdf", "Melting_Curves/meltCurve_tr_G3V2U7_G3V2U7_HUMAN_.pdf")</f>
        <v>Melting_Curves/meltCurve_tr_G3V2U7_G3V2U7_HUMAN_.pdf</v>
      </c>
      <c r="AA4405" t="s">
        <v>18538</v>
      </c>
      <c r="AB4405" t="s">
        <v>23220</v>
      </c>
    </row>
    <row r="4406" spans="1:28" x14ac:dyDescent="0.25">
      <c r="A4406" t="s">
        <v>4410</v>
      </c>
      <c r="B4406">
        <v>0.99904790336628502</v>
      </c>
      <c r="C4406">
        <v>1.1370291903071099</v>
      </c>
      <c r="D4406">
        <v>1.1121560365033201</v>
      </c>
      <c r="E4406">
        <v>1.0681738864056001</v>
      </c>
      <c r="F4406">
        <v>1.07552572452392</v>
      </c>
      <c r="G4406">
        <v>0.81236684673897297</v>
      </c>
      <c r="H4406">
        <v>0.658021257203251</v>
      </c>
      <c r="I4406">
        <v>0.58855272337050601</v>
      </c>
      <c r="J4406">
        <v>0.53749032075088499</v>
      </c>
      <c r="K4406">
        <v>0.49185438204221599</v>
      </c>
      <c r="L4406">
        <v>1672.31811052999</v>
      </c>
      <c r="M4406">
        <v>28.472175714357402</v>
      </c>
      <c r="O4406">
        <v>58.447718283835599</v>
      </c>
      <c r="P4406">
        <v>-5.8571520427913103E-2</v>
      </c>
      <c r="Q4406">
        <v>0.51906108153038999</v>
      </c>
      <c r="R4406">
        <v>0.91739171949041298</v>
      </c>
      <c r="S4406" t="s">
        <v>9146</v>
      </c>
      <c r="T4406" t="s">
        <v>9478</v>
      </c>
      <c r="U4406" t="s">
        <v>9478</v>
      </c>
      <c r="V4406" t="s">
        <v>9478</v>
      </c>
      <c r="W4406">
        <v>1</v>
      </c>
      <c r="X4406" t="s">
        <v>13884</v>
      </c>
      <c r="Y4406">
        <v>0.82277466244751929</v>
      </c>
      <c r="Z4406" t="str">
        <f>HYPERLINK("Melting_Curves/meltCurve_tr_G3V357_G3V357_HUMAN_.pdf", "Melting_Curves/meltCurve_tr_G3V357_G3V357_HUMAN_.pdf")</f>
        <v>Melting_Curves/meltCurve_tr_G3V357_G3V357_HUMAN_.pdf</v>
      </c>
      <c r="AA4406" t="s">
        <v>18539</v>
      </c>
      <c r="AB4406" t="s">
        <v>23221</v>
      </c>
    </row>
    <row r="4407" spans="1:28" x14ac:dyDescent="0.25">
      <c r="A4407" t="s">
        <v>4411</v>
      </c>
      <c r="B4407">
        <v>0.99904790336628502</v>
      </c>
      <c r="C4407">
        <v>1.2923407995290399</v>
      </c>
      <c r="D4407">
        <v>1.22739797289519</v>
      </c>
      <c r="E4407">
        <v>0.87447686446474004</v>
      </c>
      <c r="F4407">
        <v>0.81668824559518605</v>
      </c>
      <c r="G4407">
        <v>0.57601603322530603</v>
      </c>
      <c r="H4407">
        <v>0.459307740168725</v>
      </c>
      <c r="I4407">
        <v>0.45220087939897802</v>
      </c>
      <c r="J4407">
        <v>0.35164462668153701</v>
      </c>
      <c r="K4407">
        <v>0.14758517735749399</v>
      </c>
      <c r="L4407">
        <v>836.16701319752406</v>
      </c>
      <c r="M4407">
        <v>14.461134102819299</v>
      </c>
      <c r="N4407">
        <v>59.901074145507401</v>
      </c>
      <c r="O4407">
        <v>56.749710916218199</v>
      </c>
      <c r="P4407">
        <v>-5.1139856886827401E-2</v>
      </c>
      <c r="Q4407">
        <v>0.197342681091357</v>
      </c>
      <c r="R4407">
        <v>0.86321139061159902</v>
      </c>
      <c r="S4407" t="s">
        <v>9147</v>
      </c>
      <c r="T4407" t="s">
        <v>9478</v>
      </c>
      <c r="U4407" t="s">
        <v>9478</v>
      </c>
      <c r="V4407" t="s">
        <v>9478</v>
      </c>
      <c r="W4407">
        <v>2</v>
      </c>
      <c r="X4407" t="s">
        <v>13885</v>
      </c>
      <c r="Y4407">
        <v>0.68540168555547076</v>
      </c>
      <c r="Z4407" t="str">
        <f>HYPERLINK("Melting_Curves/meltCurve_tr_G3V3D2_G3V3D2_HUMAN_.pdf", "Melting_Curves/meltCurve_tr_G3V3D2_G3V3D2_HUMAN_.pdf")</f>
        <v>Melting_Curves/meltCurve_tr_G3V3D2_G3V3D2_HUMAN_.pdf</v>
      </c>
      <c r="AA4407" t="s">
        <v>18540</v>
      </c>
      <c r="AB4407" t="s">
        <v>23222</v>
      </c>
    </row>
    <row r="4408" spans="1:28" x14ac:dyDescent="0.25">
      <c r="A4408" t="s">
        <v>4412</v>
      </c>
      <c r="B4408">
        <v>0.99904790336628502</v>
      </c>
      <c r="C4408">
        <v>1.0151099333434199</v>
      </c>
      <c r="D4408">
        <v>1.04619256061135</v>
      </c>
      <c r="E4408">
        <v>0.99382684608810601</v>
      </c>
      <c r="F4408">
        <v>0.75706314155335697</v>
      </c>
      <c r="G4408">
        <v>0.26465096546141798</v>
      </c>
      <c r="H4408">
        <v>0.119165179876355</v>
      </c>
      <c r="I4408">
        <v>8.3007307181285295E-2</v>
      </c>
      <c r="J4408">
        <v>6.4002781839464395E-2</v>
      </c>
      <c r="K4408">
        <v>5.4144410787555899E-2</v>
      </c>
      <c r="L4408">
        <v>1834.6882321307</v>
      </c>
      <c r="M4408">
        <v>33.518247445520402</v>
      </c>
      <c r="N4408">
        <v>54.984321771362403</v>
      </c>
      <c r="O4408">
        <v>54.543261050378703</v>
      </c>
      <c r="P4408">
        <v>-0.14288150515411699</v>
      </c>
      <c r="Q4408">
        <v>6.9976360743460003E-2</v>
      </c>
      <c r="R4408">
        <v>0.99766101402974905</v>
      </c>
      <c r="S4408" t="s">
        <v>9148</v>
      </c>
      <c r="T4408" t="s">
        <v>9478</v>
      </c>
      <c r="U4408" t="s">
        <v>9478</v>
      </c>
      <c r="V4408" t="s">
        <v>9478</v>
      </c>
      <c r="W4408">
        <v>15</v>
      </c>
      <c r="X4408" t="s">
        <v>13886</v>
      </c>
      <c r="Y4408">
        <v>0.53180667206472176</v>
      </c>
      <c r="Z4408" t="str">
        <f>HYPERLINK("Melting_Curves/meltCurve_tr_G3V3G9_G3V3G9_HUMAN_.pdf", "Melting_Curves/meltCurve_tr_G3V3G9_G3V3G9_HUMAN_.pdf")</f>
        <v>Melting_Curves/meltCurve_tr_G3V3G9_G3V3G9_HUMAN_.pdf</v>
      </c>
      <c r="AA4408" t="s">
        <v>18541</v>
      </c>
      <c r="AB4408" t="s">
        <v>23223</v>
      </c>
    </row>
    <row r="4409" spans="1:28" x14ac:dyDescent="0.25">
      <c r="A4409" t="s">
        <v>4413</v>
      </c>
      <c r="B4409">
        <v>0.99904790336628502</v>
      </c>
      <c r="C4409">
        <v>0.97723016569169996</v>
      </c>
      <c r="D4409">
        <v>0.88771221320660298</v>
      </c>
      <c r="E4409">
        <v>0.83629764907842497</v>
      </c>
      <c r="F4409">
        <v>0.71915750512239496</v>
      </c>
      <c r="G4409">
        <v>0.34355743881405698</v>
      </c>
      <c r="H4409">
        <v>0.19390211437900801</v>
      </c>
      <c r="I4409">
        <v>0.129035099085795</v>
      </c>
      <c r="J4409">
        <v>9.5695828713786998E-2</v>
      </c>
      <c r="K4409">
        <v>7.8736149642420802E-2</v>
      </c>
      <c r="L4409">
        <v>928.74727582462401</v>
      </c>
      <c r="M4409">
        <v>16.9187305964305</v>
      </c>
      <c r="N4409">
        <v>55.229216283259603</v>
      </c>
      <c r="O4409">
        <v>54.144915062105603</v>
      </c>
      <c r="P4409">
        <v>-7.4317333678705202E-2</v>
      </c>
      <c r="Q4409">
        <v>4.8710580597803803E-2</v>
      </c>
      <c r="R4409">
        <v>0.99215702893623003</v>
      </c>
      <c r="S4409" t="s">
        <v>9149</v>
      </c>
      <c r="T4409" t="s">
        <v>9478</v>
      </c>
      <c r="U4409" t="s">
        <v>9478</v>
      </c>
      <c r="V4409" t="s">
        <v>9478</v>
      </c>
      <c r="W4409">
        <v>5</v>
      </c>
      <c r="X4409" t="s">
        <v>13887</v>
      </c>
      <c r="Y4409">
        <v>0.53704944961126388</v>
      </c>
      <c r="Z4409" t="str">
        <f>HYPERLINK("Melting_Curves/meltCurve_tr_G3V3R7_G3V3R7_HUMAN_.pdf", "Melting_Curves/meltCurve_tr_G3V3R7_G3V3R7_HUMAN_.pdf")</f>
        <v>Melting_Curves/meltCurve_tr_G3V3R7_G3V3R7_HUMAN_.pdf</v>
      </c>
      <c r="AA4409" t="s">
        <v>18542</v>
      </c>
      <c r="AB4409" t="s">
        <v>23224</v>
      </c>
    </row>
    <row r="4410" spans="1:28" x14ac:dyDescent="0.25">
      <c r="A4410" t="s">
        <v>4414</v>
      </c>
      <c r="B4410">
        <v>0.99904790336628502</v>
      </c>
      <c r="C4410">
        <v>0.951888114563472</v>
      </c>
      <c r="D4410">
        <v>0.94830817632132802</v>
      </c>
      <c r="E4410">
        <v>0.94402695410900705</v>
      </c>
      <c r="F4410">
        <v>0.90078030336121095</v>
      </c>
      <c r="G4410">
        <v>0.72009507219948699</v>
      </c>
      <c r="H4410">
        <v>0.63193159101020002</v>
      </c>
      <c r="I4410">
        <v>0.768654820828789</v>
      </c>
      <c r="J4410">
        <v>0.61430388470080899</v>
      </c>
      <c r="K4410">
        <v>0.58776273793992695</v>
      </c>
      <c r="L4410">
        <v>825.67096689255504</v>
      </c>
      <c r="M4410">
        <v>14.9444643757199</v>
      </c>
      <c r="O4410">
        <v>54.288319759119297</v>
      </c>
      <c r="P4410">
        <v>-2.7086023910441501E-2</v>
      </c>
      <c r="Q4410">
        <v>0.60646190809064504</v>
      </c>
      <c r="R4410">
        <v>0.89615517509514298</v>
      </c>
      <c r="S4410" t="s">
        <v>9150</v>
      </c>
      <c r="T4410" t="s">
        <v>9478</v>
      </c>
      <c r="U4410" t="s">
        <v>9478</v>
      </c>
      <c r="V4410" t="s">
        <v>9478</v>
      </c>
      <c r="W4410">
        <v>16</v>
      </c>
      <c r="X4410" t="s">
        <v>13888</v>
      </c>
      <c r="Y4410">
        <v>0.81397872573523788</v>
      </c>
      <c r="Z4410" t="str">
        <f>HYPERLINK("Melting_Curves/meltCurve_tr_G3V4C1_G3V4C1_HUMAN_.pdf", "Melting_Curves/meltCurve_tr_G3V4C1_G3V4C1_HUMAN_.pdf")</f>
        <v>Melting_Curves/meltCurve_tr_G3V4C1_G3V4C1_HUMAN_.pdf</v>
      </c>
      <c r="AA4410" t="s">
        <v>18543</v>
      </c>
      <c r="AB4410" t="s">
        <v>23225</v>
      </c>
    </row>
    <row r="4411" spans="1:28" x14ac:dyDescent="0.25">
      <c r="A4411" t="s">
        <v>4415</v>
      </c>
      <c r="B4411">
        <v>0.99904790336628502</v>
      </c>
      <c r="C4411">
        <v>1.18400739055934</v>
      </c>
      <c r="D4411">
        <v>0.99740696191407896</v>
      </c>
      <c r="E4411">
        <v>0.97245472738984495</v>
      </c>
      <c r="F4411">
        <v>0.94689073438008997</v>
      </c>
      <c r="G4411">
        <v>0.618963604531379</v>
      </c>
      <c r="H4411">
        <v>0.59693740331910805</v>
      </c>
      <c r="I4411">
        <v>0.58067678092389696</v>
      </c>
      <c r="J4411">
        <v>0.49940085683097402</v>
      </c>
      <c r="K4411">
        <v>0.59107672285112001</v>
      </c>
      <c r="L4411">
        <v>2855.36209812062</v>
      </c>
      <c r="M4411">
        <v>51.979742082900003</v>
      </c>
      <c r="O4411">
        <v>54.851086640991099</v>
      </c>
      <c r="P4411">
        <v>-0.10292863800813901</v>
      </c>
      <c r="Q4411">
        <v>0.565542788219765</v>
      </c>
      <c r="R4411">
        <v>0.92387941866092205</v>
      </c>
      <c r="S4411" t="s">
        <v>9151</v>
      </c>
      <c r="T4411" t="s">
        <v>9478</v>
      </c>
      <c r="U4411" t="s">
        <v>9478</v>
      </c>
      <c r="V4411" t="s">
        <v>9478</v>
      </c>
      <c r="W4411">
        <v>4</v>
      </c>
      <c r="X4411" t="s">
        <v>13889</v>
      </c>
      <c r="Y4411">
        <v>0.78276295469643042</v>
      </c>
      <c r="Z4411" t="str">
        <f>HYPERLINK("Melting_Curves/meltCurve_tr_G3V4J7_G3V4J7_HUMAN_.pdf", "Melting_Curves/meltCurve_tr_G3V4J7_G3V4J7_HUMAN_.pdf")</f>
        <v>Melting_Curves/meltCurve_tr_G3V4J7_G3V4J7_HUMAN_.pdf</v>
      </c>
      <c r="AA4411" t="s">
        <v>18544</v>
      </c>
      <c r="AB4411" t="s">
        <v>23226</v>
      </c>
    </row>
    <row r="4412" spans="1:28" x14ac:dyDescent="0.25">
      <c r="A4412" t="s">
        <v>4416</v>
      </c>
      <c r="B4412">
        <v>0.99904790336628502</v>
      </c>
      <c r="C4412">
        <v>0.91788020176208895</v>
      </c>
      <c r="D4412">
        <v>0.87684934928742697</v>
      </c>
      <c r="E4412">
        <v>0.88247319609160702</v>
      </c>
      <c r="F4412">
        <v>1.04234469071618</v>
      </c>
      <c r="G4412">
        <v>0.84086314902905401</v>
      </c>
      <c r="H4412">
        <v>0.75297797960192503</v>
      </c>
      <c r="I4412">
        <v>0.75060561824476602</v>
      </c>
      <c r="J4412">
        <v>0.77420740712447</v>
      </c>
      <c r="K4412">
        <v>0.86024309990926096</v>
      </c>
      <c r="L4412">
        <v>298.76553120620599</v>
      </c>
      <c r="M4412">
        <v>5.2605079794225302</v>
      </c>
      <c r="O4412">
        <v>50.138201875352301</v>
      </c>
      <c r="P4412">
        <v>-7.81172286534337E-3</v>
      </c>
      <c r="Q4412">
        <v>0.70370824999984605</v>
      </c>
      <c r="R4412">
        <v>0.45570429479400199</v>
      </c>
      <c r="S4412" t="s">
        <v>9152</v>
      </c>
      <c r="T4412" t="s">
        <v>9478</v>
      </c>
      <c r="U4412" t="s">
        <v>9478</v>
      </c>
      <c r="V4412" t="s">
        <v>9478</v>
      </c>
      <c r="W4412">
        <v>1</v>
      </c>
      <c r="X4412" t="s">
        <v>13890</v>
      </c>
      <c r="Y4412">
        <v>0.86996904680077836</v>
      </c>
      <c r="Z4412" t="str">
        <f>HYPERLINK("Melting_Curves/meltCurve_tr_G3V4S8_G3V4S8_HUMAN_.pdf", "Melting_Curves/meltCurve_tr_G3V4S8_G3V4S8_HUMAN_.pdf")</f>
        <v>Melting_Curves/meltCurve_tr_G3V4S8_G3V4S8_HUMAN_.pdf</v>
      </c>
      <c r="AA4412" t="s">
        <v>18545</v>
      </c>
      <c r="AB4412" t="s">
        <v>23227</v>
      </c>
    </row>
    <row r="4413" spans="1:28" x14ac:dyDescent="0.25">
      <c r="A4413" t="s">
        <v>4417</v>
      </c>
      <c r="B4413">
        <v>0.99904790336628502</v>
      </c>
      <c r="C4413">
        <v>0.99005222387593195</v>
      </c>
      <c r="D4413">
        <v>0.96498414203378502</v>
      </c>
      <c r="E4413">
        <v>0.86645502143974695</v>
      </c>
      <c r="F4413">
        <v>0.65164737280491603</v>
      </c>
      <c r="G4413">
        <v>0.31548787962969499</v>
      </c>
      <c r="H4413">
        <v>0.15655708043005701</v>
      </c>
      <c r="I4413">
        <v>0.102891520904412</v>
      </c>
      <c r="J4413">
        <v>8.8312701356872095E-2</v>
      </c>
      <c r="K4413">
        <v>8.6479891080070898E-2</v>
      </c>
      <c r="L4413">
        <v>1139.5883951819701</v>
      </c>
      <c r="M4413">
        <v>21.011568396838499</v>
      </c>
      <c r="N4413">
        <v>54.643801771082501</v>
      </c>
      <c r="O4413">
        <v>53.752143010244303</v>
      </c>
      <c r="P4413">
        <v>-9.06392633603951E-2</v>
      </c>
      <c r="Q4413">
        <v>7.25255366773047E-2</v>
      </c>
      <c r="R4413">
        <v>0.99977980601384298</v>
      </c>
      <c r="S4413" t="s">
        <v>9153</v>
      </c>
      <c r="T4413" t="s">
        <v>9478</v>
      </c>
      <c r="U4413" t="s">
        <v>9478</v>
      </c>
      <c r="V4413" t="s">
        <v>9478</v>
      </c>
      <c r="W4413">
        <v>16</v>
      </c>
      <c r="X4413" t="s">
        <v>13891</v>
      </c>
      <c r="Y4413">
        <v>0.52424543119173861</v>
      </c>
      <c r="Z4413" t="str">
        <f>HYPERLINK("Melting_Curves/meltCurve_tr_G3V4W0_G3V4W0_HUMAN_.pdf", "Melting_Curves/meltCurve_tr_G3V4W0_G3V4W0_HUMAN_.pdf")</f>
        <v>Melting_Curves/meltCurve_tr_G3V4W0_G3V4W0_HUMAN_.pdf</v>
      </c>
      <c r="AA4413" t="s">
        <v>18543</v>
      </c>
      <c r="AB4413" t="s">
        <v>23228</v>
      </c>
    </row>
    <row r="4414" spans="1:28" x14ac:dyDescent="0.25">
      <c r="A4414" t="s">
        <v>4418</v>
      </c>
      <c r="B4414">
        <v>0.99904790336628502</v>
      </c>
      <c r="C4414">
        <v>0.91853007797509201</v>
      </c>
      <c r="D4414">
        <v>0.87762269470066501</v>
      </c>
      <c r="E4414">
        <v>0.76228234509471504</v>
      </c>
      <c r="F4414">
        <v>0.71692570390769605</v>
      </c>
      <c r="G4414">
        <v>0.52121880485776795</v>
      </c>
      <c r="H4414">
        <v>0.48362438126544899</v>
      </c>
      <c r="I4414">
        <v>0.38372810551350101</v>
      </c>
      <c r="J4414">
        <v>0.39654449068785202</v>
      </c>
      <c r="K4414">
        <v>0.38358847688437703</v>
      </c>
      <c r="L4414">
        <v>526.98515228280098</v>
      </c>
      <c r="M4414">
        <v>9.8280654906878198</v>
      </c>
      <c r="N4414">
        <v>59.244165521591299</v>
      </c>
      <c r="O4414">
        <v>51.541942946038702</v>
      </c>
      <c r="P4414">
        <v>-3.3229138410981102E-2</v>
      </c>
      <c r="Q4414">
        <v>0.30329941384877002</v>
      </c>
      <c r="R4414">
        <v>0.98744871274473101</v>
      </c>
      <c r="S4414" t="s">
        <v>9154</v>
      </c>
      <c r="T4414" t="s">
        <v>9478</v>
      </c>
      <c r="U4414" t="s">
        <v>9478</v>
      </c>
      <c r="V4414" t="s">
        <v>9478</v>
      </c>
      <c r="W4414">
        <v>2</v>
      </c>
      <c r="X4414" t="s">
        <v>13892</v>
      </c>
      <c r="Y4414">
        <v>0.64203397372459825</v>
      </c>
      <c r="Z4414" t="str">
        <f>HYPERLINK("Melting_Curves/meltCurve_tr_G3V500_G3V500_HUMAN_.pdf", "Melting_Curves/meltCurve_tr_G3V500_G3V500_HUMAN_.pdf")</f>
        <v>Melting_Curves/meltCurve_tr_G3V500_G3V500_HUMAN_.pdf</v>
      </c>
      <c r="AA4414" t="s">
        <v>18546</v>
      </c>
      <c r="AB4414" t="s">
        <v>23229</v>
      </c>
    </row>
    <row r="4415" spans="1:28" x14ac:dyDescent="0.25">
      <c r="A4415" t="s">
        <v>4419</v>
      </c>
      <c r="B4415">
        <v>0.99904790336628502</v>
      </c>
      <c r="C4415">
        <v>0.892639825828209</v>
      </c>
      <c r="D4415">
        <v>0.78928587598784405</v>
      </c>
      <c r="E4415">
        <v>0.88566619614032704</v>
      </c>
      <c r="F4415">
        <v>0.99795278187127101</v>
      </c>
      <c r="G4415">
        <v>0.79434927180699599</v>
      </c>
      <c r="H4415">
        <v>0.83530716532481697</v>
      </c>
      <c r="I4415">
        <v>0.83569229504383502</v>
      </c>
      <c r="J4415">
        <v>0.99409172865760098</v>
      </c>
      <c r="K4415">
        <v>1.0787628408074801</v>
      </c>
      <c r="L4415">
        <v>10185.5073988969</v>
      </c>
      <c r="M4415">
        <v>250</v>
      </c>
      <c r="O4415">
        <v>40.739420632181201</v>
      </c>
      <c r="P4415">
        <v>-0.15277522414713601</v>
      </c>
      <c r="Q4415">
        <v>0.90041640995212902</v>
      </c>
      <c r="R4415">
        <v>9.6045897552811496E-2</v>
      </c>
      <c r="S4415" t="s">
        <v>9155</v>
      </c>
      <c r="T4415" t="s">
        <v>9478</v>
      </c>
      <c r="U4415" t="s">
        <v>9478</v>
      </c>
      <c r="V4415" t="s">
        <v>9478</v>
      </c>
      <c r="W4415">
        <v>1</v>
      </c>
      <c r="X4415" t="s">
        <v>13893</v>
      </c>
      <c r="Y4415">
        <v>0.90289164692077384</v>
      </c>
      <c r="Z4415" t="str">
        <f>HYPERLINK("Melting_Curves/meltCurve_tr_G3V529_G3V529_HUMAN_.pdf", "Melting_Curves/meltCurve_tr_G3V529_G3V529_HUMAN_.pdf")</f>
        <v>Melting_Curves/meltCurve_tr_G3V529_G3V529_HUMAN_.pdf</v>
      </c>
      <c r="AA4415" t="s">
        <v>18547</v>
      </c>
      <c r="AB4415" t="s">
        <v>23230</v>
      </c>
    </row>
    <row r="4416" spans="1:28" x14ac:dyDescent="0.25">
      <c r="A4416" t="s">
        <v>4420</v>
      </c>
      <c r="B4416">
        <v>0.99904790336628502</v>
      </c>
      <c r="C4416">
        <v>0.99803501321293797</v>
      </c>
      <c r="D4416">
        <v>0.91677607706460895</v>
      </c>
      <c r="E4416">
        <v>0.79902778120828999</v>
      </c>
      <c r="F4416">
        <v>0.69417500257073605</v>
      </c>
      <c r="G4416">
        <v>0.45098152911869799</v>
      </c>
      <c r="H4416">
        <v>0.33469068307116501</v>
      </c>
      <c r="I4416">
        <v>0.31262037206182403</v>
      </c>
      <c r="J4416">
        <v>0.316920124911509</v>
      </c>
      <c r="K4416">
        <v>0.28619960029096198</v>
      </c>
      <c r="L4416">
        <v>838.79278714070006</v>
      </c>
      <c r="M4416">
        <v>15.6981782080654</v>
      </c>
      <c r="N4416">
        <v>56.1495424293892</v>
      </c>
      <c r="O4416">
        <v>52.587952344883497</v>
      </c>
      <c r="P4416">
        <v>-5.4775787608172297E-2</v>
      </c>
      <c r="Q4416">
        <v>0.26607966482038398</v>
      </c>
      <c r="R4416">
        <v>0.99520849794128197</v>
      </c>
      <c r="S4416" t="s">
        <v>9156</v>
      </c>
      <c r="T4416" t="s">
        <v>9478</v>
      </c>
      <c r="U4416" t="s">
        <v>9478</v>
      </c>
      <c r="V4416" t="s">
        <v>9478</v>
      </c>
      <c r="W4416">
        <v>12</v>
      </c>
      <c r="X4416" t="s">
        <v>13894</v>
      </c>
      <c r="Y4416">
        <v>0.60925741444906656</v>
      </c>
      <c r="Z4416" t="str">
        <f>HYPERLINK("Melting_Curves/meltCurve_tr_G3V599_G3V599_HUMAN_.pdf", "Melting_Curves/meltCurve_tr_G3V599_G3V599_HUMAN_.pdf")</f>
        <v>Melting_Curves/meltCurve_tr_G3V599_G3V599_HUMAN_.pdf</v>
      </c>
      <c r="AA4416" t="s">
        <v>18548</v>
      </c>
      <c r="AB4416" t="s">
        <v>23231</v>
      </c>
    </row>
    <row r="4417" spans="1:28" x14ac:dyDescent="0.25">
      <c r="A4417" t="s">
        <v>4421</v>
      </c>
      <c r="B4417">
        <v>0.99904790336628502</v>
      </c>
      <c r="C4417">
        <v>1.0314976558372699</v>
      </c>
      <c r="D4417">
        <v>1.0060843869729399</v>
      </c>
      <c r="E4417">
        <v>0.94908690679986696</v>
      </c>
      <c r="F4417">
        <v>0.80875319813835</v>
      </c>
      <c r="G4417">
        <v>0.35879266395765602</v>
      </c>
      <c r="H4417">
        <v>0.20709602493029999</v>
      </c>
      <c r="I4417">
        <v>0.141864788488022</v>
      </c>
      <c r="J4417">
        <v>0.106668076482533</v>
      </c>
      <c r="K4417">
        <v>7.5527903960339995E-2</v>
      </c>
      <c r="L4417">
        <v>1509.4572863619601</v>
      </c>
      <c r="M4417">
        <v>27.273765191614299</v>
      </c>
      <c r="N4417">
        <v>55.821767123506497</v>
      </c>
      <c r="O4417">
        <v>55.049692253887997</v>
      </c>
      <c r="P4417">
        <v>-0.110983670759537</v>
      </c>
      <c r="Q4417">
        <v>0.10396547823837</v>
      </c>
      <c r="R4417">
        <v>0.99714340212224395</v>
      </c>
      <c r="S4417" t="s">
        <v>9157</v>
      </c>
      <c r="T4417" t="s">
        <v>9478</v>
      </c>
      <c r="U4417" t="s">
        <v>9478</v>
      </c>
      <c r="V4417" t="s">
        <v>9478</v>
      </c>
      <c r="W4417">
        <v>5</v>
      </c>
      <c r="X4417" t="s">
        <v>13895</v>
      </c>
      <c r="Y4417">
        <v>0.56937515826718688</v>
      </c>
      <c r="Z4417" t="str">
        <f>HYPERLINK("Melting_Curves/meltCurve_tr_G3V5E1_G3V5E1_HUMAN_.pdf", "Melting_Curves/meltCurve_tr_G3V5E1_G3V5E1_HUMAN_.pdf")</f>
        <v>Melting_Curves/meltCurve_tr_G3V5E1_G3V5E1_HUMAN_.pdf</v>
      </c>
      <c r="AA4417" t="s">
        <v>18549</v>
      </c>
      <c r="AB4417" t="s">
        <v>23232</v>
      </c>
    </row>
    <row r="4418" spans="1:28" x14ac:dyDescent="0.25">
      <c r="A4418" t="s">
        <v>4422</v>
      </c>
      <c r="B4418">
        <v>0.99904790336628502</v>
      </c>
      <c r="C4418">
        <v>0.96868489655448498</v>
      </c>
      <c r="D4418">
        <v>0.94646802508854799</v>
      </c>
      <c r="E4418">
        <v>0.82729233557593596</v>
      </c>
      <c r="F4418">
        <v>0.48438717346969001</v>
      </c>
      <c r="G4418">
        <v>0.150467333411031</v>
      </c>
      <c r="H4418">
        <v>7.6723546813802307E-2</v>
      </c>
      <c r="I4418">
        <v>4.9364529654410599E-2</v>
      </c>
      <c r="J4418">
        <v>3.56127849791689E-2</v>
      </c>
      <c r="K4418">
        <v>2.6249545437221598E-2</v>
      </c>
      <c r="L4418">
        <v>1368.01386132281</v>
      </c>
      <c r="M4418">
        <v>25.929796634376402</v>
      </c>
      <c r="N4418">
        <v>52.903943116762498</v>
      </c>
      <c r="O4418">
        <v>52.447568707547397</v>
      </c>
      <c r="P4418">
        <v>-0.11934435199952401</v>
      </c>
      <c r="Q4418">
        <v>3.44314147508262E-2</v>
      </c>
      <c r="R4418">
        <v>0.99854992873561899</v>
      </c>
      <c r="S4418" t="s">
        <v>9158</v>
      </c>
      <c r="T4418" t="s">
        <v>9478</v>
      </c>
      <c r="U4418" t="s">
        <v>9478</v>
      </c>
      <c r="V4418" t="s">
        <v>9478</v>
      </c>
      <c r="W4418">
        <v>12</v>
      </c>
      <c r="X4418" t="s">
        <v>13896</v>
      </c>
      <c r="Y4418">
        <v>0.45334709888804148</v>
      </c>
      <c r="Z4418" t="str">
        <f>HYPERLINK("Melting_Curves/meltCurve_tr_G3V5T0_G3V5T0_HUMAN_.pdf", "Melting_Curves/meltCurve_tr_G3V5T0_G3V5T0_HUMAN_.pdf")</f>
        <v>Melting_Curves/meltCurve_tr_G3V5T0_G3V5T0_HUMAN_.pdf</v>
      </c>
      <c r="AA4418" t="s">
        <v>18550</v>
      </c>
      <c r="AB4418" t="s">
        <v>23233</v>
      </c>
    </row>
    <row r="4419" spans="1:28" x14ac:dyDescent="0.25">
      <c r="A4419" t="s">
        <v>4423</v>
      </c>
      <c r="B4419">
        <v>0.99904790336628502</v>
      </c>
      <c r="C4419">
        <v>0.97801609473237405</v>
      </c>
      <c r="D4419">
        <v>0.95874581867831299</v>
      </c>
      <c r="E4419">
        <v>0.74210827093544396</v>
      </c>
      <c r="F4419">
        <v>0.46561358026142102</v>
      </c>
      <c r="G4419">
        <v>0.24510418241871801</v>
      </c>
      <c r="H4419">
        <v>0.16132385553501899</v>
      </c>
      <c r="I4419">
        <v>0.12207787043587399</v>
      </c>
      <c r="J4419">
        <v>8.4471389066409594E-2</v>
      </c>
      <c r="K4419">
        <v>6.7284697533107202E-2</v>
      </c>
      <c r="L4419">
        <v>1012.81426328475</v>
      </c>
      <c r="M4419">
        <v>19.355667496092298</v>
      </c>
      <c r="N4419">
        <v>52.8192534722929</v>
      </c>
      <c r="O4419">
        <v>51.777532141978199</v>
      </c>
      <c r="P4419">
        <v>-8.5739295442593594E-2</v>
      </c>
      <c r="Q4419">
        <v>8.2603236889949694E-2</v>
      </c>
      <c r="R4419">
        <v>0.99841047577408504</v>
      </c>
      <c r="S4419" t="s">
        <v>9159</v>
      </c>
      <c r="T4419" t="s">
        <v>9478</v>
      </c>
      <c r="U4419" t="s">
        <v>9478</v>
      </c>
      <c r="V4419" t="s">
        <v>9478</v>
      </c>
      <c r="W4419">
        <v>2</v>
      </c>
      <c r="X4419" t="s">
        <v>13897</v>
      </c>
      <c r="Y4419">
        <v>0.47297053332505401</v>
      </c>
      <c r="Z4419" t="str">
        <f>HYPERLINK("Melting_Curves/meltCurve_tr_G3V5V3_G3V5V3_HUMAN_.pdf", "Melting_Curves/meltCurve_tr_G3V5V3_G3V5V3_HUMAN_.pdf")</f>
        <v>Melting_Curves/meltCurve_tr_G3V5V3_G3V5V3_HUMAN_.pdf</v>
      </c>
      <c r="AA4419" t="s">
        <v>18551</v>
      </c>
      <c r="AB4419" t="s">
        <v>23234</v>
      </c>
    </row>
    <row r="4420" spans="1:28" x14ac:dyDescent="0.25">
      <c r="A4420" t="s">
        <v>4424</v>
      </c>
      <c r="B4420">
        <v>0.99904790336628502</v>
      </c>
      <c r="C4420">
        <v>0.79529094115759202</v>
      </c>
      <c r="D4420">
        <v>0.914756829883273</v>
      </c>
      <c r="E4420">
        <v>0.94211302128918095</v>
      </c>
      <c r="F4420">
        <v>0.87093289557187903</v>
      </c>
      <c r="G4420">
        <v>0.68997648060410399</v>
      </c>
      <c r="H4420">
        <v>0.52830314373479703</v>
      </c>
      <c r="I4420">
        <v>0.41475157530614898</v>
      </c>
      <c r="J4420">
        <v>0.34675960015744201</v>
      </c>
      <c r="K4420">
        <v>0.24502246395392299</v>
      </c>
      <c r="L4420">
        <v>575.78122921434897</v>
      </c>
      <c r="M4420">
        <v>9.28966546550717</v>
      </c>
      <c r="N4420">
        <v>61.980821263140903</v>
      </c>
      <c r="O4420">
        <v>59.311851598917599</v>
      </c>
      <c r="P4420">
        <v>-3.9181243270016097E-2</v>
      </c>
      <c r="Q4420">
        <v>0</v>
      </c>
      <c r="R4420">
        <v>0.93738260074119995</v>
      </c>
      <c r="S4420" t="s">
        <v>9160</v>
      </c>
      <c r="T4420" t="s">
        <v>9478</v>
      </c>
      <c r="U4420" t="s">
        <v>9478</v>
      </c>
      <c r="V4420" t="s">
        <v>9478</v>
      </c>
      <c r="W4420">
        <v>13</v>
      </c>
      <c r="X4420" t="s">
        <v>13898</v>
      </c>
      <c r="Y4420">
        <v>0.70695262201664266</v>
      </c>
      <c r="Z4420" t="str">
        <f>HYPERLINK("Melting_Curves/meltCurve_tr_G3XA91_G3XA91_HUMAN_.pdf", "Melting_Curves/meltCurve_tr_G3XA91_G3XA91_HUMAN_.pdf")</f>
        <v>Melting_Curves/meltCurve_tr_G3XA91_G3XA91_HUMAN_.pdf</v>
      </c>
      <c r="AA4420" t="s">
        <v>15515</v>
      </c>
      <c r="AB4420" t="s">
        <v>23235</v>
      </c>
    </row>
    <row r="4421" spans="1:28" x14ac:dyDescent="0.25">
      <c r="A4421" t="s">
        <v>4425</v>
      </c>
      <c r="B4421">
        <v>0.99904790336628502</v>
      </c>
      <c r="C4421">
        <v>0.84689669520227995</v>
      </c>
      <c r="D4421">
        <v>0.82459902234754801</v>
      </c>
      <c r="E4421">
        <v>0.84431144018820803</v>
      </c>
      <c r="F4421">
        <v>0.73905729271563203</v>
      </c>
      <c r="G4421">
        <v>0.60701728290580304</v>
      </c>
      <c r="H4421">
        <v>0.51765587207959096</v>
      </c>
      <c r="I4421">
        <v>0.48645493484308699</v>
      </c>
      <c r="J4421">
        <v>0.47094694413113197</v>
      </c>
      <c r="K4421">
        <v>0.49584117497899499</v>
      </c>
      <c r="L4421">
        <v>388.09798351652699</v>
      </c>
      <c r="M4421">
        <v>7.08739997954941</v>
      </c>
      <c r="N4421">
        <v>65.028603040263704</v>
      </c>
      <c r="O4421">
        <v>50.900959498167801</v>
      </c>
      <c r="P4421">
        <v>-2.3128694854233401E-2</v>
      </c>
      <c r="Q4421">
        <v>0.33674381456036601</v>
      </c>
      <c r="R4421">
        <v>0.94445217871144205</v>
      </c>
      <c r="S4421" t="s">
        <v>9161</v>
      </c>
      <c r="T4421" t="s">
        <v>9478</v>
      </c>
      <c r="U4421" t="s">
        <v>9478</v>
      </c>
      <c r="V4421" t="s">
        <v>9478</v>
      </c>
      <c r="W4421">
        <v>4</v>
      </c>
      <c r="X4421" t="s">
        <v>13899</v>
      </c>
      <c r="Y4421">
        <v>0.68238115809956135</v>
      </c>
      <c r="Z4421" t="str">
        <f>HYPERLINK("Melting_Curves/meltCurve_tr_G3XAA0_G3XAA0_HUMAN_.pdf", "Melting_Curves/meltCurve_tr_G3XAA0_G3XAA0_HUMAN_.pdf")</f>
        <v>Melting_Curves/meltCurve_tr_G3XAA0_G3XAA0_HUMAN_.pdf</v>
      </c>
      <c r="AA4421" t="s">
        <v>18552</v>
      </c>
      <c r="AB4421" t="s">
        <v>23236</v>
      </c>
    </row>
    <row r="4422" spans="1:28" x14ac:dyDescent="0.25">
      <c r="A4422" t="s">
        <v>4426</v>
      </c>
      <c r="B4422">
        <v>0.99904790336628502</v>
      </c>
      <c r="C4422">
        <v>0.87754580355781198</v>
      </c>
      <c r="D4422">
        <v>0.774828707930451</v>
      </c>
      <c r="E4422">
        <v>0.92918996267576903</v>
      </c>
      <c r="F4422">
        <v>0.905285427502874</v>
      </c>
      <c r="G4422">
        <v>0.79274680233595596</v>
      </c>
      <c r="H4422">
        <v>0.74364102013014899</v>
      </c>
      <c r="I4422">
        <v>0.67868134824487003</v>
      </c>
      <c r="J4422">
        <v>0.78617228833856601</v>
      </c>
      <c r="K4422">
        <v>1.00366793594278</v>
      </c>
      <c r="L4422">
        <v>10687.228739444599</v>
      </c>
      <c r="M4422">
        <v>250</v>
      </c>
      <c r="O4422">
        <v>42.746179357405097</v>
      </c>
      <c r="P4422">
        <v>-0.25327309400636899</v>
      </c>
      <c r="Q4422">
        <v>0.82677668674721005</v>
      </c>
      <c r="R4422">
        <v>0.24896226798763699</v>
      </c>
      <c r="S4422" t="s">
        <v>9162</v>
      </c>
      <c r="T4422" t="s">
        <v>9478</v>
      </c>
      <c r="U4422" t="s">
        <v>9478</v>
      </c>
      <c r="V4422" t="s">
        <v>9478</v>
      </c>
      <c r="W4422">
        <v>1</v>
      </c>
      <c r="X4422" t="s">
        <v>13900</v>
      </c>
      <c r="Y4422">
        <v>0.84266222118857403</v>
      </c>
      <c r="Z4422" t="str">
        <f>HYPERLINK("Melting_Curves/meltCurve_tr_G3XAJ6_G3XAJ6_HUMAN_.pdf", "Melting_Curves/meltCurve_tr_G3XAJ6_G3XAJ6_HUMAN_.pdf")</f>
        <v>Melting_Curves/meltCurve_tr_G3XAJ6_G3XAJ6_HUMAN_.pdf</v>
      </c>
      <c r="AA4422" t="s">
        <v>18553</v>
      </c>
      <c r="AB4422" t="s">
        <v>23237</v>
      </c>
    </row>
    <row r="4423" spans="1:28" x14ac:dyDescent="0.25">
      <c r="A4423" t="s">
        <v>4427</v>
      </c>
      <c r="B4423">
        <v>0.99904790336628502</v>
      </c>
      <c r="C4423">
        <v>1.0796596954622399</v>
      </c>
      <c r="D4423">
        <v>0.86661104323605798</v>
      </c>
      <c r="E4423">
        <v>0.71008173684638698</v>
      </c>
      <c r="F4423">
        <v>0.64980626627608495</v>
      </c>
      <c r="G4423">
        <v>0.374735008023456</v>
      </c>
      <c r="H4423">
        <v>0.2720206342973</v>
      </c>
      <c r="I4423">
        <v>0.138836501260623</v>
      </c>
      <c r="J4423">
        <v>0.15181141619237901</v>
      </c>
      <c r="K4423">
        <v>0.117849537615623</v>
      </c>
      <c r="L4423">
        <v>684.00547416168399</v>
      </c>
      <c r="M4423">
        <v>12.6107128061363</v>
      </c>
      <c r="N4423">
        <v>54.799154000315298</v>
      </c>
      <c r="O4423">
        <v>52.9303274945878</v>
      </c>
      <c r="P4423">
        <v>-5.5978269130099102E-2</v>
      </c>
      <c r="Q4423">
        <v>6.0367460827377997E-2</v>
      </c>
      <c r="R4423">
        <v>0.98181802824943698</v>
      </c>
      <c r="S4423" t="s">
        <v>9163</v>
      </c>
      <c r="T4423" t="s">
        <v>9478</v>
      </c>
      <c r="U4423" t="s">
        <v>9478</v>
      </c>
      <c r="V4423" t="s">
        <v>9478</v>
      </c>
      <c r="W4423">
        <v>1</v>
      </c>
      <c r="X4423" t="s">
        <v>13901</v>
      </c>
      <c r="Y4423">
        <v>0.52929380907239743</v>
      </c>
      <c r="Z4423" t="str">
        <f>HYPERLINK("Melting_Curves/meltCurve_tr_G3XAK4_G3XAK4_HUMAN_.pdf", "Melting_Curves/meltCurve_tr_G3XAK4_G3XAK4_HUMAN_.pdf")</f>
        <v>Melting_Curves/meltCurve_tr_G3XAK4_G3XAK4_HUMAN_.pdf</v>
      </c>
      <c r="AA4423" t="s">
        <v>18554</v>
      </c>
      <c r="AB4423" t="s">
        <v>23238</v>
      </c>
    </row>
    <row r="4424" spans="1:28" x14ac:dyDescent="0.25">
      <c r="A4424" t="s">
        <v>4428</v>
      </c>
      <c r="B4424">
        <v>0.99904790336628502</v>
      </c>
      <c r="C4424">
        <v>1.21159502229611</v>
      </c>
      <c r="D4424">
        <v>0.98993558064076803</v>
      </c>
      <c r="E4424">
        <v>0.76021724064086904</v>
      </c>
      <c r="F4424">
        <v>0.80677338422677303</v>
      </c>
      <c r="G4424">
        <v>0.67970716624648997</v>
      </c>
      <c r="H4424">
        <v>0.55324492900537103</v>
      </c>
      <c r="I4424">
        <v>0.51569512899529601</v>
      </c>
      <c r="J4424">
        <v>0.51213860167167602</v>
      </c>
      <c r="K4424">
        <v>0.61373296751048501</v>
      </c>
      <c r="L4424">
        <v>908.62024549784405</v>
      </c>
      <c r="M4424">
        <v>17.264926299921999</v>
      </c>
      <c r="O4424">
        <v>51.937272694638501</v>
      </c>
      <c r="P4424">
        <v>-3.8263010002226198E-2</v>
      </c>
      <c r="Q4424">
        <v>0.539607528716193</v>
      </c>
      <c r="R4424">
        <v>0.85417086852773105</v>
      </c>
      <c r="S4424" t="s">
        <v>9164</v>
      </c>
      <c r="T4424" t="s">
        <v>9478</v>
      </c>
      <c r="U4424" t="s">
        <v>9478</v>
      </c>
      <c r="V4424" t="s">
        <v>9478</v>
      </c>
      <c r="W4424">
        <v>2</v>
      </c>
      <c r="X4424" t="s">
        <v>13902</v>
      </c>
      <c r="Y4424">
        <v>0.74152259399602516</v>
      </c>
      <c r="Z4424" t="str">
        <f>HYPERLINK("Melting_Curves/meltCurve_tr_G3XAL9_G3XAL9_HUMAN_.pdf", "Melting_Curves/meltCurve_tr_G3XAL9_G3XAL9_HUMAN_.pdf")</f>
        <v>Melting_Curves/meltCurve_tr_G3XAL9_G3XAL9_HUMAN_.pdf</v>
      </c>
      <c r="AA4424" t="s">
        <v>18555</v>
      </c>
      <c r="AB4424" t="s">
        <v>23239</v>
      </c>
    </row>
    <row r="4425" spans="1:28" x14ac:dyDescent="0.25">
      <c r="A4425" t="s">
        <v>4429</v>
      </c>
      <c r="B4425">
        <v>0.99904790336628502</v>
      </c>
      <c r="C4425">
        <v>0.93990787660515596</v>
      </c>
      <c r="D4425">
        <v>0.92476553456835697</v>
      </c>
      <c r="E4425">
        <v>0.86508869811896405</v>
      </c>
      <c r="F4425">
        <v>0.72437732798243404</v>
      </c>
      <c r="G4425">
        <v>0.58240300051531602</v>
      </c>
      <c r="H4425">
        <v>0.47307390650221298</v>
      </c>
      <c r="I4425">
        <v>0.4644121576795</v>
      </c>
      <c r="J4425">
        <v>0.429283596886948</v>
      </c>
      <c r="K4425">
        <v>0.37315598379466802</v>
      </c>
      <c r="L4425">
        <v>647.36998963246401</v>
      </c>
      <c r="M4425">
        <v>11.8659621201809</v>
      </c>
      <c r="N4425">
        <v>60.591171562341799</v>
      </c>
      <c r="O4425">
        <v>53.076592513971697</v>
      </c>
      <c r="P4425">
        <v>-3.6526725058381997E-2</v>
      </c>
      <c r="Q4425">
        <v>0.34662657843903999</v>
      </c>
      <c r="R4425">
        <v>0.99255346993967697</v>
      </c>
      <c r="S4425" t="s">
        <v>9165</v>
      </c>
      <c r="T4425" t="s">
        <v>9478</v>
      </c>
      <c r="U4425" t="s">
        <v>9478</v>
      </c>
      <c r="V4425" t="s">
        <v>9478</v>
      </c>
      <c r="W4425">
        <v>12</v>
      </c>
      <c r="X4425" t="s">
        <v>13903</v>
      </c>
      <c r="Y4425">
        <v>0.67992993431705739</v>
      </c>
      <c r="Z4425" t="str">
        <f>HYPERLINK("Melting_Curves/meltCurve_tr_G3XAM2_G3XAM2_HUMAN_.pdf", "Melting_Curves/meltCurve_tr_G3XAM2_G3XAM2_HUMAN_.pdf")</f>
        <v>Melting_Curves/meltCurve_tr_G3XAM2_G3XAM2_HUMAN_.pdf</v>
      </c>
      <c r="AA4425" t="s">
        <v>18556</v>
      </c>
      <c r="AB4425" t="s">
        <v>23240</v>
      </c>
    </row>
    <row r="4426" spans="1:28" x14ac:dyDescent="0.25">
      <c r="A4426" t="s">
        <v>4430</v>
      </c>
      <c r="B4426">
        <v>0.99904790336628502</v>
      </c>
      <c r="C4426">
        <v>1.06232059022711</v>
      </c>
      <c r="D4426">
        <v>1.06019978928184</v>
      </c>
      <c r="E4426">
        <v>1.04163424561113</v>
      </c>
      <c r="F4426">
        <v>0.86874362754875301</v>
      </c>
      <c r="G4426">
        <v>0.57982813126592403</v>
      </c>
      <c r="H4426">
        <v>0.46681402449097797</v>
      </c>
      <c r="I4426">
        <v>0.43387241573345903</v>
      </c>
      <c r="J4426">
        <v>0.49074624198539202</v>
      </c>
      <c r="K4426">
        <v>0.48420663905119898</v>
      </c>
      <c r="L4426">
        <v>2094.6618185632701</v>
      </c>
      <c r="M4426">
        <v>38.218575340452198</v>
      </c>
      <c r="N4426">
        <v>59.034031438336598</v>
      </c>
      <c r="O4426">
        <v>54.658020345641397</v>
      </c>
      <c r="P4426">
        <v>-9.3068715128109297E-2</v>
      </c>
      <c r="Q4426">
        <v>0.46759511450736002</v>
      </c>
      <c r="R4426">
        <v>0.98114654612535801</v>
      </c>
      <c r="S4426" t="s">
        <v>9166</v>
      </c>
      <c r="T4426" t="s">
        <v>9478</v>
      </c>
      <c r="U4426" t="s">
        <v>9478</v>
      </c>
      <c r="V4426" t="s">
        <v>9478</v>
      </c>
      <c r="W4426">
        <v>5</v>
      </c>
      <c r="X4426" t="s">
        <v>13904</v>
      </c>
      <c r="Y4426">
        <v>0.73258080148271298</v>
      </c>
      <c r="Z4426" t="str">
        <f>HYPERLINK("Melting_Curves/meltCurve_tr_G3XAN8_G3XAN8_HUMAN_.pdf", "Melting_Curves/meltCurve_tr_G3XAN8_G3XAN8_HUMAN_.pdf")</f>
        <v>Melting_Curves/meltCurve_tr_G3XAN8_G3XAN8_HUMAN_.pdf</v>
      </c>
      <c r="AA4426" t="s">
        <v>18557</v>
      </c>
      <c r="AB4426" t="s">
        <v>23241</v>
      </c>
    </row>
    <row r="4427" spans="1:28" x14ac:dyDescent="0.25">
      <c r="A4427" t="s">
        <v>4431</v>
      </c>
      <c r="B4427">
        <v>0.99904790336628502</v>
      </c>
      <c r="C4427">
        <v>1.04252962981296</v>
      </c>
      <c r="D4427">
        <v>1.0498793583541799</v>
      </c>
      <c r="E4427">
        <v>0.52223639403615896</v>
      </c>
      <c r="F4427">
        <v>0.31100092111461902</v>
      </c>
      <c r="G4427">
        <v>0.205301314644177</v>
      </c>
      <c r="H4427">
        <v>0.12976820061868799</v>
      </c>
      <c r="I4427">
        <v>0.105530743233808</v>
      </c>
      <c r="J4427">
        <v>0.10699618701456599</v>
      </c>
      <c r="K4427">
        <v>6.8983614072349306E-2</v>
      </c>
      <c r="L4427">
        <v>1536.6775429197801</v>
      </c>
      <c r="M4427">
        <v>30.653052817670599</v>
      </c>
      <c r="N4427">
        <v>50.5919091867612</v>
      </c>
      <c r="O4427">
        <v>49.919385226526302</v>
      </c>
      <c r="P4427">
        <v>-0.134822104639364</v>
      </c>
      <c r="Q4427">
        <v>0.121758277636364</v>
      </c>
      <c r="R4427">
        <v>0.98384139554790895</v>
      </c>
      <c r="S4427" t="s">
        <v>9167</v>
      </c>
      <c r="T4427" t="s">
        <v>9478</v>
      </c>
      <c r="U4427" t="s">
        <v>9478</v>
      </c>
      <c r="V4427" t="s">
        <v>9478</v>
      </c>
      <c r="W4427">
        <v>5</v>
      </c>
      <c r="X4427" t="s">
        <v>13905</v>
      </c>
      <c r="Y4427">
        <v>0.42356126224907581</v>
      </c>
      <c r="Z4427" t="str">
        <f>HYPERLINK("Melting_Curves/meltCurve_tr_G5E9C8_G5E9C8_HUMAN_.pdf", "Melting_Curves/meltCurve_tr_G5E9C8_G5E9C8_HUMAN_.pdf")</f>
        <v>Melting_Curves/meltCurve_tr_G5E9C8_G5E9C8_HUMAN_.pdf</v>
      </c>
      <c r="AA4427" t="s">
        <v>18558</v>
      </c>
      <c r="AB4427" t="s">
        <v>23242</v>
      </c>
    </row>
    <row r="4428" spans="1:28" x14ac:dyDescent="0.25">
      <c r="A4428" t="s">
        <v>4432</v>
      </c>
      <c r="B4428">
        <v>0.99904790336628502</v>
      </c>
      <c r="C4428">
        <v>1.00490477031923</v>
      </c>
      <c r="D4428">
        <v>1.1170054831343601</v>
      </c>
      <c r="E4428">
        <v>0.89380107498324102</v>
      </c>
      <c r="F4428">
        <v>0.46271372457773202</v>
      </c>
      <c r="G4428">
        <v>0.22345520081706</v>
      </c>
      <c r="H4428">
        <v>0.12822944698580299</v>
      </c>
      <c r="I4428">
        <v>0.116382012317632</v>
      </c>
      <c r="J4428">
        <v>8.5887402247223604E-2</v>
      </c>
      <c r="K4428">
        <v>4.5877507003041898E-2</v>
      </c>
      <c r="L4428">
        <v>1821.7631117568801</v>
      </c>
      <c r="M4428">
        <v>34.6365511250061</v>
      </c>
      <c r="N4428">
        <v>52.948954218155201</v>
      </c>
      <c r="O4428">
        <v>52.4221514626906</v>
      </c>
      <c r="P4428">
        <v>-0.148178306933551</v>
      </c>
      <c r="Q4428">
        <v>0.102936419040993</v>
      </c>
      <c r="R4428">
        <v>0.98622330263173696</v>
      </c>
      <c r="S4428" t="s">
        <v>9168</v>
      </c>
      <c r="T4428" t="s">
        <v>9478</v>
      </c>
      <c r="U4428" t="s">
        <v>9478</v>
      </c>
      <c r="V4428" t="s">
        <v>9478</v>
      </c>
      <c r="W4428">
        <v>3</v>
      </c>
      <c r="X4428" t="s">
        <v>13906</v>
      </c>
      <c r="Y4428">
        <v>0.48394844307674501</v>
      </c>
      <c r="Z4428" t="str">
        <f>HYPERLINK("Melting_Curves/meltCurve_tr_G5E9N1_G5E9N1_HUMAN_.pdf", "Melting_Curves/meltCurve_tr_G5E9N1_G5E9N1_HUMAN_.pdf")</f>
        <v>Melting_Curves/meltCurve_tr_G5E9N1_G5E9N1_HUMAN_.pdf</v>
      </c>
      <c r="AA4428" t="s">
        <v>18559</v>
      </c>
      <c r="AB4428" t="s">
        <v>23243</v>
      </c>
    </row>
    <row r="4429" spans="1:28" x14ac:dyDescent="0.25">
      <c r="A4429" t="s">
        <v>4433</v>
      </c>
      <c r="B4429">
        <v>0.99904790336628502</v>
      </c>
      <c r="C4429">
        <v>1.0719492775805499</v>
      </c>
      <c r="D4429">
        <v>0.97694382129869906</v>
      </c>
      <c r="E4429">
        <v>0.84641531095017997</v>
      </c>
      <c r="F4429">
        <v>0.91799001005714298</v>
      </c>
      <c r="G4429">
        <v>0.56007334552420396</v>
      </c>
      <c r="H4429">
        <v>0.485760192078797</v>
      </c>
      <c r="I4429">
        <v>0.41389266263773999</v>
      </c>
      <c r="J4429">
        <v>0.43752672113887398</v>
      </c>
      <c r="K4429">
        <v>0.42814470517175701</v>
      </c>
      <c r="L4429">
        <v>1360.1215180301699</v>
      </c>
      <c r="M4429">
        <v>24.666126730825301</v>
      </c>
      <c r="N4429">
        <v>59.498448585685097</v>
      </c>
      <c r="O4429">
        <v>54.7826689945487</v>
      </c>
      <c r="P4429">
        <v>-6.5527172185039506E-2</v>
      </c>
      <c r="Q4429">
        <v>0.41787334394452302</v>
      </c>
      <c r="R4429">
        <v>0.96073956264770599</v>
      </c>
      <c r="S4429" t="s">
        <v>9169</v>
      </c>
      <c r="T4429" t="s">
        <v>9478</v>
      </c>
      <c r="U4429" t="s">
        <v>9478</v>
      </c>
      <c r="V4429" t="s">
        <v>9478</v>
      </c>
      <c r="W4429">
        <v>1</v>
      </c>
      <c r="X4429" t="s">
        <v>13907</v>
      </c>
      <c r="Y4429">
        <v>0.71718734975355081</v>
      </c>
      <c r="Z4429" t="str">
        <f>HYPERLINK("Melting_Curves/meltCurve_tr_G5E9U6_G5E9U6_HUMAN_.pdf", "Melting_Curves/meltCurve_tr_G5E9U6_G5E9U6_HUMAN_.pdf")</f>
        <v>Melting_Curves/meltCurve_tr_G5E9U6_G5E9U6_HUMAN_.pdf</v>
      </c>
      <c r="AA4429" t="s">
        <v>18560</v>
      </c>
      <c r="AB4429" t="s">
        <v>23244</v>
      </c>
    </row>
    <row r="4430" spans="1:28" x14ac:dyDescent="0.25">
      <c r="A4430" t="s">
        <v>4434</v>
      </c>
      <c r="B4430">
        <v>0.99904790336628502</v>
      </c>
      <c r="C4430">
        <v>0.96085555398530198</v>
      </c>
      <c r="D4430">
        <v>0.823236991671216</v>
      </c>
      <c r="E4430">
        <v>0.40396686586533298</v>
      </c>
      <c r="F4430">
        <v>0.25247265512217398</v>
      </c>
      <c r="G4430">
        <v>0.14607018042220299</v>
      </c>
      <c r="H4430">
        <v>0.100163947345683</v>
      </c>
      <c r="I4430">
        <v>7.6444920184106896E-2</v>
      </c>
      <c r="J4430">
        <v>2.4795994492385901E-2</v>
      </c>
      <c r="K4430">
        <v>3.8081452747675097E-2</v>
      </c>
      <c r="L4430">
        <v>977.79443137011901</v>
      </c>
      <c r="M4430">
        <v>19.930456380077899</v>
      </c>
      <c r="N4430">
        <v>49.3682008100985</v>
      </c>
      <c r="O4430">
        <v>48.574419912833598</v>
      </c>
      <c r="P4430">
        <v>-9.6585374419076803E-2</v>
      </c>
      <c r="Q4430">
        <v>5.8441389796509903E-2</v>
      </c>
      <c r="R4430">
        <v>0.99562389635289905</v>
      </c>
      <c r="S4430" t="s">
        <v>9170</v>
      </c>
      <c r="T4430" t="s">
        <v>9478</v>
      </c>
      <c r="U4430" t="s">
        <v>9478</v>
      </c>
      <c r="V4430" t="s">
        <v>9478</v>
      </c>
      <c r="W4430">
        <v>5</v>
      </c>
      <c r="X4430" t="s">
        <v>13908</v>
      </c>
      <c r="Y4430">
        <v>0.35607717842238679</v>
      </c>
      <c r="Z4430" t="str">
        <f>HYPERLINK("Melting_Curves/meltCurve_tr_G5E9W7_G5E9W7_HUMAN_.pdf", "Melting_Curves/meltCurve_tr_G5E9W7_G5E9W7_HUMAN_.pdf")</f>
        <v>Melting_Curves/meltCurve_tr_G5E9W7_G5E9W7_HUMAN_.pdf</v>
      </c>
      <c r="AA4430" t="s">
        <v>18561</v>
      </c>
      <c r="AB4430" t="s">
        <v>23245</v>
      </c>
    </row>
    <row r="4431" spans="1:28" x14ac:dyDescent="0.25">
      <c r="A4431" t="s">
        <v>4435</v>
      </c>
      <c r="B4431">
        <v>0.99904790336628502</v>
      </c>
      <c r="C4431">
        <v>0.99611881614505404</v>
      </c>
      <c r="D4431">
        <v>0.932238954878578</v>
      </c>
      <c r="E4431">
        <v>0.75886063412652305</v>
      </c>
      <c r="F4431">
        <v>0.72455254683112802</v>
      </c>
      <c r="G4431">
        <v>0.57131945644633897</v>
      </c>
      <c r="H4431">
        <v>0.48958871470631099</v>
      </c>
      <c r="I4431">
        <v>0.49880193963820402</v>
      </c>
      <c r="J4431">
        <v>0.57458680683704899</v>
      </c>
      <c r="K4431">
        <v>0.64459775196594804</v>
      </c>
      <c r="L4431">
        <v>986.95655369759299</v>
      </c>
      <c r="M4431">
        <v>19.6377742365949</v>
      </c>
      <c r="O4431">
        <v>49.745609980222298</v>
      </c>
      <c r="P4431">
        <v>-4.4509120012241499E-2</v>
      </c>
      <c r="Q4431">
        <v>0.54902102067707304</v>
      </c>
      <c r="R4431">
        <v>0.93692235172079796</v>
      </c>
      <c r="S4431" t="s">
        <v>9171</v>
      </c>
      <c r="T4431" t="s">
        <v>9478</v>
      </c>
      <c r="U4431" t="s">
        <v>9478</v>
      </c>
      <c r="V4431" t="s">
        <v>9478</v>
      </c>
      <c r="W4431">
        <v>1</v>
      </c>
      <c r="X4431" t="s">
        <v>13909</v>
      </c>
      <c r="Y4431">
        <v>0.7097240923168886</v>
      </c>
      <c r="Z4431" t="str">
        <f>HYPERLINK("Melting_Curves/meltCurve_tr_G5E9X3_G5E9X3_HUMAN_.pdf", "Melting_Curves/meltCurve_tr_G5E9X3_G5E9X3_HUMAN_.pdf")</f>
        <v>Melting_Curves/meltCurve_tr_G5E9X3_G5E9X3_HUMAN_.pdf</v>
      </c>
      <c r="AA4431" t="s">
        <v>18562</v>
      </c>
      <c r="AB4431" t="s">
        <v>23246</v>
      </c>
    </row>
    <row r="4432" spans="1:28" x14ac:dyDescent="0.25">
      <c r="A4432" t="s">
        <v>4436</v>
      </c>
      <c r="B4432">
        <v>0.99904790336628502</v>
      </c>
      <c r="C4432">
        <v>0.90281286450028297</v>
      </c>
      <c r="D4432">
        <v>0.90145067521334399</v>
      </c>
      <c r="E4432">
        <v>0.91576906689442905</v>
      </c>
      <c r="F4432">
        <v>1.0703767775358399</v>
      </c>
      <c r="G4432">
        <v>0.99090696534317202</v>
      </c>
      <c r="H4432">
        <v>0.603979024146443</v>
      </c>
      <c r="I4432">
        <v>0.48595264726652498</v>
      </c>
      <c r="J4432">
        <v>0.22076699615137099</v>
      </c>
      <c r="K4432">
        <v>0.104444910561473</v>
      </c>
      <c r="L4432">
        <v>1443.1949748438701</v>
      </c>
      <c r="M4432">
        <v>22.8996079069796</v>
      </c>
      <c r="N4432">
        <v>63.166619363286102</v>
      </c>
      <c r="O4432">
        <v>62.5479883396441</v>
      </c>
      <c r="P4432">
        <v>-8.9203558486055406E-2</v>
      </c>
      <c r="Q4432">
        <v>2.5416186323865698E-2</v>
      </c>
      <c r="R4432">
        <v>0.95497960710699503</v>
      </c>
      <c r="S4432" t="s">
        <v>9172</v>
      </c>
      <c r="T4432" t="s">
        <v>9478</v>
      </c>
      <c r="U4432" t="s">
        <v>9478</v>
      </c>
      <c r="V4432" t="s">
        <v>9478</v>
      </c>
      <c r="W4432">
        <v>1</v>
      </c>
      <c r="X4432" t="s">
        <v>13910</v>
      </c>
      <c r="Y4432">
        <v>0.77456137153527704</v>
      </c>
      <c r="Z4432" t="str">
        <f>HYPERLINK("Melting_Curves/meltCurve_tr_G5EA02_G5EA02_HUMAN_.pdf", "Melting_Curves/meltCurve_tr_G5EA02_G5EA02_HUMAN_.pdf")</f>
        <v>Melting_Curves/meltCurve_tr_G5EA02_G5EA02_HUMAN_.pdf</v>
      </c>
      <c r="AA4432" t="s">
        <v>18563</v>
      </c>
      <c r="AB4432" t="s">
        <v>23247</v>
      </c>
    </row>
    <row r="4433" spans="1:28" x14ac:dyDescent="0.25">
      <c r="A4433" t="s">
        <v>4437</v>
      </c>
      <c r="B4433">
        <v>0.99904790336628502</v>
      </c>
      <c r="C4433">
        <v>0.92715733320297899</v>
      </c>
      <c r="D4433">
        <v>0.923629250538477</v>
      </c>
      <c r="E4433">
        <v>0.88511049643581396</v>
      </c>
      <c r="F4433">
        <v>0.67057394545872395</v>
      </c>
      <c r="G4433">
        <v>0.26497316311485802</v>
      </c>
      <c r="H4433">
        <v>9.8527996291949999E-2</v>
      </c>
      <c r="I4433">
        <v>6.7528587845162705E-2</v>
      </c>
      <c r="J4433">
        <v>5.87000416007636E-2</v>
      </c>
      <c r="K4433">
        <v>5.0254638950375803E-2</v>
      </c>
      <c r="L4433">
        <v>1286.3615717319101</v>
      </c>
      <c r="M4433">
        <v>23.6977805126288</v>
      </c>
      <c r="N4433">
        <v>54.480590504300402</v>
      </c>
      <c r="O4433">
        <v>53.899836912301303</v>
      </c>
      <c r="P4433">
        <v>-0.10536809941006001</v>
      </c>
      <c r="Q4433">
        <v>4.1390572096758602E-2</v>
      </c>
      <c r="R4433">
        <v>0.99398646935346302</v>
      </c>
      <c r="S4433" t="s">
        <v>9173</v>
      </c>
      <c r="T4433" t="s">
        <v>9478</v>
      </c>
      <c r="U4433" t="s">
        <v>9478</v>
      </c>
      <c r="V4433" t="s">
        <v>9478</v>
      </c>
      <c r="W4433">
        <v>41</v>
      </c>
      <c r="X4433" t="s">
        <v>13911</v>
      </c>
      <c r="Y4433">
        <v>0.50751346436918332</v>
      </c>
      <c r="Z4433" t="str">
        <f>HYPERLINK("Melting_Curves/meltCurve_tr_G5EA52_G5EA52_HUMAN_.pdf", "Melting_Curves/meltCurve_tr_G5EA52_G5EA52_HUMAN_.pdf")</f>
        <v>Melting_Curves/meltCurve_tr_G5EA52_G5EA52_HUMAN_.pdf</v>
      </c>
      <c r="AA4433" t="s">
        <v>18564</v>
      </c>
      <c r="AB4433" t="s">
        <v>23248</v>
      </c>
    </row>
    <row r="4434" spans="1:28" x14ac:dyDescent="0.25">
      <c r="A4434" t="s">
        <v>4438</v>
      </c>
      <c r="B4434">
        <v>0.99904790336628502</v>
      </c>
      <c r="C4434">
        <v>1.00487773250284</v>
      </c>
      <c r="D4434">
        <v>0.89041082837542695</v>
      </c>
      <c r="E4434">
        <v>0.70240157128221603</v>
      </c>
      <c r="F4434">
        <v>0.35454505919961898</v>
      </c>
      <c r="G4434">
        <v>0.12963218021046599</v>
      </c>
      <c r="H4434">
        <v>5.2315948095184299E-2</v>
      </c>
      <c r="I4434">
        <v>3.2609724946747E-2</v>
      </c>
      <c r="J4434">
        <v>3.1353265552207597E-2</v>
      </c>
      <c r="K4434">
        <v>2.5068155214931099E-2</v>
      </c>
      <c r="L4434">
        <v>1129.9273206913199</v>
      </c>
      <c r="M4434">
        <v>21.904271588885301</v>
      </c>
      <c r="N4434">
        <v>51.6841187618963</v>
      </c>
      <c r="O4434">
        <v>51.160624459679802</v>
      </c>
      <c r="P4434">
        <v>-0.104833054393381</v>
      </c>
      <c r="Q4434">
        <v>2.0610717446846401E-2</v>
      </c>
      <c r="R4434">
        <v>0.99791644495027099</v>
      </c>
      <c r="S4434" t="s">
        <v>9174</v>
      </c>
      <c r="T4434" t="s">
        <v>9478</v>
      </c>
      <c r="U4434" t="s">
        <v>9478</v>
      </c>
      <c r="V4434" t="s">
        <v>9478</v>
      </c>
      <c r="W4434">
        <v>42</v>
      </c>
      <c r="X4434" t="s">
        <v>13912</v>
      </c>
      <c r="Y4434">
        <v>0.4102784965593026</v>
      </c>
      <c r="Z4434" t="str">
        <f>HYPERLINK("Melting_Curves/meltCurve_tr_G8JL86_G8JL86_HUMAN_.pdf", "Melting_Curves/meltCurve_tr_G8JL86_G8JL86_HUMAN_.pdf")</f>
        <v>Melting_Curves/meltCurve_tr_G8JL86_G8JL86_HUMAN_.pdf</v>
      </c>
      <c r="AA4434" t="s">
        <v>16292</v>
      </c>
      <c r="AB4434" t="s">
        <v>23249</v>
      </c>
    </row>
    <row r="4435" spans="1:28" x14ac:dyDescent="0.25">
      <c r="A4435" t="s">
        <v>4439</v>
      </c>
      <c r="B4435">
        <v>0.99904790336628502</v>
      </c>
      <c r="C4435">
        <v>0.99544757332784495</v>
      </c>
      <c r="D4435">
        <v>0.91084586365291398</v>
      </c>
      <c r="E4435">
        <v>0.52709005014217403</v>
      </c>
      <c r="F4435">
        <v>0.198573875889549</v>
      </c>
      <c r="G4435">
        <v>0.118682172807586</v>
      </c>
      <c r="H4435">
        <v>7.4789032905423602E-2</v>
      </c>
      <c r="I4435">
        <v>6.0951313806683602E-2</v>
      </c>
      <c r="J4435">
        <v>4.8607626511227298E-2</v>
      </c>
      <c r="K4435">
        <v>4.7999565093245301E-2</v>
      </c>
      <c r="L4435">
        <v>1371.8481631838399</v>
      </c>
      <c r="M4435">
        <v>27.485403092536799</v>
      </c>
      <c r="N4435">
        <v>50.143992291193896</v>
      </c>
      <c r="O4435">
        <v>49.649913470365597</v>
      </c>
      <c r="P4435">
        <v>-0.13013041930685301</v>
      </c>
      <c r="Q4435">
        <v>5.9733012553757799E-2</v>
      </c>
      <c r="R4435">
        <v>0.99891013329587697</v>
      </c>
      <c r="S4435" t="s">
        <v>9175</v>
      </c>
      <c r="T4435" t="s">
        <v>9478</v>
      </c>
      <c r="U4435" t="s">
        <v>9478</v>
      </c>
      <c r="V4435" t="s">
        <v>9478</v>
      </c>
      <c r="W4435">
        <v>11</v>
      </c>
      <c r="X4435" t="s">
        <v>13913</v>
      </c>
      <c r="Y4435">
        <v>0.37732715641540282</v>
      </c>
      <c r="Z4435" t="str">
        <f>HYPERLINK("Melting_Curves/meltCurve_tr_G8JLB3_G8JLB3_HUMAN_.pdf", "Melting_Curves/meltCurve_tr_G8JLB3_G8JLB3_HUMAN_.pdf")</f>
        <v>Melting_Curves/meltCurve_tr_G8JLB3_G8JLB3_HUMAN_.pdf</v>
      </c>
      <c r="AA4435" t="s">
        <v>18565</v>
      </c>
      <c r="AB4435" t="s">
        <v>23250</v>
      </c>
    </row>
    <row r="4436" spans="1:28" x14ac:dyDescent="0.25">
      <c r="A4436" t="s">
        <v>4440</v>
      </c>
      <c r="B4436">
        <v>0.99904790336628502</v>
      </c>
      <c r="C4436">
        <v>0.964071313899727</v>
      </c>
      <c r="D4436">
        <v>0.95791847187754298</v>
      </c>
      <c r="E4436">
        <v>0.84395024833158105</v>
      </c>
      <c r="F4436">
        <v>0.75412093852810402</v>
      </c>
      <c r="G4436">
        <v>0.56875719320691698</v>
      </c>
      <c r="H4436">
        <v>0.49213323807404802</v>
      </c>
      <c r="I4436">
        <v>0.42811719974034601</v>
      </c>
      <c r="J4436">
        <v>0.44289875013947899</v>
      </c>
      <c r="K4436">
        <v>0.38429448631780599</v>
      </c>
      <c r="L4436">
        <v>750.18423976988504</v>
      </c>
      <c r="M4436">
        <v>13.8310101554202</v>
      </c>
      <c r="N4436">
        <v>60.213653833039402</v>
      </c>
      <c r="O4436">
        <v>53.143159110832798</v>
      </c>
      <c r="P4436">
        <v>-4.0785790311963999E-2</v>
      </c>
      <c r="Q4436">
        <v>0.373238829080765</v>
      </c>
      <c r="R4436">
        <v>0.99573294447082905</v>
      </c>
      <c r="S4436" t="s">
        <v>9176</v>
      </c>
      <c r="T4436" t="s">
        <v>9478</v>
      </c>
      <c r="U4436" t="s">
        <v>9478</v>
      </c>
      <c r="V4436" t="s">
        <v>9478</v>
      </c>
      <c r="W4436">
        <v>25</v>
      </c>
      <c r="X4436" t="s">
        <v>13914</v>
      </c>
      <c r="Y4436">
        <v>0.68464649306325331</v>
      </c>
      <c r="Z4436" t="str">
        <f>HYPERLINK("Melting_Curves/meltCurve_tr_G8JLC6_G8JLC6_HUMAN_.pdf", "Melting_Curves/meltCurve_tr_G8JLC6_G8JLC6_HUMAN_.pdf")</f>
        <v>Melting_Curves/meltCurve_tr_G8JLC6_G8JLC6_HUMAN_.pdf</v>
      </c>
      <c r="AA4436" t="s">
        <v>18566</v>
      </c>
      <c r="AB4436" t="s">
        <v>23251</v>
      </c>
    </row>
    <row r="4437" spans="1:28" x14ac:dyDescent="0.25">
      <c r="A4437" t="s">
        <v>4441</v>
      </c>
      <c r="B4437">
        <v>0.99904790336628502</v>
      </c>
      <c r="C4437">
        <v>1.08161534645499</v>
      </c>
      <c r="D4437">
        <v>0.99412562743780397</v>
      </c>
      <c r="E4437">
        <v>0.88035318705644905</v>
      </c>
      <c r="F4437">
        <v>0.96915045011165601</v>
      </c>
      <c r="G4437">
        <v>0.721246298650702</v>
      </c>
      <c r="H4437">
        <v>0.60341590438412296</v>
      </c>
      <c r="I4437">
        <v>0.60440142718807099</v>
      </c>
      <c r="J4437">
        <v>0.53091777834937204</v>
      </c>
      <c r="K4437">
        <v>0.67032924129685401</v>
      </c>
      <c r="L4437">
        <v>1989.03837670706</v>
      </c>
      <c r="M4437">
        <v>35.676673549562203</v>
      </c>
      <c r="O4437">
        <v>55.577494978822401</v>
      </c>
      <c r="P4437">
        <v>-6.4738037163929604E-2</v>
      </c>
      <c r="Q4437">
        <v>0.59660295575906097</v>
      </c>
      <c r="R4437">
        <v>0.917410140150689</v>
      </c>
      <c r="S4437" t="s">
        <v>9177</v>
      </c>
      <c r="T4437" t="s">
        <v>9478</v>
      </c>
      <c r="U4437" t="s">
        <v>9478</v>
      </c>
      <c r="V4437" t="s">
        <v>9478</v>
      </c>
      <c r="W4437">
        <v>1</v>
      </c>
      <c r="X4437" t="s">
        <v>13915</v>
      </c>
      <c r="Y4437">
        <v>0.81034463644032328</v>
      </c>
      <c r="Z4437" t="str">
        <f>HYPERLINK("Melting_Curves/meltCurve_tr_G8JLE5_G8JLE5_HUMAN_.pdf", "Melting_Curves/meltCurve_tr_G8JLE5_G8JLE5_HUMAN_.pdf")</f>
        <v>Melting_Curves/meltCurve_tr_G8JLE5_G8JLE5_HUMAN_.pdf</v>
      </c>
      <c r="AA4437" t="s">
        <v>18567</v>
      </c>
      <c r="AB4437" t="s">
        <v>23252</v>
      </c>
    </row>
    <row r="4438" spans="1:28" x14ac:dyDescent="0.25">
      <c r="A4438" t="s">
        <v>4442</v>
      </c>
      <c r="B4438">
        <v>0.99904790336628502</v>
      </c>
      <c r="C4438">
        <v>0.88586641936446198</v>
      </c>
      <c r="D4438">
        <v>0.92341716221441394</v>
      </c>
      <c r="E4438">
        <v>0.84103927173114701</v>
      </c>
      <c r="F4438">
        <v>0.72809093197811903</v>
      </c>
      <c r="G4438">
        <v>0.444697901241976</v>
      </c>
      <c r="H4438">
        <v>0.19500782241287801</v>
      </c>
      <c r="I4438">
        <v>0.14178811249521001</v>
      </c>
      <c r="J4438">
        <v>8.0532333767105793E-2</v>
      </c>
      <c r="K4438">
        <v>6.35116703006844E-2</v>
      </c>
      <c r="L4438">
        <v>813.27334057538405</v>
      </c>
      <c r="M4438">
        <v>14.528924923071701</v>
      </c>
      <c r="N4438">
        <v>55.976153923177499</v>
      </c>
      <c r="O4438">
        <v>54.9477819015097</v>
      </c>
      <c r="P4438">
        <v>-6.6110906868268704E-2</v>
      </c>
      <c r="Q4438">
        <v>0</v>
      </c>
      <c r="R4438">
        <v>0.988956771185309</v>
      </c>
      <c r="S4438" t="s">
        <v>9178</v>
      </c>
      <c r="T4438" t="s">
        <v>9478</v>
      </c>
      <c r="U4438" t="s">
        <v>9478</v>
      </c>
      <c r="V4438" t="s">
        <v>9478</v>
      </c>
      <c r="W4438">
        <v>5</v>
      </c>
      <c r="X4438" t="s">
        <v>13916</v>
      </c>
      <c r="Y4438">
        <v>0.55079442737484541</v>
      </c>
      <c r="Z4438" t="str">
        <f>HYPERLINK("Melting_Curves/meltCurve_tr_G8JLI5_G8JLI5_HUMAN_.pdf", "Melting_Curves/meltCurve_tr_G8JLI5_G8JLI5_HUMAN_.pdf")</f>
        <v>Melting_Curves/meltCurve_tr_G8JLI5_G8JLI5_HUMAN_.pdf</v>
      </c>
      <c r="AA4438" t="s">
        <v>18568</v>
      </c>
      <c r="AB4438" t="s">
        <v>23253</v>
      </c>
    </row>
    <row r="4439" spans="1:28" x14ac:dyDescent="0.25">
      <c r="A4439" t="s">
        <v>4443</v>
      </c>
      <c r="B4439">
        <v>0.99904790336628502</v>
      </c>
      <c r="C4439">
        <v>1.0614737967405401</v>
      </c>
      <c r="D4439">
        <v>1.1326924535027201</v>
      </c>
      <c r="E4439">
        <v>0.98943042087791</v>
      </c>
      <c r="F4439">
        <v>1.00297390200929</v>
      </c>
      <c r="G4439">
        <v>0.62813016754199402</v>
      </c>
      <c r="H4439">
        <v>0.53113459600453305</v>
      </c>
      <c r="I4439">
        <v>0.43581433247828</v>
      </c>
      <c r="J4439">
        <v>0.41238142128573302</v>
      </c>
      <c r="K4439">
        <v>0.32594935003262399</v>
      </c>
      <c r="L4439">
        <v>1688.78018859343</v>
      </c>
      <c r="M4439">
        <v>29.7167132750482</v>
      </c>
      <c r="N4439">
        <v>59.954256351439703</v>
      </c>
      <c r="O4439">
        <v>56.573819855753797</v>
      </c>
      <c r="P4439">
        <v>-7.96110674468226E-2</v>
      </c>
      <c r="Q4439">
        <v>0.39375911097427402</v>
      </c>
      <c r="R4439">
        <v>0.95577997725809205</v>
      </c>
      <c r="S4439" t="s">
        <v>9179</v>
      </c>
      <c r="T4439" t="s">
        <v>9478</v>
      </c>
      <c r="U4439" t="s">
        <v>9478</v>
      </c>
      <c r="V4439" t="s">
        <v>9478</v>
      </c>
      <c r="W4439">
        <v>12</v>
      </c>
      <c r="X4439" t="s">
        <v>13917</v>
      </c>
      <c r="Y4439">
        <v>0.73795493153842173</v>
      </c>
      <c r="Z4439" t="str">
        <f>HYPERLINK("Melting_Curves/meltCurve_tr_H0Y300_H0Y300_HUMAN_.pdf", "Melting_Curves/meltCurve_tr_H0Y300_H0Y300_HUMAN_.pdf")</f>
        <v>Melting_Curves/meltCurve_tr_H0Y300_H0Y300_HUMAN_.pdf</v>
      </c>
      <c r="AA4439" t="s">
        <v>14681</v>
      </c>
      <c r="AB4439" t="s">
        <v>19304</v>
      </c>
    </row>
    <row r="4440" spans="1:28" x14ac:dyDescent="0.25">
      <c r="A4440" t="s">
        <v>4444</v>
      </c>
      <c r="B4440">
        <v>0.99904790336628502</v>
      </c>
      <c r="C4440">
        <v>1.0474516975419501</v>
      </c>
      <c r="D4440">
        <v>1.1259805361286299</v>
      </c>
      <c r="E4440">
        <v>0.83965163986128299</v>
      </c>
      <c r="F4440">
        <v>0.65124604815258202</v>
      </c>
      <c r="G4440">
        <v>0.38821865610002498</v>
      </c>
      <c r="H4440">
        <v>0.32824155365304097</v>
      </c>
      <c r="I4440">
        <v>0.23849473141346</v>
      </c>
      <c r="J4440">
        <v>0.24804625106880099</v>
      </c>
      <c r="K4440">
        <v>0.24651194778785199</v>
      </c>
      <c r="L4440">
        <v>1278.18242346016</v>
      </c>
      <c r="M4440">
        <v>23.968780039607701</v>
      </c>
      <c r="N4440">
        <v>54.9252994638261</v>
      </c>
      <c r="O4440">
        <v>52.959937153230499</v>
      </c>
      <c r="P4440">
        <v>-8.4738065203963694E-2</v>
      </c>
      <c r="Q4440">
        <v>0.25108399767470602</v>
      </c>
      <c r="R4440">
        <v>0.977852155528106</v>
      </c>
      <c r="S4440" t="s">
        <v>9180</v>
      </c>
      <c r="T4440" t="s">
        <v>9478</v>
      </c>
      <c r="U4440" t="s">
        <v>9478</v>
      </c>
      <c r="V4440" t="s">
        <v>9478</v>
      </c>
      <c r="W4440">
        <v>21</v>
      </c>
      <c r="X4440" t="s">
        <v>13918</v>
      </c>
      <c r="Y4440">
        <v>0.59124554427155007</v>
      </c>
      <c r="Z4440" t="str">
        <f>HYPERLINK("Melting_Curves/meltCurve_tr_H0Y304_H0Y304_HUMAN_.pdf", "Melting_Curves/meltCurve_tr_H0Y304_H0Y304_HUMAN_.pdf")</f>
        <v>Melting_Curves/meltCurve_tr_H0Y304_H0Y304_HUMAN_.pdf</v>
      </c>
      <c r="AA4440" t="s">
        <v>14931</v>
      </c>
      <c r="AB4440" t="s">
        <v>23254</v>
      </c>
    </row>
    <row r="4441" spans="1:28" x14ac:dyDescent="0.25">
      <c r="A4441" t="s">
        <v>4445</v>
      </c>
      <c r="B4441">
        <v>0.99904790336628502</v>
      </c>
      <c r="C4441">
        <v>1.0910986654338599</v>
      </c>
      <c r="D4441">
        <v>0.739138845382732</v>
      </c>
      <c r="E4441">
        <v>0.78104611149220105</v>
      </c>
      <c r="F4441">
        <v>0.79502927026872405</v>
      </c>
      <c r="G4441">
        <v>0.60741855831033398</v>
      </c>
      <c r="H4441">
        <v>0.64390594957732095</v>
      </c>
      <c r="I4441">
        <v>0.53728268949995295</v>
      </c>
      <c r="J4441">
        <v>0.743861811824025</v>
      </c>
      <c r="K4441">
        <v>0.425906411852702</v>
      </c>
      <c r="L4441">
        <v>516.54437363607406</v>
      </c>
      <c r="M4441">
        <v>10.0916126118466</v>
      </c>
      <c r="O4441">
        <v>49.297521934336899</v>
      </c>
      <c r="P4441">
        <v>-2.39597182037685E-2</v>
      </c>
      <c r="Q4441">
        <v>0.53204701269236199</v>
      </c>
      <c r="R4441">
        <v>0.71371569810198598</v>
      </c>
      <c r="S4441" t="s">
        <v>9181</v>
      </c>
      <c r="T4441" t="s">
        <v>9478</v>
      </c>
      <c r="U4441" t="s">
        <v>9478</v>
      </c>
      <c r="V4441" t="s">
        <v>9478</v>
      </c>
      <c r="W4441">
        <v>1</v>
      </c>
      <c r="X4441" t="s">
        <v>13919</v>
      </c>
      <c r="Y4441">
        <v>0.72546293411179896</v>
      </c>
      <c r="Z4441" t="str">
        <f>HYPERLINK("Melting_Curves/meltCurve_tr_H0Y320_H0Y320_HUMAN_.pdf", "Melting_Curves/meltCurve_tr_H0Y320_H0Y320_HUMAN_.pdf")</f>
        <v>Melting_Curves/meltCurve_tr_H0Y320_H0Y320_HUMAN_.pdf</v>
      </c>
      <c r="AA4441" t="s">
        <v>18569</v>
      </c>
      <c r="AB4441" t="s">
        <v>23255</v>
      </c>
    </row>
    <row r="4442" spans="1:28" x14ac:dyDescent="0.25">
      <c r="A4442" t="s">
        <v>4446</v>
      </c>
      <c r="B4442">
        <v>0.99904790336628502</v>
      </c>
      <c r="C4442">
        <v>1.10976369034544</v>
      </c>
      <c r="D4442">
        <v>1.1936459904964101</v>
      </c>
      <c r="E4442">
        <v>0.98524388171279798</v>
      </c>
      <c r="F4442">
        <v>0.75505223417100897</v>
      </c>
      <c r="G4442">
        <v>0.53153889576533797</v>
      </c>
      <c r="H4442">
        <v>0.48576658196377798</v>
      </c>
      <c r="I4442">
        <v>0.378522659112838</v>
      </c>
      <c r="J4442">
        <v>0.300326008968753</v>
      </c>
      <c r="K4442">
        <v>0.18254792515510099</v>
      </c>
      <c r="L4442">
        <v>956.50084182904902</v>
      </c>
      <c r="M4442">
        <v>16.902597393514299</v>
      </c>
      <c r="N4442">
        <v>58.794747212435801</v>
      </c>
      <c r="O4442">
        <v>55.814701605465203</v>
      </c>
      <c r="P4442">
        <v>-5.7935828456094601E-2</v>
      </c>
      <c r="Q4442">
        <v>0.23480010788046601</v>
      </c>
      <c r="R4442">
        <v>0.93052185815558397</v>
      </c>
      <c r="S4442" t="s">
        <v>9182</v>
      </c>
      <c r="T4442" t="s">
        <v>9478</v>
      </c>
      <c r="U4442" t="s">
        <v>9478</v>
      </c>
      <c r="V4442" t="s">
        <v>9478</v>
      </c>
      <c r="W4442">
        <v>2</v>
      </c>
      <c r="X4442" t="s">
        <v>13920</v>
      </c>
      <c r="Y4442">
        <v>0.66948643575475197</v>
      </c>
      <c r="Z4442" t="str">
        <f>HYPERLINK("Melting_Curves/meltCurve_tr_H0Y3A0_H0Y3A0_HUMAN_.pdf", "Melting_Curves/meltCurve_tr_H0Y3A0_H0Y3A0_HUMAN_.pdf")</f>
        <v>Melting_Curves/meltCurve_tr_H0Y3A0_H0Y3A0_HUMAN_.pdf</v>
      </c>
      <c r="AA4442" t="s">
        <v>18570</v>
      </c>
      <c r="AB4442" t="s">
        <v>23256</v>
      </c>
    </row>
    <row r="4443" spans="1:28" x14ac:dyDescent="0.25">
      <c r="A4443" t="s">
        <v>4447</v>
      </c>
      <c r="B4443">
        <v>0.99904790336628502</v>
      </c>
      <c r="C4443">
        <v>1.0139961008801299</v>
      </c>
      <c r="D4443">
        <v>0.92476120280869301</v>
      </c>
      <c r="E4443">
        <v>0.83908239000570695</v>
      </c>
      <c r="F4443">
        <v>0.65980545738311802</v>
      </c>
      <c r="G4443">
        <v>0.21426139253093601</v>
      </c>
      <c r="H4443">
        <v>9.9872524826339001E-2</v>
      </c>
      <c r="I4443">
        <v>6.1226158729598801E-2</v>
      </c>
      <c r="J4443">
        <v>4.0566217897663001E-2</v>
      </c>
      <c r="K4443">
        <v>4.3010920913421798E-2</v>
      </c>
      <c r="L4443">
        <v>1260.14525966426</v>
      </c>
      <c r="M4443">
        <v>23.348627233598702</v>
      </c>
      <c r="N4443">
        <v>54.124148146044298</v>
      </c>
      <c r="O4443">
        <v>53.579631373913202</v>
      </c>
      <c r="P4443">
        <v>-0.105459727162257</v>
      </c>
      <c r="Q4443">
        <v>3.1995695988607901E-2</v>
      </c>
      <c r="R4443">
        <v>0.99545521640756596</v>
      </c>
      <c r="S4443" t="s">
        <v>9183</v>
      </c>
      <c r="T4443" t="s">
        <v>9478</v>
      </c>
      <c r="U4443" t="s">
        <v>9478</v>
      </c>
      <c r="V4443" t="s">
        <v>9478</v>
      </c>
      <c r="W4443">
        <v>16</v>
      </c>
      <c r="X4443" t="s">
        <v>13921</v>
      </c>
      <c r="Y4443">
        <v>0.49291702873163812</v>
      </c>
      <c r="Z4443" t="str">
        <f>HYPERLINK("Melting_Curves/meltCurve_tr_H0Y3P2_H0Y3P2_HUMAN_.pdf", "Melting_Curves/meltCurve_tr_H0Y3P2_H0Y3P2_HUMAN_.pdf")</f>
        <v>Melting_Curves/meltCurve_tr_H0Y3P2_H0Y3P2_HUMAN_.pdf</v>
      </c>
      <c r="AA4443" t="s">
        <v>18571</v>
      </c>
      <c r="AB4443" t="s">
        <v>23257</v>
      </c>
    </row>
    <row r="4444" spans="1:28" x14ac:dyDescent="0.25">
      <c r="A4444" t="s">
        <v>4448</v>
      </c>
      <c r="B4444">
        <v>0.99904790336628502</v>
      </c>
      <c r="C4444">
        <v>1.19587422099799</v>
      </c>
      <c r="D4444">
        <v>1.16549343936334</v>
      </c>
      <c r="E4444">
        <v>1.06677689635856</v>
      </c>
      <c r="F4444">
        <v>1.04438932132912</v>
      </c>
      <c r="G4444">
        <v>0.70963557206791195</v>
      </c>
      <c r="H4444">
        <v>0.56689812063850098</v>
      </c>
      <c r="I4444">
        <v>0.40840350970268202</v>
      </c>
      <c r="J4444">
        <v>0.38804609797365203</v>
      </c>
      <c r="K4444">
        <v>0.39632297897831198</v>
      </c>
      <c r="L4444">
        <v>1718.25400269906</v>
      </c>
      <c r="M4444">
        <v>29.678946390870799</v>
      </c>
      <c r="N4444">
        <v>61.087349108445302</v>
      </c>
      <c r="O4444">
        <v>57.633778012016997</v>
      </c>
      <c r="P4444">
        <v>-7.8017187349691694E-2</v>
      </c>
      <c r="Q4444">
        <v>0.39399539725814298</v>
      </c>
      <c r="R4444">
        <v>0.91522465831848698</v>
      </c>
      <c r="S4444" t="s">
        <v>9184</v>
      </c>
      <c r="T4444" t="s">
        <v>9478</v>
      </c>
      <c r="U4444" t="s">
        <v>9478</v>
      </c>
      <c r="V4444" t="s">
        <v>9478</v>
      </c>
      <c r="W4444">
        <v>2</v>
      </c>
      <c r="X4444" t="s">
        <v>13922</v>
      </c>
      <c r="Y4444">
        <v>0.75953963090669485</v>
      </c>
      <c r="Z4444" t="str">
        <f>HYPERLINK("Melting_Curves/meltCurve_tr_H0Y3V3_H0Y3V3_HUMAN_.pdf", "Melting_Curves/meltCurve_tr_H0Y3V3_H0Y3V3_HUMAN_.pdf")</f>
        <v>Melting_Curves/meltCurve_tr_H0Y3V3_H0Y3V3_HUMAN_.pdf</v>
      </c>
      <c r="AA4444" t="s">
        <v>18572</v>
      </c>
      <c r="AB4444" t="s">
        <v>23258</v>
      </c>
    </row>
    <row r="4445" spans="1:28" x14ac:dyDescent="0.25">
      <c r="A4445" t="s">
        <v>4449</v>
      </c>
      <c r="B4445">
        <v>0.99904790336628502</v>
      </c>
      <c r="C4445">
        <v>1.1278748658414299</v>
      </c>
      <c r="D4445">
        <v>0.98105103380484704</v>
      </c>
      <c r="E4445">
        <v>0.78257804338218195</v>
      </c>
      <c r="F4445">
        <v>0.49457809076614601</v>
      </c>
      <c r="G4445">
        <v>0.299903234625224</v>
      </c>
      <c r="H4445">
        <v>0.26860340779794301</v>
      </c>
      <c r="I4445">
        <v>0.31314921787427602</v>
      </c>
      <c r="J4445">
        <v>0.251586858973746</v>
      </c>
      <c r="K4445">
        <v>0.13919522926983099</v>
      </c>
      <c r="L4445">
        <v>1405.7087103884101</v>
      </c>
      <c r="M4445">
        <v>27.177963557594399</v>
      </c>
      <c r="N4445">
        <v>52.987289103625997</v>
      </c>
      <c r="O4445">
        <v>51.444783262595699</v>
      </c>
      <c r="P4445">
        <v>-0.100553347084711</v>
      </c>
      <c r="Q4445">
        <v>0.23866337858249101</v>
      </c>
      <c r="R4445">
        <v>0.97353975878311305</v>
      </c>
      <c r="S4445" t="s">
        <v>9185</v>
      </c>
      <c r="T4445" t="s">
        <v>9478</v>
      </c>
      <c r="U4445" t="s">
        <v>9478</v>
      </c>
      <c r="V4445" t="s">
        <v>9478</v>
      </c>
      <c r="W4445">
        <v>1</v>
      </c>
      <c r="X4445" t="s">
        <v>13923</v>
      </c>
      <c r="Y4445">
        <v>0.54204065113037248</v>
      </c>
      <c r="Z4445" t="str">
        <f>HYPERLINK("Melting_Curves/meltCurve_tr_H0Y465_H0Y465_HUMAN_.pdf", "Melting_Curves/meltCurve_tr_H0Y465_H0Y465_HUMAN_.pdf")</f>
        <v>Melting_Curves/meltCurve_tr_H0Y465_H0Y465_HUMAN_.pdf</v>
      </c>
      <c r="AA4445" t="s">
        <v>18573</v>
      </c>
      <c r="AB4445" t="s">
        <v>23259</v>
      </c>
    </row>
    <row r="4446" spans="1:28" x14ac:dyDescent="0.25">
      <c r="A4446" t="s">
        <v>4450</v>
      </c>
      <c r="B4446">
        <v>0.99904790336628502</v>
      </c>
      <c r="C4446">
        <v>1.0342562825160899</v>
      </c>
      <c r="D4446">
        <v>1.0008606386142</v>
      </c>
      <c r="E4446">
        <v>0.77427468123944398</v>
      </c>
      <c r="F4446">
        <v>0.63269482267517996</v>
      </c>
      <c r="G4446">
        <v>0.35931917322526002</v>
      </c>
      <c r="H4446">
        <v>0.265274800161441</v>
      </c>
      <c r="I4446">
        <v>0.254695140535244</v>
      </c>
      <c r="J4446">
        <v>0.250020775233257</v>
      </c>
      <c r="K4446">
        <v>0.18331688592187101</v>
      </c>
      <c r="L4446">
        <v>1034.70395344757</v>
      </c>
      <c r="M4446">
        <v>19.517459914109899</v>
      </c>
      <c r="N4446">
        <v>54.549220234969702</v>
      </c>
      <c r="O4446">
        <v>52.4671424007919</v>
      </c>
      <c r="P4446">
        <v>-7.3351155888556202E-2</v>
      </c>
      <c r="Q4446">
        <v>0.21129335125807799</v>
      </c>
      <c r="R4446">
        <v>0.99296347853209399</v>
      </c>
      <c r="S4446" t="s">
        <v>9186</v>
      </c>
      <c r="T4446" t="s">
        <v>9478</v>
      </c>
      <c r="U4446" t="s">
        <v>9478</v>
      </c>
      <c r="V4446" t="s">
        <v>9478</v>
      </c>
      <c r="W4446">
        <v>15</v>
      </c>
      <c r="X4446" t="s">
        <v>13924</v>
      </c>
      <c r="Y4446">
        <v>0.5647459840279434</v>
      </c>
      <c r="Z4446" t="str">
        <f>HYPERLINK("Melting_Curves/meltCurve_tr_H0Y4R1_H0Y4R1_HUMAN_.pdf", "Melting_Curves/meltCurve_tr_H0Y4R1_H0Y4R1_HUMAN_.pdf")</f>
        <v>Melting_Curves/meltCurve_tr_H0Y4R1_H0Y4R1_HUMAN_.pdf</v>
      </c>
      <c r="AA4446" t="s">
        <v>18574</v>
      </c>
      <c r="AB4446" t="s">
        <v>23260</v>
      </c>
    </row>
    <row r="4447" spans="1:28" x14ac:dyDescent="0.25">
      <c r="A4447" t="s">
        <v>4451</v>
      </c>
      <c r="B4447">
        <v>0.99904790336628502</v>
      </c>
      <c r="C4447">
        <v>0.92141950598340405</v>
      </c>
      <c r="D4447">
        <v>0.78814353443535501</v>
      </c>
      <c r="E4447">
        <v>0.86345451096688397</v>
      </c>
      <c r="F4447">
        <v>0.76517170091737896</v>
      </c>
      <c r="G4447">
        <v>0.86251846391833797</v>
      </c>
      <c r="H4447">
        <v>0.65123524379129705</v>
      </c>
      <c r="I4447">
        <v>0.92231452347806597</v>
      </c>
      <c r="J4447">
        <v>0.33870454700468</v>
      </c>
      <c r="K4447">
        <v>5.7435391817830798E-2</v>
      </c>
      <c r="L4447">
        <v>3286.22071984993</v>
      </c>
      <c r="M4447">
        <v>49.630478321351902</v>
      </c>
      <c r="N4447">
        <v>66.213763676717505</v>
      </c>
      <c r="O4447">
        <v>66.1065314879163</v>
      </c>
      <c r="P4447">
        <v>-0.18769145682212099</v>
      </c>
      <c r="Q4447">
        <v>0</v>
      </c>
      <c r="R4447">
        <v>0.671335698087278</v>
      </c>
      <c r="S4447" t="s">
        <v>9187</v>
      </c>
      <c r="T4447" t="s">
        <v>9478</v>
      </c>
      <c r="U4447" t="s">
        <v>9478</v>
      </c>
      <c r="V4447" t="s">
        <v>9478</v>
      </c>
      <c r="W4447">
        <v>3</v>
      </c>
      <c r="X4447" t="s">
        <v>13925</v>
      </c>
      <c r="Y4447">
        <v>0.87332274553675737</v>
      </c>
      <c r="Z4447" t="str">
        <f>HYPERLINK("Melting_Curves/meltCurve_tr_H0Y5G7_H0Y5G7_HUMAN_.pdf", "Melting_Curves/meltCurve_tr_H0Y5G7_H0Y5G7_HUMAN_.pdf")</f>
        <v>Melting_Curves/meltCurve_tr_H0Y5G7_H0Y5G7_HUMAN_.pdf</v>
      </c>
      <c r="AA4447" t="s">
        <v>18575</v>
      </c>
      <c r="AB4447" t="s">
        <v>23261</v>
      </c>
    </row>
    <row r="4448" spans="1:28" x14ac:dyDescent="0.25">
      <c r="A4448" t="s">
        <v>4452</v>
      </c>
      <c r="B4448">
        <v>0.99904790336628502</v>
      </c>
      <c r="C4448">
        <v>0.94292304910819602</v>
      </c>
      <c r="D4448">
        <v>0.86395648995525498</v>
      </c>
      <c r="E4448">
        <v>0.70354880195690195</v>
      </c>
      <c r="F4448">
        <v>0.72195135486867701</v>
      </c>
      <c r="G4448">
        <v>0.43990944858224401</v>
      </c>
      <c r="H4448">
        <v>0.23819431641524799</v>
      </c>
      <c r="I4448">
        <v>0.17968345395270899</v>
      </c>
      <c r="J4448">
        <v>0.13470860621210301</v>
      </c>
      <c r="K4448">
        <v>0.124341889787782</v>
      </c>
      <c r="L4448">
        <v>585.96054292329904</v>
      </c>
      <c r="M4448">
        <v>10.548979385401701</v>
      </c>
      <c r="N4448">
        <v>55.546657311350799</v>
      </c>
      <c r="O4448">
        <v>53.6619557417336</v>
      </c>
      <c r="P4448">
        <v>-4.91650002551966E-2</v>
      </c>
      <c r="Q4448">
        <v>0</v>
      </c>
      <c r="R4448">
        <v>0.98410921212713598</v>
      </c>
      <c r="S4448" t="s">
        <v>9188</v>
      </c>
      <c r="T4448" t="s">
        <v>9478</v>
      </c>
      <c r="U4448" t="s">
        <v>9478</v>
      </c>
      <c r="V4448" t="s">
        <v>9478</v>
      </c>
      <c r="W4448">
        <v>5</v>
      </c>
      <c r="X4448" t="s">
        <v>13926</v>
      </c>
      <c r="Y4448">
        <v>0.54124705661618278</v>
      </c>
      <c r="Z4448" t="str">
        <f>HYPERLINK("Melting_Curves/meltCurve_tr_H0Y612_H0Y612_HUMAN_.pdf", "Melting_Curves/meltCurve_tr_H0Y612_H0Y612_HUMAN_.pdf")</f>
        <v>Melting_Curves/meltCurve_tr_H0Y612_H0Y612_HUMAN_.pdf</v>
      </c>
      <c r="AA4448" t="s">
        <v>18576</v>
      </c>
      <c r="AB4448" t="s">
        <v>23262</v>
      </c>
    </row>
    <row r="4449" spans="1:28" x14ac:dyDescent="0.25">
      <c r="A4449" t="s">
        <v>4453</v>
      </c>
      <c r="B4449">
        <v>0.99904790336628502</v>
      </c>
      <c r="C4449">
        <v>0.90751845366731299</v>
      </c>
      <c r="D4449">
        <v>0.89125092319948696</v>
      </c>
      <c r="E4449">
        <v>0.87129656403997502</v>
      </c>
      <c r="F4449">
        <v>0.89920818496372001</v>
      </c>
      <c r="G4449">
        <v>0.67764794227284098</v>
      </c>
      <c r="H4449">
        <v>0.50347031816879495</v>
      </c>
      <c r="I4449">
        <v>0.39866595969667301</v>
      </c>
      <c r="J4449">
        <v>0.32119908830571398</v>
      </c>
      <c r="K4449">
        <v>0.216404886155731</v>
      </c>
      <c r="L4449">
        <v>593.38191372690403</v>
      </c>
      <c r="M4449">
        <v>9.6633197606844092</v>
      </c>
      <c r="N4449">
        <v>61.405574930367003</v>
      </c>
      <c r="O4449">
        <v>58.948816721613198</v>
      </c>
      <c r="P4449">
        <v>-4.1004533119151101E-2</v>
      </c>
      <c r="Q4449">
        <v>0</v>
      </c>
      <c r="R4449">
        <v>0.97494440924808601</v>
      </c>
      <c r="S4449" t="s">
        <v>9189</v>
      </c>
      <c r="T4449" t="s">
        <v>9478</v>
      </c>
      <c r="U4449" t="s">
        <v>9478</v>
      </c>
      <c r="V4449" t="s">
        <v>9478</v>
      </c>
      <c r="W4449">
        <v>3</v>
      </c>
      <c r="X4449" t="s">
        <v>13927</v>
      </c>
      <c r="Y4449">
        <v>0.69585451429942857</v>
      </c>
      <c r="Z4449" t="str">
        <f>HYPERLINK("Melting_Curves/meltCurve_tr_H0Y614_H0Y614_HUMAN_.pdf", "Melting_Curves/meltCurve_tr_H0Y614_H0Y614_HUMAN_.pdf")</f>
        <v>Melting_Curves/meltCurve_tr_H0Y614_H0Y614_HUMAN_.pdf</v>
      </c>
      <c r="AA4449" t="s">
        <v>18577</v>
      </c>
      <c r="AB4449" t="s">
        <v>23263</v>
      </c>
    </row>
    <row r="4450" spans="1:28" x14ac:dyDescent="0.25">
      <c r="A4450" t="s">
        <v>4454</v>
      </c>
      <c r="B4450">
        <v>0.99904790336628502</v>
      </c>
      <c r="C4450">
        <v>0.82658559353852801</v>
      </c>
      <c r="D4450">
        <v>0.83457233768494998</v>
      </c>
      <c r="E4450">
        <v>0.84527536951223503</v>
      </c>
      <c r="F4450">
        <v>0.79016992355140703</v>
      </c>
      <c r="G4450">
        <v>0.56946297621834296</v>
      </c>
      <c r="H4450">
        <v>0.59012994373001204</v>
      </c>
      <c r="I4450">
        <v>0.61072978816847201</v>
      </c>
      <c r="J4450">
        <v>0.49700770953312401</v>
      </c>
      <c r="K4450">
        <v>0.63322114579334798</v>
      </c>
      <c r="L4450">
        <v>398.03572193952101</v>
      </c>
      <c r="M4450">
        <v>7.7263134332942798</v>
      </c>
      <c r="O4450">
        <v>48.406825128118903</v>
      </c>
      <c r="P4450">
        <v>-2.0113147265381201E-2</v>
      </c>
      <c r="Q4450">
        <v>0.49659740144986803</v>
      </c>
      <c r="R4450">
        <v>0.82798962005806598</v>
      </c>
      <c r="S4450" t="s">
        <v>9190</v>
      </c>
      <c r="T4450" t="s">
        <v>9478</v>
      </c>
      <c r="U4450" t="s">
        <v>9478</v>
      </c>
      <c r="V4450" t="s">
        <v>9478</v>
      </c>
      <c r="W4450">
        <v>14</v>
      </c>
      <c r="X4450" t="s">
        <v>13928</v>
      </c>
      <c r="Y4450">
        <v>0.71591510111456613</v>
      </c>
      <c r="Z4450" t="str">
        <f>HYPERLINK("Melting_Curves/meltCurve_tr_H0Y6A0_H0Y6A0_HUMAN_.pdf", "Melting_Curves/meltCurve_tr_H0Y6A0_H0Y6A0_HUMAN_.pdf")</f>
        <v>Melting_Curves/meltCurve_tr_H0Y6A0_H0Y6A0_HUMAN_.pdf</v>
      </c>
      <c r="AA4450" t="s">
        <v>17579</v>
      </c>
      <c r="AB4450" t="s">
        <v>23264</v>
      </c>
    </row>
    <row r="4451" spans="1:28" x14ac:dyDescent="0.25">
      <c r="A4451" t="s">
        <v>4455</v>
      </c>
      <c r="B4451">
        <v>0.99904790336628502</v>
      </c>
      <c r="C4451">
        <v>1.0073896734722201</v>
      </c>
      <c r="D4451">
        <v>0.95684472817973998</v>
      </c>
      <c r="E4451">
        <v>0.75860390800203303</v>
      </c>
      <c r="F4451">
        <v>0.54322917201537801</v>
      </c>
      <c r="G4451">
        <v>0.34970002737571898</v>
      </c>
      <c r="H4451">
        <v>0.24418470698028499</v>
      </c>
      <c r="I4451">
        <v>0.18490192819831899</v>
      </c>
      <c r="J4451">
        <v>8.5843131315517296E-2</v>
      </c>
      <c r="K4451">
        <v>6.6046291899549206E-2</v>
      </c>
      <c r="L4451">
        <v>758.802344738854</v>
      </c>
      <c r="M4451">
        <v>14.104760697783499</v>
      </c>
      <c r="N4451">
        <v>54.270393130955398</v>
      </c>
      <c r="O4451">
        <v>52.750846097097103</v>
      </c>
      <c r="P4451">
        <v>-6.2989712140647094E-2</v>
      </c>
      <c r="Q4451">
        <v>5.7812138437603799E-2</v>
      </c>
      <c r="R4451">
        <v>0.99411432842958403</v>
      </c>
      <c r="S4451" t="s">
        <v>9191</v>
      </c>
      <c r="T4451" t="s">
        <v>9478</v>
      </c>
      <c r="U4451" t="s">
        <v>9478</v>
      </c>
      <c r="V4451" t="s">
        <v>9478</v>
      </c>
      <c r="W4451">
        <v>10</v>
      </c>
      <c r="X4451" t="s">
        <v>13929</v>
      </c>
      <c r="Y4451">
        <v>0.51221750866051208</v>
      </c>
      <c r="Z4451" t="str">
        <f>HYPERLINK("Melting_Curves/meltCurve_tr_H0Y6C3_H0Y6C3_HUMAN_.pdf", "Melting_Curves/meltCurve_tr_H0Y6C3_H0Y6C3_HUMAN_.pdf")</f>
        <v>Melting_Curves/meltCurve_tr_H0Y6C3_H0Y6C3_HUMAN_.pdf</v>
      </c>
      <c r="AA4451" t="s">
        <v>18578</v>
      </c>
      <c r="AB4451" t="s">
        <v>23265</v>
      </c>
    </row>
    <row r="4452" spans="1:28" x14ac:dyDescent="0.25">
      <c r="A4452" t="s">
        <v>4456</v>
      </c>
      <c r="B4452">
        <v>0.99904790336628502</v>
      </c>
      <c r="C4452">
        <v>1.02153510399725</v>
      </c>
      <c r="D4452">
        <v>1.0490403907991399</v>
      </c>
      <c r="E4452">
        <v>0.92335766126308105</v>
      </c>
      <c r="F4452">
        <v>0.79908420377677203</v>
      </c>
      <c r="G4452">
        <v>0.57797241812855904</v>
      </c>
      <c r="H4452">
        <v>0.48592442899016203</v>
      </c>
      <c r="I4452">
        <v>0.47107746808184803</v>
      </c>
      <c r="J4452">
        <v>0.48194827640607402</v>
      </c>
      <c r="K4452">
        <v>0.421136458725475</v>
      </c>
      <c r="L4452">
        <v>1311.05872591702</v>
      </c>
      <c r="M4452">
        <v>24.197487561643399</v>
      </c>
      <c r="N4452">
        <v>59.936216314322202</v>
      </c>
      <c r="O4452">
        <v>53.815620957566303</v>
      </c>
      <c r="P4452">
        <v>-6.1711030585144003E-2</v>
      </c>
      <c r="Q4452">
        <v>0.45102290600279799</v>
      </c>
      <c r="R4452">
        <v>0.99080852533115005</v>
      </c>
      <c r="S4452" t="s">
        <v>9192</v>
      </c>
      <c r="T4452" t="s">
        <v>9478</v>
      </c>
      <c r="U4452" t="s">
        <v>9478</v>
      </c>
      <c r="V4452" t="s">
        <v>9478</v>
      </c>
      <c r="W4452">
        <v>57</v>
      </c>
      <c r="X4452" t="s">
        <v>13930</v>
      </c>
      <c r="Y4452">
        <v>0.7159244142359128</v>
      </c>
      <c r="Z4452" t="str">
        <f>HYPERLINK("Melting_Curves/meltCurve_tr_H0Y6I0_H0Y6I0_HUMAN_.pdf", "Melting_Curves/meltCurve_tr_H0Y6I0_H0Y6I0_HUMAN_.pdf")</f>
        <v>Melting_Curves/meltCurve_tr_H0Y6I0_H0Y6I0_HUMAN_.pdf</v>
      </c>
      <c r="AA4452" t="s">
        <v>18579</v>
      </c>
      <c r="AB4452" t="s">
        <v>23266</v>
      </c>
    </row>
    <row r="4453" spans="1:28" x14ac:dyDescent="0.25">
      <c r="A4453" t="s">
        <v>4457</v>
      </c>
      <c r="B4453">
        <v>0.99904790336628502</v>
      </c>
      <c r="C4453">
        <v>1.3101059173181</v>
      </c>
      <c r="D4453">
        <v>0.86340141626145495</v>
      </c>
      <c r="E4453">
        <v>1.1684857728617899</v>
      </c>
      <c r="F4453">
        <v>1.0863016859152399</v>
      </c>
      <c r="G4453">
        <v>0.93392761323626705</v>
      </c>
      <c r="H4453">
        <v>0.83372941318160798</v>
      </c>
      <c r="I4453">
        <v>0.98284771704736196</v>
      </c>
      <c r="J4453">
        <v>1.52708987116285</v>
      </c>
      <c r="K4453">
        <v>1.4697353359525001</v>
      </c>
      <c r="L4453">
        <v>15000</v>
      </c>
      <c r="M4453">
        <v>229.322805585379</v>
      </c>
      <c r="O4453">
        <v>65.405016752936106</v>
      </c>
      <c r="P4453">
        <v>0.43771368137142003</v>
      </c>
      <c r="Q4453">
        <v>1.49936011125017</v>
      </c>
      <c r="R4453">
        <v>0.65985049407118501</v>
      </c>
      <c r="S4453" t="s">
        <v>9193</v>
      </c>
      <c r="T4453" t="s">
        <v>9478</v>
      </c>
      <c r="U4453" t="s">
        <v>9478</v>
      </c>
      <c r="V4453" t="s">
        <v>9478</v>
      </c>
      <c r="W4453">
        <v>1</v>
      </c>
      <c r="X4453" t="s">
        <v>13931</v>
      </c>
      <c r="Y4453">
        <v>1.0763343113242541</v>
      </c>
      <c r="Z4453" t="str">
        <f>HYPERLINK("Melting_Curves/meltCurve_tr_H0Y7P1_H0Y7P1_HUMAN_.pdf", "Melting_Curves/meltCurve_tr_H0Y7P1_H0Y7P1_HUMAN_.pdf")</f>
        <v>Melting_Curves/meltCurve_tr_H0Y7P1_H0Y7P1_HUMAN_.pdf</v>
      </c>
      <c r="AA4453" t="s">
        <v>18580</v>
      </c>
      <c r="AB4453" t="s">
        <v>23267</v>
      </c>
    </row>
    <row r="4454" spans="1:28" x14ac:dyDescent="0.25">
      <c r="A4454" t="s">
        <v>4458</v>
      </c>
      <c r="B4454">
        <v>0.99904790336628502</v>
      </c>
      <c r="C4454">
        <v>1.28131803696208</v>
      </c>
      <c r="D4454">
        <v>1.2087603879545801</v>
      </c>
      <c r="E4454">
        <v>1.1943117751727601</v>
      </c>
      <c r="F4454">
        <v>1.22766497754877</v>
      </c>
      <c r="G4454">
        <v>0.87395630286088899</v>
      </c>
      <c r="H4454">
        <v>0.71408176465161899</v>
      </c>
      <c r="I4454">
        <v>0.71853468151740896</v>
      </c>
      <c r="J4454">
        <v>0.68594508700345402</v>
      </c>
      <c r="K4454">
        <v>0.69194497888221396</v>
      </c>
      <c r="L4454">
        <v>14267.4967853055</v>
      </c>
      <c r="M4454">
        <v>250</v>
      </c>
      <c r="O4454">
        <v>57.0663350305623</v>
      </c>
      <c r="P4454">
        <v>-0.32568827608485601</v>
      </c>
      <c r="Q4454">
        <v>0.70262661983899599</v>
      </c>
      <c r="R4454">
        <v>0.62374820887771798</v>
      </c>
      <c r="S4454" t="s">
        <v>9194</v>
      </c>
      <c r="T4454" t="s">
        <v>9478</v>
      </c>
      <c r="U4454" t="s">
        <v>9478</v>
      </c>
      <c r="V4454" t="s">
        <v>9478</v>
      </c>
      <c r="W4454">
        <v>4</v>
      </c>
      <c r="X4454" t="s">
        <v>13932</v>
      </c>
      <c r="Y4454">
        <v>0.87186172969622922</v>
      </c>
      <c r="Z4454" t="str">
        <f>HYPERLINK("Melting_Curves/meltCurve_tr_H0Y7U4_H0Y7U4_HUMAN_.pdf", "Melting_Curves/meltCurve_tr_H0Y7U4_H0Y7U4_HUMAN_.pdf")</f>
        <v>Melting_Curves/meltCurve_tr_H0Y7U4_H0Y7U4_HUMAN_.pdf</v>
      </c>
      <c r="AA4454" t="s">
        <v>18581</v>
      </c>
      <c r="AB4454" t="s">
        <v>23268</v>
      </c>
    </row>
    <row r="4455" spans="1:28" x14ac:dyDescent="0.25">
      <c r="A4455" t="s">
        <v>4459</v>
      </c>
      <c r="B4455">
        <v>0.99904790336628502</v>
      </c>
      <c r="C4455">
        <v>0.92846074620485097</v>
      </c>
      <c r="D4455">
        <v>1.0096600739897399</v>
      </c>
      <c r="E4455">
        <v>0.91072065448489103</v>
      </c>
      <c r="F4455">
        <v>1.1142480657242599</v>
      </c>
      <c r="G4455">
        <v>0.85967265190301501</v>
      </c>
      <c r="H4455">
        <v>0.75639953342073796</v>
      </c>
      <c r="I4455">
        <v>0.66184365360361397</v>
      </c>
      <c r="J4455">
        <v>0.60351194194628899</v>
      </c>
      <c r="K4455">
        <v>0.68540961096499997</v>
      </c>
      <c r="L4455">
        <v>1908.3974168412401</v>
      </c>
      <c r="M4455">
        <v>32.566594387074097</v>
      </c>
      <c r="O4455">
        <v>58.380215365953198</v>
      </c>
      <c r="P4455">
        <v>-4.9235766718549998E-2</v>
      </c>
      <c r="Q4455">
        <v>0.64695342424879798</v>
      </c>
      <c r="R4455">
        <v>0.86482833554052096</v>
      </c>
      <c r="S4455" t="s">
        <v>9195</v>
      </c>
      <c r="T4455" t="s">
        <v>9478</v>
      </c>
      <c r="U4455" t="s">
        <v>9478</v>
      </c>
      <c r="V4455" t="s">
        <v>9478</v>
      </c>
      <c r="W4455">
        <v>8</v>
      </c>
      <c r="X4455" t="s">
        <v>13933</v>
      </c>
      <c r="Y4455">
        <v>0.86784605065731901</v>
      </c>
      <c r="Z4455" t="str">
        <f>HYPERLINK("Melting_Curves/meltCurve_tr_H0Y8L5_H0Y8L5_HUMAN_.pdf", "Melting_Curves/meltCurve_tr_H0Y8L5_H0Y8L5_HUMAN_.pdf")</f>
        <v>Melting_Curves/meltCurve_tr_H0Y8L5_H0Y8L5_HUMAN_.pdf</v>
      </c>
      <c r="AA4455" t="s">
        <v>16382</v>
      </c>
      <c r="AB4455" t="s">
        <v>23269</v>
      </c>
    </row>
    <row r="4456" spans="1:28" x14ac:dyDescent="0.25">
      <c r="A4456" t="s">
        <v>4460</v>
      </c>
      <c r="B4456">
        <v>0.99904790336628502</v>
      </c>
      <c r="C4456">
        <v>0.93377855507750196</v>
      </c>
      <c r="D4456">
        <v>0.88000610658659995</v>
      </c>
      <c r="E4456">
        <v>0.88318993206955598</v>
      </c>
      <c r="F4456">
        <v>0.98256828754440995</v>
      </c>
      <c r="G4456">
        <v>0.64957627215586999</v>
      </c>
      <c r="H4456">
        <v>0.64483893880675003</v>
      </c>
      <c r="I4456">
        <v>0.54880851563867505</v>
      </c>
      <c r="J4456">
        <v>0.56705646742869398</v>
      </c>
      <c r="K4456">
        <v>0.53801234534498199</v>
      </c>
      <c r="L4456">
        <v>713.59282905595296</v>
      </c>
      <c r="M4456">
        <v>12.624354269271301</v>
      </c>
      <c r="O4456">
        <v>55.163040488792099</v>
      </c>
      <c r="P4456">
        <v>-2.9480236168456901E-2</v>
      </c>
      <c r="Q4456">
        <v>0.48483776843769799</v>
      </c>
      <c r="R4456">
        <v>0.87599419189181404</v>
      </c>
      <c r="S4456" t="s">
        <v>9196</v>
      </c>
      <c r="T4456" t="s">
        <v>9478</v>
      </c>
      <c r="U4456" t="s">
        <v>9478</v>
      </c>
      <c r="V4456" t="s">
        <v>9478</v>
      </c>
      <c r="W4456">
        <v>1</v>
      </c>
      <c r="X4456" t="s">
        <v>13934</v>
      </c>
      <c r="Y4456">
        <v>0.77806115198544856</v>
      </c>
      <c r="Z4456" t="str">
        <f>HYPERLINK("Melting_Curves/meltCurve_tr_H0Y9C8_H0Y9C8_HUMAN_.pdf", "Melting_Curves/meltCurve_tr_H0Y9C8_H0Y9C8_HUMAN_.pdf")</f>
        <v>Melting_Curves/meltCurve_tr_H0Y9C8_H0Y9C8_HUMAN_.pdf</v>
      </c>
      <c r="AA4456" t="s">
        <v>18582</v>
      </c>
      <c r="AB4456" t="s">
        <v>23270</v>
      </c>
    </row>
    <row r="4457" spans="1:28" x14ac:dyDescent="0.25">
      <c r="A4457" t="s">
        <v>4461</v>
      </c>
      <c r="B4457">
        <v>0.99904790336628502</v>
      </c>
      <c r="C4457">
        <v>1.17348843760428</v>
      </c>
      <c r="D4457">
        <v>1.2269833555426499</v>
      </c>
      <c r="E4457">
        <v>0.95408770275932997</v>
      </c>
      <c r="F4457">
        <v>1.0030356949621899</v>
      </c>
      <c r="G4457">
        <v>0.56261668423202105</v>
      </c>
      <c r="H4457">
        <v>0.34691788969328202</v>
      </c>
      <c r="I4457">
        <v>0.35995091945002899</v>
      </c>
      <c r="J4457">
        <v>0.27865374588171499</v>
      </c>
      <c r="K4457">
        <v>0.31378116649122301</v>
      </c>
      <c r="L4457">
        <v>3680.5194699633598</v>
      </c>
      <c r="M4457">
        <v>65.164108583682804</v>
      </c>
      <c r="N4457">
        <v>57.396309233913698</v>
      </c>
      <c r="O4457">
        <v>56.427656248834197</v>
      </c>
      <c r="P4457">
        <v>-0.19540447706286601</v>
      </c>
      <c r="Q4457">
        <v>0.32317260901873601</v>
      </c>
      <c r="R4457">
        <v>0.93407149515954702</v>
      </c>
      <c r="S4457" t="s">
        <v>9197</v>
      </c>
      <c r="T4457" t="s">
        <v>9478</v>
      </c>
      <c r="U4457" t="s">
        <v>9478</v>
      </c>
      <c r="V4457" t="s">
        <v>9478</v>
      </c>
      <c r="W4457">
        <v>1</v>
      </c>
      <c r="X4457" t="s">
        <v>13935</v>
      </c>
      <c r="Y4457">
        <v>0.69598434099024575</v>
      </c>
      <c r="Z4457" t="str">
        <f>HYPERLINK("Melting_Curves/meltCurve_tr_H0Y9D7_H0Y9D7_HUMAN_.pdf", "Melting_Curves/meltCurve_tr_H0Y9D7_H0Y9D7_HUMAN_.pdf")</f>
        <v>Melting_Curves/meltCurve_tr_H0Y9D7_H0Y9D7_HUMAN_.pdf</v>
      </c>
      <c r="AA4457" t="s">
        <v>18583</v>
      </c>
      <c r="AB4457" t="s">
        <v>23271</v>
      </c>
    </row>
    <row r="4458" spans="1:28" x14ac:dyDescent="0.25">
      <c r="A4458" t="s">
        <v>4462</v>
      </c>
      <c r="B4458">
        <v>0.99904790336628502</v>
      </c>
      <c r="C4458">
        <v>1.02460141561982</v>
      </c>
      <c r="D4458">
        <v>0.98299981492637301</v>
      </c>
      <c r="E4458">
        <v>1.02767199296169</v>
      </c>
      <c r="F4458">
        <v>0.93307559202275903</v>
      </c>
      <c r="G4458">
        <v>0.73539918134482296</v>
      </c>
      <c r="H4458">
        <v>0.52605896476825198</v>
      </c>
      <c r="I4458">
        <v>0.519568814071523</v>
      </c>
      <c r="J4458">
        <v>0.57761462739445202</v>
      </c>
      <c r="K4458">
        <v>0.53519799799311796</v>
      </c>
      <c r="L4458">
        <v>2103.10440864866</v>
      </c>
      <c r="M4458">
        <v>37.305621925247301</v>
      </c>
      <c r="O4458">
        <v>56.213742938503401</v>
      </c>
      <c r="P4458">
        <v>-7.7366830934721395E-2</v>
      </c>
      <c r="Q4458">
        <v>0.53368239757894698</v>
      </c>
      <c r="R4458">
        <v>0.98673562650153301</v>
      </c>
      <c r="S4458" t="s">
        <v>9198</v>
      </c>
      <c r="T4458" t="s">
        <v>9478</v>
      </c>
      <c r="U4458" t="s">
        <v>9478</v>
      </c>
      <c r="V4458" t="s">
        <v>9478</v>
      </c>
      <c r="W4458">
        <v>6</v>
      </c>
      <c r="X4458" t="s">
        <v>13936</v>
      </c>
      <c r="Y4458">
        <v>0.79027927915755003</v>
      </c>
      <c r="Z4458" t="str">
        <f>HYPERLINK("Melting_Curves/meltCurve_tr_H0YA52_H0YA52_HUMAN_.pdf", "Melting_Curves/meltCurve_tr_H0YA52_H0YA52_HUMAN_.pdf")</f>
        <v>Melting_Curves/meltCurve_tr_H0YA52_H0YA52_HUMAN_.pdf</v>
      </c>
      <c r="AA4458" t="s">
        <v>18584</v>
      </c>
      <c r="AB4458" t="s">
        <v>23272</v>
      </c>
    </row>
    <row r="4459" spans="1:28" x14ac:dyDescent="0.25">
      <c r="A4459" t="s">
        <v>4463</v>
      </c>
      <c r="B4459">
        <v>0.99904790336628502</v>
      </c>
      <c r="C4459">
        <v>0.88768258153864998</v>
      </c>
      <c r="D4459">
        <v>0.99381635477102304</v>
      </c>
      <c r="E4459">
        <v>0.90203352923184499</v>
      </c>
      <c r="F4459">
        <v>0.59889748239872798</v>
      </c>
      <c r="G4459">
        <v>0.28720881901197098</v>
      </c>
      <c r="H4459">
        <v>0.16027338218041701</v>
      </c>
      <c r="I4459">
        <v>0.12872836238887</v>
      </c>
      <c r="J4459">
        <v>0.11156109504555101</v>
      </c>
      <c r="K4459">
        <v>9.4105015227727101E-2</v>
      </c>
      <c r="L4459">
        <v>1324.01918704938</v>
      </c>
      <c r="M4459">
        <v>24.676499951679201</v>
      </c>
      <c r="N4459">
        <v>54.183687944282703</v>
      </c>
      <c r="O4459">
        <v>53.3064197353509</v>
      </c>
      <c r="P4459">
        <v>-0.103350221564336</v>
      </c>
      <c r="Q4459">
        <v>0.106979951178222</v>
      </c>
      <c r="R4459">
        <v>0.99014931972909903</v>
      </c>
      <c r="S4459" t="s">
        <v>9199</v>
      </c>
      <c r="T4459" t="s">
        <v>9478</v>
      </c>
      <c r="U4459" t="s">
        <v>9478</v>
      </c>
      <c r="V4459" t="s">
        <v>9478</v>
      </c>
      <c r="W4459">
        <v>8</v>
      </c>
      <c r="X4459" t="s">
        <v>13937</v>
      </c>
      <c r="Y4459">
        <v>0.52190820082006906</v>
      </c>
      <c r="Z4459" t="str">
        <f>HYPERLINK("Melting_Curves/meltCurve_tr_H0YA68_H0YA68_HUMAN_.pdf", "Melting_Curves/meltCurve_tr_H0YA68_H0YA68_HUMAN_.pdf")</f>
        <v>Melting_Curves/meltCurve_tr_H0YA68_H0YA68_HUMAN_.pdf</v>
      </c>
      <c r="AA4459" t="s">
        <v>18585</v>
      </c>
      <c r="AB4459" t="s">
        <v>23273</v>
      </c>
    </row>
    <row r="4460" spans="1:28" x14ac:dyDescent="0.25">
      <c r="A4460" t="s">
        <v>4464</v>
      </c>
      <c r="B4460">
        <v>0.99904790336628502</v>
      </c>
      <c r="C4460">
        <v>0.94784682382142704</v>
      </c>
      <c r="D4460">
        <v>0.98562207947020197</v>
      </c>
      <c r="E4460">
        <v>0.85948280471713401</v>
      </c>
      <c r="F4460">
        <v>0.76341320483728703</v>
      </c>
      <c r="G4460">
        <v>0.655739419156943</v>
      </c>
      <c r="H4460">
        <v>0.40813131121474</v>
      </c>
      <c r="I4460">
        <v>0.42501424019193201</v>
      </c>
      <c r="J4460">
        <v>0.34873423825312599</v>
      </c>
      <c r="K4460">
        <v>0.34985029146465102</v>
      </c>
      <c r="L4460">
        <v>730.84478704365199</v>
      </c>
      <c r="M4460">
        <v>13.032592845348001</v>
      </c>
      <c r="N4460">
        <v>59.9431083123688</v>
      </c>
      <c r="O4460">
        <v>54.807177893177403</v>
      </c>
      <c r="P4460">
        <v>-4.2559603531514799E-2</v>
      </c>
      <c r="Q4460">
        <v>0.28420586128102898</v>
      </c>
      <c r="R4460">
        <v>0.98518902714868495</v>
      </c>
      <c r="S4460" t="s">
        <v>9200</v>
      </c>
      <c r="T4460" t="s">
        <v>9478</v>
      </c>
      <c r="U4460" t="s">
        <v>9478</v>
      </c>
      <c r="V4460" t="s">
        <v>9478</v>
      </c>
      <c r="W4460">
        <v>3</v>
      </c>
      <c r="X4460" t="s">
        <v>13938</v>
      </c>
      <c r="Y4460">
        <v>0.68170825994548845</v>
      </c>
      <c r="Z4460" t="str">
        <f>HYPERLINK("Melting_Curves/meltCurve_tr_H0YAJ5_H0YAJ5_HUMAN_.pdf", "Melting_Curves/meltCurve_tr_H0YAJ5_H0YAJ5_HUMAN_.pdf")</f>
        <v>Melting_Curves/meltCurve_tr_H0YAJ5_H0YAJ5_HUMAN_.pdf</v>
      </c>
      <c r="AA4460" t="s">
        <v>18586</v>
      </c>
      <c r="AB4460" t="s">
        <v>23274</v>
      </c>
    </row>
    <row r="4461" spans="1:28" x14ac:dyDescent="0.25">
      <c r="A4461" t="s">
        <v>4465</v>
      </c>
      <c r="B4461">
        <v>0.99904790336628502</v>
      </c>
      <c r="C4461">
        <v>0.98180536063212698</v>
      </c>
      <c r="D4461">
        <v>0.51380057338969198</v>
      </c>
      <c r="E4461">
        <v>0.22897515916667099</v>
      </c>
      <c r="F4461">
        <v>0.156594068696152</v>
      </c>
      <c r="G4461">
        <v>0.10811000746166601</v>
      </c>
      <c r="H4461">
        <v>6.36492125594353E-2</v>
      </c>
      <c r="I4461">
        <v>6.01574496466456E-2</v>
      </c>
      <c r="J4461">
        <v>4.26470272218962E-2</v>
      </c>
      <c r="K4461">
        <v>4.2496834293740099E-2</v>
      </c>
      <c r="L4461">
        <v>1250.23728698165</v>
      </c>
      <c r="M4461">
        <v>27.0337546029523</v>
      </c>
      <c r="N4461">
        <v>46.532341763180902</v>
      </c>
      <c r="O4461">
        <v>45.996428900567899</v>
      </c>
      <c r="P4461">
        <v>-0.13572247506357299</v>
      </c>
      <c r="Q4461">
        <v>7.6312155802649606E-2</v>
      </c>
      <c r="R4461">
        <v>0.98590948910750797</v>
      </c>
      <c r="S4461" t="s">
        <v>9201</v>
      </c>
      <c r="T4461" t="s">
        <v>9478</v>
      </c>
      <c r="U4461" t="s">
        <v>9478</v>
      </c>
      <c r="V4461" t="s">
        <v>9478</v>
      </c>
      <c r="W4461">
        <v>2</v>
      </c>
      <c r="X4461" t="s">
        <v>13939</v>
      </c>
      <c r="Y4461">
        <v>0.27572558165753391</v>
      </c>
      <c r="Z4461" t="str">
        <f>HYPERLINK("Melting_Curves/meltCurve_tr_H0YAL7_H0YAL7_HUMAN_.pdf", "Melting_Curves/meltCurve_tr_H0YAL7_H0YAL7_HUMAN_.pdf")</f>
        <v>Melting_Curves/meltCurve_tr_H0YAL7_H0YAL7_HUMAN_.pdf</v>
      </c>
      <c r="AA4461" t="s">
        <v>18587</v>
      </c>
      <c r="AB4461" t="s">
        <v>23275</v>
      </c>
    </row>
    <row r="4462" spans="1:28" x14ac:dyDescent="0.25">
      <c r="A4462" t="s">
        <v>4466</v>
      </c>
      <c r="B4462">
        <v>0.99904790336628502</v>
      </c>
      <c r="C4462">
        <v>1.15709226534548</v>
      </c>
      <c r="D4462">
        <v>1.0274600644827601</v>
      </c>
      <c r="E4462">
        <v>0.92527121626637898</v>
      </c>
      <c r="F4462">
        <v>0.97560855864433105</v>
      </c>
      <c r="G4462">
        <v>0.41647568384645001</v>
      </c>
      <c r="H4462">
        <v>0.270877301121279</v>
      </c>
      <c r="I4462">
        <v>0.14057257331520101</v>
      </c>
      <c r="J4462">
        <v>6.5596623029647499E-2</v>
      </c>
      <c r="K4462">
        <v>5.3569833535339499E-2</v>
      </c>
      <c r="L4462">
        <v>1755.5078106743899</v>
      </c>
      <c r="M4462">
        <v>31.104591353782698</v>
      </c>
      <c r="N4462">
        <v>56.826978836793302</v>
      </c>
      <c r="O4462">
        <v>56.207119696057099</v>
      </c>
      <c r="P4462">
        <v>-0.12510967456672401</v>
      </c>
      <c r="Q4462">
        <v>9.5694307808327897E-2</v>
      </c>
      <c r="R4462">
        <v>0.97151436993221396</v>
      </c>
      <c r="S4462" t="s">
        <v>9202</v>
      </c>
      <c r="T4462" t="s">
        <v>9478</v>
      </c>
      <c r="U4462" t="s">
        <v>9478</v>
      </c>
      <c r="V4462" t="s">
        <v>9478</v>
      </c>
      <c r="W4462">
        <v>3</v>
      </c>
      <c r="X4462" t="s">
        <v>13940</v>
      </c>
      <c r="Y4462">
        <v>0.59686860124538332</v>
      </c>
      <c r="Z4462" t="str">
        <f>HYPERLINK("Melting_Curves/meltCurve_tr_H0YAT2_H0YAT2_HUMAN_.pdf", "Melting_Curves/meltCurve_tr_H0YAT2_H0YAT2_HUMAN_.pdf")</f>
        <v>Melting_Curves/meltCurve_tr_H0YAT2_H0YAT2_HUMAN_.pdf</v>
      </c>
      <c r="AA4462" t="s">
        <v>18588</v>
      </c>
      <c r="AB4462" t="s">
        <v>23276</v>
      </c>
    </row>
    <row r="4463" spans="1:28" x14ac:dyDescent="0.25">
      <c r="A4463" t="s">
        <v>4467</v>
      </c>
      <c r="B4463">
        <v>0.99904790336628502</v>
      </c>
      <c r="C4463">
        <v>1.0290487148996399</v>
      </c>
      <c r="D4463">
        <v>0.96567474324129898</v>
      </c>
      <c r="E4463">
        <v>0.83177609918502904</v>
      </c>
      <c r="F4463">
        <v>0.88337676948650201</v>
      </c>
      <c r="G4463">
        <v>0.63004547628552099</v>
      </c>
      <c r="H4463">
        <v>0.54982030658098902</v>
      </c>
      <c r="I4463">
        <v>0.51583099995703596</v>
      </c>
      <c r="J4463">
        <v>0.56062036160975104</v>
      </c>
      <c r="K4463">
        <v>0.495177730366752</v>
      </c>
      <c r="L4463">
        <v>882.57580669886897</v>
      </c>
      <c r="M4463">
        <v>16.201460549277201</v>
      </c>
      <c r="O4463">
        <v>53.665445673719198</v>
      </c>
      <c r="P4463">
        <v>-3.8354110498843901E-2</v>
      </c>
      <c r="Q4463">
        <v>0.49186408562290801</v>
      </c>
      <c r="R4463">
        <v>0.96033511590656995</v>
      </c>
      <c r="S4463" t="s">
        <v>9203</v>
      </c>
      <c r="T4463" t="s">
        <v>9478</v>
      </c>
      <c r="U4463" t="s">
        <v>9478</v>
      </c>
      <c r="V4463" t="s">
        <v>9478</v>
      </c>
      <c r="W4463">
        <v>1</v>
      </c>
      <c r="X4463" t="s">
        <v>13941</v>
      </c>
      <c r="Y4463">
        <v>0.74627757607525858</v>
      </c>
      <c r="Z4463" t="str">
        <f>HYPERLINK("Melting_Curves/meltCurve_tr_H0YBE8_H0YBE8_HUMAN_.pdf", "Melting_Curves/meltCurve_tr_H0YBE8_H0YBE8_HUMAN_.pdf")</f>
        <v>Melting_Curves/meltCurve_tr_H0YBE8_H0YBE8_HUMAN_.pdf</v>
      </c>
      <c r="AA4463" t="s">
        <v>18589</v>
      </c>
      <c r="AB4463" t="s">
        <v>23277</v>
      </c>
    </row>
    <row r="4464" spans="1:28" x14ac:dyDescent="0.25">
      <c r="A4464" t="s">
        <v>4468</v>
      </c>
      <c r="B4464">
        <v>0.99904790336628502</v>
      </c>
      <c r="C4464">
        <v>1.0115034229998701</v>
      </c>
      <c r="D4464">
        <v>0.86645855275238504</v>
      </c>
      <c r="E4464">
        <v>1.0222931041887799</v>
      </c>
      <c r="F4464">
        <v>1.04919995211996</v>
      </c>
      <c r="G4464">
        <v>0.663878324366033</v>
      </c>
      <c r="H4464">
        <v>0.924917679380719</v>
      </c>
      <c r="I4464">
        <v>0.79174666702830598</v>
      </c>
      <c r="J4464">
        <v>0.62133113239951498</v>
      </c>
      <c r="K4464">
        <v>0.66004795293171103</v>
      </c>
      <c r="L4464">
        <v>450.53042267337401</v>
      </c>
      <c r="M4464">
        <v>6.1036790835253196</v>
      </c>
      <c r="O4464">
        <v>67.066063639199101</v>
      </c>
      <c r="P4464">
        <v>-1.9861063484126501E-2</v>
      </c>
      <c r="Q4464">
        <v>0.12973267997055599</v>
      </c>
      <c r="R4464">
        <v>0.60528834005842902</v>
      </c>
      <c r="S4464" t="s">
        <v>9204</v>
      </c>
      <c r="T4464" t="s">
        <v>9478</v>
      </c>
      <c r="U4464" t="s">
        <v>9478</v>
      </c>
      <c r="V4464" t="s">
        <v>9478</v>
      </c>
      <c r="W4464">
        <v>1</v>
      </c>
      <c r="X4464" t="s">
        <v>13942</v>
      </c>
      <c r="Y4464">
        <v>0.87149877499499273</v>
      </c>
      <c r="Z4464" t="str">
        <f>HYPERLINK("Melting_Curves/meltCurve_tr_H0YBY0_H0YBY0_HUMAN_.pdf", "Melting_Curves/meltCurve_tr_H0YBY0_H0YBY0_HUMAN_.pdf")</f>
        <v>Melting_Curves/meltCurve_tr_H0YBY0_H0YBY0_HUMAN_.pdf</v>
      </c>
      <c r="AA4464" t="s">
        <v>18590</v>
      </c>
      <c r="AB4464" t="s">
        <v>23278</v>
      </c>
    </row>
    <row r="4465" spans="1:28" x14ac:dyDescent="0.25">
      <c r="A4465" t="s">
        <v>4469</v>
      </c>
      <c r="B4465">
        <v>0.99904790336628502</v>
      </c>
      <c r="C4465">
        <v>0.98156530989209301</v>
      </c>
      <c r="D4465">
        <v>1.0019546070465599</v>
      </c>
      <c r="E4465">
        <v>0.83184576996404003</v>
      </c>
      <c r="F4465">
        <v>0.88593972270904398</v>
      </c>
      <c r="G4465">
        <v>0.50523558325045204</v>
      </c>
      <c r="H4465">
        <v>0.41546176223130998</v>
      </c>
      <c r="I4465">
        <v>0.35798482136561499</v>
      </c>
      <c r="J4465">
        <v>0.42704190620715399</v>
      </c>
      <c r="K4465">
        <v>0.41456783520812701</v>
      </c>
      <c r="L4465">
        <v>1506.3038418620699</v>
      </c>
      <c r="M4465">
        <v>27.5773303438455</v>
      </c>
      <c r="N4465">
        <v>57.776590624067602</v>
      </c>
      <c r="O4465">
        <v>54.336296703584502</v>
      </c>
      <c r="P4465">
        <v>-7.7510951099514003E-2</v>
      </c>
      <c r="Q4465">
        <v>0.38911858468003602</v>
      </c>
      <c r="R4465">
        <v>0.96428334586814901</v>
      </c>
      <c r="S4465" t="s">
        <v>9205</v>
      </c>
      <c r="T4465" t="s">
        <v>9478</v>
      </c>
      <c r="U4465" t="s">
        <v>9478</v>
      </c>
      <c r="V4465" t="s">
        <v>9478</v>
      </c>
      <c r="W4465">
        <v>5</v>
      </c>
      <c r="X4465" t="s">
        <v>13943</v>
      </c>
      <c r="Y4465">
        <v>0.69157567861994418</v>
      </c>
      <c r="Z4465" t="str">
        <f>HYPERLINK("Melting_Curves/meltCurve_tr_H0YBZ4_H0YBZ4_HUMAN_.pdf", "Melting_Curves/meltCurve_tr_H0YBZ4_H0YBZ4_HUMAN_.pdf")</f>
        <v>Melting_Curves/meltCurve_tr_H0YBZ4_H0YBZ4_HUMAN_.pdf</v>
      </c>
      <c r="AA4465" t="s">
        <v>18591</v>
      </c>
      <c r="AB4465" t="s">
        <v>23279</v>
      </c>
    </row>
    <row r="4466" spans="1:28" x14ac:dyDescent="0.25">
      <c r="A4466" t="s">
        <v>4470</v>
      </c>
      <c r="B4466">
        <v>0.99904790336628502</v>
      </c>
      <c r="C4466">
        <v>0.97168647223325699</v>
      </c>
      <c r="D4466">
        <v>0.77806324577813102</v>
      </c>
      <c r="E4466">
        <v>0.876666672287291</v>
      </c>
      <c r="F4466">
        <v>0.65540378536649302</v>
      </c>
      <c r="G4466">
        <v>0.530855008489861</v>
      </c>
      <c r="H4466">
        <v>0.50151311648951502</v>
      </c>
      <c r="I4466">
        <v>0.28797171264670501</v>
      </c>
      <c r="J4466">
        <v>0.38106313639594602</v>
      </c>
      <c r="K4466">
        <v>0.34023404177660799</v>
      </c>
      <c r="L4466">
        <v>514.41057124584404</v>
      </c>
      <c r="M4466">
        <v>9.38218509615667</v>
      </c>
      <c r="N4466">
        <v>58.705142097481499</v>
      </c>
      <c r="O4466">
        <v>52.510588460538898</v>
      </c>
      <c r="P4466">
        <v>-3.4374979937957503E-2</v>
      </c>
      <c r="Q4466">
        <v>0.230911974992869</v>
      </c>
      <c r="R4466">
        <v>0.93742774518189997</v>
      </c>
      <c r="S4466" t="s">
        <v>9206</v>
      </c>
      <c r="T4466" t="s">
        <v>9478</v>
      </c>
      <c r="U4466" t="s">
        <v>9478</v>
      </c>
      <c r="V4466" t="s">
        <v>9478</v>
      </c>
      <c r="W4466">
        <v>1</v>
      </c>
      <c r="X4466" t="s">
        <v>13944</v>
      </c>
      <c r="Y4466">
        <v>0.63207566842793916</v>
      </c>
      <c r="Z4466" t="str">
        <f>HYPERLINK("Melting_Curves/meltCurve_tr_H0YBZ9_H0YBZ9_HUMAN_.pdf", "Melting_Curves/meltCurve_tr_H0YBZ9_H0YBZ9_HUMAN_.pdf")</f>
        <v>Melting_Curves/meltCurve_tr_H0YBZ9_H0YBZ9_HUMAN_.pdf</v>
      </c>
      <c r="AA4466" t="s">
        <v>18592</v>
      </c>
      <c r="AB4466" t="s">
        <v>23280</v>
      </c>
    </row>
    <row r="4467" spans="1:28" x14ac:dyDescent="0.25">
      <c r="A4467" t="s">
        <v>4471</v>
      </c>
      <c r="B4467">
        <v>0.99904790336628502</v>
      </c>
      <c r="C4467">
        <v>0.90075351938145698</v>
      </c>
      <c r="D4467">
        <v>0.88492636603647401</v>
      </c>
      <c r="E4467">
        <v>0.79288295650442797</v>
      </c>
      <c r="F4467">
        <v>0.83531362742833204</v>
      </c>
      <c r="G4467">
        <v>0.568368451258637</v>
      </c>
      <c r="H4467">
        <v>0.27809977403091501</v>
      </c>
      <c r="I4467">
        <v>0.17100101529143</v>
      </c>
      <c r="J4467">
        <v>0.11712100921697199</v>
      </c>
      <c r="K4467">
        <v>0.10141233820269201</v>
      </c>
      <c r="L4467">
        <v>763.41139125260702</v>
      </c>
      <c r="M4467">
        <v>13.292254438979599</v>
      </c>
      <c r="N4467">
        <v>57.432801614559502</v>
      </c>
      <c r="O4467">
        <v>56.179585396102098</v>
      </c>
      <c r="P4467">
        <v>-5.9160315631675502E-2</v>
      </c>
      <c r="Q4467">
        <v>0</v>
      </c>
      <c r="R4467">
        <v>0.97203380068189904</v>
      </c>
      <c r="S4467" t="s">
        <v>9207</v>
      </c>
      <c r="T4467" t="s">
        <v>9478</v>
      </c>
      <c r="U4467" t="s">
        <v>9478</v>
      </c>
      <c r="V4467" t="s">
        <v>9478</v>
      </c>
      <c r="W4467">
        <v>1</v>
      </c>
      <c r="X4467" t="s">
        <v>13945</v>
      </c>
      <c r="Y4467">
        <v>0.59638716496653499</v>
      </c>
      <c r="Z4467" t="str">
        <f>HYPERLINK("Melting_Curves/meltCurve_tr_H0YCU9_H0YCU9_HUMAN_.pdf", "Melting_Curves/meltCurve_tr_H0YCU9_H0YCU9_HUMAN_.pdf")</f>
        <v>Melting_Curves/meltCurve_tr_H0YCU9_H0YCU9_HUMAN_.pdf</v>
      </c>
      <c r="AA4467" t="s">
        <v>18593</v>
      </c>
      <c r="AB4467" t="s">
        <v>23281</v>
      </c>
    </row>
    <row r="4468" spans="1:28" x14ac:dyDescent="0.25">
      <c r="A4468" t="s">
        <v>4472</v>
      </c>
      <c r="B4468">
        <v>0.99904790336628502</v>
      </c>
      <c r="C4468">
        <v>0.79613001009896001</v>
      </c>
      <c r="D4468">
        <v>0.72491270976252697</v>
      </c>
      <c r="E4468">
        <v>0.66256485631369999</v>
      </c>
      <c r="F4468">
        <v>1.15069059540635</v>
      </c>
      <c r="G4468">
        <v>0.82180551368531196</v>
      </c>
      <c r="H4468">
        <v>0.39523418272232702</v>
      </c>
      <c r="I4468">
        <v>0.52550200975032202</v>
      </c>
      <c r="J4468">
        <v>0.25370457479083502</v>
      </c>
      <c r="K4468">
        <v>0.23241828236106399</v>
      </c>
      <c r="L4468">
        <v>684.09234550462202</v>
      </c>
      <c r="M4468">
        <v>10.9968862313783</v>
      </c>
      <c r="N4468">
        <v>62.207822405986498</v>
      </c>
      <c r="O4468">
        <v>60.2569085091544</v>
      </c>
      <c r="P4468">
        <v>-4.5640428996602797E-2</v>
      </c>
      <c r="Q4468">
        <v>0</v>
      </c>
      <c r="R4468">
        <v>0.63845183058199795</v>
      </c>
      <c r="S4468" t="s">
        <v>9208</v>
      </c>
      <c r="T4468" t="s">
        <v>9478</v>
      </c>
      <c r="U4468" t="s">
        <v>9478</v>
      </c>
      <c r="V4468" t="s">
        <v>9478</v>
      </c>
      <c r="W4468">
        <v>16</v>
      </c>
      <c r="X4468" t="s">
        <v>13946</v>
      </c>
      <c r="Y4468">
        <v>0.72270385258827474</v>
      </c>
      <c r="Z4468" t="str">
        <f>HYPERLINK("Melting_Curves/meltCurve_tr_H0YDQ3_H0YDQ3_HUMAN_.pdf", "Melting_Curves/meltCurve_tr_H0YDQ3_H0YDQ3_HUMAN_.pdf")</f>
        <v>Melting_Curves/meltCurve_tr_H0YDQ3_H0YDQ3_HUMAN_.pdf</v>
      </c>
      <c r="AA4468" t="s">
        <v>18413</v>
      </c>
      <c r="AB4468" t="s">
        <v>23282</v>
      </c>
    </row>
    <row r="4469" spans="1:28" x14ac:dyDescent="0.25">
      <c r="A4469" t="s">
        <v>4473</v>
      </c>
      <c r="B4469">
        <v>0.99904790336628502</v>
      </c>
      <c r="C4469">
        <v>0.93582995691030102</v>
      </c>
      <c r="D4469">
        <v>0.97647339874437999</v>
      </c>
      <c r="E4469">
        <v>0.92337514907513496</v>
      </c>
      <c r="F4469">
        <v>0.75265052319524095</v>
      </c>
      <c r="G4469">
        <v>0.40254143807466503</v>
      </c>
      <c r="H4469">
        <v>0.21773874785059499</v>
      </c>
      <c r="I4469">
        <v>0.16825203667736699</v>
      </c>
      <c r="J4469">
        <v>0.110092763186901</v>
      </c>
      <c r="K4469">
        <v>7.3019987359906793E-2</v>
      </c>
      <c r="L4469">
        <v>1125.80843903148</v>
      </c>
      <c r="M4469">
        <v>20.285696876907402</v>
      </c>
      <c r="N4469">
        <v>55.9983653146449</v>
      </c>
      <c r="O4469">
        <v>54.9667752005994</v>
      </c>
      <c r="P4469">
        <v>-8.4613347512711407E-2</v>
      </c>
      <c r="Q4469">
        <v>8.2944111845077703E-2</v>
      </c>
      <c r="R4469">
        <v>0.99585606961721496</v>
      </c>
      <c r="S4469" t="s">
        <v>9209</v>
      </c>
      <c r="T4469" t="s">
        <v>9478</v>
      </c>
      <c r="U4469" t="s">
        <v>9478</v>
      </c>
      <c r="V4469" t="s">
        <v>9478</v>
      </c>
      <c r="W4469">
        <v>22</v>
      </c>
      <c r="X4469" t="s">
        <v>13947</v>
      </c>
      <c r="Y4469">
        <v>0.56847394897484493</v>
      </c>
      <c r="Z4469" t="str">
        <f>HYPERLINK("Melting_Curves/meltCurve_tr_H0YDU8_H0YDU8_HUMAN_.pdf", "Melting_Curves/meltCurve_tr_H0YDU8_H0YDU8_HUMAN_.pdf")</f>
        <v>Melting_Curves/meltCurve_tr_H0YDU8_H0YDU8_HUMAN_.pdf</v>
      </c>
      <c r="AA4469" t="s">
        <v>18594</v>
      </c>
      <c r="AB4469" t="s">
        <v>23283</v>
      </c>
    </row>
    <row r="4470" spans="1:28" x14ac:dyDescent="0.25">
      <c r="A4470" t="s">
        <v>4474</v>
      </c>
      <c r="B4470">
        <v>0.99904790336628502</v>
      </c>
      <c r="C4470">
        <v>1.1869527509628299</v>
      </c>
      <c r="D4470">
        <v>1.0792758847303401</v>
      </c>
      <c r="E4470">
        <v>0.98885281642507705</v>
      </c>
      <c r="F4470">
        <v>0.70539994870200595</v>
      </c>
      <c r="G4470">
        <v>0.45134599736766501</v>
      </c>
      <c r="H4470">
        <v>0.267558760069669</v>
      </c>
      <c r="I4470">
        <v>0.19368033151334299</v>
      </c>
      <c r="J4470">
        <v>0.285515059989771</v>
      </c>
      <c r="K4470">
        <v>0.241417410617317</v>
      </c>
      <c r="L4470">
        <v>1488.1031471507299</v>
      </c>
      <c r="M4470">
        <v>27.339428362831001</v>
      </c>
      <c r="N4470">
        <v>55.751302012437797</v>
      </c>
      <c r="O4470">
        <v>54.141942941508503</v>
      </c>
      <c r="P4470">
        <v>-9.6150679306919506E-2</v>
      </c>
      <c r="Q4470">
        <v>0.23835488399932001</v>
      </c>
      <c r="R4470">
        <v>0.96154815200025001</v>
      </c>
      <c r="S4470" t="s">
        <v>9210</v>
      </c>
      <c r="T4470" t="s">
        <v>9478</v>
      </c>
      <c r="U4470" t="s">
        <v>9478</v>
      </c>
      <c r="V4470" t="s">
        <v>9478</v>
      </c>
      <c r="W4470">
        <v>1</v>
      </c>
      <c r="X4470" t="s">
        <v>13948</v>
      </c>
      <c r="Y4470">
        <v>0.61071218877660072</v>
      </c>
      <c r="Z4470" t="str">
        <f>HYPERLINK("Melting_Curves/meltCurve_tr_H0YE28_H0YE28_HUMAN_.pdf", "Melting_Curves/meltCurve_tr_H0YE28_H0YE28_HUMAN_.pdf")</f>
        <v>Melting_Curves/meltCurve_tr_H0YE28_H0YE28_HUMAN_.pdf</v>
      </c>
      <c r="AA4470" t="s">
        <v>18595</v>
      </c>
      <c r="AB4470" t="s">
        <v>23284</v>
      </c>
    </row>
    <row r="4471" spans="1:28" x14ac:dyDescent="0.25">
      <c r="A4471" t="s">
        <v>4475</v>
      </c>
      <c r="B4471">
        <v>0.99904790336628502</v>
      </c>
      <c r="C4471">
        <v>1.0036836726649001</v>
      </c>
      <c r="D4471">
        <v>1.04454649624657</v>
      </c>
      <c r="E4471">
        <v>1.0620276935367801</v>
      </c>
      <c r="F4471">
        <v>0.98925623568799104</v>
      </c>
      <c r="G4471">
        <v>0.80757209677800301</v>
      </c>
      <c r="H4471">
        <v>0.66045369198300397</v>
      </c>
      <c r="I4471">
        <v>0.60011430996244297</v>
      </c>
      <c r="J4471">
        <v>0.68609954240067506</v>
      </c>
      <c r="K4471">
        <v>0.49487016834507902</v>
      </c>
      <c r="L4471">
        <v>1746.4909175904299</v>
      </c>
      <c r="M4471">
        <v>30.344782464019801</v>
      </c>
      <c r="O4471">
        <v>57.306672014180101</v>
      </c>
      <c r="P4471">
        <v>-5.47715250427869E-2</v>
      </c>
      <c r="Q4471">
        <v>0.586254477744792</v>
      </c>
      <c r="R4471">
        <v>0.93813506220548204</v>
      </c>
      <c r="S4471" t="s">
        <v>9211</v>
      </c>
      <c r="T4471" t="s">
        <v>9478</v>
      </c>
      <c r="U4471" t="s">
        <v>9478</v>
      </c>
      <c r="V4471" t="s">
        <v>9478</v>
      </c>
      <c r="W4471">
        <v>2</v>
      </c>
      <c r="X4471" t="s">
        <v>13949</v>
      </c>
      <c r="Y4471">
        <v>0.83105193522183407</v>
      </c>
      <c r="Z4471" t="str">
        <f>HYPERLINK("Melting_Curves/meltCurve_tr_H0YEB6_H0YEB6_HUMAN_.pdf", "Melting_Curves/meltCurve_tr_H0YEB6_H0YEB6_HUMAN_.pdf")</f>
        <v>Melting_Curves/meltCurve_tr_H0YEB6_H0YEB6_HUMAN_.pdf</v>
      </c>
      <c r="AA4471" t="s">
        <v>18596</v>
      </c>
      <c r="AB4471" t="s">
        <v>23285</v>
      </c>
    </row>
    <row r="4472" spans="1:28" x14ac:dyDescent="0.25">
      <c r="A4472" t="s">
        <v>4476</v>
      </c>
      <c r="B4472">
        <v>0.99904790336628502</v>
      </c>
      <c r="C4472">
        <v>0.97323271811893997</v>
      </c>
      <c r="D4472">
        <v>1.0403735605964799</v>
      </c>
      <c r="E4472">
        <v>1.01586552665762</v>
      </c>
      <c r="F4472">
        <v>1.0455713719034201</v>
      </c>
      <c r="G4472">
        <v>0.85644831797149801</v>
      </c>
      <c r="H4472">
        <v>0.72767549407345999</v>
      </c>
      <c r="I4472">
        <v>0.70408349660803704</v>
      </c>
      <c r="J4472">
        <v>0.91376499480409601</v>
      </c>
      <c r="K4472">
        <v>0.86082217916573101</v>
      </c>
      <c r="L4472">
        <v>14195.1729304201</v>
      </c>
      <c r="M4472">
        <v>250</v>
      </c>
      <c r="O4472">
        <v>56.777068929907301</v>
      </c>
      <c r="P4472">
        <v>-0.21841288679278401</v>
      </c>
      <c r="Q4472">
        <v>0.80158654139021501</v>
      </c>
      <c r="R4472">
        <v>0.74348035872240803</v>
      </c>
      <c r="S4472" t="s">
        <v>9212</v>
      </c>
      <c r="T4472" t="s">
        <v>9478</v>
      </c>
      <c r="U4472" t="s">
        <v>9478</v>
      </c>
      <c r="V4472" t="s">
        <v>9478</v>
      </c>
      <c r="W4472">
        <v>1</v>
      </c>
      <c r="X4472" t="s">
        <v>13950</v>
      </c>
      <c r="Y4472">
        <v>0.91259014921741366</v>
      </c>
      <c r="Z4472" t="str">
        <f>HYPERLINK("Melting_Curves/meltCurve_tr_H0YEG5_H0YEG5_HUMAN_.pdf", "Melting_Curves/meltCurve_tr_H0YEG5_H0YEG5_HUMAN_.pdf")</f>
        <v>Melting_Curves/meltCurve_tr_H0YEG5_H0YEG5_HUMAN_.pdf</v>
      </c>
      <c r="AA4472" t="s">
        <v>18597</v>
      </c>
      <c r="AB4472" t="s">
        <v>23286</v>
      </c>
    </row>
    <row r="4473" spans="1:28" x14ac:dyDescent="0.25">
      <c r="A4473" t="s">
        <v>4477</v>
      </c>
      <c r="B4473">
        <v>0.99904790336628502</v>
      </c>
      <c r="C4473">
        <v>1.0039582461949801</v>
      </c>
      <c r="D4473">
        <v>0.99818811272802399</v>
      </c>
      <c r="E4473">
        <v>0.87569488654691097</v>
      </c>
      <c r="F4473">
        <v>0.78468321165483301</v>
      </c>
      <c r="G4473">
        <v>0.47994475697600503</v>
      </c>
      <c r="H4473">
        <v>0.45144825615180101</v>
      </c>
      <c r="I4473">
        <v>0.35734159029745899</v>
      </c>
      <c r="J4473">
        <v>0.42465615009164598</v>
      </c>
      <c r="K4473">
        <v>0.40016268149911399</v>
      </c>
      <c r="L4473">
        <v>1321.80942859177</v>
      </c>
      <c r="M4473">
        <v>24.596448947359701</v>
      </c>
      <c r="N4473">
        <v>57.311256784472903</v>
      </c>
      <c r="O4473">
        <v>53.388421040514103</v>
      </c>
      <c r="P4473">
        <v>-7.0025220556089895E-2</v>
      </c>
      <c r="Q4473">
        <v>0.392029160410585</v>
      </c>
      <c r="R4473">
        <v>0.98864991917281997</v>
      </c>
      <c r="S4473" t="s">
        <v>9213</v>
      </c>
      <c r="T4473" t="s">
        <v>9478</v>
      </c>
      <c r="U4473" t="s">
        <v>9478</v>
      </c>
      <c r="V4473" t="s">
        <v>9478</v>
      </c>
      <c r="W4473">
        <v>6</v>
      </c>
      <c r="X4473" t="s">
        <v>13951</v>
      </c>
      <c r="Y4473">
        <v>0.67626776492582308</v>
      </c>
      <c r="Z4473" t="str">
        <f>HYPERLINK("Melting_Curves/meltCurve_tr_H0YEH2_H0YEH2_HUMAN_.pdf", "Melting_Curves/meltCurve_tr_H0YEH2_H0YEH2_HUMAN_.pdf")</f>
        <v>Melting_Curves/meltCurve_tr_H0YEH2_H0YEH2_HUMAN_.pdf</v>
      </c>
      <c r="AA4473" t="s">
        <v>18598</v>
      </c>
      <c r="AB4473" t="s">
        <v>23287</v>
      </c>
    </row>
    <row r="4474" spans="1:28" x14ac:dyDescent="0.25">
      <c r="A4474" t="s">
        <v>4478</v>
      </c>
      <c r="B4474">
        <v>0.99904790336628502</v>
      </c>
      <c r="C4474">
        <v>1.06882398358716</v>
      </c>
      <c r="D4474">
        <v>1.0113970729524899</v>
      </c>
      <c r="E4474">
        <v>0.83312358818911503</v>
      </c>
      <c r="F4474">
        <v>0.34637060515760898</v>
      </c>
      <c r="G4474">
        <v>0.119075793237002</v>
      </c>
      <c r="H4474">
        <v>4.9698756461277201E-2</v>
      </c>
      <c r="I4474">
        <v>2.6361163113201299E-2</v>
      </c>
      <c r="J4474">
        <v>1.79669904926614E-2</v>
      </c>
      <c r="K4474">
        <v>1.2819039597222699E-2</v>
      </c>
      <c r="L4474">
        <v>1902.1540510427101</v>
      </c>
      <c r="M4474">
        <v>36.5535290592032</v>
      </c>
      <c r="N4474">
        <v>52.138701693448397</v>
      </c>
      <c r="O4474">
        <v>51.882480078209703</v>
      </c>
      <c r="P4474">
        <v>-0.17010435534736701</v>
      </c>
      <c r="Q4474">
        <v>3.4248055804045802E-2</v>
      </c>
      <c r="R4474">
        <v>0.99565121395650102</v>
      </c>
      <c r="S4474" t="s">
        <v>9214</v>
      </c>
      <c r="T4474" t="s">
        <v>9478</v>
      </c>
      <c r="U4474" t="s">
        <v>9478</v>
      </c>
      <c r="V4474" t="s">
        <v>9478</v>
      </c>
      <c r="W4474">
        <v>3</v>
      </c>
      <c r="X4474" t="s">
        <v>13952</v>
      </c>
      <c r="Y4474">
        <v>0.42591696780394572</v>
      </c>
      <c r="Z4474" t="str">
        <f>HYPERLINK("Melting_Curves/meltCurve_tr_H0YEN5_H0YEN5_HUMAN_.pdf", "Melting_Curves/meltCurve_tr_H0YEN5_H0YEN5_HUMAN_.pdf")</f>
        <v>Melting_Curves/meltCurve_tr_H0YEN5_H0YEN5_HUMAN_.pdf</v>
      </c>
      <c r="AA4474" t="s">
        <v>18599</v>
      </c>
      <c r="AB4474" t="s">
        <v>23288</v>
      </c>
    </row>
    <row r="4475" spans="1:28" x14ac:dyDescent="0.25">
      <c r="A4475" t="s">
        <v>4479</v>
      </c>
      <c r="B4475">
        <v>0.99904790336628502</v>
      </c>
      <c r="C4475">
        <v>0.97226776829244999</v>
      </c>
      <c r="D4475">
        <v>0.970224167375214</v>
      </c>
      <c r="E4475">
        <v>0.84084788693800905</v>
      </c>
      <c r="F4475">
        <v>0.66966599727180898</v>
      </c>
      <c r="G4475">
        <v>0.405298702699595</v>
      </c>
      <c r="H4475">
        <v>0.15026456155474499</v>
      </c>
      <c r="I4475">
        <v>6.5339969067174902E-2</v>
      </c>
      <c r="J4475">
        <v>1.9330511725290302E-2</v>
      </c>
      <c r="K4475">
        <v>2.3041936256484E-2</v>
      </c>
      <c r="L4475">
        <v>957.06090395357398</v>
      </c>
      <c r="M4475">
        <v>17.324221443305401</v>
      </c>
      <c r="N4475">
        <v>55.244093122814803</v>
      </c>
      <c r="O4475">
        <v>54.523768291506002</v>
      </c>
      <c r="P4475">
        <v>-7.9438820407863903E-2</v>
      </c>
      <c r="Q4475">
        <v>0</v>
      </c>
      <c r="R4475">
        <v>0.99790204388054704</v>
      </c>
      <c r="S4475" t="s">
        <v>9215</v>
      </c>
      <c r="T4475" t="s">
        <v>9478</v>
      </c>
      <c r="U4475" t="s">
        <v>9478</v>
      </c>
      <c r="V4475" t="s">
        <v>9478</v>
      </c>
      <c r="W4475">
        <v>3</v>
      </c>
      <c r="X4475" t="s">
        <v>13953</v>
      </c>
      <c r="Y4475">
        <v>0.52421759975935833</v>
      </c>
      <c r="Z4475" t="str">
        <f>HYPERLINK("Melting_Curves/meltCurve_tr_H0YEP5_H0YEP5_HUMAN_.pdf", "Melting_Curves/meltCurve_tr_H0YEP5_H0YEP5_HUMAN_.pdf")</f>
        <v>Melting_Curves/meltCurve_tr_H0YEP5_H0YEP5_HUMAN_.pdf</v>
      </c>
      <c r="AA4475" t="s">
        <v>18600</v>
      </c>
      <c r="AB4475" t="s">
        <v>23289</v>
      </c>
    </row>
    <row r="4476" spans="1:28" x14ac:dyDescent="0.25">
      <c r="A4476" t="s">
        <v>4480</v>
      </c>
      <c r="B4476">
        <v>0.99904790336628502</v>
      </c>
      <c r="C4476">
        <v>0.97220388722711404</v>
      </c>
      <c r="D4476">
        <v>0.94612085957008296</v>
      </c>
      <c r="E4476">
        <v>0.99323151753411498</v>
      </c>
      <c r="F4476">
        <v>0.88483928036352399</v>
      </c>
      <c r="G4476">
        <v>0.84535003866106895</v>
      </c>
      <c r="H4476">
        <v>0.75143041762499796</v>
      </c>
      <c r="I4476">
        <v>0.65244690728371302</v>
      </c>
      <c r="J4476">
        <v>0.69963988398593702</v>
      </c>
      <c r="K4476">
        <v>0.62359967268173899</v>
      </c>
      <c r="L4476">
        <v>686.32697344589599</v>
      </c>
      <c r="M4476">
        <v>11.654638081522499</v>
      </c>
      <c r="O4476">
        <v>57.235151675591602</v>
      </c>
      <c r="P4476">
        <v>-2.1576904918919199E-2</v>
      </c>
      <c r="Q4476">
        <v>0.57626351526500097</v>
      </c>
      <c r="R4476">
        <v>0.95692726634202996</v>
      </c>
      <c r="S4476" t="s">
        <v>9216</v>
      </c>
      <c r="T4476" t="s">
        <v>9478</v>
      </c>
      <c r="U4476" t="s">
        <v>9478</v>
      </c>
      <c r="V4476" t="s">
        <v>9478</v>
      </c>
      <c r="W4476">
        <v>3</v>
      </c>
      <c r="X4476" t="s">
        <v>13954</v>
      </c>
      <c r="Y4476">
        <v>0.84642173921557962</v>
      </c>
      <c r="Z4476" t="str">
        <f>HYPERLINK("Melting_Curves/meltCurve_tr_H0YER1_H0YER1_HUMAN_.pdf", "Melting_Curves/meltCurve_tr_H0YER1_H0YER1_HUMAN_.pdf")</f>
        <v>Melting_Curves/meltCurve_tr_H0YER1_H0YER1_HUMAN_.pdf</v>
      </c>
      <c r="AA4476" t="s">
        <v>18601</v>
      </c>
      <c r="AB4476" t="s">
        <v>23290</v>
      </c>
    </row>
    <row r="4477" spans="1:28" x14ac:dyDescent="0.25">
      <c r="A4477" t="s">
        <v>4481</v>
      </c>
      <c r="B4477">
        <v>0.99904790336628502</v>
      </c>
      <c r="C4477">
        <v>0.96115801461276096</v>
      </c>
      <c r="D4477">
        <v>1.00534277472155</v>
      </c>
      <c r="E4477">
        <v>0.99088518874423404</v>
      </c>
      <c r="F4477">
        <v>1.0344525452862801</v>
      </c>
      <c r="G4477">
        <v>0.73944475970865298</v>
      </c>
      <c r="H4477">
        <v>0.52424736957131601</v>
      </c>
      <c r="I4477">
        <v>0.226913866248351</v>
      </c>
      <c r="J4477">
        <v>0.158646566127991</v>
      </c>
      <c r="K4477">
        <v>0.14756910452124</v>
      </c>
      <c r="L4477">
        <v>1407.4362618202499</v>
      </c>
      <c r="M4477">
        <v>23.436976528802901</v>
      </c>
      <c r="N4477">
        <v>60.603878216818103</v>
      </c>
      <c r="O4477">
        <v>59.619907557435702</v>
      </c>
      <c r="P4477">
        <v>-8.8833785081310596E-2</v>
      </c>
      <c r="Q4477">
        <v>9.6100466464057899E-2</v>
      </c>
      <c r="R4477">
        <v>0.98766805533866298</v>
      </c>
      <c r="S4477" t="s">
        <v>9217</v>
      </c>
      <c r="T4477" t="s">
        <v>9478</v>
      </c>
      <c r="U4477" t="s">
        <v>9478</v>
      </c>
      <c r="V4477" t="s">
        <v>9478</v>
      </c>
      <c r="W4477">
        <v>1</v>
      </c>
      <c r="X4477" t="s">
        <v>13955</v>
      </c>
      <c r="Y4477">
        <v>0.70726589866896394</v>
      </c>
      <c r="Z4477" t="str">
        <f>HYPERLINK("Melting_Curves/meltCurve_tr_H0YFI1_H0YFI1_HUMAN_.pdf", "Melting_Curves/meltCurve_tr_H0YFI1_H0YFI1_HUMAN_.pdf")</f>
        <v>Melting_Curves/meltCurve_tr_H0YFI1_H0YFI1_HUMAN_.pdf</v>
      </c>
      <c r="AA4477" t="s">
        <v>18602</v>
      </c>
      <c r="AB4477" t="s">
        <v>23291</v>
      </c>
    </row>
    <row r="4478" spans="1:28" x14ac:dyDescent="0.25">
      <c r="A4478" t="s">
        <v>4482</v>
      </c>
      <c r="B4478">
        <v>0.99904790336628502</v>
      </c>
      <c r="C4478">
        <v>0.76740575311866699</v>
      </c>
      <c r="D4478">
        <v>0.71331884330815098</v>
      </c>
      <c r="E4478">
        <v>0.77671102551347304</v>
      </c>
      <c r="F4478">
        <v>0.79665899644874605</v>
      </c>
      <c r="G4478">
        <v>0.55414051388380803</v>
      </c>
      <c r="H4478">
        <v>0.51124539838957395</v>
      </c>
      <c r="I4478">
        <v>0.495214957250387</v>
      </c>
      <c r="J4478">
        <v>0.38227443251778098</v>
      </c>
      <c r="K4478">
        <v>0.471604920146586</v>
      </c>
      <c r="L4478">
        <v>242.157212762483</v>
      </c>
      <c r="M4478">
        <v>3.8761874959644298</v>
      </c>
      <c r="N4478">
        <v>63.3364274888702</v>
      </c>
      <c r="O4478">
        <v>50.768094809450098</v>
      </c>
      <c r="P4478">
        <v>-1.8860786923692901E-2</v>
      </c>
      <c r="Q4478">
        <v>2.5733707698761099E-2</v>
      </c>
      <c r="R4478">
        <v>0.83765919551248502</v>
      </c>
      <c r="S4478" t="s">
        <v>9218</v>
      </c>
      <c r="T4478" t="s">
        <v>9478</v>
      </c>
      <c r="U4478" t="s">
        <v>9478</v>
      </c>
      <c r="V4478" t="s">
        <v>9478</v>
      </c>
      <c r="W4478">
        <v>2</v>
      </c>
      <c r="X4478" t="s">
        <v>13956</v>
      </c>
      <c r="Y4478">
        <v>0.64613307998959157</v>
      </c>
      <c r="Z4478" t="str">
        <f>HYPERLINK("Melting_Curves/meltCurve_tr_H0YG38_H0YG38_HUMAN_.pdf", "Melting_Curves/meltCurve_tr_H0YG38_H0YG38_HUMAN_.pdf")</f>
        <v>Melting_Curves/meltCurve_tr_H0YG38_H0YG38_HUMAN_.pdf</v>
      </c>
      <c r="AA4478" t="s">
        <v>18603</v>
      </c>
      <c r="AB4478" t="s">
        <v>23292</v>
      </c>
    </row>
    <row r="4479" spans="1:28" x14ac:dyDescent="0.25">
      <c r="A4479" t="s">
        <v>4483</v>
      </c>
      <c r="B4479">
        <v>0.99904790336628502</v>
      </c>
      <c r="C4479">
        <v>0.91451884767175295</v>
      </c>
      <c r="D4479">
        <v>0.90975693368004296</v>
      </c>
      <c r="E4479">
        <v>0.94310863785858301</v>
      </c>
      <c r="F4479">
        <v>0.98049287002173902</v>
      </c>
      <c r="G4479">
        <v>0.86519720103770703</v>
      </c>
      <c r="H4479">
        <v>0.76921331851254104</v>
      </c>
      <c r="I4479">
        <v>0.67624422620093005</v>
      </c>
      <c r="J4479">
        <v>0.57910342697224604</v>
      </c>
      <c r="K4479">
        <v>0.34346388065932698</v>
      </c>
      <c r="L4479">
        <v>775.05266184518598</v>
      </c>
      <c r="M4479">
        <v>11.4680068067183</v>
      </c>
      <c r="N4479">
        <v>67.5839049098321</v>
      </c>
      <c r="O4479">
        <v>65.626826556667595</v>
      </c>
      <c r="P4479">
        <v>-4.3698979864753802E-2</v>
      </c>
      <c r="Q4479">
        <v>0</v>
      </c>
      <c r="R4479">
        <v>0.93903352422117303</v>
      </c>
      <c r="S4479" t="s">
        <v>9219</v>
      </c>
      <c r="T4479" t="s">
        <v>9478</v>
      </c>
      <c r="U4479" t="s">
        <v>9478</v>
      </c>
      <c r="V4479" t="s">
        <v>9478</v>
      </c>
      <c r="W4479">
        <v>9</v>
      </c>
      <c r="X4479" t="s">
        <v>13957</v>
      </c>
      <c r="Y4479">
        <v>0.84176275475235252</v>
      </c>
      <c r="Z4479" t="str">
        <f>HYPERLINK("Melting_Curves/meltCurve_tr_H0YGR4_H0YGR4_HUMAN_.pdf", "Melting_Curves/meltCurve_tr_H0YGR4_H0YGR4_HUMAN_.pdf")</f>
        <v>Melting_Curves/meltCurve_tr_H0YGR4_H0YGR4_HUMAN_.pdf</v>
      </c>
      <c r="AA4479" t="s">
        <v>18604</v>
      </c>
      <c r="AB4479" t="s">
        <v>23293</v>
      </c>
    </row>
    <row r="4480" spans="1:28" x14ac:dyDescent="0.25">
      <c r="A4480" t="s">
        <v>4484</v>
      </c>
      <c r="B4480">
        <v>0.99904790336628502</v>
      </c>
      <c r="C4480">
        <v>0.99765209185600001</v>
      </c>
      <c r="D4480">
        <v>0.92097321881316496</v>
      </c>
      <c r="E4480">
        <v>0.92148695152770599</v>
      </c>
      <c r="F4480">
        <v>0.83216054251020899</v>
      </c>
      <c r="G4480">
        <v>0.39244767767357702</v>
      </c>
      <c r="H4480">
        <v>0.175714053940765</v>
      </c>
      <c r="I4480">
        <v>0.13660295185792801</v>
      </c>
      <c r="J4480">
        <v>0.13001531616766901</v>
      </c>
      <c r="K4480">
        <v>0.122633318538014</v>
      </c>
      <c r="L4480">
        <v>1555.96396975484</v>
      </c>
      <c r="M4480">
        <v>28.058587766673401</v>
      </c>
      <c r="N4480">
        <v>55.988699304889401</v>
      </c>
      <c r="O4480">
        <v>55.174705750050698</v>
      </c>
      <c r="P4480">
        <v>-0.112196363293927</v>
      </c>
      <c r="Q4480">
        <v>0.117510741040906</v>
      </c>
      <c r="R4480">
        <v>0.994549745102702</v>
      </c>
      <c r="S4480" t="s">
        <v>9220</v>
      </c>
      <c r="T4480" t="s">
        <v>9478</v>
      </c>
      <c r="U4480" t="s">
        <v>9478</v>
      </c>
      <c r="V4480" t="s">
        <v>9478</v>
      </c>
      <c r="W4480">
        <v>5</v>
      </c>
      <c r="X4480" t="s">
        <v>13958</v>
      </c>
      <c r="Y4480">
        <v>0.57875534010276053</v>
      </c>
      <c r="Z4480" t="str">
        <f>HYPERLINK("Melting_Curves/meltCurve_tr_H0YGX7_H0YGX7_HUMAN_.pdf", "Melting_Curves/meltCurve_tr_H0YGX7_H0YGX7_HUMAN_.pdf")</f>
        <v>Melting_Curves/meltCurve_tr_H0YGX7_H0YGX7_HUMAN_.pdf</v>
      </c>
      <c r="AA4480" t="s">
        <v>18605</v>
      </c>
      <c r="AB4480" t="s">
        <v>23294</v>
      </c>
    </row>
    <row r="4481" spans="1:28" x14ac:dyDescent="0.25">
      <c r="A4481" t="s">
        <v>4485</v>
      </c>
      <c r="B4481">
        <v>0.99904790336628502</v>
      </c>
      <c r="C4481">
        <v>0.97159122667876097</v>
      </c>
      <c r="D4481">
        <v>1.0965833235798801</v>
      </c>
      <c r="E4481">
        <v>0.79830853754757503</v>
      </c>
      <c r="F4481">
        <v>0.59492054498523905</v>
      </c>
      <c r="G4481">
        <v>0.46350489691658497</v>
      </c>
      <c r="H4481">
        <v>0.246409129061821</v>
      </c>
      <c r="I4481">
        <v>0.205404414170789</v>
      </c>
      <c r="J4481">
        <v>7.9369245106347699E-2</v>
      </c>
      <c r="K4481">
        <v>5.3374358583621898E-2</v>
      </c>
      <c r="L4481">
        <v>753.89395775952403</v>
      </c>
      <c r="M4481">
        <v>13.559662605549301</v>
      </c>
      <c r="N4481">
        <v>55.736969736025799</v>
      </c>
      <c r="O4481">
        <v>54.430836707995503</v>
      </c>
      <c r="P4481">
        <v>-6.1255519416595003E-2</v>
      </c>
      <c r="Q4481">
        <v>1.6586328509334499E-2</v>
      </c>
      <c r="R4481">
        <v>0.97664425058760895</v>
      </c>
      <c r="S4481" t="s">
        <v>9221</v>
      </c>
      <c r="T4481" t="s">
        <v>9478</v>
      </c>
      <c r="U4481" t="s">
        <v>9478</v>
      </c>
      <c r="V4481" t="s">
        <v>9478</v>
      </c>
      <c r="W4481">
        <v>1</v>
      </c>
      <c r="X4481" t="s">
        <v>13959</v>
      </c>
      <c r="Y4481">
        <v>0.5476186736900851</v>
      </c>
      <c r="Z4481" t="str">
        <f>HYPERLINK("Melting_Curves/meltCurve_tr_H0YH69_H0YH69_HUMAN_.pdf", "Melting_Curves/meltCurve_tr_H0YH69_H0YH69_HUMAN_.pdf")</f>
        <v>Melting_Curves/meltCurve_tr_H0YH69_H0YH69_HUMAN_.pdf</v>
      </c>
      <c r="AA4481" t="s">
        <v>18606</v>
      </c>
      <c r="AB4481" t="s">
        <v>23295</v>
      </c>
    </row>
    <row r="4482" spans="1:28" x14ac:dyDescent="0.25">
      <c r="A4482" t="s">
        <v>4486</v>
      </c>
      <c r="B4482">
        <v>0.99904790336628502</v>
      </c>
      <c r="C4482">
        <v>0.99055370704005796</v>
      </c>
      <c r="D4482">
        <v>1.0279757982359701</v>
      </c>
      <c r="E4482">
        <v>0.92836446193940403</v>
      </c>
      <c r="F4482">
        <v>0.61151659806498504</v>
      </c>
      <c r="G4482">
        <v>0.36957862399609498</v>
      </c>
      <c r="H4482">
        <v>0.34423869101569599</v>
      </c>
      <c r="I4482">
        <v>0.27674889567168998</v>
      </c>
      <c r="J4482">
        <v>0.26214957737525701</v>
      </c>
      <c r="K4482">
        <v>0.22025831047410899</v>
      </c>
      <c r="L4482">
        <v>1613.82365911635</v>
      </c>
      <c r="M4482">
        <v>30.4431088946755</v>
      </c>
      <c r="N4482">
        <v>54.4229930466119</v>
      </c>
      <c r="O4482">
        <v>52.783975766917798</v>
      </c>
      <c r="P4482">
        <v>-0.10482127482454801</v>
      </c>
      <c r="Q4482">
        <v>0.27302447188645002</v>
      </c>
      <c r="R4482">
        <v>0.99122331683503295</v>
      </c>
      <c r="S4482" t="s">
        <v>9222</v>
      </c>
      <c r="T4482" t="s">
        <v>9478</v>
      </c>
      <c r="U4482" t="s">
        <v>9478</v>
      </c>
      <c r="V4482" t="s">
        <v>9478</v>
      </c>
      <c r="W4482">
        <v>1</v>
      </c>
      <c r="X4482" t="s">
        <v>13960</v>
      </c>
      <c r="Y4482">
        <v>0.59289848877236906</v>
      </c>
      <c r="Z4482" t="str">
        <f>HYPERLINK("Melting_Curves/meltCurve_tr_H0YI02_H0YI02_HUMAN_.pdf", "Melting_Curves/meltCurve_tr_H0YI02_H0YI02_HUMAN_.pdf")</f>
        <v>Melting_Curves/meltCurve_tr_H0YI02_H0YI02_HUMAN_.pdf</v>
      </c>
      <c r="AA4482" t="s">
        <v>18607</v>
      </c>
      <c r="AB4482" t="s">
        <v>23296</v>
      </c>
    </row>
    <row r="4483" spans="1:28" x14ac:dyDescent="0.25">
      <c r="A4483" t="s">
        <v>4487</v>
      </c>
      <c r="B4483">
        <v>0.99904790336628502</v>
      </c>
      <c r="C4483">
        <v>0.829141791052175</v>
      </c>
      <c r="D4483">
        <v>0.82095077883223599</v>
      </c>
      <c r="E4483">
        <v>0.78488456072496804</v>
      </c>
      <c r="F4483">
        <v>0.47536331162397799</v>
      </c>
      <c r="G4483">
        <v>0.49394553347384501</v>
      </c>
      <c r="H4483">
        <v>0.21575707551910001</v>
      </c>
      <c r="I4483">
        <v>0.12162668191122</v>
      </c>
      <c r="J4483">
        <v>0.13356500827515499</v>
      </c>
      <c r="K4483">
        <v>0.15309036435992401</v>
      </c>
      <c r="L4483">
        <v>510.810486690613</v>
      </c>
      <c r="M4483">
        <v>9.4138008108151396</v>
      </c>
      <c r="N4483">
        <v>54.261875281386402</v>
      </c>
      <c r="O4483">
        <v>51.982302986569401</v>
      </c>
      <c r="P4483">
        <v>-4.5301789687209201E-2</v>
      </c>
      <c r="Q4483">
        <v>0</v>
      </c>
      <c r="R4483">
        <v>0.95466997229540596</v>
      </c>
      <c r="S4483" t="s">
        <v>9223</v>
      </c>
      <c r="T4483" t="s">
        <v>9478</v>
      </c>
      <c r="U4483" t="s">
        <v>9478</v>
      </c>
      <c r="V4483" t="s">
        <v>9478</v>
      </c>
      <c r="W4483">
        <v>1</v>
      </c>
      <c r="X4483" t="s">
        <v>13961</v>
      </c>
      <c r="Y4483">
        <v>0.50552678942466001</v>
      </c>
      <c r="Z4483" t="str">
        <f>HYPERLINK("Melting_Curves/meltCurve_tr_H0YJV3_H0YJV3_HUMAN_.pdf", "Melting_Curves/meltCurve_tr_H0YJV3_H0YJV3_HUMAN_.pdf")</f>
        <v>Melting_Curves/meltCurve_tr_H0YJV3_H0YJV3_HUMAN_.pdf</v>
      </c>
      <c r="AA4483" t="s">
        <v>18608</v>
      </c>
      <c r="AB4483" t="s">
        <v>23297</v>
      </c>
    </row>
    <row r="4484" spans="1:28" x14ac:dyDescent="0.25">
      <c r="A4484" t="s">
        <v>4488</v>
      </c>
      <c r="B4484">
        <v>0.99904790336628502</v>
      </c>
      <c r="C4484">
        <v>0.90305490491113305</v>
      </c>
      <c r="D4484">
        <v>0.48104980834452898</v>
      </c>
      <c r="E4484">
        <v>0.28985110629595801</v>
      </c>
      <c r="F4484">
        <v>9.9332522044276797E-2</v>
      </c>
      <c r="G4484">
        <v>2.2023634106791801E-2</v>
      </c>
      <c r="H4484">
        <v>3.2703304462817599E-2</v>
      </c>
      <c r="I4484">
        <v>2.80328713731548E-2</v>
      </c>
      <c r="J4484">
        <v>0</v>
      </c>
      <c r="K4484">
        <v>0</v>
      </c>
      <c r="L4484">
        <v>897.64858846506002</v>
      </c>
      <c r="M4484">
        <v>19.2724601750547</v>
      </c>
      <c r="N4484">
        <v>46.638980483053899</v>
      </c>
      <c r="O4484">
        <v>46.083975476589302</v>
      </c>
      <c r="P4484">
        <v>-0.103227550225081</v>
      </c>
      <c r="Q4484">
        <v>1.26934306457717E-2</v>
      </c>
      <c r="R4484">
        <v>0.98623042631718505</v>
      </c>
      <c r="S4484" t="s">
        <v>9224</v>
      </c>
      <c r="T4484" t="s">
        <v>9478</v>
      </c>
      <c r="U4484" t="s">
        <v>9478</v>
      </c>
      <c r="V4484" t="s">
        <v>9478</v>
      </c>
      <c r="W4484">
        <v>20</v>
      </c>
      <c r="X4484" t="s">
        <v>13962</v>
      </c>
      <c r="Y4484">
        <v>0.24514865274892711</v>
      </c>
      <c r="Z4484" t="str">
        <f>HYPERLINK("Melting_Curves/meltCurve_tr_H0YKF0_H0YKF0_HUMAN_.pdf", "Melting_Curves/meltCurve_tr_H0YKF0_H0YKF0_HUMAN_.pdf")</f>
        <v>Melting_Curves/meltCurve_tr_H0YKF0_H0YKF0_HUMAN_.pdf</v>
      </c>
      <c r="AA4484" t="s">
        <v>14965</v>
      </c>
      <c r="AB4484" t="s">
        <v>23298</v>
      </c>
    </row>
    <row r="4485" spans="1:28" x14ac:dyDescent="0.25">
      <c r="A4485" t="s">
        <v>4489</v>
      </c>
      <c r="B4485">
        <v>0.99904790336628502</v>
      </c>
      <c r="C4485">
        <v>0.93609414645690703</v>
      </c>
      <c r="D4485">
        <v>1.10060814975247</v>
      </c>
      <c r="E4485">
        <v>0.99360343930546102</v>
      </c>
      <c r="F4485">
        <v>0.81038356336624695</v>
      </c>
      <c r="G4485">
        <v>0.78731934745699095</v>
      </c>
      <c r="H4485">
        <v>0.275627544917735</v>
      </c>
      <c r="I4485">
        <v>7.1081564960598004E-2</v>
      </c>
      <c r="J4485">
        <v>1.0957044772004199E-2</v>
      </c>
      <c r="K4485">
        <v>2.5711465636475299E-2</v>
      </c>
      <c r="L4485">
        <v>1713.30601267011</v>
      </c>
      <c r="M4485">
        <v>29.0165878334113</v>
      </c>
      <c r="N4485">
        <v>59.045761549470399</v>
      </c>
      <c r="O4485">
        <v>58.7674379756861</v>
      </c>
      <c r="P4485">
        <v>-0.123439138233662</v>
      </c>
      <c r="Q4485">
        <v>0</v>
      </c>
      <c r="R4485">
        <v>0.97707023074073296</v>
      </c>
      <c r="S4485" t="s">
        <v>9225</v>
      </c>
      <c r="T4485" t="s">
        <v>9478</v>
      </c>
      <c r="U4485" t="s">
        <v>9478</v>
      </c>
      <c r="V4485" t="s">
        <v>9478</v>
      </c>
      <c r="W4485">
        <v>26</v>
      </c>
      <c r="X4485" t="s">
        <v>13963</v>
      </c>
      <c r="Y4485">
        <v>0.641573389471219</v>
      </c>
      <c r="Z4485" t="str">
        <f>HYPERLINK("Melting_Curves/meltCurve_tr_H0YLA4_H0YLA4_HUMAN_.pdf", "Melting_Curves/meltCurve_tr_H0YLA4_H0YLA4_HUMAN_.pdf")</f>
        <v>Melting_Curves/meltCurve_tr_H0YLA4_H0YLA4_HUMAN_.pdf</v>
      </c>
      <c r="AA4485" t="s">
        <v>15818</v>
      </c>
      <c r="AB4485" t="s">
        <v>20460</v>
      </c>
    </row>
    <row r="4486" spans="1:28" x14ac:dyDescent="0.25">
      <c r="A4486" t="s">
        <v>4490</v>
      </c>
      <c r="B4486">
        <v>0.99904790336628502</v>
      </c>
      <c r="C4486">
        <v>0.87347667161660703</v>
      </c>
      <c r="D4486">
        <v>1.18652718505622</v>
      </c>
      <c r="E4486">
        <v>0.85455243889050403</v>
      </c>
      <c r="F4486">
        <v>0.74893610810369704</v>
      </c>
      <c r="G4486">
        <v>0.483198816996391</v>
      </c>
      <c r="H4486">
        <v>0.16717570588143399</v>
      </c>
      <c r="I4486">
        <v>0.289519391127393</v>
      </c>
      <c r="J4486">
        <v>0</v>
      </c>
      <c r="K4486">
        <v>0.29029002310350499</v>
      </c>
      <c r="L4486">
        <v>1204.5894574364199</v>
      </c>
      <c r="M4486">
        <v>21.835464319474401</v>
      </c>
      <c r="N4486">
        <v>56.124217229128497</v>
      </c>
      <c r="O4486">
        <v>54.7102182746533</v>
      </c>
      <c r="P4486">
        <v>-8.4263211610531102E-2</v>
      </c>
      <c r="Q4486">
        <v>0.155511205645471</v>
      </c>
      <c r="R4486">
        <v>0.91346738743701705</v>
      </c>
      <c r="S4486" t="s">
        <v>9226</v>
      </c>
      <c r="T4486" t="s">
        <v>9478</v>
      </c>
      <c r="U4486" t="s">
        <v>9478</v>
      </c>
      <c r="V4486" t="s">
        <v>9478</v>
      </c>
      <c r="W4486">
        <v>1</v>
      </c>
      <c r="X4486" t="s">
        <v>13964</v>
      </c>
      <c r="Y4486">
        <v>0.59222972017914044</v>
      </c>
      <c r="Z4486" t="str">
        <f>HYPERLINK("Melting_Curves/meltCurve_tr_H0YLB5_H0YLB5_HUMAN_.pdf", "Melting_Curves/meltCurve_tr_H0YLB5_H0YLB5_HUMAN_.pdf")</f>
        <v>Melting_Curves/meltCurve_tr_H0YLB5_H0YLB5_HUMAN_.pdf</v>
      </c>
      <c r="AA4486" t="s">
        <v>18609</v>
      </c>
      <c r="AB4486" t="s">
        <v>23299</v>
      </c>
    </row>
    <row r="4487" spans="1:28" x14ac:dyDescent="0.25">
      <c r="A4487" t="s">
        <v>4491</v>
      </c>
      <c r="B4487">
        <v>0.99904790336628502</v>
      </c>
      <c r="C4487">
        <v>0.80858521664095495</v>
      </c>
      <c r="D4487">
        <v>0.86766656211179105</v>
      </c>
      <c r="E4487">
        <v>0.73010554106956604</v>
      </c>
      <c r="F4487">
        <v>0.58607338599089398</v>
      </c>
      <c r="G4487">
        <v>0.254995553293969</v>
      </c>
      <c r="H4487">
        <v>0.13562317502493801</v>
      </c>
      <c r="I4487">
        <v>8.6958674861499496E-2</v>
      </c>
      <c r="J4487">
        <v>7.6730582946720902E-2</v>
      </c>
      <c r="K4487">
        <v>6.1992543196314899E-2</v>
      </c>
      <c r="L4487">
        <v>684.43237839535198</v>
      </c>
      <c r="M4487">
        <v>12.8354943264313</v>
      </c>
      <c r="N4487">
        <v>53.323417227672799</v>
      </c>
      <c r="O4487">
        <v>52.078825110180603</v>
      </c>
      <c r="P4487">
        <v>-6.1627144488864E-2</v>
      </c>
      <c r="Q4487">
        <v>0</v>
      </c>
      <c r="R4487">
        <v>0.97459684423760795</v>
      </c>
      <c r="S4487" t="s">
        <v>9227</v>
      </c>
      <c r="T4487" t="s">
        <v>9478</v>
      </c>
      <c r="U4487" t="s">
        <v>9478</v>
      </c>
      <c r="V4487" t="s">
        <v>9478</v>
      </c>
      <c r="W4487">
        <v>3</v>
      </c>
      <c r="X4487" t="s">
        <v>13965</v>
      </c>
      <c r="Y4487">
        <v>0.46987149170051967</v>
      </c>
      <c r="Z4487" t="str">
        <f>HYPERLINK("Melting_Curves/meltCurve_tr_H0YLN8_H0YLN8_HUMAN_.pdf", "Melting_Curves/meltCurve_tr_H0YLN8_H0YLN8_HUMAN_.pdf")</f>
        <v>Melting_Curves/meltCurve_tr_H0YLN8_H0YLN8_HUMAN_.pdf</v>
      </c>
      <c r="AA4487" t="s">
        <v>18610</v>
      </c>
      <c r="AB4487" t="s">
        <v>23300</v>
      </c>
    </row>
    <row r="4488" spans="1:28" x14ac:dyDescent="0.25">
      <c r="A4488" t="s">
        <v>4492</v>
      </c>
      <c r="B4488">
        <v>0.99904790336628502</v>
      </c>
      <c r="C4488">
        <v>0.913394185311592</v>
      </c>
      <c r="D4488">
        <v>1.0938142809159599</v>
      </c>
      <c r="E4488">
        <v>1.0207376665953301</v>
      </c>
      <c r="F4488">
        <v>0.99293076666120805</v>
      </c>
      <c r="G4488">
        <v>0.56136704757282097</v>
      </c>
      <c r="H4488">
        <v>0.45172827428770301</v>
      </c>
      <c r="I4488">
        <v>0.46331688650861103</v>
      </c>
      <c r="J4488">
        <v>0.540905501730643</v>
      </c>
      <c r="K4488">
        <v>0.715569692056514</v>
      </c>
      <c r="L4488">
        <v>5594.5162596310802</v>
      </c>
      <c r="M4488">
        <v>101.337526058907</v>
      </c>
      <c r="O4488">
        <v>55.185284510823998</v>
      </c>
      <c r="P4488">
        <v>-0.20982300825740799</v>
      </c>
      <c r="Q4488">
        <v>0.54294765847500404</v>
      </c>
      <c r="R4488">
        <v>0.89528812762030197</v>
      </c>
      <c r="S4488" t="s">
        <v>9228</v>
      </c>
      <c r="T4488" t="s">
        <v>9478</v>
      </c>
      <c r="U4488" t="s">
        <v>9478</v>
      </c>
      <c r="V4488" t="s">
        <v>9478</v>
      </c>
      <c r="W4488">
        <v>1</v>
      </c>
      <c r="X4488" t="s">
        <v>13966</v>
      </c>
      <c r="Y4488">
        <v>0.77489361238370669</v>
      </c>
      <c r="Z4488" t="str">
        <f>HYPERLINK("Melting_Curves/meltCurve_tr_H0YM11_H0YM11_HUMAN_.pdf", "Melting_Curves/meltCurve_tr_H0YM11_H0YM11_HUMAN_.pdf")</f>
        <v>Melting_Curves/meltCurve_tr_H0YM11_H0YM11_HUMAN_.pdf</v>
      </c>
      <c r="AA4488" t="s">
        <v>18611</v>
      </c>
      <c r="AB4488" t="s">
        <v>23301</v>
      </c>
    </row>
    <row r="4489" spans="1:28" x14ac:dyDescent="0.25">
      <c r="A4489" t="s">
        <v>4493</v>
      </c>
      <c r="B4489">
        <v>0.99904790336628502</v>
      </c>
      <c r="C4489">
        <v>0.74079738821978403</v>
      </c>
      <c r="D4489">
        <v>0.73270508549228497</v>
      </c>
      <c r="E4489">
        <v>0.68903793645810196</v>
      </c>
      <c r="F4489">
        <v>0.80407122266293496</v>
      </c>
      <c r="G4489">
        <v>0.549807776910615</v>
      </c>
      <c r="H4489">
        <v>0.494031405131514</v>
      </c>
      <c r="I4489">
        <v>0.485276656974298</v>
      </c>
      <c r="J4489">
        <v>0.58699889460818</v>
      </c>
      <c r="K4489">
        <v>0.47992876116174599</v>
      </c>
      <c r="L4489">
        <v>306.86714967536398</v>
      </c>
      <c r="M4489">
        <v>6.14800739504809</v>
      </c>
      <c r="N4489">
        <v>68.732896478433602</v>
      </c>
      <c r="O4489">
        <v>45.407060215411903</v>
      </c>
      <c r="P4489">
        <v>-2.01279558262373E-2</v>
      </c>
      <c r="Q4489">
        <v>0.40712693723676602</v>
      </c>
      <c r="R4489">
        <v>0.76349914121849705</v>
      </c>
      <c r="S4489" t="s">
        <v>9229</v>
      </c>
      <c r="T4489" t="s">
        <v>9478</v>
      </c>
      <c r="U4489" t="s">
        <v>9478</v>
      </c>
      <c r="V4489" t="s">
        <v>9478</v>
      </c>
      <c r="W4489">
        <v>8</v>
      </c>
      <c r="X4489" t="s">
        <v>13967</v>
      </c>
      <c r="Y4489">
        <v>0.64939215990624743</v>
      </c>
      <c r="Z4489" t="str">
        <f>HYPERLINK("Melting_Curves/meltCurve_tr_H0YM23_H0YM23_HUMAN_.pdf", "Melting_Curves/meltCurve_tr_H0YM23_H0YM23_HUMAN_.pdf")</f>
        <v>Melting_Curves/meltCurve_tr_H0YM23_H0YM23_HUMAN_.pdf</v>
      </c>
      <c r="AA4489" t="s">
        <v>18612</v>
      </c>
      <c r="AB4489" t="s">
        <v>23302</v>
      </c>
    </row>
    <row r="4490" spans="1:28" x14ac:dyDescent="0.25">
      <c r="A4490" t="s">
        <v>4494</v>
      </c>
      <c r="B4490">
        <v>0.99904790336628502</v>
      </c>
      <c r="C4490">
        <v>0.93817067883684102</v>
      </c>
      <c r="D4490">
        <v>0.92464759715705902</v>
      </c>
      <c r="E4490">
        <v>1.07504959488893</v>
      </c>
      <c r="F4490">
        <v>1.25334612635148</v>
      </c>
      <c r="G4490">
        <v>0.95905562761886798</v>
      </c>
      <c r="H4490">
        <v>0.93888842571481501</v>
      </c>
      <c r="I4490">
        <v>1.2290980329591099</v>
      </c>
      <c r="J4490">
        <v>1.2005437661332501</v>
      </c>
      <c r="K4490">
        <v>1.4052308446377999</v>
      </c>
      <c r="L4490">
        <v>1720.5719440487601</v>
      </c>
      <c r="M4490">
        <v>25.7803000582912</v>
      </c>
      <c r="O4490">
        <v>66.342110773334596</v>
      </c>
      <c r="P4490">
        <v>4.8575119617429101E-2</v>
      </c>
      <c r="Q4490">
        <v>1.5</v>
      </c>
      <c r="R4490">
        <v>0.58369982493220696</v>
      </c>
      <c r="S4490" t="s">
        <v>9230</v>
      </c>
      <c r="T4490" t="s">
        <v>9478</v>
      </c>
      <c r="U4490" t="s">
        <v>9478</v>
      </c>
      <c r="V4490" t="s">
        <v>9478</v>
      </c>
      <c r="W4490">
        <v>1</v>
      </c>
      <c r="X4490" t="s">
        <v>13968</v>
      </c>
      <c r="Y4490">
        <v>1.062450268622571</v>
      </c>
      <c r="Z4490" t="str">
        <f>HYPERLINK("Melting_Curves/meltCurve_tr_H0YM74_H0YM74_HUMAN_.pdf", "Melting_Curves/meltCurve_tr_H0YM74_H0YM74_HUMAN_.pdf")</f>
        <v>Melting_Curves/meltCurve_tr_H0YM74_H0YM74_HUMAN_.pdf</v>
      </c>
      <c r="AA4490" t="s">
        <v>18613</v>
      </c>
      <c r="AB4490" t="s">
        <v>23303</v>
      </c>
    </row>
    <row r="4491" spans="1:28" x14ac:dyDescent="0.25">
      <c r="A4491" t="s">
        <v>4495</v>
      </c>
      <c r="B4491">
        <v>0.99904790336628502</v>
      </c>
      <c r="C4491">
        <v>0.89421255451195703</v>
      </c>
      <c r="D4491">
        <v>0.79595684323789795</v>
      </c>
      <c r="E4491">
        <v>0.59077344897877304</v>
      </c>
      <c r="F4491">
        <v>0.387710383566087</v>
      </c>
      <c r="G4491">
        <v>0.299162450216505</v>
      </c>
      <c r="H4491">
        <v>0.14396429448454301</v>
      </c>
      <c r="I4491">
        <v>0.111059470461756</v>
      </c>
      <c r="J4491">
        <v>0.121557731395547</v>
      </c>
      <c r="K4491">
        <v>8.9852635137531001E-2</v>
      </c>
      <c r="L4491">
        <v>621.54168140223396</v>
      </c>
      <c r="M4491">
        <v>12.217238121686499</v>
      </c>
      <c r="N4491">
        <v>51.386969422588898</v>
      </c>
      <c r="O4491">
        <v>49.568713798066099</v>
      </c>
      <c r="P4491">
        <v>-5.8094447382270299E-2</v>
      </c>
      <c r="Q4491">
        <v>5.7390927400305901E-2</v>
      </c>
      <c r="R4491">
        <v>0.995387928121369</v>
      </c>
      <c r="S4491" t="s">
        <v>9231</v>
      </c>
      <c r="T4491" t="s">
        <v>9478</v>
      </c>
      <c r="U4491" t="s">
        <v>9478</v>
      </c>
      <c r="V4491" t="s">
        <v>9478</v>
      </c>
      <c r="W4491">
        <v>1</v>
      </c>
      <c r="X4491" t="s">
        <v>13969</v>
      </c>
      <c r="Y4491">
        <v>0.42923898341100358</v>
      </c>
      <c r="Z4491" t="str">
        <f>HYPERLINK("Melting_Curves/meltCurve_tr_H0YMB0_H0YMB0_HUMAN_.pdf", "Melting_Curves/meltCurve_tr_H0YMB0_H0YMB0_HUMAN_.pdf")</f>
        <v>Melting_Curves/meltCurve_tr_H0YMB0_H0YMB0_HUMAN_.pdf</v>
      </c>
      <c r="AA4491" t="s">
        <v>18614</v>
      </c>
      <c r="AB4491" t="s">
        <v>23304</v>
      </c>
    </row>
    <row r="4492" spans="1:28" x14ac:dyDescent="0.25">
      <c r="A4492" t="s">
        <v>4496</v>
      </c>
      <c r="B4492">
        <v>0.99904790336628502</v>
      </c>
      <c r="C4492">
        <v>0.96628797440893399</v>
      </c>
      <c r="D4492">
        <v>0.93613847638369496</v>
      </c>
      <c r="E4492">
        <v>0.94003084676142801</v>
      </c>
      <c r="F4492">
        <v>0.939169399966024</v>
      </c>
      <c r="G4492">
        <v>0.65510468595693705</v>
      </c>
      <c r="H4492">
        <v>0.19437968258000299</v>
      </c>
      <c r="I4492">
        <v>8.4602929233307006E-2</v>
      </c>
      <c r="J4492">
        <v>5.6275900047752903E-2</v>
      </c>
      <c r="K4492">
        <v>5.7181899746109301E-2</v>
      </c>
      <c r="L4492">
        <v>1849.57926111192</v>
      </c>
      <c r="M4492">
        <v>31.925263808204502</v>
      </c>
      <c r="N4492">
        <v>58.102786149328999</v>
      </c>
      <c r="O4492">
        <v>57.708769120429501</v>
      </c>
      <c r="P4492">
        <v>-0.13220201100304399</v>
      </c>
      <c r="Q4492">
        <v>4.4120512214081302E-2</v>
      </c>
      <c r="R4492">
        <v>0.99480537225464005</v>
      </c>
      <c r="S4492" t="s">
        <v>9232</v>
      </c>
      <c r="T4492" t="s">
        <v>9478</v>
      </c>
      <c r="U4492" t="s">
        <v>9478</v>
      </c>
      <c r="V4492" t="s">
        <v>9478</v>
      </c>
      <c r="W4492">
        <v>6</v>
      </c>
      <c r="X4492" t="s">
        <v>13970</v>
      </c>
      <c r="Y4492">
        <v>0.62123520602575466</v>
      </c>
      <c r="Z4492" t="str">
        <f>HYPERLINK("Melting_Curves/meltCurve_tr_H0YMB1_H0YMB1_HUMAN_.pdf", "Melting_Curves/meltCurve_tr_H0YMB1_H0YMB1_HUMAN_.pdf")</f>
        <v>Melting_Curves/meltCurve_tr_H0YMB1_H0YMB1_HUMAN_.pdf</v>
      </c>
      <c r="AA4492" t="s">
        <v>18615</v>
      </c>
      <c r="AB4492" t="s">
        <v>23305</v>
      </c>
    </row>
    <row r="4493" spans="1:28" x14ac:dyDescent="0.25">
      <c r="A4493" t="s">
        <v>4497</v>
      </c>
      <c r="B4493">
        <v>0.99904790336628502</v>
      </c>
      <c r="C4493">
        <v>0.97731337137353003</v>
      </c>
      <c r="D4493">
        <v>1.04249830144669</v>
      </c>
      <c r="E4493">
        <v>1.04575061393844</v>
      </c>
      <c r="F4493">
        <v>1.00958078230008</v>
      </c>
      <c r="G4493">
        <v>0.83521543560604306</v>
      </c>
      <c r="H4493">
        <v>0.72879516088869101</v>
      </c>
      <c r="I4493">
        <v>0.76470638235101096</v>
      </c>
      <c r="J4493">
        <v>0.70490651698290896</v>
      </c>
      <c r="K4493">
        <v>0.499514109864788</v>
      </c>
      <c r="L4493">
        <v>625.89210817249</v>
      </c>
      <c r="M4493">
        <v>8.8905765713416702</v>
      </c>
      <c r="O4493">
        <v>67.110898113912398</v>
      </c>
      <c r="P4493">
        <v>-3.1148683783089999E-2</v>
      </c>
      <c r="Q4493">
        <v>6.0206126932818398E-2</v>
      </c>
      <c r="R4493">
        <v>0.902135428025446</v>
      </c>
      <c r="S4493" t="s">
        <v>9233</v>
      </c>
      <c r="T4493" t="s">
        <v>9478</v>
      </c>
      <c r="U4493" t="s">
        <v>9478</v>
      </c>
      <c r="V4493" t="s">
        <v>9478</v>
      </c>
      <c r="W4493">
        <v>14</v>
      </c>
      <c r="X4493" t="s">
        <v>13971</v>
      </c>
      <c r="Y4493">
        <v>0.86844578694471308</v>
      </c>
      <c r="Z4493" t="str">
        <f>HYPERLINK("Melting_Curves/meltCurve_tr_H0YMB3_H0YMB3_HUMAN_.pdf", "Melting_Curves/meltCurve_tr_H0YMB3_H0YMB3_HUMAN_.pdf")</f>
        <v>Melting_Curves/meltCurve_tr_H0YMB3_H0YMB3_HUMAN_.pdf</v>
      </c>
      <c r="AA4493" t="s">
        <v>18616</v>
      </c>
      <c r="AB4493" t="s">
        <v>23306</v>
      </c>
    </row>
    <row r="4494" spans="1:28" x14ac:dyDescent="0.25">
      <c r="A4494" t="s">
        <v>4498</v>
      </c>
      <c r="B4494">
        <v>0.99904790336628502</v>
      </c>
      <c r="C4494">
        <v>0.911564357081874</v>
      </c>
      <c r="D4494">
        <v>0.84749198017282201</v>
      </c>
      <c r="E4494">
        <v>0.67927452500074903</v>
      </c>
      <c r="F4494">
        <v>0.64924907548291</v>
      </c>
      <c r="G4494">
        <v>0.54636404540066796</v>
      </c>
      <c r="H4494">
        <v>0.46087728271183898</v>
      </c>
      <c r="I4494">
        <v>0.421209183940222</v>
      </c>
      <c r="J4494">
        <v>0.44735906974822698</v>
      </c>
      <c r="K4494">
        <v>0.445868326353421</v>
      </c>
      <c r="L4494">
        <v>564.05297046496503</v>
      </c>
      <c r="M4494">
        <v>11.225992299363901</v>
      </c>
      <c r="N4494">
        <v>58.952987942231097</v>
      </c>
      <c r="O4494">
        <v>48.7300070608689</v>
      </c>
      <c r="P4494">
        <v>-3.4292565669519902E-2</v>
      </c>
      <c r="Q4494">
        <v>0.40475433647702103</v>
      </c>
      <c r="R4494">
        <v>0.98769803447106896</v>
      </c>
      <c r="S4494" t="s">
        <v>9234</v>
      </c>
      <c r="T4494" t="s">
        <v>9478</v>
      </c>
      <c r="U4494" t="s">
        <v>9478</v>
      </c>
      <c r="V4494" t="s">
        <v>9478</v>
      </c>
      <c r="W4494">
        <v>2</v>
      </c>
      <c r="X4494" t="s">
        <v>13972</v>
      </c>
      <c r="Y4494">
        <v>0.630475508312487</v>
      </c>
      <c r="Z4494" t="str">
        <f>HYPERLINK("Melting_Curves/meltCurve_tr_H0YMM7_H0YMM7_HUMAN_.pdf", "Melting_Curves/meltCurve_tr_H0YMM7_H0YMM7_HUMAN_.pdf")</f>
        <v>Melting_Curves/meltCurve_tr_H0YMM7_H0YMM7_HUMAN_.pdf</v>
      </c>
      <c r="AA4494" t="s">
        <v>18617</v>
      </c>
      <c r="AB4494" t="s">
        <v>23307</v>
      </c>
    </row>
    <row r="4495" spans="1:28" x14ac:dyDescent="0.25">
      <c r="A4495" t="s">
        <v>4499</v>
      </c>
      <c r="B4495">
        <v>0.99904790336628502</v>
      </c>
      <c r="C4495">
        <v>1.1590502876825799</v>
      </c>
      <c r="D4495">
        <v>1.0693361419479701</v>
      </c>
      <c r="E4495">
        <v>1.0733026905684899</v>
      </c>
      <c r="F4495">
        <v>1.32173817472768</v>
      </c>
      <c r="G4495">
        <v>0.99071752876699104</v>
      </c>
      <c r="H4495">
        <v>0.732552383706363</v>
      </c>
      <c r="I4495">
        <v>0.82682979090368502</v>
      </c>
      <c r="J4495">
        <v>0.85900787582530103</v>
      </c>
      <c r="K4495">
        <v>0.97185566487812203</v>
      </c>
      <c r="L4495">
        <v>14405.929032619901</v>
      </c>
      <c r="M4495">
        <v>250</v>
      </c>
      <c r="O4495">
        <v>57.620051965596502</v>
      </c>
      <c r="P4495">
        <v>-0.16534892027904799</v>
      </c>
      <c r="Q4495">
        <v>0.84756144755343898</v>
      </c>
      <c r="R4495">
        <v>0.35609289160635399</v>
      </c>
      <c r="S4495" t="s">
        <v>9235</v>
      </c>
      <c r="T4495" t="s">
        <v>9478</v>
      </c>
      <c r="U4495" t="s">
        <v>9478</v>
      </c>
      <c r="V4495" t="s">
        <v>9478</v>
      </c>
      <c r="W4495">
        <v>2</v>
      </c>
      <c r="X4495" t="s">
        <v>13973</v>
      </c>
      <c r="Y4495">
        <v>0.93712798932520158</v>
      </c>
      <c r="Z4495" t="str">
        <f>HYPERLINK("Melting_Curves/meltCurve_tr_H0YN78_H0YN78_HUMAN_.pdf", "Melting_Curves/meltCurve_tr_H0YN78_H0YN78_HUMAN_.pdf")</f>
        <v>Melting_Curves/meltCurve_tr_H0YN78_H0YN78_HUMAN_.pdf</v>
      </c>
      <c r="AA4495" t="s">
        <v>18618</v>
      </c>
      <c r="AB4495" t="s">
        <v>23308</v>
      </c>
    </row>
    <row r="4496" spans="1:28" x14ac:dyDescent="0.25">
      <c r="A4496" t="s">
        <v>4500</v>
      </c>
      <c r="B4496">
        <v>0.99904790336628502</v>
      </c>
      <c r="C4496">
        <v>0.88803201782157604</v>
      </c>
      <c r="D4496">
        <v>0.77762288208166197</v>
      </c>
      <c r="E4496">
        <v>0.61613861352315802</v>
      </c>
      <c r="F4496">
        <v>0.58078322080953704</v>
      </c>
      <c r="G4496">
        <v>0.244850984328533</v>
      </c>
      <c r="H4496">
        <v>8.5140508865380202E-2</v>
      </c>
      <c r="I4496">
        <v>5.7100048563439199E-2</v>
      </c>
      <c r="J4496">
        <v>4.3075156086726997E-2</v>
      </c>
      <c r="K4496">
        <v>3.2471117911024201E-2</v>
      </c>
      <c r="L4496">
        <v>644.50182873784297</v>
      </c>
      <c r="M4496">
        <v>12.3369063249107</v>
      </c>
      <c r="N4496">
        <v>52.241745895639802</v>
      </c>
      <c r="O4496">
        <v>50.9260469992428</v>
      </c>
      <c r="P4496">
        <v>-6.0575964303801702E-2</v>
      </c>
      <c r="Q4496">
        <v>0</v>
      </c>
      <c r="R4496">
        <v>0.97817561832829902</v>
      </c>
      <c r="S4496" t="s">
        <v>9236</v>
      </c>
      <c r="T4496" t="s">
        <v>9478</v>
      </c>
      <c r="U4496" t="s">
        <v>9478</v>
      </c>
      <c r="V4496" t="s">
        <v>9478</v>
      </c>
      <c r="W4496">
        <v>8</v>
      </c>
      <c r="X4496" t="s">
        <v>13974</v>
      </c>
      <c r="Y4496">
        <v>0.43712898492013152</v>
      </c>
      <c r="Z4496" t="str">
        <f>HYPERLINK("Melting_Curves/meltCurve_tr_H0YN81_H0YN81_HUMAN_.pdf", "Melting_Curves/meltCurve_tr_H0YN81_H0YN81_HUMAN_.pdf")</f>
        <v>Melting_Curves/meltCurve_tr_H0YN81_H0YN81_HUMAN_.pdf</v>
      </c>
      <c r="AA4496" t="s">
        <v>18619</v>
      </c>
      <c r="AB4496" t="s">
        <v>23309</v>
      </c>
    </row>
    <row r="4497" spans="1:28" x14ac:dyDescent="0.25">
      <c r="A4497" t="s">
        <v>4501</v>
      </c>
      <c r="B4497">
        <v>0.99904790336628502</v>
      </c>
      <c r="C4497">
        <v>0.86218886111102699</v>
      </c>
      <c r="D4497">
        <v>1.02192291439884</v>
      </c>
      <c r="E4497">
        <v>0.82560976825989496</v>
      </c>
      <c r="F4497">
        <v>0.65513117346530803</v>
      </c>
      <c r="G4497">
        <v>0.54574797767457495</v>
      </c>
      <c r="H4497">
        <v>0.36493068892054398</v>
      </c>
      <c r="I4497">
        <v>0.39496956703497899</v>
      </c>
      <c r="J4497">
        <v>0.24163013656792501</v>
      </c>
      <c r="K4497">
        <v>0.47279666583527302</v>
      </c>
      <c r="L4497">
        <v>932.97402729564203</v>
      </c>
      <c r="M4497">
        <v>17.5959207308182</v>
      </c>
      <c r="N4497">
        <v>56.875152098513098</v>
      </c>
      <c r="O4497">
        <v>52.351565638823303</v>
      </c>
      <c r="P4497">
        <v>-5.4772432073214597E-2</v>
      </c>
      <c r="Q4497">
        <v>0.34819714173320099</v>
      </c>
      <c r="R4497">
        <v>0.92203104864085605</v>
      </c>
      <c r="S4497" t="s">
        <v>9237</v>
      </c>
      <c r="T4497" t="s">
        <v>9478</v>
      </c>
      <c r="U4497" t="s">
        <v>9478</v>
      </c>
      <c r="V4497" t="s">
        <v>9478</v>
      </c>
      <c r="W4497">
        <v>5</v>
      </c>
      <c r="X4497" t="s">
        <v>13975</v>
      </c>
      <c r="Y4497">
        <v>0.64218616548862706</v>
      </c>
      <c r="Z4497" t="str">
        <f>HYPERLINK("Melting_Curves/meltCurve_tr_H0YNE9_H0YNE9_HUMAN_.pdf", "Melting_Curves/meltCurve_tr_H0YNE9_H0YNE9_HUMAN_.pdf")</f>
        <v>Melting_Curves/meltCurve_tr_H0YNE9_H0YNE9_HUMAN_.pdf</v>
      </c>
      <c r="AA4497" t="s">
        <v>18620</v>
      </c>
      <c r="AB4497" t="s">
        <v>23310</v>
      </c>
    </row>
    <row r="4498" spans="1:28" x14ac:dyDescent="0.25">
      <c r="A4498" t="s">
        <v>4502</v>
      </c>
      <c r="B4498">
        <v>0.99904790336628502</v>
      </c>
      <c r="C4498">
        <v>0.77927624241243598</v>
      </c>
      <c r="D4498">
        <v>0.82753023654396196</v>
      </c>
      <c r="E4498">
        <v>0.68362326472637003</v>
      </c>
      <c r="F4498">
        <v>0.306027461548672</v>
      </c>
      <c r="G4498">
        <v>8.2883450211343301E-2</v>
      </c>
      <c r="H4498">
        <v>4.53429161820302E-2</v>
      </c>
      <c r="I4498">
        <v>2.3640384778864199E-2</v>
      </c>
      <c r="J4498">
        <v>1.62026655331384E-2</v>
      </c>
      <c r="K4498">
        <v>1.3921369225315301E-2</v>
      </c>
      <c r="L4498">
        <v>857.36952026517497</v>
      </c>
      <c r="M4498">
        <v>16.841594761545998</v>
      </c>
      <c r="N4498">
        <v>50.907850948288299</v>
      </c>
      <c r="O4498">
        <v>50.206378452143603</v>
      </c>
      <c r="P4498">
        <v>-8.3867228681722694E-2</v>
      </c>
      <c r="Q4498">
        <v>0</v>
      </c>
      <c r="R4498">
        <v>0.96539624421482695</v>
      </c>
      <c r="S4498" t="s">
        <v>9238</v>
      </c>
      <c r="T4498" t="s">
        <v>9478</v>
      </c>
      <c r="U4498" t="s">
        <v>9478</v>
      </c>
      <c r="V4498" t="s">
        <v>9478</v>
      </c>
      <c r="W4498">
        <v>1</v>
      </c>
      <c r="X4498" t="s">
        <v>13976</v>
      </c>
      <c r="Y4498">
        <v>0.38259333126514122</v>
      </c>
      <c r="Z4498" t="str">
        <f>HYPERLINK("Melting_Curves/meltCurve_tr_H0YNU5_H0YNU5_HUMAN_.pdf", "Melting_Curves/meltCurve_tr_H0YNU5_H0YNU5_HUMAN_.pdf")</f>
        <v>Melting_Curves/meltCurve_tr_H0YNU5_H0YNU5_HUMAN_.pdf</v>
      </c>
      <c r="AA4498" t="s">
        <v>18621</v>
      </c>
      <c r="AB4498" t="s">
        <v>23311</v>
      </c>
    </row>
    <row r="4499" spans="1:28" x14ac:dyDescent="0.25">
      <c r="A4499" t="s">
        <v>4503</v>
      </c>
      <c r="B4499">
        <v>0.99904790336628502</v>
      </c>
      <c r="C4499">
        <v>1.0191530734447301</v>
      </c>
      <c r="D4499">
        <v>1.03350967868915</v>
      </c>
      <c r="E4499">
        <v>0.90154952347859696</v>
      </c>
      <c r="F4499">
        <v>0.31535001355145598</v>
      </c>
      <c r="G4499">
        <v>0.12594662251529101</v>
      </c>
      <c r="H4499">
        <v>6.7837661719752404E-2</v>
      </c>
      <c r="I4499">
        <v>4.7612381130981297E-2</v>
      </c>
      <c r="J4499">
        <v>3.2511649251676003E-2</v>
      </c>
      <c r="K4499">
        <v>2.70324547739282E-2</v>
      </c>
      <c r="L4499">
        <v>2662.1478106515201</v>
      </c>
      <c r="M4499">
        <v>51.167837845894198</v>
      </c>
      <c r="N4499">
        <v>52.151058553102999</v>
      </c>
      <c r="O4499">
        <v>51.9484610401067</v>
      </c>
      <c r="P4499">
        <v>-0.23221417112818499</v>
      </c>
      <c r="Q4499">
        <v>5.6973116804884899E-2</v>
      </c>
      <c r="R4499">
        <v>0.99654802569442302</v>
      </c>
      <c r="S4499" t="s">
        <v>9239</v>
      </c>
      <c r="T4499" t="s">
        <v>9478</v>
      </c>
      <c r="U4499" t="s">
        <v>9478</v>
      </c>
      <c r="V4499" t="s">
        <v>9478</v>
      </c>
      <c r="W4499">
        <v>14</v>
      </c>
      <c r="X4499" t="s">
        <v>13977</v>
      </c>
      <c r="Y4499">
        <v>0.43712228646439899</v>
      </c>
      <c r="Z4499" t="str">
        <f>HYPERLINK("Melting_Curves/meltCurve_tr_H3BLU7_H3BLU7_HUMAN_.pdf", "Melting_Curves/meltCurve_tr_H3BLU7_H3BLU7_HUMAN_.pdf")</f>
        <v>Melting_Curves/meltCurve_tr_H3BLU7_H3BLU7_HUMAN_.pdf</v>
      </c>
      <c r="AA4499" t="s">
        <v>18622</v>
      </c>
      <c r="AB4499" t="s">
        <v>23312</v>
      </c>
    </row>
    <row r="4500" spans="1:28" x14ac:dyDescent="0.25">
      <c r="A4500" t="s">
        <v>4504</v>
      </c>
      <c r="B4500">
        <v>0.99904790336628502</v>
      </c>
      <c r="C4500">
        <v>0.95140528026396098</v>
      </c>
      <c r="D4500">
        <v>0.96383294236697603</v>
      </c>
      <c r="E4500">
        <v>0.88101955299452706</v>
      </c>
      <c r="F4500">
        <v>0.87946879900859698</v>
      </c>
      <c r="G4500">
        <v>0.578859233565579</v>
      </c>
      <c r="H4500">
        <v>0.531488653820954</v>
      </c>
      <c r="I4500">
        <v>0.40082091921070301</v>
      </c>
      <c r="J4500">
        <v>0.30806802480294898</v>
      </c>
      <c r="K4500">
        <v>0.29490149252759601</v>
      </c>
      <c r="L4500">
        <v>698.38242827444401</v>
      </c>
      <c r="M4500">
        <v>11.9828677627755</v>
      </c>
      <c r="N4500">
        <v>60.707894216702996</v>
      </c>
      <c r="O4500">
        <v>56.729765002929803</v>
      </c>
      <c r="P4500">
        <v>-4.2769979718753001E-2</v>
      </c>
      <c r="Q4500">
        <v>0.1902633451919</v>
      </c>
      <c r="R4500">
        <v>0.98113724446352701</v>
      </c>
      <c r="S4500" t="s">
        <v>9240</v>
      </c>
      <c r="T4500" t="s">
        <v>9478</v>
      </c>
      <c r="U4500" t="s">
        <v>9478</v>
      </c>
      <c r="V4500" t="s">
        <v>9478</v>
      </c>
      <c r="W4500">
        <v>4</v>
      </c>
      <c r="X4500" t="s">
        <v>13978</v>
      </c>
      <c r="Y4500">
        <v>0.69294693809629992</v>
      </c>
      <c r="Z4500" t="str">
        <f>HYPERLINK("Melting_Curves/meltCurve_tr_H3BM67_H3BM67_HUMAN_.pdf", "Melting_Curves/meltCurve_tr_H3BM67_H3BM67_HUMAN_.pdf")</f>
        <v>Melting_Curves/meltCurve_tr_H3BM67_H3BM67_HUMAN_.pdf</v>
      </c>
      <c r="AA4500" t="s">
        <v>18623</v>
      </c>
      <c r="AB4500" t="s">
        <v>23313</v>
      </c>
    </row>
    <row r="4501" spans="1:28" x14ac:dyDescent="0.25">
      <c r="A4501" t="s">
        <v>4505</v>
      </c>
      <c r="B4501">
        <v>0.99904790336628502</v>
      </c>
      <c r="C4501">
        <v>0.91144439634940799</v>
      </c>
      <c r="D4501">
        <v>0.79334701740108005</v>
      </c>
      <c r="E4501">
        <v>0.475865983963703</v>
      </c>
      <c r="F4501">
        <v>0.23988059442085599</v>
      </c>
      <c r="G4501">
        <v>9.4604599401168998E-2</v>
      </c>
      <c r="H4501">
        <v>6.6056987295713201E-2</v>
      </c>
      <c r="I4501">
        <v>4.0319102030989699E-2</v>
      </c>
      <c r="J4501">
        <v>2.6788437988308801E-2</v>
      </c>
      <c r="K4501">
        <v>3.1483306113814301E-2</v>
      </c>
      <c r="L4501">
        <v>867.13541606614899</v>
      </c>
      <c r="M4501">
        <v>17.5440036606599</v>
      </c>
      <c r="N4501">
        <v>49.547647578126202</v>
      </c>
      <c r="O4501">
        <v>48.797553795559203</v>
      </c>
      <c r="P4501">
        <v>-8.7996493454974997E-2</v>
      </c>
      <c r="Q4501">
        <v>2.10263743976437E-2</v>
      </c>
      <c r="R4501">
        <v>0.99892877162096605</v>
      </c>
      <c r="S4501" t="s">
        <v>9241</v>
      </c>
      <c r="T4501" t="s">
        <v>9478</v>
      </c>
      <c r="U4501" t="s">
        <v>9478</v>
      </c>
      <c r="V4501" t="s">
        <v>9478</v>
      </c>
      <c r="W4501">
        <v>3</v>
      </c>
      <c r="X4501" t="s">
        <v>13979</v>
      </c>
      <c r="Y4501">
        <v>0.34632474258047191</v>
      </c>
      <c r="Z4501" t="str">
        <f>HYPERLINK("Melting_Curves/meltCurve_tr_H3BMM5_H3BMM5_HUMAN_.pdf", "Melting_Curves/meltCurve_tr_H3BMM5_H3BMM5_HUMAN_.pdf")</f>
        <v>Melting_Curves/meltCurve_tr_H3BMM5_H3BMM5_HUMAN_.pdf</v>
      </c>
      <c r="AB4501" t="s">
        <v>22851</v>
      </c>
    </row>
    <row r="4502" spans="1:28" x14ac:dyDescent="0.25">
      <c r="A4502" t="s">
        <v>4506</v>
      </c>
      <c r="B4502">
        <v>0.99904790336628502</v>
      </c>
      <c r="C4502">
        <v>1.19496853788959</v>
      </c>
      <c r="D4502">
        <v>1.2140619746786401</v>
      </c>
      <c r="E4502">
        <v>0.90918109869785202</v>
      </c>
      <c r="F4502">
        <v>0.71301921112067701</v>
      </c>
      <c r="G4502">
        <v>0.155474817317835</v>
      </c>
      <c r="H4502">
        <v>5.3550294432180699E-2</v>
      </c>
      <c r="I4502">
        <v>2.3733095384860899E-2</v>
      </c>
      <c r="J4502">
        <v>0</v>
      </c>
      <c r="K4502">
        <v>0</v>
      </c>
      <c r="L4502">
        <v>1887.6386011959501</v>
      </c>
      <c r="M4502">
        <v>34.781957638001998</v>
      </c>
      <c r="N4502">
        <v>54.3030987969385</v>
      </c>
      <c r="O4502">
        <v>54.092171559176201</v>
      </c>
      <c r="P4502">
        <v>-0.15910015141202999</v>
      </c>
      <c r="Q4502">
        <v>1.02867365402014E-2</v>
      </c>
      <c r="R4502">
        <v>0.964842415216565</v>
      </c>
      <c r="S4502" t="s">
        <v>9242</v>
      </c>
      <c r="T4502" t="s">
        <v>9478</v>
      </c>
      <c r="U4502" t="s">
        <v>9478</v>
      </c>
      <c r="V4502" t="s">
        <v>9478</v>
      </c>
      <c r="W4502">
        <v>7</v>
      </c>
      <c r="X4502" t="s">
        <v>13980</v>
      </c>
      <c r="Y4502">
        <v>0.48596959297871761</v>
      </c>
      <c r="Z4502" t="str">
        <f>HYPERLINK("Melting_Curves/meltCurve_tr_H3BND3_H3BND3_HUMAN_.pdf", "Melting_Curves/meltCurve_tr_H3BND3_H3BND3_HUMAN_.pdf")</f>
        <v>Melting_Curves/meltCurve_tr_H3BND3_H3BND3_HUMAN_.pdf</v>
      </c>
      <c r="AA4502" t="s">
        <v>14429</v>
      </c>
      <c r="AB4502" t="s">
        <v>23314</v>
      </c>
    </row>
    <row r="4503" spans="1:28" x14ac:dyDescent="0.25">
      <c r="A4503" t="s">
        <v>4507</v>
      </c>
      <c r="B4503">
        <v>0.99904790336628502</v>
      </c>
      <c r="C4503">
        <v>1.2577987633297301</v>
      </c>
      <c r="D4503">
        <v>1.2990534519619701</v>
      </c>
      <c r="E4503">
        <v>0.98784783379072205</v>
      </c>
      <c r="F4503">
        <v>1.42270261928041</v>
      </c>
      <c r="G4503">
        <v>1.04367222250492</v>
      </c>
      <c r="H4503">
        <v>0.83590527736426901</v>
      </c>
      <c r="I4503">
        <v>0.39840945698765901</v>
      </c>
      <c r="J4503">
        <v>0.75443237301451205</v>
      </c>
      <c r="K4503">
        <v>1.77902190085511</v>
      </c>
      <c r="L4503">
        <v>10247.189169892999</v>
      </c>
      <c r="M4503">
        <v>250</v>
      </c>
      <c r="O4503">
        <v>40.986133673477703</v>
      </c>
      <c r="P4503">
        <v>0.131962030007299</v>
      </c>
      <c r="Q4503">
        <v>1.0865378143206099</v>
      </c>
      <c r="R4503">
        <v>5.1702002758303696E-3</v>
      </c>
      <c r="S4503" t="s">
        <v>9243</v>
      </c>
      <c r="T4503" t="s">
        <v>9478</v>
      </c>
      <c r="U4503" t="s">
        <v>9478</v>
      </c>
      <c r="V4503" t="s">
        <v>9478</v>
      </c>
      <c r="W4503">
        <v>12</v>
      </c>
      <c r="X4503" t="s">
        <v>13981</v>
      </c>
      <c r="Y4503">
        <v>1.083678503239347</v>
      </c>
      <c r="Z4503" t="str">
        <f>HYPERLINK("Melting_Curves/meltCurve_tr_H3BNU9_H3BNU9_HUMAN_.pdf", "Melting_Curves/meltCurve_tr_H3BNU9_H3BNU9_HUMAN_.pdf")</f>
        <v>Melting_Curves/meltCurve_tr_H3BNU9_H3BNU9_HUMAN_.pdf</v>
      </c>
      <c r="AA4503" t="s">
        <v>17972</v>
      </c>
      <c r="AB4503" t="s">
        <v>23315</v>
      </c>
    </row>
    <row r="4504" spans="1:28" x14ac:dyDescent="0.25">
      <c r="A4504" t="s">
        <v>4508</v>
      </c>
      <c r="B4504">
        <v>0.99904790336628502</v>
      </c>
      <c r="C4504">
        <v>0.91448753531031701</v>
      </c>
      <c r="D4504">
        <v>0.85834123079170899</v>
      </c>
      <c r="E4504">
        <v>0.64134379914377904</v>
      </c>
      <c r="F4504">
        <v>0.32672202732193001</v>
      </c>
      <c r="G4504">
        <v>0.12576369104164001</v>
      </c>
      <c r="H4504">
        <v>8.5716298006040206E-2</v>
      </c>
      <c r="I4504">
        <v>4.4226211275303802E-2</v>
      </c>
      <c r="J4504">
        <v>3.1766196728032402E-2</v>
      </c>
      <c r="K4504">
        <v>2.6418289968917499E-2</v>
      </c>
      <c r="L4504">
        <v>909.85193764707697</v>
      </c>
      <c r="M4504">
        <v>17.833076498107602</v>
      </c>
      <c r="N4504">
        <v>51.120049746495603</v>
      </c>
      <c r="O4504">
        <v>50.391878861077302</v>
      </c>
      <c r="P4504">
        <v>-8.6966137206321098E-2</v>
      </c>
      <c r="Q4504">
        <v>1.7070887417860899E-2</v>
      </c>
      <c r="R4504">
        <v>0.99552787254851105</v>
      </c>
      <c r="S4504" t="s">
        <v>9244</v>
      </c>
      <c r="T4504" t="s">
        <v>9478</v>
      </c>
      <c r="U4504" t="s">
        <v>9478</v>
      </c>
      <c r="V4504" t="s">
        <v>9478</v>
      </c>
      <c r="W4504">
        <v>11</v>
      </c>
      <c r="X4504" t="s">
        <v>13982</v>
      </c>
      <c r="Y4504">
        <v>0.39498642808301698</v>
      </c>
      <c r="Z4504" t="str">
        <f>HYPERLINK("Melting_Curves/meltCurve_tr_H3BPB8_H3BPB8_HUMAN_.pdf", "Melting_Curves/meltCurve_tr_H3BPB8_H3BPB8_HUMAN_.pdf")</f>
        <v>Melting_Curves/meltCurve_tr_H3BPB8_H3BPB8_HUMAN_.pdf</v>
      </c>
      <c r="AA4504" t="s">
        <v>18624</v>
      </c>
      <c r="AB4504" t="s">
        <v>23316</v>
      </c>
    </row>
    <row r="4505" spans="1:28" x14ac:dyDescent="0.25">
      <c r="A4505" t="s">
        <v>4509</v>
      </c>
      <c r="B4505">
        <v>0.99904790336628502</v>
      </c>
      <c r="C4505">
        <v>1.05390803912581</v>
      </c>
      <c r="D4505">
        <v>1.0818663978040499</v>
      </c>
      <c r="E4505">
        <v>0.97320472196174201</v>
      </c>
      <c r="F4505">
        <v>0.54164757670322805</v>
      </c>
      <c r="G4505">
        <v>0.20431101737895499</v>
      </c>
      <c r="H4505">
        <v>0.12571325877775799</v>
      </c>
      <c r="I4505">
        <v>9.7111304783976699E-2</v>
      </c>
      <c r="J4505">
        <v>7.6250327892566097E-2</v>
      </c>
      <c r="K4505">
        <v>6.5093929332666695E-2</v>
      </c>
      <c r="L4505">
        <v>2112.5241260465</v>
      </c>
      <c r="M4505">
        <v>39.781301084455798</v>
      </c>
      <c r="N4505">
        <v>53.399276639060098</v>
      </c>
      <c r="O4505">
        <v>52.969785232170302</v>
      </c>
      <c r="P4505">
        <v>-0.16918676106161901</v>
      </c>
      <c r="Q4505">
        <v>9.8896499113788602E-2</v>
      </c>
      <c r="R4505">
        <v>0.99088183998689405</v>
      </c>
      <c r="S4505" t="s">
        <v>9245</v>
      </c>
      <c r="T4505" t="s">
        <v>9478</v>
      </c>
      <c r="U4505" t="s">
        <v>9478</v>
      </c>
      <c r="V4505" t="s">
        <v>9478</v>
      </c>
      <c r="W4505">
        <v>132</v>
      </c>
      <c r="X4505" t="s">
        <v>13983</v>
      </c>
      <c r="Y4505">
        <v>0.49582223206851578</v>
      </c>
      <c r="Z4505" t="str">
        <f>HYPERLINK("Melting_Curves/meltCurve_tr_H3BPE1_H3BPE1_HUMAN_.pdf", "Melting_Curves/meltCurve_tr_H3BPE1_H3BPE1_HUMAN_.pdf")</f>
        <v>Melting_Curves/meltCurve_tr_H3BPE1_H3BPE1_HUMAN_.pdf</v>
      </c>
      <c r="AA4505" t="s">
        <v>18625</v>
      </c>
      <c r="AB4505" t="s">
        <v>23317</v>
      </c>
    </row>
    <row r="4506" spans="1:28" x14ac:dyDescent="0.25">
      <c r="A4506" t="s">
        <v>4510</v>
      </c>
      <c r="B4506">
        <v>0.99904790336628502</v>
      </c>
      <c r="C4506">
        <v>1.0661804948701199</v>
      </c>
      <c r="D4506">
        <v>1.2798546510950499</v>
      </c>
      <c r="E4506">
        <v>1.0644437280075301</v>
      </c>
      <c r="F4506">
        <v>0.81726634216091298</v>
      </c>
      <c r="G4506">
        <v>0.22612681226989201</v>
      </c>
      <c r="H4506">
        <v>7.3299428136187297E-2</v>
      </c>
      <c r="I4506">
        <v>3.4497767666181997E-2</v>
      </c>
      <c r="J4506">
        <v>1.86566304785971E-2</v>
      </c>
      <c r="K4506">
        <v>4.3948404026772601E-2</v>
      </c>
      <c r="L4506">
        <v>2274.0639161823701</v>
      </c>
      <c r="M4506">
        <v>41.342699340356504</v>
      </c>
      <c r="N4506">
        <v>55.111026330886602</v>
      </c>
      <c r="O4506">
        <v>54.876985593855402</v>
      </c>
      <c r="P4506">
        <v>-0.18115683032542701</v>
      </c>
      <c r="Q4506">
        <v>3.8154468211520201E-2</v>
      </c>
      <c r="R4506">
        <v>0.96345972802971303</v>
      </c>
      <c r="S4506" t="s">
        <v>9246</v>
      </c>
      <c r="T4506" t="s">
        <v>9478</v>
      </c>
      <c r="U4506" t="s">
        <v>9478</v>
      </c>
      <c r="V4506" t="s">
        <v>9478</v>
      </c>
      <c r="W4506">
        <v>1</v>
      </c>
      <c r="X4506" t="s">
        <v>13984</v>
      </c>
      <c r="Y4506">
        <v>0.52265621232032067</v>
      </c>
      <c r="Z4506" t="str">
        <f>HYPERLINK("Melting_Curves/meltCurve_tr_H3BPZ6_H3BPZ6_HUMAN_.pdf", "Melting_Curves/meltCurve_tr_H3BPZ6_H3BPZ6_HUMAN_.pdf")</f>
        <v>Melting_Curves/meltCurve_tr_H3BPZ6_H3BPZ6_HUMAN_.pdf</v>
      </c>
      <c r="AA4506" t="s">
        <v>18626</v>
      </c>
      <c r="AB4506" t="s">
        <v>23318</v>
      </c>
    </row>
    <row r="4507" spans="1:28" x14ac:dyDescent="0.25">
      <c r="A4507" t="s">
        <v>4511</v>
      </c>
      <c r="B4507">
        <v>0.99904790336628502</v>
      </c>
      <c r="C4507">
        <v>0.96038583517342102</v>
      </c>
      <c r="D4507">
        <v>0.80807359543330004</v>
      </c>
      <c r="E4507">
        <v>0.91157799505216497</v>
      </c>
      <c r="F4507">
        <v>0.69205210406226203</v>
      </c>
      <c r="G4507">
        <v>0.65084246788626798</v>
      </c>
      <c r="H4507">
        <v>0.52368891015561803</v>
      </c>
      <c r="I4507">
        <v>0.32776881401879299</v>
      </c>
      <c r="J4507">
        <v>0.343433585944868</v>
      </c>
      <c r="K4507">
        <v>0.280346837400822</v>
      </c>
      <c r="L4507">
        <v>444.32093165562401</v>
      </c>
      <c r="M4507">
        <v>7.3348440113000999</v>
      </c>
      <c r="N4507">
        <v>60.576739041506102</v>
      </c>
      <c r="O4507">
        <v>56.561810727551602</v>
      </c>
      <c r="P4507">
        <v>-3.2470205061029003E-2</v>
      </c>
      <c r="Q4507">
        <v>0</v>
      </c>
      <c r="R4507">
        <v>0.95546364137851403</v>
      </c>
      <c r="S4507" t="s">
        <v>9247</v>
      </c>
      <c r="T4507" t="s">
        <v>9478</v>
      </c>
      <c r="U4507" t="s">
        <v>9478</v>
      </c>
      <c r="V4507" t="s">
        <v>9478</v>
      </c>
      <c r="W4507">
        <v>2</v>
      </c>
      <c r="X4507" t="s">
        <v>13985</v>
      </c>
      <c r="Y4507">
        <v>0.65909584078215544</v>
      </c>
      <c r="Z4507" t="str">
        <f>HYPERLINK("Melting_Curves/meltCurve_tr_H3BQ52_H3BQ52_HUMAN_.pdf", "Melting_Curves/meltCurve_tr_H3BQ52_H3BQ52_HUMAN_.pdf")</f>
        <v>Melting_Curves/meltCurve_tr_H3BQ52_H3BQ52_HUMAN_.pdf</v>
      </c>
      <c r="AA4507" t="s">
        <v>18627</v>
      </c>
      <c r="AB4507" t="s">
        <v>23319</v>
      </c>
    </row>
    <row r="4508" spans="1:28" x14ac:dyDescent="0.25">
      <c r="A4508" t="s">
        <v>4512</v>
      </c>
      <c r="B4508">
        <v>0.99904790336628502</v>
      </c>
      <c r="C4508">
        <v>0.92019037768659495</v>
      </c>
      <c r="D4508">
        <v>0.92210374421628005</v>
      </c>
      <c r="E4508">
        <v>0.98748398438057605</v>
      </c>
      <c r="F4508">
        <v>1.16585672711167</v>
      </c>
      <c r="G4508">
        <v>0.81990929187813699</v>
      </c>
      <c r="H4508">
        <v>0.60041197219420295</v>
      </c>
      <c r="I4508">
        <v>0.52265082197130097</v>
      </c>
      <c r="J4508">
        <v>0.499395213365316</v>
      </c>
      <c r="K4508">
        <v>0.31639695697014197</v>
      </c>
      <c r="L4508">
        <v>1522.60925256205</v>
      </c>
      <c r="M4508">
        <v>25.417489487106799</v>
      </c>
      <c r="N4508">
        <v>63.591592011770999</v>
      </c>
      <c r="O4508">
        <v>59.536886331044499</v>
      </c>
      <c r="P4508">
        <v>-6.5587728237152795E-2</v>
      </c>
      <c r="Q4508">
        <v>0.38548770425670498</v>
      </c>
      <c r="R4508">
        <v>0.90418583590521995</v>
      </c>
      <c r="S4508" t="s">
        <v>9248</v>
      </c>
      <c r="T4508" t="s">
        <v>9478</v>
      </c>
      <c r="U4508" t="s">
        <v>9478</v>
      </c>
      <c r="V4508" t="s">
        <v>9478</v>
      </c>
      <c r="W4508">
        <v>1</v>
      </c>
      <c r="X4508" t="s">
        <v>13986</v>
      </c>
      <c r="Y4508">
        <v>0.79773982016624179</v>
      </c>
      <c r="Z4508" t="str">
        <f>HYPERLINK("Melting_Curves/meltCurve_tr_H3BQ58_H3BQ58_HUMAN_.pdf", "Melting_Curves/meltCurve_tr_H3BQ58_H3BQ58_HUMAN_.pdf")</f>
        <v>Melting_Curves/meltCurve_tr_H3BQ58_H3BQ58_HUMAN_.pdf</v>
      </c>
      <c r="AA4508" t="s">
        <v>18628</v>
      </c>
      <c r="AB4508" t="s">
        <v>23320</v>
      </c>
    </row>
    <row r="4509" spans="1:28" x14ac:dyDescent="0.25">
      <c r="A4509" t="s">
        <v>4513</v>
      </c>
      <c r="B4509">
        <v>0.99904790336628502</v>
      </c>
      <c r="C4509">
        <v>1.07905957057681</v>
      </c>
      <c r="D4509">
        <v>0.80838021459407505</v>
      </c>
      <c r="E4509">
        <v>0.95999880055088405</v>
      </c>
      <c r="F4509">
        <v>1.19325730356258</v>
      </c>
      <c r="G4509">
        <v>0.51308675096159995</v>
      </c>
      <c r="H4509">
        <v>0.45524196515466098</v>
      </c>
      <c r="I4509">
        <v>0.68652820792869995</v>
      </c>
      <c r="J4509">
        <v>0.66485709003234605</v>
      </c>
      <c r="K4509">
        <v>0.58674907837582102</v>
      </c>
      <c r="L4509">
        <v>5987.60326712196</v>
      </c>
      <c r="M4509">
        <v>108.536294073937</v>
      </c>
      <c r="O4509">
        <v>55.148111460132696</v>
      </c>
      <c r="P4509">
        <v>-0.206721939996481</v>
      </c>
      <c r="Q4509">
        <v>0.57985211901936196</v>
      </c>
      <c r="R4509">
        <v>0.78395363461136702</v>
      </c>
      <c r="S4509" t="s">
        <v>9249</v>
      </c>
      <c r="T4509" t="s">
        <v>9478</v>
      </c>
      <c r="U4509" t="s">
        <v>9478</v>
      </c>
      <c r="V4509" t="s">
        <v>9478</v>
      </c>
      <c r="W4509">
        <v>1</v>
      </c>
      <c r="X4509" t="s">
        <v>13987</v>
      </c>
      <c r="Y4509">
        <v>0.79247852166685462</v>
      </c>
      <c r="Z4509" t="str">
        <f>HYPERLINK("Melting_Curves/meltCurve_tr_H3BQP5_H3BQP5_HUMAN_.pdf", "Melting_Curves/meltCurve_tr_H3BQP5_H3BQP5_HUMAN_.pdf")</f>
        <v>Melting_Curves/meltCurve_tr_H3BQP5_H3BQP5_HUMAN_.pdf</v>
      </c>
      <c r="AA4509" t="s">
        <v>18629</v>
      </c>
      <c r="AB4509" t="s">
        <v>23321</v>
      </c>
    </row>
    <row r="4510" spans="1:28" x14ac:dyDescent="0.25">
      <c r="A4510" t="s">
        <v>4514</v>
      </c>
      <c r="B4510">
        <v>0.99904790336628502</v>
      </c>
      <c r="C4510">
        <v>0.86822529772984003</v>
      </c>
      <c r="D4510">
        <v>0.78802331175732998</v>
      </c>
      <c r="E4510">
        <v>0.43792580827673599</v>
      </c>
      <c r="F4510">
        <v>0.25254322876849</v>
      </c>
      <c r="G4510">
        <v>0.16181665190398201</v>
      </c>
      <c r="H4510">
        <v>0.101076645127848</v>
      </c>
      <c r="I4510">
        <v>9.1851246581663396E-2</v>
      </c>
      <c r="J4510">
        <v>6.4259086133779897E-2</v>
      </c>
      <c r="K4510">
        <v>5.6967582113415099E-2</v>
      </c>
      <c r="L4510">
        <v>804.47173348021101</v>
      </c>
      <c r="M4510">
        <v>16.449947185418502</v>
      </c>
      <c r="N4510">
        <v>49.298987139272398</v>
      </c>
      <c r="O4510">
        <v>48.198633864833504</v>
      </c>
      <c r="P4510">
        <v>-8.0064041746688699E-2</v>
      </c>
      <c r="Q4510">
        <v>6.1709794109936003E-2</v>
      </c>
      <c r="R4510">
        <v>0.996127322861178</v>
      </c>
      <c r="S4510" t="s">
        <v>9250</v>
      </c>
      <c r="T4510" t="s">
        <v>9478</v>
      </c>
      <c r="U4510" t="s">
        <v>9478</v>
      </c>
      <c r="V4510" t="s">
        <v>9478</v>
      </c>
      <c r="W4510">
        <v>7</v>
      </c>
      <c r="X4510" t="s">
        <v>13988</v>
      </c>
      <c r="Y4510">
        <v>0.35966129692271998</v>
      </c>
      <c r="Z4510" t="str">
        <f>HYPERLINK("Melting_Curves/meltCurve_tr_H3BQV3_H3BQV3_HUMAN_.pdf", "Melting_Curves/meltCurve_tr_H3BQV3_H3BQV3_HUMAN_.pdf")</f>
        <v>Melting_Curves/meltCurve_tr_H3BQV3_H3BQV3_HUMAN_.pdf</v>
      </c>
      <c r="AA4510" t="s">
        <v>18630</v>
      </c>
      <c r="AB4510" t="s">
        <v>23322</v>
      </c>
    </row>
    <row r="4511" spans="1:28" x14ac:dyDescent="0.25">
      <c r="A4511" t="s">
        <v>4515</v>
      </c>
      <c r="B4511">
        <v>0.99904790336628502</v>
      </c>
      <c r="C4511">
        <v>0.92957498991771204</v>
      </c>
      <c r="D4511">
        <v>0.98818260812594505</v>
      </c>
      <c r="E4511">
        <v>0.76488168145796098</v>
      </c>
      <c r="F4511">
        <v>0.45930629987382099</v>
      </c>
      <c r="G4511">
        <v>0.21592013520707501</v>
      </c>
      <c r="H4511">
        <v>0.13104191378143601</v>
      </c>
      <c r="I4511">
        <v>0.107579578037081</v>
      </c>
      <c r="J4511">
        <v>0.114610015542448</v>
      </c>
      <c r="K4511">
        <v>0.110826647154675</v>
      </c>
      <c r="L4511">
        <v>1263.13596131846</v>
      </c>
      <c r="M4511">
        <v>24.235775731806999</v>
      </c>
      <c r="N4511">
        <v>52.642375499232898</v>
      </c>
      <c r="O4511">
        <v>51.767683549155002</v>
      </c>
      <c r="P4511">
        <v>-0.104504497566039</v>
      </c>
      <c r="Q4511">
        <v>0.107125699591329</v>
      </c>
      <c r="R4511">
        <v>0.99644318112490604</v>
      </c>
      <c r="S4511" t="s">
        <v>9251</v>
      </c>
      <c r="T4511" t="s">
        <v>9478</v>
      </c>
      <c r="U4511" t="s">
        <v>9478</v>
      </c>
      <c r="V4511" t="s">
        <v>9478</v>
      </c>
      <c r="W4511">
        <v>17</v>
      </c>
      <c r="X4511" t="s">
        <v>13989</v>
      </c>
      <c r="Y4511">
        <v>0.47646629964316878</v>
      </c>
      <c r="Z4511" t="str">
        <f>HYPERLINK("Melting_Curves/meltCurve_tr_H3BQZ7_H3BQZ7_HUMAN_.pdf", "Melting_Curves/meltCurve_tr_H3BQZ7_H3BQZ7_HUMAN_.pdf")</f>
        <v>Melting_Curves/meltCurve_tr_H3BQZ7_H3BQZ7_HUMAN_.pdf</v>
      </c>
      <c r="AA4511" t="s">
        <v>18631</v>
      </c>
      <c r="AB4511" t="s">
        <v>23323</v>
      </c>
    </row>
    <row r="4512" spans="1:28" x14ac:dyDescent="0.25">
      <c r="A4512" t="s">
        <v>4516</v>
      </c>
      <c r="B4512">
        <v>0.99904790336628502</v>
      </c>
      <c r="C4512">
        <v>0.85542817322115805</v>
      </c>
      <c r="D4512">
        <v>1.1698536831609501</v>
      </c>
      <c r="E4512">
        <v>1.0328423727130001</v>
      </c>
      <c r="F4512">
        <v>1.48326966821052</v>
      </c>
      <c r="G4512">
        <v>0.79631325435702405</v>
      </c>
      <c r="H4512">
        <v>0.67482447547512403</v>
      </c>
      <c r="I4512">
        <v>0.66980296136935602</v>
      </c>
      <c r="J4512">
        <v>0.81283378810210005</v>
      </c>
      <c r="K4512">
        <v>0.99599689596431096</v>
      </c>
      <c r="L4512">
        <v>14065.143677845799</v>
      </c>
      <c r="M4512">
        <v>250</v>
      </c>
      <c r="O4512">
        <v>56.256974290744203</v>
      </c>
      <c r="P4512">
        <v>-0.23512214031245901</v>
      </c>
      <c r="Q4512">
        <v>0.78836383656391995</v>
      </c>
      <c r="R4512">
        <v>0.35411932799474899</v>
      </c>
      <c r="S4512" t="s">
        <v>9252</v>
      </c>
      <c r="T4512" t="s">
        <v>9478</v>
      </c>
      <c r="U4512" t="s">
        <v>9478</v>
      </c>
      <c r="V4512" t="s">
        <v>9478</v>
      </c>
      <c r="W4512">
        <v>1</v>
      </c>
      <c r="X4512" t="s">
        <v>13990</v>
      </c>
      <c r="Y4512">
        <v>0.90309558766989084</v>
      </c>
      <c r="Z4512" t="str">
        <f>HYPERLINK("Melting_Curves/meltCurve_tr_H3BR03_H3BR03_HUMAN_.pdf", "Melting_Curves/meltCurve_tr_H3BR03_H3BR03_HUMAN_.pdf")</f>
        <v>Melting_Curves/meltCurve_tr_H3BR03_H3BR03_HUMAN_.pdf</v>
      </c>
      <c r="AA4512" t="s">
        <v>18632</v>
      </c>
      <c r="AB4512" t="s">
        <v>23324</v>
      </c>
    </row>
    <row r="4513" spans="1:28" x14ac:dyDescent="0.25">
      <c r="A4513" t="s">
        <v>4517</v>
      </c>
      <c r="B4513">
        <v>0.99904790336628502</v>
      </c>
      <c r="C4513">
        <v>0.95861805705891301</v>
      </c>
      <c r="D4513">
        <v>0.73465063406354103</v>
      </c>
      <c r="E4513">
        <v>0.50417036870751397</v>
      </c>
      <c r="F4513">
        <v>0.50907704640038898</v>
      </c>
      <c r="G4513">
        <v>0.31079162384088899</v>
      </c>
      <c r="H4513">
        <v>0.16376923996256099</v>
      </c>
      <c r="I4513">
        <v>8.3694845487722894E-2</v>
      </c>
      <c r="J4513">
        <v>0.10130349426664501</v>
      </c>
      <c r="K4513">
        <v>4.49637711494996E-2</v>
      </c>
      <c r="L4513">
        <v>534.91565469040995</v>
      </c>
      <c r="M4513">
        <v>10.3472714038323</v>
      </c>
      <c r="N4513">
        <v>51.696288698156899</v>
      </c>
      <c r="O4513">
        <v>49.877168044459303</v>
      </c>
      <c r="P4513">
        <v>-5.1885902910595902E-2</v>
      </c>
      <c r="Q4513">
        <v>0</v>
      </c>
      <c r="R4513">
        <v>0.97955706962047495</v>
      </c>
      <c r="S4513" t="s">
        <v>9253</v>
      </c>
      <c r="T4513" t="s">
        <v>9478</v>
      </c>
      <c r="U4513" t="s">
        <v>9478</v>
      </c>
      <c r="V4513" t="s">
        <v>9478</v>
      </c>
      <c r="W4513">
        <v>1</v>
      </c>
      <c r="X4513" t="s">
        <v>13991</v>
      </c>
      <c r="Y4513">
        <v>0.42744809644710219</v>
      </c>
      <c r="Z4513" t="str">
        <f>HYPERLINK("Melting_Curves/meltCurve_tr_H3BR95_H3BR95_HUMAN_.pdf", "Melting_Curves/meltCurve_tr_H3BR95_H3BR95_HUMAN_.pdf")</f>
        <v>Melting_Curves/meltCurve_tr_H3BR95_H3BR95_HUMAN_.pdf</v>
      </c>
      <c r="AA4513" t="s">
        <v>18633</v>
      </c>
      <c r="AB4513" t="s">
        <v>23325</v>
      </c>
    </row>
    <row r="4514" spans="1:28" x14ac:dyDescent="0.25">
      <c r="A4514" t="s">
        <v>4518</v>
      </c>
      <c r="B4514">
        <v>0.99904790336628502</v>
      </c>
      <c r="C4514">
        <v>0.95163763555635705</v>
      </c>
      <c r="D4514">
        <v>0.93895251222637299</v>
      </c>
      <c r="E4514">
        <v>0.92181245358668396</v>
      </c>
      <c r="F4514">
        <v>1.1156896683403901</v>
      </c>
      <c r="G4514">
        <v>0.75786756402068001</v>
      </c>
      <c r="H4514">
        <v>0.702153426353614</v>
      </c>
      <c r="I4514">
        <v>0.703468807261308</v>
      </c>
      <c r="J4514">
        <v>0.76515186288331105</v>
      </c>
      <c r="K4514">
        <v>0.76349594170987201</v>
      </c>
      <c r="L4514">
        <v>14118.95698451</v>
      </c>
      <c r="M4514">
        <v>250</v>
      </c>
      <c r="O4514">
        <v>56.472213965409203</v>
      </c>
      <c r="P4514">
        <v>-0.29487124712449703</v>
      </c>
      <c r="Q4514">
        <v>0.73356748625347301</v>
      </c>
      <c r="R4514">
        <v>0.83809881753596704</v>
      </c>
      <c r="S4514" t="s">
        <v>9254</v>
      </c>
      <c r="T4514" t="s">
        <v>9478</v>
      </c>
      <c r="U4514" t="s">
        <v>9478</v>
      </c>
      <c r="V4514" t="s">
        <v>9478</v>
      </c>
      <c r="W4514">
        <v>14</v>
      </c>
      <c r="X4514" t="s">
        <v>13992</v>
      </c>
      <c r="Y4514">
        <v>0.87991710195158956</v>
      </c>
      <c r="Z4514" t="str">
        <f>HYPERLINK("Melting_Curves/meltCurve_tr_H3BRF9_H3BRF9_HUMAN_.pdf", "Melting_Curves/meltCurve_tr_H3BRF9_H3BRF9_HUMAN_.pdf")</f>
        <v>Melting_Curves/meltCurve_tr_H3BRF9_H3BRF9_HUMAN_.pdf</v>
      </c>
      <c r="AA4514" t="s">
        <v>18634</v>
      </c>
      <c r="AB4514" t="s">
        <v>23326</v>
      </c>
    </row>
    <row r="4515" spans="1:28" x14ac:dyDescent="0.25">
      <c r="A4515" t="s">
        <v>4519</v>
      </c>
      <c r="B4515">
        <v>0.99904790336628502</v>
      </c>
      <c r="C4515">
        <v>0.80253253234410304</v>
      </c>
      <c r="D4515">
        <v>0.56680134502458901</v>
      </c>
      <c r="E4515">
        <v>0.28316298317734001</v>
      </c>
      <c r="F4515">
        <v>0.16158974186933001</v>
      </c>
      <c r="G4515">
        <v>7.1916342368571598E-2</v>
      </c>
      <c r="H4515">
        <v>4.5777612619538298E-2</v>
      </c>
      <c r="I4515">
        <v>4.12355276952013E-2</v>
      </c>
      <c r="J4515">
        <v>4.4156830768493999E-2</v>
      </c>
      <c r="K4515">
        <v>3.7297378346152599E-2</v>
      </c>
      <c r="L4515">
        <v>784.37536187790397</v>
      </c>
      <c r="M4515">
        <v>16.799277987075101</v>
      </c>
      <c r="N4515">
        <v>46.889328168042397</v>
      </c>
      <c r="O4515">
        <v>46.044458703345398</v>
      </c>
      <c r="P4515">
        <v>-8.8090081543794704E-2</v>
      </c>
      <c r="Q4515">
        <v>3.4292441124899299E-2</v>
      </c>
      <c r="R4515">
        <v>0.99674016021654099</v>
      </c>
      <c r="S4515" t="s">
        <v>9255</v>
      </c>
      <c r="T4515" t="s">
        <v>9478</v>
      </c>
      <c r="U4515" t="s">
        <v>9478</v>
      </c>
      <c r="V4515" t="s">
        <v>9478</v>
      </c>
      <c r="W4515">
        <v>6</v>
      </c>
      <c r="X4515" t="s">
        <v>13993</v>
      </c>
      <c r="Y4515">
        <v>0.27073178437483397</v>
      </c>
      <c r="Z4515" t="str">
        <f>HYPERLINK("Melting_Curves/meltCurve_tr_H3BRG4_H3BRG4_HUMAN_.pdf", "Melting_Curves/meltCurve_tr_H3BRG4_H3BRG4_HUMAN_.pdf")</f>
        <v>Melting_Curves/meltCurve_tr_H3BRG4_H3BRG4_HUMAN_.pdf</v>
      </c>
      <c r="AA4515" t="s">
        <v>18635</v>
      </c>
      <c r="AB4515" t="s">
        <v>23327</v>
      </c>
    </row>
    <row r="4516" spans="1:28" x14ac:dyDescent="0.25">
      <c r="A4516" t="s">
        <v>4520</v>
      </c>
      <c r="B4516">
        <v>0.99904790336628502</v>
      </c>
      <c r="C4516">
        <v>0.92389428853468902</v>
      </c>
      <c r="D4516">
        <v>0.89959576518179296</v>
      </c>
      <c r="E4516">
        <v>0.88873742614082696</v>
      </c>
      <c r="F4516">
        <v>0.82735843039228296</v>
      </c>
      <c r="G4516">
        <v>0.62863992713154404</v>
      </c>
      <c r="H4516">
        <v>0.377377126205583</v>
      </c>
      <c r="I4516">
        <v>0.25555220076082602</v>
      </c>
      <c r="J4516">
        <v>0.17485167575330801</v>
      </c>
      <c r="K4516">
        <v>0.153345972237312</v>
      </c>
      <c r="L4516">
        <v>720.73614733569298</v>
      </c>
      <c r="M4516">
        <v>12.2323491256202</v>
      </c>
      <c r="N4516">
        <v>58.927761753016597</v>
      </c>
      <c r="O4516">
        <v>57.412169309232603</v>
      </c>
      <c r="P4516">
        <v>-5.3237294385839101E-2</v>
      </c>
      <c r="Q4516">
        <v>7.5295828989967498E-4</v>
      </c>
      <c r="R4516">
        <v>0.98791885140348001</v>
      </c>
      <c r="S4516" t="s">
        <v>9256</v>
      </c>
      <c r="T4516" t="s">
        <v>9478</v>
      </c>
      <c r="U4516" t="s">
        <v>9478</v>
      </c>
      <c r="V4516" t="s">
        <v>9478</v>
      </c>
      <c r="W4516">
        <v>10</v>
      </c>
      <c r="X4516" t="s">
        <v>13994</v>
      </c>
      <c r="Y4516">
        <v>0.6396075421606785</v>
      </c>
      <c r="Z4516" t="str">
        <f>HYPERLINK("Melting_Curves/meltCurve_tr_H3BRL3_H3BRL3_HUMAN_.pdf", "Melting_Curves/meltCurve_tr_H3BRL3_H3BRL3_HUMAN_.pdf")</f>
        <v>Melting_Curves/meltCurve_tr_H3BRL3_H3BRL3_HUMAN_.pdf</v>
      </c>
      <c r="AA4516" t="s">
        <v>18636</v>
      </c>
      <c r="AB4516" t="s">
        <v>23328</v>
      </c>
    </row>
    <row r="4517" spans="1:28" x14ac:dyDescent="0.25">
      <c r="A4517" t="s">
        <v>4521</v>
      </c>
      <c r="B4517">
        <v>0.99904790336628502</v>
      </c>
      <c r="C4517">
        <v>0.96112283456688596</v>
      </c>
      <c r="D4517">
        <v>0.95196982738840596</v>
      </c>
      <c r="E4517">
        <v>0.84428172708542804</v>
      </c>
      <c r="F4517">
        <v>0.79504299164008096</v>
      </c>
      <c r="G4517">
        <v>0.65742976316333301</v>
      </c>
      <c r="H4517">
        <v>0.50954776587652795</v>
      </c>
      <c r="I4517">
        <v>0.43089076557725398</v>
      </c>
      <c r="J4517">
        <v>0.389482374832954</v>
      </c>
      <c r="K4517">
        <v>0.320109973773403</v>
      </c>
      <c r="L4517">
        <v>537.60861437355197</v>
      </c>
      <c r="M4517">
        <v>9.1041631264309792</v>
      </c>
      <c r="N4517">
        <v>61.705740009152898</v>
      </c>
      <c r="O4517">
        <v>56.411001930345897</v>
      </c>
      <c r="P4517">
        <v>-3.38327359377254E-2</v>
      </c>
      <c r="Q4517">
        <v>0.16204835737082399</v>
      </c>
      <c r="R4517">
        <v>0.99750882412904196</v>
      </c>
      <c r="S4517" t="s">
        <v>9257</v>
      </c>
      <c r="T4517" t="s">
        <v>9478</v>
      </c>
      <c r="U4517" t="s">
        <v>9478</v>
      </c>
      <c r="V4517" t="s">
        <v>9478</v>
      </c>
      <c r="W4517">
        <v>5</v>
      </c>
      <c r="X4517" t="s">
        <v>13995</v>
      </c>
      <c r="Y4517">
        <v>0.69388761039558633</v>
      </c>
      <c r="Z4517" t="str">
        <f>HYPERLINK("Melting_Curves/meltCurve_tr_H3BRQ0_H3BRQ0_HUMAN_.pdf", "Melting_Curves/meltCurve_tr_H3BRQ0_H3BRQ0_HUMAN_.pdf")</f>
        <v>Melting_Curves/meltCurve_tr_H3BRQ0_H3BRQ0_HUMAN_.pdf</v>
      </c>
      <c r="AA4517" t="s">
        <v>18637</v>
      </c>
      <c r="AB4517" t="s">
        <v>23329</v>
      </c>
    </row>
    <row r="4518" spans="1:28" x14ac:dyDescent="0.25">
      <c r="A4518" t="s">
        <v>4522</v>
      </c>
      <c r="B4518">
        <v>0.99904790336628502</v>
      </c>
      <c r="C4518">
        <v>1.0145604103710399</v>
      </c>
      <c r="D4518">
        <v>0.98848789508949197</v>
      </c>
      <c r="E4518">
        <v>0.98459896074164599</v>
      </c>
      <c r="F4518">
        <v>1.02362962703372</v>
      </c>
      <c r="G4518">
        <v>0.80996828380776498</v>
      </c>
      <c r="H4518">
        <v>0.52103357810999096</v>
      </c>
      <c r="I4518">
        <v>0.25496927192784102</v>
      </c>
      <c r="J4518">
        <v>0.123850204630505</v>
      </c>
      <c r="K4518">
        <v>7.4805996600910002E-2</v>
      </c>
      <c r="L4518">
        <v>1437.6432506249901</v>
      </c>
      <c r="M4518">
        <v>23.605103165474802</v>
      </c>
      <c r="N4518">
        <v>61.046181266912697</v>
      </c>
      <c r="O4518">
        <v>60.471870090095102</v>
      </c>
      <c r="P4518">
        <v>-9.4976687581303093E-2</v>
      </c>
      <c r="Q4518">
        <v>2.6766322072487199E-2</v>
      </c>
      <c r="R4518">
        <v>0.996967297624477</v>
      </c>
      <c r="S4518" t="s">
        <v>9258</v>
      </c>
      <c r="T4518" t="s">
        <v>9478</v>
      </c>
      <c r="U4518" t="s">
        <v>9478</v>
      </c>
      <c r="V4518" t="s">
        <v>9478</v>
      </c>
      <c r="W4518">
        <v>8</v>
      </c>
      <c r="X4518" t="s">
        <v>13996</v>
      </c>
      <c r="Y4518">
        <v>0.71126828062083025</v>
      </c>
      <c r="Z4518" t="str">
        <f>HYPERLINK("Melting_Curves/meltCurve_tr_H3BRQ8_H3BRQ8_HUMAN_.pdf", "Melting_Curves/meltCurve_tr_H3BRQ8_H3BRQ8_HUMAN_.pdf")</f>
        <v>Melting_Curves/meltCurve_tr_H3BRQ8_H3BRQ8_HUMAN_.pdf</v>
      </c>
      <c r="AA4518" t="s">
        <v>18638</v>
      </c>
      <c r="AB4518" t="s">
        <v>23330</v>
      </c>
    </row>
    <row r="4519" spans="1:28" x14ac:dyDescent="0.25">
      <c r="A4519" t="s">
        <v>4523</v>
      </c>
      <c r="B4519">
        <v>0.99904790336628502</v>
      </c>
      <c r="C4519">
        <v>1.34542173289694</v>
      </c>
      <c r="D4519">
        <v>1.4639725144244999</v>
      </c>
      <c r="E4519">
        <v>1.3414414675848401</v>
      </c>
      <c r="F4519">
        <v>1.1672748557617401</v>
      </c>
      <c r="G4519">
        <v>0.75720688781489498</v>
      </c>
      <c r="H4519">
        <v>0.33932458387305198</v>
      </c>
      <c r="I4519">
        <v>0.20760484486498801</v>
      </c>
      <c r="J4519">
        <v>6.6061267949449096E-2</v>
      </c>
      <c r="K4519">
        <v>4.4057301059254199E-2</v>
      </c>
      <c r="L4519">
        <v>1926.9369505182101</v>
      </c>
      <c r="M4519">
        <v>32.458240279379197</v>
      </c>
      <c r="N4519">
        <v>59.622784224667697</v>
      </c>
      <c r="O4519">
        <v>59.142670316235197</v>
      </c>
      <c r="P4519">
        <v>-0.12827504824107999</v>
      </c>
      <c r="Q4519">
        <v>6.5076593915162503E-2</v>
      </c>
      <c r="R4519">
        <v>0.82786058476576996</v>
      </c>
      <c r="S4519" t="s">
        <v>9259</v>
      </c>
      <c r="T4519" t="s">
        <v>9478</v>
      </c>
      <c r="U4519" t="s">
        <v>9478</v>
      </c>
      <c r="V4519" t="s">
        <v>9478</v>
      </c>
      <c r="W4519">
        <v>4</v>
      </c>
      <c r="X4519" t="s">
        <v>13997</v>
      </c>
      <c r="Y4519">
        <v>0.67385935387773377</v>
      </c>
      <c r="Z4519" t="str">
        <f>HYPERLINK("Melting_Curves/meltCurve_tr_H3BRT1_H3BRT1_HUMAN_.pdf", "Melting_Curves/meltCurve_tr_H3BRT1_H3BRT1_HUMAN_.pdf")</f>
        <v>Melting_Curves/meltCurve_tr_H3BRT1_H3BRT1_HUMAN_.pdf</v>
      </c>
      <c r="AA4519" t="s">
        <v>15779</v>
      </c>
      <c r="AB4519" t="s">
        <v>23331</v>
      </c>
    </row>
    <row r="4520" spans="1:28" x14ac:dyDescent="0.25">
      <c r="A4520" t="s">
        <v>4524</v>
      </c>
      <c r="B4520">
        <v>0.99904790336628502</v>
      </c>
      <c r="C4520">
        <v>1.0183665685897301</v>
      </c>
      <c r="D4520">
        <v>0.975992986637777</v>
      </c>
      <c r="E4520">
        <v>0.81562289162577295</v>
      </c>
      <c r="F4520">
        <v>0.74493429027924696</v>
      </c>
      <c r="G4520">
        <v>0.59046321735270402</v>
      </c>
      <c r="H4520">
        <v>0.48436464084931302</v>
      </c>
      <c r="I4520">
        <v>0.45344872019526999</v>
      </c>
      <c r="J4520">
        <v>0.37516181395958398</v>
      </c>
      <c r="K4520">
        <v>0.41829016734340702</v>
      </c>
      <c r="L4520">
        <v>754.41729245482304</v>
      </c>
      <c r="M4520">
        <v>13.9171279228456</v>
      </c>
      <c r="N4520">
        <v>60.112935900014399</v>
      </c>
      <c r="O4520">
        <v>53.1253996465462</v>
      </c>
      <c r="P4520">
        <v>-4.1096401036476903E-2</v>
      </c>
      <c r="Q4520">
        <v>0.37258115607893799</v>
      </c>
      <c r="R4520">
        <v>0.99100203353133298</v>
      </c>
      <c r="S4520" t="s">
        <v>9260</v>
      </c>
      <c r="T4520" t="s">
        <v>9478</v>
      </c>
      <c r="U4520" t="s">
        <v>9478</v>
      </c>
      <c r="V4520" t="s">
        <v>9478</v>
      </c>
      <c r="W4520">
        <v>18</v>
      </c>
      <c r="X4520" t="s">
        <v>13998</v>
      </c>
      <c r="Y4520">
        <v>0.68359467544110997</v>
      </c>
      <c r="Z4520" t="str">
        <f>HYPERLINK("Melting_Curves/meltCurve_tr_H3BRV0_H3BRV0_HUMAN_.pdf", "Melting_Curves/meltCurve_tr_H3BRV0_H3BRV0_HUMAN_.pdf")</f>
        <v>Melting_Curves/meltCurve_tr_H3BRV0_H3BRV0_HUMAN_.pdf</v>
      </c>
      <c r="AA4520" t="s">
        <v>18639</v>
      </c>
      <c r="AB4520" t="s">
        <v>23332</v>
      </c>
    </row>
    <row r="4521" spans="1:28" x14ac:dyDescent="0.25">
      <c r="A4521" t="s">
        <v>4525</v>
      </c>
      <c r="B4521">
        <v>0.99904790336628502</v>
      </c>
      <c r="C4521">
        <v>0.98507471298923399</v>
      </c>
      <c r="D4521">
        <v>0.96663492179566801</v>
      </c>
      <c r="E4521">
        <v>0.93567901467167103</v>
      </c>
      <c r="F4521">
        <v>0.81858079628857605</v>
      </c>
      <c r="G4521">
        <v>0.60156169890481503</v>
      </c>
      <c r="H4521">
        <v>0.474725938990674</v>
      </c>
      <c r="I4521">
        <v>0.29022087688014703</v>
      </c>
      <c r="J4521">
        <v>0.22354396320905201</v>
      </c>
      <c r="K4521">
        <v>0.14092858084181201</v>
      </c>
      <c r="L4521">
        <v>711.11219381639103</v>
      </c>
      <c r="M4521">
        <v>11.913914788231301</v>
      </c>
      <c r="N4521">
        <v>59.6875340279311</v>
      </c>
      <c r="O4521">
        <v>58.080458276908701</v>
      </c>
      <c r="P4521">
        <v>-5.1294652146960502E-2</v>
      </c>
      <c r="Q4521">
        <v>0</v>
      </c>
      <c r="R4521">
        <v>0.99621050955991397</v>
      </c>
      <c r="S4521" t="s">
        <v>9261</v>
      </c>
      <c r="T4521" t="s">
        <v>9478</v>
      </c>
      <c r="U4521" t="s">
        <v>9478</v>
      </c>
      <c r="V4521" t="s">
        <v>9478</v>
      </c>
      <c r="W4521">
        <v>9</v>
      </c>
      <c r="X4521" t="s">
        <v>13999</v>
      </c>
      <c r="Y4521">
        <v>0.66025751554198531</v>
      </c>
      <c r="Z4521" t="str">
        <f>HYPERLINK("Melting_Curves/meltCurve_tr_H3BTA2_H3BTA2_HUMAN_.pdf", "Melting_Curves/meltCurve_tr_H3BTA2_H3BTA2_HUMAN_.pdf")</f>
        <v>Melting_Curves/meltCurve_tr_H3BTA2_H3BTA2_HUMAN_.pdf</v>
      </c>
      <c r="AA4521" t="s">
        <v>18640</v>
      </c>
      <c r="AB4521" t="s">
        <v>23283</v>
      </c>
    </row>
    <row r="4522" spans="1:28" x14ac:dyDescent="0.25">
      <c r="A4522" t="s">
        <v>4526</v>
      </c>
      <c r="B4522">
        <v>0.99904790336628502</v>
      </c>
      <c r="C4522">
        <v>0.96747357528740396</v>
      </c>
      <c r="D4522">
        <v>0.75041035615415297</v>
      </c>
      <c r="E4522">
        <v>0.28369132205726799</v>
      </c>
      <c r="F4522">
        <v>0.161207323292195</v>
      </c>
      <c r="G4522">
        <v>9.9065154979069397E-2</v>
      </c>
      <c r="H4522">
        <v>6.8985435788919303E-2</v>
      </c>
      <c r="I4522">
        <v>5.17810835126385E-2</v>
      </c>
      <c r="J4522">
        <v>4.3672264030959203E-2</v>
      </c>
      <c r="K4522">
        <v>4.7573630197180701E-2</v>
      </c>
      <c r="L4522">
        <v>1198.39522920745</v>
      </c>
      <c r="M4522">
        <v>25.035477901167901</v>
      </c>
      <c r="N4522">
        <v>48.112245842817202</v>
      </c>
      <c r="O4522">
        <v>47.565602525006703</v>
      </c>
      <c r="P4522">
        <v>-0.12372998372206701</v>
      </c>
      <c r="Q4522">
        <v>5.9700392816147599E-2</v>
      </c>
      <c r="R4522">
        <v>0.99839583205723004</v>
      </c>
      <c r="S4522" t="s">
        <v>9262</v>
      </c>
      <c r="T4522" t="s">
        <v>9478</v>
      </c>
      <c r="U4522" t="s">
        <v>9478</v>
      </c>
      <c r="V4522" t="s">
        <v>9478</v>
      </c>
      <c r="W4522">
        <v>10</v>
      </c>
      <c r="X4522" t="s">
        <v>14000</v>
      </c>
      <c r="Y4522">
        <v>0.31459514275916101</v>
      </c>
      <c r="Z4522" t="str">
        <f>HYPERLINK("Melting_Curves/meltCurve_tr_H3BTB7_H3BTB7_HUMAN_.pdf", "Melting_Curves/meltCurve_tr_H3BTB7_H3BTB7_HUMAN_.pdf")</f>
        <v>Melting_Curves/meltCurve_tr_H3BTB7_H3BTB7_HUMAN_.pdf</v>
      </c>
      <c r="AA4522" t="s">
        <v>18641</v>
      </c>
      <c r="AB4522" t="s">
        <v>23333</v>
      </c>
    </row>
    <row r="4523" spans="1:28" x14ac:dyDescent="0.25">
      <c r="A4523" t="s">
        <v>4527</v>
      </c>
      <c r="B4523">
        <v>0.99904790336628502</v>
      </c>
      <c r="C4523">
        <v>0.81318184878468502</v>
      </c>
      <c r="D4523">
        <v>0.85910993474210395</v>
      </c>
      <c r="E4523">
        <v>0.69586850889804697</v>
      </c>
      <c r="F4523">
        <v>0.51649247644020502</v>
      </c>
      <c r="G4523">
        <v>0.243592642211998</v>
      </c>
      <c r="H4523">
        <v>8.8546835204708602E-2</v>
      </c>
      <c r="I4523">
        <v>7.6055437691609495E-2</v>
      </c>
      <c r="J4523">
        <v>3.33727066443672E-2</v>
      </c>
      <c r="K4523">
        <v>4.3219946894449697E-2</v>
      </c>
      <c r="L4523">
        <v>703.67603467207505</v>
      </c>
      <c r="M4523">
        <v>13.3855050281317</v>
      </c>
      <c r="N4523">
        <v>52.570018968625497</v>
      </c>
      <c r="O4523">
        <v>51.438281449279003</v>
      </c>
      <c r="P4523">
        <v>-6.5066430008298204E-2</v>
      </c>
      <c r="Q4523">
        <v>0</v>
      </c>
      <c r="R4523">
        <v>0.98033786132326795</v>
      </c>
      <c r="S4523" t="s">
        <v>9263</v>
      </c>
      <c r="T4523" t="s">
        <v>9478</v>
      </c>
      <c r="U4523" t="s">
        <v>9478</v>
      </c>
      <c r="V4523" t="s">
        <v>9478</v>
      </c>
      <c r="W4523">
        <v>3</v>
      </c>
      <c r="X4523" t="s">
        <v>14001</v>
      </c>
      <c r="Y4523">
        <v>0.44463933696042329</v>
      </c>
      <c r="Z4523" t="str">
        <f>HYPERLINK("Melting_Curves/meltCurve_tr_H3BTL2_H3BTL2_HUMAN_.pdf", "Melting_Curves/meltCurve_tr_H3BTL2_H3BTL2_HUMAN_.pdf")</f>
        <v>Melting_Curves/meltCurve_tr_H3BTL2_H3BTL2_HUMAN_.pdf</v>
      </c>
      <c r="AA4523" t="s">
        <v>18642</v>
      </c>
      <c r="AB4523" t="s">
        <v>23334</v>
      </c>
    </row>
    <row r="4524" spans="1:28" x14ac:dyDescent="0.25">
      <c r="A4524" t="s">
        <v>4528</v>
      </c>
      <c r="B4524">
        <v>0.99904790336628502</v>
      </c>
      <c r="C4524">
        <v>1.0468723240581299</v>
      </c>
      <c r="D4524">
        <v>0.954296680798978</v>
      </c>
      <c r="E4524">
        <v>1.02525860634916</v>
      </c>
      <c r="F4524">
        <v>0.90644235679136698</v>
      </c>
      <c r="G4524">
        <v>0.78477401407957004</v>
      </c>
      <c r="H4524">
        <v>0.29026067217690399</v>
      </c>
      <c r="I4524">
        <v>0.10350554476271399</v>
      </c>
      <c r="J4524">
        <v>7.6429033689720496E-2</v>
      </c>
      <c r="K4524">
        <v>3.3712672462423203E-2</v>
      </c>
      <c r="L4524">
        <v>1841.59408515942</v>
      </c>
      <c r="M4524">
        <v>31.168699025423201</v>
      </c>
      <c r="N4524">
        <v>59.215526086044697</v>
      </c>
      <c r="O4524">
        <v>58.843132583223898</v>
      </c>
      <c r="P4524">
        <v>-0.128017828526409</v>
      </c>
      <c r="Q4524">
        <v>3.3270548895975798E-2</v>
      </c>
      <c r="R4524">
        <v>0.99387275595758895</v>
      </c>
      <c r="S4524" t="s">
        <v>9264</v>
      </c>
      <c r="T4524" t="s">
        <v>9478</v>
      </c>
      <c r="U4524" t="s">
        <v>9478</v>
      </c>
      <c r="V4524" t="s">
        <v>9478</v>
      </c>
      <c r="W4524">
        <v>1</v>
      </c>
      <c r="X4524" t="s">
        <v>14002</v>
      </c>
      <c r="Y4524">
        <v>0.6540862107444867</v>
      </c>
      <c r="Z4524" t="str">
        <f>HYPERLINK("Melting_Curves/meltCurve_tr_H3BU49_H3BU49_HUMAN_.pdf", "Melting_Curves/meltCurve_tr_H3BU49_H3BU49_HUMAN_.pdf")</f>
        <v>Melting_Curves/meltCurve_tr_H3BU49_H3BU49_HUMAN_.pdf</v>
      </c>
      <c r="AA4524" t="s">
        <v>18643</v>
      </c>
      <c r="AB4524" t="s">
        <v>23335</v>
      </c>
    </row>
    <row r="4525" spans="1:28" x14ac:dyDescent="0.25">
      <c r="A4525" t="s">
        <v>4529</v>
      </c>
      <c r="B4525">
        <v>0.99904790336628502</v>
      </c>
      <c r="C4525">
        <v>1.0143390232684799</v>
      </c>
      <c r="D4525">
        <v>1.0601975750689301</v>
      </c>
      <c r="E4525">
        <v>0.911234329797593</v>
      </c>
      <c r="F4525">
        <v>0.92034535603929502</v>
      </c>
      <c r="G4525">
        <v>0.65033960149260495</v>
      </c>
      <c r="H4525">
        <v>0.69742472453585003</v>
      </c>
      <c r="I4525">
        <v>0.56316866856942904</v>
      </c>
      <c r="J4525">
        <v>0.77734882337143296</v>
      </c>
      <c r="K4525">
        <v>0.55928352866347297</v>
      </c>
      <c r="L4525">
        <v>2688.5876617867202</v>
      </c>
      <c r="M4525">
        <v>49.693081726081097</v>
      </c>
      <c r="O4525">
        <v>54.016459699409303</v>
      </c>
      <c r="P4525">
        <v>-8.1725615331910001E-2</v>
      </c>
      <c r="Q4525">
        <v>0.64465680948078496</v>
      </c>
      <c r="R4525">
        <v>0.86005660793760297</v>
      </c>
      <c r="S4525" t="s">
        <v>9265</v>
      </c>
      <c r="T4525" t="s">
        <v>9478</v>
      </c>
      <c r="U4525" t="s">
        <v>9478</v>
      </c>
      <c r="V4525" t="s">
        <v>9478</v>
      </c>
      <c r="W4525">
        <v>1</v>
      </c>
      <c r="X4525" t="s">
        <v>14003</v>
      </c>
      <c r="Y4525">
        <v>0.81257218382274787</v>
      </c>
      <c r="Z4525" t="str">
        <f>HYPERLINK("Melting_Curves/meltCurve_tr_H3BUU5_H3BUU5_HUMAN_.pdf", "Melting_Curves/meltCurve_tr_H3BUU5_H3BUU5_HUMAN_.pdf")</f>
        <v>Melting_Curves/meltCurve_tr_H3BUU5_H3BUU5_HUMAN_.pdf</v>
      </c>
      <c r="AA4525" t="s">
        <v>18644</v>
      </c>
      <c r="AB4525" t="s">
        <v>23336</v>
      </c>
    </row>
    <row r="4526" spans="1:28" x14ac:dyDescent="0.25">
      <c r="A4526" t="s">
        <v>4530</v>
      </c>
      <c r="B4526">
        <v>0.99904790336628502</v>
      </c>
      <c r="C4526">
        <v>1.30782455960301</v>
      </c>
      <c r="D4526">
        <v>0.72121190267481605</v>
      </c>
      <c r="E4526">
        <v>0.52759508538659905</v>
      </c>
      <c r="F4526">
        <v>0.29639390450769398</v>
      </c>
      <c r="G4526">
        <v>0.30757696017066399</v>
      </c>
      <c r="H4526">
        <v>0</v>
      </c>
      <c r="I4526">
        <v>0</v>
      </c>
      <c r="J4526">
        <v>0</v>
      </c>
      <c r="K4526">
        <v>0</v>
      </c>
      <c r="L4526">
        <v>841.94616625462902</v>
      </c>
      <c r="M4526">
        <v>16.5981855113872</v>
      </c>
      <c r="N4526">
        <v>50.725186003621701</v>
      </c>
      <c r="O4526">
        <v>50.006049887098698</v>
      </c>
      <c r="P4526">
        <v>-8.2986521226538906E-2</v>
      </c>
      <c r="Q4526">
        <v>0</v>
      </c>
      <c r="R4526">
        <v>0.90995524722960797</v>
      </c>
      <c r="S4526" t="s">
        <v>9266</v>
      </c>
      <c r="T4526" t="s">
        <v>9478</v>
      </c>
      <c r="U4526" t="s">
        <v>9478</v>
      </c>
      <c r="V4526" t="s">
        <v>9478</v>
      </c>
      <c r="W4526">
        <v>1</v>
      </c>
      <c r="X4526" t="s">
        <v>14004</v>
      </c>
      <c r="Y4526">
        <v>0.37706770067082579</v>
      </c>
      <c r="Z4526" t="str">
        <f>HYPERLINK("Melting_Curves/meltCurve_tr_H3BV16_H3BV16_HUMAN_.pdf", "Melting_Curves/meltCurve_tr_H3BV16_H3BV16_HUMAN_.pdf")</f>
        <v>Melting_Curves/meltCurve_tr_H3BV16_H3BV16_HUMAN_.pdf</v>
      </c>
      <c r="AA4526" t="s">
        <v>18645</v>
      </c>
      <c r="AB4526" t="s">
        <v>23337</v>
      </c>
    </row>
    <row r="4527" spans="1:28" x14ac:dyDescent="0.25">
      <c r="A4527" t="s">
        <v>4531</v>
      </c>
      <c r="B4527">
        <v>0.99904790336628502</v>
      </c>
      <c r="C4527">
        <v>1.0455894209838199</v>
      </c>
      <c r="D4527">
        <v>1.0894245897241699</v>
      </c>
      <c r="E4527">
        <v>0.96609484184120398</v>
      </c>
      <c r="F4527">
        <v>0.93121043915220503</v>
      </c>
      <c r="G4527">
        <v>0.56374838304482899</v>
      </c>
      <c r="H4527">
        <v>0.35627235334175</v>
      </c>
      <c r="I4527">
        <v>0.28972260341953698</v>
      </c>
      <c r="J4527">
        <v>0.28183101963837598</v>
      </c>
      <c r="K4527">
        <v>0.27659698693095303</v>
      </c>
      <c r="L4527">
        <v>1819.63619580564</v>
      </c>
      <c r="M4527">
        <v>32.2966973819956</v>
      </c>
      <c r="N4527">
        <v>57.814597541860699</v>
      </c>
      <c r="O4527">
        <v>56.126559711729001</v>
      </c>
      <c r="P4527">
        <v>-0.103511771708479</v>
      </c>
      <c r="Q4527">
        <v>0.28045504620056699</v>
      </c>
      <c r="R4527">
        <v>0.98998911568183301</v>
      </c>
      <c r="S4527" t="s">
        <v>9267</v>
      </c>
      <c r="T4527" t="s">
        <v>9478</v>
      </c>
      <c r="U4527" t="s">
        <v>9478</v>
      </c>
      <c r="V4527" t="s">
        <v>9478</v>
      </c>
      <c r="W4527">
        <v>13</v>
      </c>
      <c r="X4527" t="s">
        <v>14005</v>
      </c>
      <c r="Y4527">
        <v>0.67658887866282502</v>
      </c>
      <c r="Z4527" t="str">
        <f>HYPERLINK("Melting_Curves/meltCurve_tr_H7BXH2_H7BXH2_HUMAN_.pdf", "Melting_Curves/meltCurve_tr_H7BXH2_H7BXH2_HUMAN_.pdf")</f>
        <v>Melting_Curves/meltCurve_tr_H7BXH2_H7BXH2_HUMAN_.pdf</v>
      </c>
      <c r="AA4527" t="s">
        <v>18646</v>
      </c>
      <c r="AB4527" t="s">
        <v>23338</v>
      </c>
    </row>
    <row r="4528" spans="1:28" x14ac:dyDescent="0.25">
      <c r="A4528" t="s">
        <v>4532</v>
      </c>
      <c r="B4528">
        <v>0.99904790336628502</v>
      </c>
      <c r="C4528">
        <v>1.0510281655907401</v>
      </c>
      <c r="D4528">
        <v>1.1531241442895599</v>
      </c>
      <c r="E4528">
        <v>0.88881863059893795</v>
      </c>
      <c r="F4528">
        <v>0.92637254269377001</v>
      </c>
      <c r="G4528">
        <v>0.51408009194799997</v>
      </c>
      <c r="H4528">
        <v>0.143082554699967</v>
      </c>
      <c r="I4528">
        <v>8.9517095957618503E-2</v>
      </c>
      <c r="J4528">
        <v>6.4078699693854199E-2</v>
      </c>
      <c r="K4528">
        <v>9.1865800322452507E-2</v>
      </c>
      <c r="L4528">
        <v>1844.7590989585999</v>
      </c>
      <c r="M4528">
        <v>32.478841068474701</v>
      </c>
      <c r="N4528">
        <v>57.0548517537053</v>
      </c>
      <c r="O4528">
        <v>56.584773341173403</v>
      </c>
      <c r="P4528">
        <v>-0.133765175884868</v>
      </c>
      <c r="Q4528">
        <v>6.7819446277437204E-2</v>
      </c>
      <c r="R4528">
        <v>0.98024206842007899</v>
      </c>
      <c r="S4528" t="s">
        <v>9268</v>
      </c>
      <c r="T4528" t="s">
        <v>9478</v>
      </c>
      <c r="U4528" t="s">
        <v>9478</v>
      </c>
      <c r="V4528" t="s">
        <v>9478</v>
      </c>
      <c r="W4528">
        <v>2</v>
      </c>
      <c r="X4528" t="s">
        <v>14006</v>
      </c>
      <c r="Y4528">
        <v>0.5951859091496513</v>
      </c>
      <c r="Z4528" t="str">
        <f>HYPERLINK("Melting_Curves/meltCurve_tr_H7BXV2_H7BXV2_HUMAN_.pdf", "Melting_Curves/meltCurve_tr_H7BXV2_H7BXV2_HUMAN_.pdf")</f>
        <v>Melting_Curves/meltCurve_tr_H7BXV2_H7BXV2_HUMAN_.pdf</v>
      </c>
      <c r="AA4528" t="s">
        <v>18647</v>
      </c>
      <c r="AB4528" t="s">
        <v>23339</v>
      </c>
    </row>
    <row r="4529" spans="1:28" x14ac:dyDescent="0.25">
      <c r="A4529" t="s">
        <v>4533</v>
      </c>
      <c r="B4529">
        <v>0.99904790336628502</v>
      </c>
      <c r="C4529">
        <v>0.73293324379770897</v>
      </c>
      <c r="D4529">
        <v>0.81104195297042703</v>
      </c>
      <c r="E4529">
        <v>0.59889039784730003</v>
      </c>
      <c r="F4529">
        <v>0.31684712351876398</v>
      </c>
      <c r="G4529">
        <v>0.20400754454765299</v>
      </c>
      <c r="H4529">
        <v>0.111695448297377</v>
      </c>
      <c r="I4529">
        <v>6.4791354595151396E-2</v>
      </c>
      <c r="J4529">
        <v>2.1299698230830499E-2</v>
      </c>
      <c r="K4529">
        <v>0</v>
      </c>
      <c r="L4529">
        <v>603.91868498422298</v>
      </c>
      <c r="M4529">
        <v>11.9669279826495</v>
      </c>
      <c r="N4529">
        <v>50.465640350367799</v>
      </c>
      <c r="O4529">
        <v>49.118349168393301</v>
      </c>
      <c r="P4529">
        <v>-6.0923484002729497E-2</v>
      </c>
      <c r="Q4529">
        <v>0</v>
      </c>
      <c r="R4529">
        <v>0.96852405440360201</v>
      </c>
      <c r="S4529" t="s">
        <v>9269</v>
      </c>
      <c r="T4529" t="s">
        <v>9478</v>
      </c>
      <c r="U4529" t="s">
        <v>9478</v>
      </c>
      <c r="V4529" t="s">
        <v>9478</v>
      </c>
      <c r="W4529">
        <v>2</v>
      </c>
      <c r="X4529" t="s">
        <v>14007</v>
      </c>
      <c r="Y4529">
        <v>0.38267213146783641</v>
      </c>
      <c r="Z4529" t="str">
        <f>HYPERLINK("Melting_Curves/meltCurve_tr_H7BXV5_H7BXV5_HUMAN_.pdf", "Melting_Curves/meltCurve_tr_H7BXV5_H7BXV5_HUMAN_.pdf")</f>
        <v>Melting_Curves/meltCurve_tr_H7BXV5_H7BXV5_HUMAN_.pdf</v>
      </c>
      <c r="AA4529" t="s">
        <v>18648</v>
      </c>
      <c r="AB4529" t="s">
        <v>23340</v>
      </c>
    </row>
    <row r="4530" spans="1:28" x14ac:dyDescent="0.25">
      <c r="A4530" t="s">
        <v>4534</v>
      </c>
      <c r="B4530">
        <v>0.99904790336628502</v>
      </c>
      <c r="C4530">
        <v>0.96730239072206603</v>
      </c>
      <c r="D4530">
        <v>0.91985032784425402</v>
      </c>
      <c r="E4530">
        <v>0.788460000026037</v>
      </c>
      <c r="F4530">
        <v>0.71304069439301399</v>
      </c>
      <c r="G4530">
        <v>0.43384011401982397</v>
      </c>
      <c r="H4530">
        <v>0.37181350972618599</v>
      </c>
      <c r="I4530">
        <v>0.299677534498276</v>
      </c>
      <c r="J4530">
        <v>0.280419267755604</v>
      </c>
      <c r="K4530">
        <v>0.27518299086262299</v>
      </c>
      <c r="L4530">
        <v>758.54922180377696</v>
      </c>
      <c r="M4530">
        <v>14.086348268192101</v>
      </c>
      <c r="N4530">
        <v>56.401833033201399</v>
      </c>
      <c r="O4530">
        <v>52.799519876497598</v>
      </c>
      <c r="P4530">
        <v>-5.0986739946033199E-2</v>
      </c>
      <c r="Q4530">
        <v>0.23564919802753001</v>
      </c>
      <c r="R4530">
        <v>0.99305734389410705</v>
      </c>
      <c r="S4530" t="s">
        <v>9270</v>
      </c>
      <c r="T4530" t="s">
        <v>9478</v>
      </c>
      <c r="U4530" t="s">
        <v>9478</v>
      </c>
      <c r="V4530" t="s">
        <v>9478</v>
      </c>
      <c r="W4530">
        <v>4</v>
      </c>
      <c r="X4530" t="s">
        <v>14008</v>
      </c>
      <c r="Y4530">
        <v>0.60559094694305848</v>
      </c>
      <c r="Z4530" t="str">
        <f>HYPERLINK("Melting_Curves/meltCurve_tr_H7BYD0_H7BYD0_HUMAN_.pdf", "Melting_Curves/meltCurve_tr_H7BYD0_H7BYD0_HUMAN_.pdf")</f>
        <v>Melting_Curves/meltCurve_tr_H7BYD0_H7BYD0_HUMAN_.pdf</v>
      </c>
      <c r="AA4530" t="s">
        <v>18649</v>
      </c>
      <c r="AB4530" t="s">
        <v>23341</v>
      </c>
    </row>
    <row r="4531" spans="1:28" x14ac:dyDescent="0.25">
      <c r="A4531" t="s">
        <v>4535</v>
      </c>
      <c r="B4531">
        <v>0.99904790336628502</v>
      </c>
      <c r="C4531">
        <v>0.98077195216624602</v>
      </c>
      <c r="D4531">
        <v>0.961782982409636</v>
      </c>
      <c r="E4531">
        <v>0.95037943289529503</v>
      </c>
      <c r="F4531">
        <v>0.97180878487961497</v>
      </c>
      <c r="G4531">
        <v>0.78353399773584498</v>
      </c>
      <c r="H4531">
        <v>0.74931069877947099</v>
      </c>
      <c r="I4531">
        <v>0.78091661619712205</v>
      </c>
      <c r="J4531">
        <v>0.78102675507180497</v>
      </c>
      <c r="K4531">
        <v>0.74111564309165401</v>
      </c>
      <c r="L4531">
        <v>3131.2999374811602</v>
      </c>
      <c r="M4531">
        <v>57.200452046138601</v>
      </c>
      <c r="O4531">
        <v>54.6757846588769</v>
      </c>
      <c r="P4531">
        <v>-6.2078644683366498E-2</v>
      </c>
      <c r="Q4531">
        <v>0.76264544770941001</v>
      </c>
      <c r="R4531">
        <v>0.94909638987140199</v>
      </c>
      <c r="S4531" t="s">
        <v>9271</v>
      </c>
      <c r="T4531" t="s">
        <v>9478</v>
      </c>
      <c r="U4531" t="s">
        <v>9478</v>
      </c>
      <c r="V4531" t="s">
        <v>9478</v>
      </c>
      <c r="W4531">
        <v>29</v>
      </c>
      <c r="X4531" t="s">
        <v>14009</v>
      </c>
      <c r="Y4531">
        <v>0.87972331029618778</v>
      </c>
      <c r="Z4531" t="str">
        <f>HYPERLINK("Melting_Curves/meltCurve_tr_H7BYY1_H7BYY1_HUMAN_.pdf", "Melting_Curves/meltCurve_tr_H7BYY1_H7BYY1_HUMAN_.pdf")</f>
        <v>Melting_Curves/meltCurve_tr_H7BYY1_H7BYY1_HUMAN_.pdf</v>
      </c>
      <c r="AA4531" t="s">
        <v>14868</v>
      </c>
      <c r="AB4531" t="s">
        <v>23342</v>
      </c>
    </row>
    <row r="4532" spans="1:28" x14ac:dyDescent="0.25">
      <c r="A4532" t="s">
        <v>4536</v>
      </c>
      <c r="B4532">
        <v>0.99904790336628502</v>
      </c>
      <c r="C4532">
        <v>1.12696197991155</v>
      </c>
      <c r="D4532">
        <v>1.2934140505073799</v>
      </c>
      <c r="E4532">
        <v>1.0888955697720899</v>
      </c>
      <c r="F4532">
        <v>0.78312235536172903</v>
      </c>
      <c r="G4532">
        <v>0.40709587112955098</v>
      </c>
      <c r="H4532">
        <v>5.5334364830132897E-2</v>
      </c>
      <c r="I4532">
        <v>2.91636803226113E-2</v>
      </c>
      <c r="J4532">
        <v>2.73757373591344E-2</v>
      </c>
      <c r="K4532">
        <v>1.88049641676678E-2</v>
      </c>
      <c r="L4532">
        <v>1695.5160014842299</v>
      </c>
      <c r="M4532">
        <v>30.279792082917499</v>
      </c>
      <c r="N4532">
        <v>56.031299235375599</v>
      </c>
      <c r="O4532">
        <v>55.752452980623403</v>
      </c>
      <c r="P4532">
        <v>-0.134458818016708</v>
      </c>
      <c r="Q4532">
        <v>9.7210344095285603E-3</v>
      </c>
      <c r="R4532">
        <v>0.95124774878496399</v>
      </c>
      <c r="S4532" t="s">
        <v>9272</v>
      </c>
      <c r="T4532" t="s">
        <v>9478</v>
      </c>
      <c r="U4532" t="s">
        <v>9478</v>
      </c>
      <c r="V4532" t="s">
        <v>9478</v>
      </c>
      <c r="W4532">
        <v>1</v>
      </c>
      <c r="X4532" t="s">
        <v>14010</v>
      </c>
      <c r="Y4532">
        <v>0.54419566202079417</v>
      </c>
      <c r="Z4532" t="str">
        <f>HYPERLINK("Melting_Curves/meltCurve_tr_H7BZ00_H7BZ00_HUMAN_.pdf", "Melting_Curves/meltCurve_tr_H7BZ00_H7BZ00_HUMAN_.pdf")</f>
        <v>Melting_Curves/meltCurve_tr_H7BZ00_H7BZ00_HUMAN_.pdf</v>
      </c>
      <c r="AA4532" t="s">
        <v>18650</v>
      </c>
      <c r="AB4532" t="s">
        <v>23343</v>
      </c>
    </row>
    <row r="4533" spans="1:28" x14ac:dyDescent="0.25">
      <c r="A4533" t="s">
        <v>4537</v>
      </c>
      <c r="B4533">
        <v>0.99904790336628502</v>
      </c>
      <c r="C4533">
        <v>1.0582916210901101</v>
      </c>
      <c r="D4533">
        <v>1.10424658417727</v>
      </c>
      <c r="E4533">
        <v>0.97962876753495798</v>
      </c>
      <c r="F4533">
        <v>0.71942776340810899</v>
      </c>
      <c r="G4533">
        <v>0.245391588642669</v>
      </c>
      <c r="H4533">
        <v>8.9855618170142898E-2</v>
      </c>
      <c r="I4533">
        <v>5.9417257741368398E-2</v>
      </c>
      <c r="J4533">
        <v>7.7850262295401207E-2</v>
      </c>
      <c r="K4533">
        <v>5.8027059818901799E-2</v>
      </c>
      <c r="L4533">
        <v>1828.7480280024399</v>
      </c>
      <c r="M4533">
        <v>33.584573123908697</v>
      </c>
      <c r="N4533">
        <v>54.676783739723497</v>
      </c>
      <c r="O4533">
        <v>54.260054583448699</v>
      </c>
      <c r="P4533">
        <v>-0.14476278166828499</v>
      </c>
      <c r="Q4533">
        <v>6.4474796830290795E-2</v>
      </c>
      <c r="R4533">
        <v>0.99200703272345203</v>
      </c>
      <c r="S4533" t="s">
        <v>9273</v>
      </c>
      <c r="T4533" t="s">
        <v>9478</v>
      </c>
      <c r="U4533" t="s">
        <v>9478</v>
      </c>
      <c r="V4533" t="s">
        <v>9478</v>
      </c>
      <c r="W4533">
        <v>9</v>
      </c>
      <c r="X4533" t="s">
        <v>14011</v>
      </c>
      <c r="Y4533">
        <v>0.52011231349760689</v>
      </c>
      <c r="Z4533" t="str">
        <f>HYPERLINK("Melting_Curves/meltCurve_tr_H7BZJ3_H7BZJ3_HUMAN_.pdf", "Melting_Curves/meltCurve_tr_H7BZJ3_H7BZJ3_HUMAN_.pdf")</f>
        <v>Melting_Curves/meltCurve_tr_H7BZJ3_H7BZJ3_HUMAN_.pdf</v>
      </c>
      <c r="AA4533" t="s">
        <v>18564</v>
      </c>
      <c r="AB4533" t="s">
        <v>23344</v>
      </c>
    </row>
    <row r="4534" spans="1:28" x14ac:dyDescent="0.25">
      <c r="A4534" t="s">
        <v>4538</v>
      </c>
      <c r="B4534">
        <v>0.99904790336628502</v>
      </c>
      <c r="C4534">
        <v>0.96532574303553997</v>
      </c>
      <c r="D4534">
        <v>1.03400148967117</v>
      </c>
      <c r="E4534">
        <v>0.984272309028701</v>
      </c>
      <c r="F4534">
        <v>1.04483747593618</v>
      </c>
      <c r="G4534">
        <v>0.83750926005549797</v>
      </c>
      <c r="H4534">
        <v>0.73023478985917001</v>
      </c>
      <c r="I4534">
        <v>0.69694131094357203</v>
      </c>
      <c r="J4534">
        <v>0.717444820117358</v>
      </c>
      <c r="K4534">
        <v>0.74597573740435097</v>
      </c>
      <c r="L4534">
        <v>14230.226352350201</v>
      </c>
      <c r="M4534">
        <v>250</v>
      </c>
      <c r="O4534">
        <v>56.917264689504499</v>
      </c>
      <c r="P4534">
        <v>-0.30455483348185203</v>
      </c>
      <c r="Q4534">
        <v>0.72264916017308201</v>
      </c>
      <c r="R4534">
        <v>0.96809738460924899</v>
      </c>
      <c r="S4534" t="s">
        <v>9274</v>
      </c>
      <c r="T4534" t="s">
        <v>9478</v>
      </c>
      <c r="U4534" t="s">
        <v>9478</v>
      </c>
      <c r="V4534" t="s">
        <v>9478</v>
      </c>
      <c r="W4534">
        <v>4</v>
      </c>
      <c r="X4534" t="s">
        <v>14012</v>
      </c>
      <c r="Y4534">
        <v>0.87911111041693224</v>
      </c>
      <c r="Z4534" t="str">
        <f>HYPERLINK("Melting_Curves/meltCurve_tr_H7BZL0_H7BZL0_HUMAN_.pdf", "Melting_Curves/meltCurve_tr_H7BZL0_H7BZL0_HUMAN_.pdf")</f>
        <v>Melting_Curves/meltCurve_tr_H7BZL0_H7BZL0_HUMAN_.pdf</v>
      </c>
      <c r="AA4534" t="s">
        <v>18651</v>
      </c>
      <c r="AB4534" t="s">
        <v>23345</v>
      </c>
    </row>
    <row r="4535" spans="1:28" x14ac:dyDescent="0.25">
      <c r="A4535" t="s">
        <v>4539</v>
      </c>
      <c r="B4535">
        <v>0.99904790336628502</v>
      </c>
      <c r="C4535">
        <v>0.950552478668931</v>
      </c>
      <c r="D4535">
        <v>0.91489701247071398</v>
      </c>
      <c r="E4535">
        <v>0.79266337126228203</v>
      </c>
      <c r="F4535">
        <v>0.71693067181508296</v>
      </c>
      <c r="G4535">
        <v>0.45761877180499799</v>
      </c>
      <c r="H4535">
        <v>0.36960411167041002</v>
      </c>
      <c r="I4535">
        <v>0.32404369444241099</v>
      </c>
      <c r="J4535">
        <v>0.33272304728946001</v>
      </c>
      <c r="K4535">
        <v>0.28129050519519999</v>
      </c>
      <c r="L4535">
        <v>732.57660909951801</v>
      </c>
      <c r="M4535">
        <v>13.618952164300801</v>
      </c>
      <c r="N4535">
        <v>56.784730114016298</v>
      </c>
      <c r="O4535">
        <v>52.670928011494503</v>
      </c>
      <c r="P4535">
        <v>-4.8091525792006998E-2</v>
      </c>
      <c r="Q4535">
        <v>0.25613868456155497</v>
      </c>
      <c r="R4535">
        <v>0.99194164647295802</v>
      </c>
      <c r="S4535" t="s">
        <v>9275</v>
      </c>
      <c r="T4535" t="s">
        <v>9478</v>
      </c>
      <c r="U4535" t="s">
        <v>9478</v>
      </c>
      <c r="V4535" t="s">
        <v>9478</v>
      </c>
      <c r="W4535">
        <v>17</v>
      </c>
      <c r="X4535" t="s">
        <v>14013</v>
      </c>
      <c r="Y4535">
        <v>0.61542936954706773</v>
      </c>
      <c r="Z4535" t="str">
        <f>HYPERLINK("Melting_Curves/meltCurve_tr_H7C0E5_H7C0E5_HUMAN_.pdf", "Melting_Curves/meltCurve_tr_H7C0E5_H7C0E5_HUMAN_.pdf")</f>
        <v>Melting_Curves/meltCurve_tr_H7C0E5_H7C0E5_HUMAN_.pdf</v>
      </c>
      <c r="AA4535" t="s">
        <v>18652</v>
      </c>
      <c r="AB4535" t="s">
        <v>23346</v>
      </c>
    </row>
    <row r="4536" spans="1:28" x14ac:dyDescent="0.25">
      <c r="A4536" t="s">
        <v>4540</v>
      </c>
      <c r="B4536">
        <v>0.99904790336628502</v>
      </c>
      <c r="C4536">
        <v>1.0027785721936699</v>
      </c>
      <c r="D4536">
        <v>0.93010441642507302</v>
      </c>
      <c r="E4536">
        <v>0.89764712976452699</v>
      </c>
      <c r="F4536">
        <v>0.79592403192310601</v>
      </c>
      <c r="G4536">
        <v>0.43819917430313599</v>
      </c>
      <c r="H4536">
        <v>0.157310181150981</v>
      </c>
      <c r="I4536">
        <v>0.146670723980908</v>
      </c>
      <c r="J4536">
        <v>0.113997206414963</v>
      </c>
      <c r="K4536">
        <v>8.58971551240411E-2</v>
      </c>
      <c r="L4536">
        <v>1222.72861485218</v>
      </c>
      <c r="M4536">
        <v>21.942216012083399</v>
      </c>
      <c r="N4536">
        <v>56.159475969171403</v>
      </c>
      <c r="O4536">
        <v>55.268286758257702</v>
      </c>
      <c r="P4536">
        <v>-9.1505921484991495E-2</v>
      </c>
      <c r="Q4536">
        <v>7.8076527815183497E-2</v>
      </c>
      <c r="R4536">
        <v>0.99483034708770002</v>
      </c>
      <c r="S4536" t="s">
        <v>9276</v>
      </c>
      <c r="T4536" t="s">
        <v>9478</v>
      </c>
      <c r="U4536" t="s">
        <v>9478</v>
      </c>
      <c r="V4536" t="s">
        <v>9478</v>
      </c>
      <c r="W4536">
        <v>2</v>
      </c>
      <c r="X4536" t="s">
        <v>14014</v>
      </c>
      <c r="Y4536">
        <v>0.57179300064380756</v>
      </c>
      <c r="Z4536" t="str">
        <f>HYPERLINK("Melting_Curves/meltCurve_tr_H7C0G7_H7C0G7_HUMAN_.pdf", "Melting_Curves/meltCurve_tr_H7C0G7_H7C0G7_HUMAN_.pdf")</f>
        <v>Melting_Curves/meltCurve_tr_H7C0G7_H7C0G7_HUMAN_.pdf</v>
      </c>
      <c r="AA4536" t="s">
        <v>18653</v>
      </c>
      <c r="AB4536" t="s">
        <v>23347</v>
      </c>
    </row>
    <row r="4537" spans="1:28" x14ac:dyDescent="0.25">
      <c r="A4537" t="s">
        <v>4541</v>
      </c>
      <c r="B4537">
        <v>0.99904790336628502</v>
      </c>
      <c r="C4537">
        <v>1.1446937346602</v>
      </c>
      <c r="D4537">
        <v>1.0296100958977401</v>
      </c>
      <c r="E4537">
        <v>0.87949446238234097</v>
      </c>
      <c r="F4537">
        <v>0.779211002543992</v>
      </c>
      <c r="G4537">
        <v>0.32932532511651502</v>
      </c>
      <c r="H4537">
        <v>0.167026767477052</v>
      </c>
      <c r="I4537">
        <v>0.189533990495965</v>
      </c>
      <c r="J4537">
        <v>4.3638302309102601E-2</v>
      </c>
      <c r="K4537">
        <v>0.11919874919465701</v>
      </c>
      <c r="L4537">
        <v>1418.85734934629</v>
      </c>
      <c r="M4537">
        <v>25.845846440657699</v>
      </c>
      <c r="N4537">
        <v>55.389822728468999</v>
      </c>
      <c r="O4537">
        <v>54.571425278139202</v>
      </c>
      <c r="P4537">
        <v>-0.10624111056106</v>
      </c>
      <c r="Q4537">
        <v>0.102732060034982</v>
      </c>
      <c r="R4537">
        <v>0.97899121824081503</v>
      </c>
      <c r="S4537" t="s">
        <v>9277</v>
      </c>
      <c r="T4537" t="s">
        <v>9478</v>
      </c>
      <c r="U4537" t="s">
        <v>9478</v>
      </c>
      <c r="V4537" t="s">
        <v>9478</v>
      </c>
      <c r="W4537">
        <v>1</v>
      </c>
      <c r="X4537" t="s">
        <v>14015</v>
      </c>
      <c r="Y4537">
        <v>0.55611108243447072</v>
      </c>
      <c r="Z4537" t="str">
        <f>HYPERLINK("Melting_Curves/meltCurve_tr_H7C0I1_H7C0I1_HUMAN_.pdf", "Melting_Curves/meltCurve_tr_H7C0I1_H7C0I1_HUMAN_.pdf")</f>
        <v>Melting_Curves/meltCurve_tr_H7C0I1_H7C0I1_HUMAN_.pdf</v>
      </c>
      <c r="AA4537" t="s">
        <v>18654</v>
      </c>
      <c r="AB4537" t="s">
        <v>23348</v>
      </c>
    </row>
    <row r="4538" spans="1:28" x14ac:dyDescent="0.25">
      <c r="A4538" t="s">
        <v>4542</v>
      </c>
      <c r="B4538">
        <v>0.99904790336628502</v>
      </c>
      <c r="C4538">
        <v>0.98150656779994405</v>
      </c>
      <c r="D4538">
        <v>0.78775889595874804</v>
      </c>
      <c r="E4538">
        <v>1.0441992172780801</v>
      </c>
      <c r="F4538">
        <v>0.87856063991114297</v>
      </c>
      <c r="G4538">
        <v>0.62306428392180602</v>
      </c>
      <c r="H4538">
        <v>0.87489749871768996</v>
      </c>
      <c r="I4538">
        <v>0.70973970624744498</v>
      </c>
      <c r="J4538">
        <v>0.89363363729512002</v>
      </c>
      <c r="K4538">
        <v>0.77976366093703897</v>
      </c>
      <c r="L4538">
        <v>527.35217335690595</v>
      </c>
      <c r="M4538">
        <v>10.7611377389896</v>
      </c>
      <c r="O4538">
        <v>47.403932483334302</v>
      </c>
      <c r="P4538">
        <v>-1.26832913083012E-2</v>
      </c>
      <c r="Q4538">
        <v>0.77659714092211096</v>
      </c>
      <c r="R4538">
        <v>0.31038131243501199</v>
      </c>
      <c r="S4538" t="s">
        <v>9278</v>
      </c>
      <c r="T4538" t="s">
        <v>9478</v>
      </c>
      <c r="U4538" t="s">
        <v>9478</v>
      </c>
      <c r="V4538" t="s">
        <v>9478</v>
      </c>
      <c r="W4538">
        <v>1</v>
      </c>
      <c r="X4538" t="s">
        <v>14016</v>
      </c>
      <c r="Y4538">
        <v>0.85343980696124888</v>
      </c>
      <c r="Z4538" t="str">
        <f>HYPERLINK("Melting_Curves/meltCurve_tr_H7C0V9_H7C0V9_HUMAN_.pdf", "Melting_Curves/meltCurve_tr_H7C0V9_H7C0V9_HUMAN_.pdf")</f>
        <v>Melting_Curves/meltCurve_tr_H7C0V9_H7C0V9_HUMAN_.pdf</v>
      </c>
      <c r="AA4538" t="s">
        <v>18655</v>
      </c>
      <c r="AB4538" t="s">
        <v>23349</v>
      </c>
    </row>
    <row r="4539" spans="1:28" x14ac:dyDescent="0.25">
      <c r="A4539" t="s">
        <v>4543</v>
      </c>
      <c r="B4539">
        <v>0.99904790336628502</v>
      </c>
      <c r="C4539">
        <v>1.02907374450025</v>
      </c>
      <c r="D4539">
        <v>0.90285695397996901</v>
      </c>
      <c r="E4539">
        <v>0.72299536569429101</v>
      </c>
      <c r="F4539">
        <v>0.53882782276955699</v>
      </c>
      <c r="G4539">
        <v>0.242410299407849</v>
      </c>
      <c r="H4539">
        <v>6.8160806753096298E-2</v>
      </c>
      <c r="I4539">
        <v>4.8003501977469297E-2</v>
      </c>
      <c r="J4539">
        <v>4.1863955507233999E-2</v>
      </c>
      <c r="K4539">
        <v>5.7834816693614802E-2</v>
      </c>
      <c r="L4539">
        <v>916.78635056760004</v>
      </c>
      <c r="M4539">
        <v>17.290349214029799</v>
      </c>
      <c r="N4539">
        <v>53.0976390398381</v>
      </c>
      <c r="O4539">
        <v>52.329016716149397</v>
      </c>
      <c r="P4539">
        <v>-8.1617221399936601E-2</v>
      </c>
      <c r="Q4539">
        <v>1.20037475111472E-2</v>
      </c>
      <c r="R4539">
        <v>0.99564246109891696</v>
      </c>
      <c r="S4539" t="s">
        <v>9279</v>
      </c>
      <c r="T4539" t="s">
        <v>9478</v>
      </c>
      <c r="U4539" t="s">
        <v>9478</v>
      </c>
      <c r="V4539" t="s">
        <v>9478</v>
      </c>
      <c r="W4539">
        <v>1</v>
      </c>
      <c r="X4539" t="s">
        <v>14017</v>
      </c>
      <c r="Y4539">
        <v>0.45812221342761372</v>
      </c>
      <c r="Z4539" t="str">
        <f>HYPERLINK("Melting_Curves/meltCurve_tr_H7C0Y4_H7C0Y4_HUMAN_.pdf", "Melting_Curves/meltCurve_tr_H7C0Y4_H7C0Y4_HUMAN_.pdf")</f>
        <v>Melting_Curves/meltCurve_tr_H7C0Y4_H7C0Y4_HUMAN_.pdf</v>
      </c>
      <c r="AA4539" t="s">
        <v>18656</v>
      </c>
      <c r="AB4539" t="s">
        <v>23350</v>
      </c>
    </row>
    <row r="4540" spans="1:28" x14ac:dyDescent="0.25">
      <c r="A4540" t="s">
        <v>4544</v>
      </c>
      <c r="B4540">
        <v>0.99904790336628502</v>
      </c>
      <c r="C4540">
        <v>1.2043747484321401</v>
      </c>
      <c r="D4540">
        <v>0.95396520740699697</v>
      </c>
      <c r="E4540">
        <v>0.916507029011291</v>
      </c>
      <c r="F4540">
        <v>0.96448713201460901</v>
      </c>
      <c r="G4540">
        <v>0.85065521972523495</v>
      </c>
      <c r="H4540">
        <v>0.73165099148201496</v>
      </c>
      <c r="I4540">
        <v>0.468023654052237</v>
      </c>
      <c r="J4540">
        <v>0.40991569846406301</v>
      </c>
      <c r="K4540">
        <v>0.67354683963822204</v>
      </c>
      <c r="L4540">
        <v>1702.3641060756099</v>
      </c>
      <c r="M4540">
        <v>28.814872462133199</v>
      </c>
      <c r="O4540">
        <v>58.797011661833103</v>
      </c>
      <c r="P4540">
        <v>-5.9529162732862399E-2</v>
      </c>
      <c r="Q4540">
        <v>0.51412458225424296</v>
      </c>
      <c r="R4540">
        <v>0.81045100666851899</v>
      </c>
      <c r="S4540" t="s">
        <v>9280</v>
      </c>
      <c r="T4540" t="s">
        <v>9478</v>
      </c>
      <c r="U4540" t="s">
        <v>9478</v>
      </c>
      <c r="V4540" t="s">
        <v>9478</v>
      </c>
      <c r="W4540">
        <v>1</v>
      </c>
      <c r="X4540" t="s">
        <v>14018</v>
      </c>
      <c r="Y4540">
        <v>0.82642141575716266</v>
      </c>
      <c r="Z4540" t="str">
        <f>HYPERLINK("Melting_Curves/meltCurve_tr_H7C1I7_H7C1I7_HUMAN_.pdf", "Melting_Curves/meltCurve_tr_H7C1I7_H7C1I7_HUMAN_.pdf")</f>
        <v>Melting_Curves/meltCurve_tr_H7C1I7_H7C1I7_HUMAN_.pdf</v>
      </c>
      <c r="AA4540" t="s">
        <v>18657</v>
      </c>
      <c r="AB4540" t="s">
        <v>23351</v>
      </c>
    </row>
    <row r="4541" spans="1:28" x14ac:dyDescent="0.25">
      <c r="A4541" t="s">
        <v>4545</v>
      </c>
      <c r="B4541">
        <v>0.99904790336628502</v>
      </c>
      <c r="C4541">
        <v>0.86181446565168196</v>
      </c>
      <c r="D4541">
        <v>0.70808360586822605</v>
      </c>
      <c r="E4541">
        <v>0.95537990367108705</v>
      </c>
      <c r="F4541">
        <v>1.01074403385024</v>
      </c>
      <c r="G4541">
        <v>0.67916440871300199</v>
      </c>
      <c r="H4541">
        <v>0.80334231209053897</v>
      </c>
      <c r="I4541">
        <v>0.60383634355525895</v>
      </c>
      <c r="J4541">
        <v>0.62842628636046605</v>
      </c>
      <c r="K4541">
        <v>0.74646538627605097</v>
      </c>
      <c r="L4541">
        <v>187.98636981903999</v>
      </c>
      <c r="M4541">
        <v>2.0164360912097599</v>
      </c>
      <c r="O4541">
        <v>55.648933060195702</v>
      </c>
      <c r="P4541">
        <v>-9.8563106605701004E-3</v>
      </c>
      <c r="Q4541">
        <v>0</v>
      </c>
      <c r="R4541">
        <v>0.40248829537458403</v>
      </c>
      <c r="S4541" t="s">
        <v>9281</v>
      </c>
      <c r="T4541" t="s">
        <v>9478</v>
      </c>
      <c r="U4541" t="s">
        <v>9478</v>
      </c>
      <c r="V4541" t="s">
        <v>9478</v>
      </c>
      <c r="W4541">
        <v>1</v>
      </c>
      <c r="X4541" t="s">
        <v>14019</v>
      </c>
      <c r="Y4541">
        <v>0.80147078723551379</v>
      </c>
      <c r="Z4541" t="str">
        <f>HYPERLINK("Melting_Curves/meltCurve_tr_H7C1J4_H7C1J4_HUMAN_.pdf", "Melting_Curves/meltCurve_tr_H7C1J4_H7C1J4_HUMAN_.pdf")</f>
        <v>Melting_Curves/meltCurve_tr_H7C1J4_H7C1J4_HUMAN_.pdf</v>
      </c>
      <c r="AA4541" t="s">
        <v>18658</v>
      </c>
      <c r="AB4541" t="s">
        <v>23352</v>
      </c>
    </row>
    <row r="4542" spans="1:28" x14ac:dyDescent="0.25">
      <c r="A4542" t="s">
        <v>4546</v>
      </c>
      <c r="B4542">
        <v>0.99904790336628502</v>
      </c>
      <c r="C4542">
        <v>1.0687217495972099</v>
      </c>
      <c r="D4542">
        <v>1.12696538128219</v>
      </c>
      <c r="E4542">
        <v>1.0881623323168099</v>
      </c>
      <c r="F4542">
        <v>1.1099322647054699</v>
      </c>
      <c r="G4542">
        <v>1.09177196320418</v>
      </c>
      <c r="H4542">
        <v>0.83768028341882494</v>
      </c>
      <c r="I4542">
        <v>0.75037347697401402</v>
      </c>
      <c r="J4542">
        <v>0.686512210276496</v>
      </c>
      <c r="K4542">
        <v>0.46735145758503299</v>
      </c>
      <c r="L4542">
        <v>1337.7473602561499</v>
      </c>
      <c r="M4542">
        <v>20.1201584883766</v>
      </c>
      <c r="N4542">
        <v>69.779374612790505</v>
      </c>
      <c r="O4542">
        <v>65.841569964282499</v>
      </c>
      <c r="P4542">
        <v>-5.2986392803102703E-2</v>
      </c>
      <c r="Q4542">
        <v>0.306447532914358</v>
      </c>
      <c r="R4542">
        <v>0.85976165067114796</v>
      </c>
      <c r="S4542" t="s">
        <v>9282</v>
      </c>
      <c r="T4542" t="s">
        <v>9478</v>
      </c>
      <c r="U4542" t="s">
        <v>9478</v>
      </c>
      <c r="V4542" t="s">
        <v>9478</v>
      </c>
      <c r="W4542">
        <v>2</v>
      </c>
      <c r="X4542" t="s">
        <v>14020</v>
      </c>
      <c r="Y4542">
        <v>0.90184451406397459</v>
      </c>
      <c r="Z4542" t="str">
        <f>HYPERLINK("Melting_Curves/meltCurve_tr_H7C1U3_H7C1U3_HUMAN_.pdf", "Melting_Curves/meltCurve_tr_H7C1U3_H7C1U3_HUMAN_.pdf")</f>
        <v>Melting_Curves/meltCurve_tr_H7C1U3_H7C1U3_HUMAN_.pdf</v>
      </c>
      <c r="AA4542" t="s">
        <v>18659</v>
      </c>
      <c r="AB4542" t="s">
        <v>23353</v>
      </c>
    </row>
    <row r="4543" spans="1:28" x14ac:dyDescent="0.25">
      <c r="A4543" t="s">
        <v>4547</v>
      </c>
      <c r="B4543">
        <v>0.99904790336628502</v>
      </c>
      <c r="C4543">
        <v>1.1545005517</v>
      </c>
      <c r="D4543">
        <v>0.88506083243578904</v>
      </c>
      <c r="E4543">
        <v>0.75101552628536306</v>
      </c>
      <c r="F4543">
        <v>0.46301064078522502</v>
      </c>
      <c r="G4543">
        <v>0.23894721639451599</v>
      </c>
      <c r="H4543">
        <v>0</v>
      </c>
      <c r="I4543">
        <v>0</v>
      </c>
      <c r="J4543">
        <v>0</v>
      </c>
      <c r="K4543">
        <v>0</v>
      </c>
      <c r="L4543">
        <v>1056.9628555122799</v>
      </c>
      <c r="M4543">
        <v>20.046019582928601</v>
      </c>
      <c r="N4543">
        <v>52.726811597022198</v>
      </c>
      <c r="O4543">
        <v>52.210516069741999</v>
      </c>
      <c r="P4543">
        <v>-9.5989604320800906E-2</v>
      </c>
      <c r="Q4543">
        <v>0</v>
      </c>
      <c r="R4543">
        <v>0.97958085572504705</v>
      </c>
      <c r="S4543" t="s">
        <v>9283</v>
      </c>
      <c r="T4543" t="s">
        <v>9478</v>
      </c>
      <c r="U4543" t="s">
        <v>9478</v>
      </c>
      <c r="V4543" t="s">
        <v>9478</v>
      </c>
      <c r="W4543">
        <v>3</v>
      </c>
      <c r="X4543" t="s">
        <v>14021</v>
      </c>
      <c r="Y4543">
        <v>0.43795580724100031</v>
      </c>
      <c r="Z4543" t="str">
        <f>HYPERLINK("Melting_Curves/meltCurve_tr_H7C1V3_H7C1V3_HUMAN_.pdf", "Melting_Curves/meltCurve_tr_H7C1V3_H7C1V3_HUMAN_.pdf")</f>
        <v>Melting_Curves/meltCurve_tr_H7C1V3_H7C1V3_HUMAN_.pdf</v>
      </c>
      <c r="AA4543" t="s">
        <v>17580</v>
      </c>
      <c r="AB4543" t="s">
        <v>23354</v>
      </c>
    </row>
    <row r="4544" spans="1:28" x14ac:dyDescent="0.25">
      <c r="A4544" t="s">
        <v>4548</v>
      </c>
      <c r="B4544">
        <v>0.99904790336628502</v>
      </c>
      <c r="C4544">
        <v>0.96157197470349098</v>
      </c>
      <c r="D4544">
        <v>0.92099027235735897</v>
      </c>
      <c r="E4544">
        <v>0.87163906608946595</v>
      </c>
      <c r="F4544">
        <v>0.87902099478138496</v>
      </c>
      <c r="G4544">
        <v>0.61334533607367503</v>
      </c>
      <c r="H4544">
        <v>0.52121481700402394</v>
      </c>
      <c r="I4544">
        <v>0.59328913807657002</v>
      </c>
      <c r="J4544">
        <v>0.63584835706390397</v>
      </c>
      <c r="K4544">
        <v>0.61335841503354704</v>
      </c>
      <c r="L4544">
        <v>1302.83822874212</v>
      </c>
      <c r="M4544">
        <v>24.435287985484301</v>
      </c>
      <c r="O4544">
        <v>52.9646483462286</v>
      </c>
      <c r="P4544">
        <v>-4.8250973135830898E-2</v>
      </c>
      <c r="Q4544">
        <v>0.581661049406765</v>
      </c>
      <c r="R4544">
        <v>0.90935169116147396</v>
      </c>
      <c r="S4544" t="s">
        <v>9284</v>
      </c>
      <c r="T4544" t="s">
        <v>9478</v>
      </c>
      <c r="U4544" t="s">
        <v>9478</v>
      </c>
      <c r="V4544" t="s">
        <v>9478</v>
      </c>
      <c r="W4544">
        <v>3</v>
      </c>
      <c r="X4544" t="s">
        <v>14022</v>
      </c>
      <c r="Y4544">
        <v>0.7714008529241132</v>
      </c>
      <c r="Z4544" t="str">
        <f>HYPERLINK("Melting_Curves/meltCurve_tr_H7C2B1_H7C2B1_HUMAN_.pdf", "Melting_Curves/meltCurve_tr_H7C2B1_H7C2B1_HUMAN_.pdf")</f>
        <v>Melting_Curves/meltCurve_tr_H7C2B1_H7C2B1_HUMAN_.pdf</v>
      </c>
      <c r="AA4544" t="s">
        <v>18660</v>
      </c>
      <c r="AB4544" t="s">
        <v>23355</v>
      </c>
    </row>
    <row r="4545" spans="1:28" x14ac:dyDescent="0.25">
      <c r="A4545" t="s">
        <v>4549</v>
      </c>
      <c r="B4545">
        <v>0.99904790336628502</v>
      </c>
      <c r="C4545">
        <v>1.0683783496644601</v>
      </c>
      <c r="D4545">
        <v>0.81954513204614698</v>
      </c>
      <c r="E4545">
        <v>1.03102252728692</v>
      </c>
      <c r="F4545">
        <v>0.77788676486518704</v>
      </c>
      <c r="G4545">
        <v>0.96602332173894401</v>
      </c>
      <c r="H4545">
        <v>0.83256166228292505</v>
      </c>
      <c r="I4545">
        <v>2.2656271286646699</v>
      </c>
      <c r="J4545">
        <v>2.5806368957577499</v>
      </c>
      <c r="K4545">
        <v>1.7307791745254</v>
      </c>
      <c r="L4545">
        <v>15000</v>
      </c>
      <c r="M4545">
        <v>240.89413590472799</v>
      </c>
      <c r="O4545">
        <v>62.263724818959901</v>
      </c>
      <c r="P4545">
        <v>0.48361653851154701</v>
      </c>
      <c r="Q4545">
        <v>1.5</v>
      </c>
      <c r="R4545">
        <v>0.49411387350011599</v>
      </c>
      <c r="S4545" t="s">
        <v>9285</v>
      </c>
      <c r="T4545" t="s">
        <v>9478</v>
      </c>
      <c r="U4545" t="s">
        <v>9478</v>
      </c>
      <c r="V4545" t="s">
        <v>9478</v>
      </c>
      <c r="W4545">
        <v>1</v>
      </c>
      <c r="X4545" t="s">
        <v>14023</v>
      </c>
      <c r="Y4545">
        <v>1.1288075441252401</v>
      </c>
      <c r="Z4545" t="str">
        <f>HYPERLINK("Melting_Curves/meltCurve_tr_H7C2G2_H7C2G2_HUMAN_.pdf", "Melting_Curves/meltCurve_tr_H7C2G2_H7C2G2_HUMAN_.pdf")</f>
        <v>Melting_Curves/meltCurve_tr_H7C2G2_H7C2G2_HUMAN_.pdf</v>
      </c>
      <c r="AA4545" t="s">
        <v>18661</v>
      </c>
      <c r="AB4545" t="s">
        <v>23356</v>
      </c>
    </row>
    <row r="4546" spans="1:28" x14ac:dyDescent="0.25">
      <c r="A4546" t="s">
        <v>4550</v>
      </c>
      <c r="B4546">
        <v>0.99904790336628502</v>
      </c>
      <c r="C4546">
        <v>0.92230481196646996</v>
      </c>
      <c r="D4546">
        <v>0.86841102253144897</v>
      </c>
      <c r="E4546">
        <v>0.78771763933956296</v>
      </c>
      <c r="F4546">
        <v>0.49813015218496998</v>
      </c>
      <c r="G4546">
        <v>0.24210242005424501</v>
      </c>
      <c r="H4546">
        <v>0.147133011686713</v>
      </c>
      <c r="I4546">
        <v>9.0621459743841004E-2</v>
      </c>
      <c r="J4546">
        <v>4.4381688916144697E-2</v>
      </c>
      <c r="K4546">
        <v>2.92302964125669E-2</v>
      </c>
      <c r="L4546">
        <v>803.73331295390096</v>
      </c>
      <c r="M4546">
        <v>15.1160423491492</v>
      </c>
      <c r="N4546">
        <v>53.219771951183098</v>
      </c>
      <c r="O4546">
        <v>52.266356846541697</v>
      </c>
      <c r="P4546">
        <v>-7.1811500538302903E-2</v>
      </c>
      <c r="Q4546">
        <v>6.8941327419971702E-3</v>
      </c>
      <c r="R4546">
        <v>0.99273348787314197</v>
      </c>
      <c r="S4546" t="s">
        <v>9286</v>
      </c>
      <c r="T4546" t="s">
        <v>9478</v>
      </c>
      <c r="U4546" t="s">
        <v>9478</v>
      </c>
      <c r="V4546" t="s">
        <v>9478</v>
      </c>
      <c r="W4546">
        <v>3</v>
      </c>
      <c r="X4546" t="s">
        <v>14024</v>
      </c>
      <c r="Y4546">
        <v>0.46388762655707882</v>
      </c>
      <c r="Z4546" t="str">
        <f>HYPERLINK("Melting_Curves/meltCurve_tr_H7C2Z6_H7C2Z6_HUMAN_.pdf", "Melting_Curves/meltCurve_tr_H7C2Z6_H7C2Z6_HUMAN_.pdf")</f>
        <v>Melting_Curves/meltCurve_tr_H7C2Z6_H7C2Z6_HUMAN_.pdf</v>
      </c>
      <c r="AA4546" t="s">
        <v>18662</v>
      </c>
      <c r="AB4546" t="s">
        <v>23357</v>
      </c>
    </row>
    <row r="4547" spans="1:28" x14ac:dyDescent="0.25">
      <c r="A4547" t="s">
        <v>4551</v>
      </c>
      <c r="B4547">
        <v>0.99904790336628502</v>
      </c>
      <c r="C4547">
        <v>1.01758542810205</v>
      </c>
      <c r="D4547">
        <v>0.94156369759884095</v>
      </c>
      <c r="E4547">
        <v>0.81030205441982195</v>
      </c>
      <c r="F4547">
        <v>0.68325331890892704</v>
      </c>
      <c r="G4547">
        <v>0.40360630630577898</v>
      </c>
      <c r="H4547">
        <v>0.275241026370524</v>
      </c>
      <c r="I4547">
        <v>0.27071247601029103</v>
      </c>
      <c r="J4547">
        <v>0.228949608641662</v>
      </c>
      <c r="K4547">
        <v>0.26299085620718698</v>
      </c>
      <c r="L4547">
        <v>990.04111675040804</v>
      </c>
      <c r="M4547">
        <v>18.496610054863499</v>
      </c>
      <c r="N4547">
        <v>55.324702392809399</v>
      </c>
      <c r="O4547">
        <v>52.911668786857497</v>
      </c>
      <c r="P4547">
        <v>-6.7645103799529094E-2</v>
      </c>
      <c r="Q4547">
        <v>0.22600806620588201</v>
      </c>
      <c r="R4547">
        <v>0.99530270531364595</v>
      </c>
      <c r="S4547" t="s">
        <v>9287</v>
      </c>
      <c r="T4547" t="s">
        <v>9478</v>
      </c>
      <c r="U4547" t="s">
        <v>9478</v>
      </c>
      <c r="V4547" t="s">
        <v>9478</v>
      </c>
      <c r="W4547">
        <v>2</v>
      </c>
      <c r="X4547" t="s">
        <v>14025</v>
      </c>
      <c r="Y4547">
        <v>0.58697717147377693</v>
      </c>
      <c r="Z4547" t="str">
        <f>HYPERLINK("Melting_Curves/meltCurve_tr_H7C331_H7C331_HUMAN_.pdf", "Melting_Curves/meltCurve_tr_H7C331_H7C331_HUMAN_.pdf")</f>
        <v>Melting_Curves/meltCurve_tr_H7C331_H7C331_HUMAN_.pdf</v>
      </c>
      <c r="AA4547" t="s">
        <v>18663</v>
      </c>
      <c r="AB4547" t="s">
        <v>23358</v>
      </c>
    </row>
    <row r="4548" spans="1:28" x14ac:dyDescent="0.25">
      <c r="A4548" t="s">
        <v>4552</v>
      </c>
      <c r="B4548">
        <v>0.99904790336628502</v>
      </c>
      <c r="C4548">
        <v>0.94354269925968903</v>
      </c>
      <c r="D4548">
        <v>0.93357970131478096</v>
      </c>
      <c r="E4548">
        <v>0.89426842744391499</v>
      </c>
      <c r="F4548">
        <v>0.84833998136947997</v>
      </c>
      <c r="G4548">
        <v>0.72308881003925896</v>
      </c>
      <c r="H4548">
        <v>0.61226175226677804</v>
      </c>
      <c r="I4548">
        <v>0.50062270417649701</v>
      </c>
      <c r="J4548">
        <v>0.57455320461811399</v>
      </c>
      <c r="K4548">
        <v>0.57028593408030004</v>
      </c>
      <c r="L4548">
        <v>711.48330142430495</v>
      </c>
      <c r="M4548">
        <v>12.8581216052446</v>
      </c>
      <c r="O4548">
        <v>54.0462450822763</v>
      </c>
      <c r="P4548">
        <v>-2.9539912598501299E-2</v>
      </c>
      <c r="Q4548">
        <v>0.50343384700335903</v>
      </c>
      <c r="R4548">
        <v>0.96119505130804705</v>
      </c>
      <c r="S4548" t="s">
        <v>9288</v>
      </c>
      <c r="T4548" t="s">
        <v>9478</v>
      </c>
      <c r="U4548" t="s">
        <v>9478</v>
      </c>
      <c r="V4548" t="s">
        <v>9478</v>
      </c>
      <c r="W4548">
        <v>3</v>
      </c>
      <c r="X4548" t="s">
        <v>14026</v>
      </c>
      <c r="Y4548">
        <v>0.76789835016520791</v>
      </c>
      <c r="Z4548" t="str">
        <f>HYPERLINK("Melting_Curves/meltCurve_tr_H7C3D5_H7C3D5_HUMAN_.pdf", "Melting_Curves/meltCurve_tr_H7C3D5_H7C3D5_HUMAN_.pdf")</f>
        <v>Melting_Curves/meltCurve_tr_H7C3D5_H7C3D5_HUMAN_.pdf</v>
      </c>
      <c r="AA4548" t="s">
        <v>18664</v>
      </c>
      <c r="AB4548" t="s">
        <v>23359</v>
      </c>
    </row>
    <row r="4549" spans="1:28" x14ac:dyDescent="0.25">
      <c r="A4549" t="s">
        <v>4553</v>
      </c>
      <c r="B4549">
        <v>0.99904790336628502</v>
      </c>
      <c r="C4549">
        <v>0.99911880359121696</v>
      </c>
      <c r="D4549">
        <v>1.00805770516408</v>
      </c>
      <c r="E4549">
        <v>0.79732821442872504</v>
      </c>
      <c r="F4549">
        <v>0.44557327343282399</v>
      </c>
      <c r="G4549">
        <v>0.16216263554591101</v>
      </c>
      <c r="H4549">
        <v>7.8380810027300393E-2</v>
      </c>
      <c r="I4549">
        <v>4.7145989711658703E-2</v>
      </c>
      <c r="J4549">
        <v>3.30539742011665E-2</v>
      </c>
      <c r="K4549">
        <v>2.4781723859712099E-2</v>
      </c>
      <c r="L4549">
        <v>1370.91070843445</v>
      </c>
      <c r="M4549">
        <v>26.118742836528401</v>
      </c>
      <c r="N4549">
        <v>52.648336653299303</v>
      </c>
      <c r="O4549">
        <v>52.182836362433299</v>
      </c>
      <c r="P4549">
        <v>-0.12033759744288799</v>
      </c>
      <c r="Q4549">
        <v>3.8317239110565303E-2</v>
      </c>
      <c r="R4549">
        <v>0.99888157725595905</v>
      </c>
      <c r="S4549" t="s">
        <v>9289</v>
      </c>
      <c r="T4549" t="s">
        <v>9478</v>
      </c>
      <c r="U4549" t="s">
        <v>9478</v>
      </c>
      <c r="V4549" t="s">
        <v>9478</v>
      </c>
      <c r="W4549">
        <v>2</v>
      </c>
      <c r="X4549" t="s">
        <v>14027</v>
      </c>
      <c r="Y4549">
        <v>0.44673184466374632</v>
      </c>
      <c r="Z4549" t="str">
        <f>HYPERLINK("Melting_Curves/meltCurve_tr_H7C3G7_H7C3G7_HUMAN_.pdf", "Melting_Curves/meltCurve_tr_H7C3G7_H7C3G7_HUMAN_.pdf")</f>
        <v>Melting_Curves/meltCurve_tr_H7C3G7_H7C3G7_HUMAN_.pdf</v>
      </c>
      <c r="AA4549" t="s">
        <v>18665</v>
      </c>
      <c r="AB4549" t="s">
        <v>23360</v>
      </c>
    </row>
    <row r="4550" spans="1:28" x14ac:dyDescent="0.25">
      <c r="A4550" t="s">
        <v>4554</v>
      </c>
      <c r="B4550">
        <v>0.99904790336628502</v>
      </c>
      <c r="C4550">
        <v>0.94010567756143504</v>
      </c>
      <c r="D4550">
        <v>0.95209469294611704</v>
      </c>
      <c r="E4550">
        <v>0.92940925068603397</v>
      </c>
      <c r="F4550">
        <v>0.82343932248223195</v>
      </c>
      <c r="G4550">
        <v>0.68339005945295805</v>
      </c>
      <c r="H4550">
        <v>0.376490022690675</v>
      </c>
      <c r="I4550">
        <v>0.145025879276621</v>
      </c>
      <c r="J4550">
        <v>5.8627565084961003E-2</v>
      </c>
      <c r="K4550">
        <v>4.76058476781442E-2</v>
      </c>
      <c r="L4550">
        <v>1074.05934544406</v>
      </c>
      <c r="M4550">
        <v>18.260375975185401</v>
      </c>
      <c r="N4550">
        <v>58.819126243945902</v>
      </c>
      <c r="O4550">
        <v>58.127316264955901</v>
      </c>
      <c r="P4550">
        <v>-7.8539785426464406E-2</v>
      </c>
      <c r="Q4550">
        <v>0</v>
      </c>
      <c r="R4550">
        <v>0.98898206871175498</v>
      </c>
      <c r="S4550" t="s">
        <v>9290</v>
      </c>
      <c r="T4550" t="s">
        <v>9478</v>
      </c>
      <c r="U4550" t="s">
        <v>9478</v>
      </c>
      <c r="V4550" t="s">
        <v>9478</v>
      </c>
      <c r="W4550">
        <v>7</v>
      </c>
      <c r="X4550" t="s">
        <v>14028</v>
      </c>
      <c r="Y4550">
        <v>0.63818482565368406</v>
      </c>
      <c r="Z4550" t="str">
        <f>HYPERLINK("Melting_Curves/meltCurve_tr_H7C3P4_H7C3P4_HUMAN_.pdf", "Melting_Curves/meltCurve_tr_H7C3P4_H7C3P4_HUMAN_.pdf")</f>
        <v>Melting_Curves/meltCurve_tr_H7C3P4_H7C3P4_HUMAN_.pdf</v>
      </c>
      <c r="AA4550" t="s">
        <v>18666</v>
      </c>
      <c r="AB4550" t="s">
        <v>23361</v>
      </c>
    </row>
    <row r="4551" spans="1:28" x14ac:dyDescent="0.25">
      <c r="A4551" t="s">
        <v>4555</v>
      </c>
      <c r="B4551">
        <v>0.99904790336628502</v>
      </c>
      <c r="C4551">
        <v>0.88176363354202603</v>
      </c>
      <c r="D4551">
        <v>0.89855266285197199</v>
      </c>
      <c r="E4551">
        <v>0.70610561632260505</v>
      </c>
      <c r="F4551">
        <v>0.68259473559828798</v>
      </c>
      <c r="G4551">
        <v>0.46174664632148699</v>
      </c>
      <c r="H4551">
        <v>0.29334634755328498</v>
      </c>
      <c r="I4551">
        <v>0.14708106051022099</v>
      </c>
      <c r="J4551">
        <v>3.7962138813646802E-2</v>
      </c>
      <c r="K4551">
        <v>4.40174941379088E-2</v>
      </c>
      <c r="L4551">
        <v>637.43316816494303</v>
      </c>
      <c r="M4551">
        <v>11.5143179077438</v>
      </c>
      <c r="N4551">
        <v>55.360045922959301</v>
      </c>
      <c r="O4551">
        <v>53.769206754601903</v>
      </c>
      <c r="P4551">
        <v>-5.35509797898375E-2</v>
      </c>
      <c r="Q4551">
        <v>0</v>
      </c>
      <c r="R4551">
        <v>0.97744389768834194</v>
      </c>
      <c r="S4551" t="s">
        <v>9291</v>
      </c>
      <c r="T4551" t="s">
        <v>9478</v>
      </c>
      <c r="U4551" t="s">
        <v>9478</v>
      </c>
      <c r="V4551" t="s">
        <v>9478</v>
      </c>
      <c r="W4551">
        <v>2</v>
      </c>
      <c r="X4551" t="s">
        <v>14029</v>
      </c>
      <c r="Y4551">
        <v>0.5349177592970169</v>
      </c>
      <c r="Z4551" t="str">
        <f>HYPERLINK("Melting_Curves/meltCurve_tr_H7C3T2_H7C3T2_HUMAN_.pdf", "Melting_Curves/meltCurve_tr_H7C3T2_H7C3T2_HUMAN_.pdf")</f>
        <v>Melting_Curves/meltCurve_tr_H7C3T2_H7C3T2_HUMAN_.pdf</v>
      </c>
      <c r="AA4551" t="s">
        <v>18667</v>
      </c>
      <c r="AB4551" t="s">
        <v>23362</v>
      </c>
    </row>
    <row r="4552" spans="1:28" x14ac:dyDescent="0.25">
      <c r="A4552" t="s">
        <v>4556</v>
      </c>
      <c r="B4552">
        <v>0.99904790336628502</v>
      </c>
      <c r="C4552">
        <v>0.92424387443608402</v>
      </c>
      <c r="D4552">
        <v>0.87846515686841498</v>
      </c>
      <c r="E4552">
        <v>0.83262131686349306</v>
      </c>
      <c r="F4552">
        <v>0.698670675612448</v>
      </c>
      <c r="G4552">
        <v>0.57749830878312403</v>
      </c>
      <c r="H4552">
        <v>0.53517799519603404</v>
      </c>
      <c r="I4552">
        <v>0.51093315296059005</v>
      </c>
      <c r="J4552">
        <v>0.55204644817716597</v>
      </c>
      <c r="K4552">
        <v>0.49154617596921701</v>
      </c>
      <c r="L4552">
        <v>618.89975185582102</v>
      </c>
      <c r="M4552">
        <v>12.001071710365601</v>
      </c>
      <c r="N4552">
        <v>69.860428772995604</v>
      </c>
      <c r="O4552">
        <v>50.2010765478338</v>
      </c>
      <c r="P4552">
        <v>-3.1180857112184102E-2</v>
      </c>
      <c r="Q4552">
        <v>0.47840149119672698</v>
      </c>
      <c r="R4552">
        <v>0.97937894626799704</v>
      </c>
      <c r="S4552" t="s">
        <v>9292</v>
      </c>
      <c r="T4552" t="s">
        <v>9478</v>
      </c>
      <c r="U4552" t="s">
        <v>9478</v>
      </c>
      <c r="V4552" t="s">
        <v>9478</v>
      </c>
      <c r="W4552">
        <v>2</v>
      </c>
      <c r="X4552" t="s">
        <v>14030</v>
      </c>
      <c r="Y4552">
        <v>0.6959870717118416</v>
      </c>
      <c r="Z4552" t="str">
        <f>HYPERLINK("Melting_Curves/meltCurve_tr_H7C462_H7C462_HUMAN_.pdf", "Melting_Curves/meltCurve_tr_H7C462_H7C462_HUMAN_.pdf")</f>
        <v>Melting_Curves/meltCurve_tr_H7C462_H7C462_HUMAN_.pdf</v>
      </c>
      <c r="AA4552" t="s">
        <v>18668</v>
      </c>
      <c r="AB4552" t="s">
        <v>23363</v>
      </c>
    </row>
    <row r="4553" spans="1:28" x14ac:dyDescent="0.25">
      <c r="A4553" t="s">
        <v>4557</v>
      </c>
      <c r="B4553">
        <v>0.99904790336628502</v>
      </c>
      <c r="C4553">
        <v>1.0731383408308699</v>
      </c>
      <c r="D4553">
        <v>0.95057716027569605</v>
      </c>
      <c r="E4553">
        <v>0.90274979883383699</v>
      </c>
      <c r="F4553">
        <v>0.81270485045684904</v>
      </c>
      <c r="G4553">
        <v>0.47539424561867999</v>
      </c>
      <c r="H4553">
        <v>0.41227446913047999</v>
      </c>
      <c r="I4553">
        <v>0.46078147222411298</v>
      </c>
      <c r="J4553">
        <v>0.55927274169448404</v>
      </c>
      <c r="K4553">
        <v>0.53055969496051703</v>
      </c>
      <c r="L4553">
        <v>2329.6087350446601</v>
      </c>
      <c r="M4553">
        <v>43.588051463020903</v>
      </c>
      <c r="N4553">
        <v>57.902839092605802</v>
      </c>
      <c r="O4553">
        <v>53.333908523160098</v>
      </c>
      <c r="P4553">
        <v>-0.105724880962279</v>
      </c>
      <c r="Q4553">
        <v>0.48254507046893802</v>
      </c>
      <c r="R4553">
        <v>0.94987380736443605</v>
      </c>
      <c r="S4553" t="s">
        <v>9293</v>
      </c>
      <c r="T4553" t="s">
        <v>9478</v>
      </c>
      <c r="U4553" t="s">
        <v>9478</v>
      </c>
      <c r="V4553" t="s">
        <v>9478</v>
      </c>
      <c r="W4553">
        <v>7</v>
      </c>
      <c r="X4553" t="s">
        <v>14031</v>
      </c>
      <c r="Y4553">
        <v>0.7160758620370985</v>
      </c>
      <c r="Z4553" t="str">
        <f>HYPERLINK("Melting_Curves/meltCurve_tr_H7C4T5_H7C4T5_HUMAN_.pdf", "Melting_Curves/meltCurve_tr_H7C4T5_H7C4T5_HUMAN_.pdf")</f>
        <v>Melting_Curves/meltCurve_tr_H7C4T5_H7C4T5_HUMAN_.pdf</v>
      </c>
      <c r="AA4553" t="s">
        <v>18669</v>
      </c>
      <c r="AB4553" t="s">
        <v>23364</v>
      </c>
    </row>
    <row r="4554" spans="1:28" x14ac:dyDescent="0.25">
      <c r="A4554" t="s">
        <v>4558</v>
      </c>
      <c r="B4554">
        <v>0.99904790336628502</v>
      </c>
      <c r="C4554">
        <v>0.72116972628501397</v>
      </c>
      <c r="D4554">
        <v>0.52707417988190597</v>
      </c>
      <c r="E4554">
        <v>0.39341581747321203</v>
      </c>
      <c r="F4554">
        <v>0.331027824829837</v>
      </c>
      <c r="G4554">
        <v>0.19137060546435899</v>
      </c>
      <c r="H4554">
        <v>0.22712643838775601</v>
      </c>
      <c r="I4554">
        <v>0.18825841745130301</v>
      </c>
      <c r="J4554">
        <v>0.12568329738914299</v>
      </c>
      <c r="K4554">
        <v>0.14980708911778901</v>
      </c>
      <c r="L4554">
        <v>613.73974184905398</v>
      </c>
      <c r="M4554">
        <v>13.3640591808055</v>
      </c>
      <c r="N4554">
        <v>47.274033456280101</v>
      </c>
      <c r="O4554">
        <v>44.932920743174201</v>
      </c>
      <c r="P4554">
        <v>-6.2575078671171902E-2</v>
      </c>
      <c r="Q4554">
        <v>0.15856877553299001</v>
      </c>
      <c r="R4554">
        <v>0.96997008237360505</v>
      </c>
      <c r="S4554" t="s">
        <v>9294</v>
      </c>
      <c r="T4554" t="s">
        <v>9478</v>
      </c>
      <c r="U4554" t="s">
        <v>9478</v>
      </c>
      <c r="V4554" t="s">
        <v>9478</v>
      </c>
      <c r="W4554">
        <v>1</v>
      </c>
      <c r="X4554" t="s">
        <v>14032</v>
      </c>
      <c r="Y4554">
        <v>0.35606759227388579</v>
      </c>
      <c r="Z4554" t="str">
        <f>HYPERLINK("Melting_Curves/meltCurve_tr_H7C4Y3_H7C4Y3_HUMAN_.pdf", "Melting_Curves/meltCurve_tr_H7C4Y3_H7C4Y3_HUMAN_.pdf")</f>
        <v>Melting_Curves/meltCurve_tr_H7C4Y3_H7C4Y3_HUMAN_.pdf</v>
      </c>
      <c r="AA4554" t="s">
        <v>18670</v>
      </c>
      <c r="AB4554" t="s">
        <v>23365</v>
      </c>
    </row>
    <row r="4555" spans="1:28" x14ac:dyDescent="0.25">
      <c r="A4555" t="s">
        <v>4559</v>
      </c>
      <c r="B4555">
        <v>0.99904790336628502</v>
      </c>
      <c r="C4555">
        <v>1.03478749655095</v>
      </c>
      <c r="D4555">
        <v>1.0020443226800999</v>
      </c>
      <c r="E4555">
        <v>1.0167986369687001</v>
      </c>
      <c r="F4555">
        <v>0.95075296134387</v>
      </c>
      <c r="G4555">
        <v>0.81311169345519996</v>
      </c>
      <c r="H4555">
        <v>0.57330375117976395</v>
      </c>
      <c r="I4555">
        <v>0.41991098151498801</v>
      </c>
      <c r="J4555">
        <v>0.134289838584918</v>
      </c>
      <c r="K4555">
        <v>5.4472377988666103E-2</v>
      </c>
      <c r="L4555">
        <v>1223.03376757705</v>
      </c>
      <c r="M4555">
        <v>19.740463402805901</v>
      </c>
      <c r="N4555">
        <v>61.955681360590503</v>
      </c>
      <c r="O4555">
        <v>61.330391744202302</v>
      </c>
      <c r="P4555">
        <v>-8.0470463198623304E-2</v>
      </c>
      <c r="Q4555">
        <v>0</v>
      </c>
      <c r="R4555">
        <v>0.990278506886488</v>
      </c>
      <c r="S4555" t="s">
        <v>9295</v>
      </c>
      <c r="T4555" t="s">
        <v>9478</v>
      </c>
      <c r="U4555" t="s">
        <v>9478</v>
      </c>
      <c r="V4555" t="s">
        <v>9478</v>
      </c>
      <c r="W4555">
        <v>7</v>
      </c>
      <c r="X4555" t="s">
        <v>14033</v>
      </c>
      <c r="Y4555">
        <v>0.73491994332902533</v>
      </c>
      <c r="Z4555" t="str">
        <f>HYPERLINK("Melting_Curves/meltCurve_tr_H7C5G1_H7C5G1_HUMAN_.pdf", "Melting_Curves/meltCurve_tr_H7C5G1_H7C5G1_HUMAN_.pdf")</f>
        <v>Melting_Curves/meltCurve_tr_H7C5G1_H7C5G1_HUMAN_.pdf</v>
      </c>
      <c r="AA4555" t="s">
        <v>18671</v>
      </c>
      <c r="AB4555" t="s">
        <v>23366</v>
      </c>
    </row>
    <row r="4556" spans="1:28" x14ac:dyDescent="0.25">
      <c r="A4556" t="s">
        <v>4560</v>
      </c>
      <c r="B4556">
        <v>0.99904790336628502</v>
      </c>
      <c r="C4556">
        <v>0.972506526505026</v>
      </c>
      <c r="D4556">
        <v>0.95291283967479101</v>
      </c>
      <c r="E4556">
        <v>0.89288316853746597</v>
      </c>
      <c r="F4556">
        <v>0.76622600475893199</v>
      </c>
      <c r="G4556">
        <v>0.60346247722142199</v>
      </c>
      <c r="H4556">
        <v>0.49525602752346998</v>
      </c>
      <c r="I4556">
        <v>0.415141953534648</v>
      </c>
      <c r="J4556">
        <v>0.40276326501856602</v>
      </c>
      <c r="K4556">
        <v>0.35838531016527603</v>
      </c>
      <c r="L4556">
        <v>738.215298572449</v>
      </c>
      <c r="M4556">
        <v>13.259124670685599</v>
      </c>
      <c r="N4556">
        <v>60.432006618455603</v>
      </c>
      <c r="O4556">
        <v>54.455280955238898</v>
      </c>
      <c r="P4556">
        <v>-4.1162740997910903E-2</v>
      </c>
      <c r="Q4556">
        <v>0.32388840970756799</v>
      </c>
      <c r="R4556">
        <v>0.998233401081981</v>
      </c>
      <c r="S4556" t="s">
        <v>9296</v>
      </c>
      <c r="T4556" t="s">
        <v>9478</v>
      </c>
      <c r="U4556" t="s">
        <v>9478</v>
      </c>
      <c r="V4556" t="s">
        <v>9478</v>
      </c>
      <c r="W4556">
        <v>3</v>
      </c>
      <c r="X4556" t="s">
        <v>14034</v>
      </c>
      <c r="Y4556">
        <v>0.69083336038945153</v>
      </c>
      <c r="Z4556" t="str">
        <f>HYPERLINK("Melting_Curves/meltCurve_tr_I3L097_I3L097_HUMAN_.pdf", "Melting_Curves/meltCurve_tr_I3L097_I3L097_HUMAN_.pdf")</f>
        <v>Melting_Curves/meltCurve_tr_I3L097_I3L097_HUMAN_.pdf</v>
      </c>
      <c r="AB4556" t="s">
        <v>22851</v>
      </c>
    </row>
    <row r="4557" spans="1:28" x14ac:dyDescent="0.25">
      <c r="A4557" t="s">
        <v>4561</v>
      </c>
      <c r="B4557">
        <v>0.99904790336628502</v>
      </c>
      <c r="C4557">
        <v>1.1433532292067701</v>
      </c>
      <c r="D4557">
        <v>1.0557097530494199</v>
      </c>
      <c r="E4557">
        <v>0.94658601355053096</v>
      </c>
      <c r="F4557">
        <v>0.92936787597433401</v>
      </c>
      <c r="G4557">
        <v>0.58851355473516098</v>
      </c>
      <c r="H4557">
        <v>0.54922241170086405</v>
      </c>
      <c r="I4557">
        <v>0.51949902603176001</v>
      </c>
      <c r="J4557">
        <v>0.61837830433118202</v>
      </c>
      <c r="K4557">
        <v>0.53504360135071105</v>
      </c>
      <c r="L4557">
        <v>3026.2821470970498</v>
      </c>
      <c r="M4557">
        <v>55.498522742410202</v>
      </c>
      <c r="O4557">
        <v>54.458418996788502</v>
      </c>
      <c r="P4557">
        <v>-0.113472989800439</v>
      </c>
      <c r="Q4557">
        <v>0.55461491955637898</v>
      </c>
      <c r="R4557">
        <v>0.94180367874877602</v>
      </c>
      <c r="S4557" t="s">
        <v>9297</v>
      </c>
      <c r="T4557" t="s">
        <v>9478</v>
      </c>
      <c r="U4557" t="s">
        <v>9478</v>
      </c>
      <c r="V4557" t="s">
        <v>9478</v>
      </c>
      <c r="W4557">
        <v>2</v>
      </c>
      <c r="X4557" t="s">
        <v>14035</v>
      </c>
      <c r="Y4557">
        <v>0.77118425566125581</v>
      </c>
      <c r="Z4557" t="str">
        <f>HYPERLINK("Melting_Curves/meltCurve_tr_I3L0A5_I3L0A5_HUMAN_.pdf", "Melting_Curves/meltCurve_tr_I3L0A5_I3L0A5_HUMAN_.pdf")</f>
        <v>Melting_Curves/meltCurve_tr_I3L0A5_I3L0A5_HUMAN_.pdf</v>
      </c>
      <c r="AA4557" t="s">
        <v>18672</v>
      </c>
      <c r="AB4557" t="s">
        <v>23367</v>
      </c>
    </row>
    <row r="4558" spans="1:28" x14ac:dyDescent="0.25">
      <c r="A4558" t="s">
        <v>4562</v>
      </c>
      <c r="B4558">
        <v>0.99904790336628502</v>
      </c>
      <c r="C4558">
        <v>0.93397563342641898</v>
      </c>
      <c r="D4558">
        <v>0.79655675091414802</v>
      </c>
      <c r="E4558">
        <v>0.46996884438248598</v>
      </c>
      <c r="F4558">
        <v>0.223173456076942</v>
      </c>
      <c r="G4558">
        <v>0.13307633090444199</v>
      </c>
      <c r="H4558">
        <v>9.50305281199713E-2</v>
      </c>
      <c r="I4558">
        <v>9.0565774596452694E-2</v>
      </c>
      <c r="J4558">
        <v>8.9662312831724406E-2</v>
      </c>
      <c r="K4558">
        <v>8.7537590803794002E-2</v>
      </c>
      <c r="L4558">
        <v>978.41852700536799</v>
      </c>
      <c r="M4558">
        <v>19.973143614823499</v>
      </c>
      <c r="N4558">
        <v>49.421249816395701</v>
      </c>
      <c r="O4558">
        <v>48.503577742607803</v>
      </c>
      <c r="P4558">
        <v>-9.4659541335146896E-2</v>
      </c>
      <c r="Q4558">
        <v>8.0530135711192496E-2</v>
      </c>
      <c r="R4558">
        <v>0.99890382059716998</v>
      </c>
      <c r="S4558" t="s">
        <v>9298</v>
      </c>
      <c r="T4558" t="s">
        <v>9478</v>
      </c>
      <c r="U4558" t="s">
        <v>9478</v>
      </c>
      <c r="V4558" t="s">
        <v>9478</v>
      </c>
      <c r="W4558">
        <v>16</v>
      </c>
      <c r="X4558" t="s">
        <v>14036</v>
      </c>
      <c r="Y4558">
        <v>0.36888019836776642</v>
      </c>
      <c r="Z4558" t="str">
        <f>HYPERLINK("Melting_Curves/meltCurve_tr_I3L0H8_I3L0H8_HUMAN_.pdf", "Melting_Curves/meltCurve_tr_I3L0H8_I3L0H8_HUMAN_.pdf")</f>
        <v>Melting_Curves/meltCurve_tr_I3L0H8_I3L0H8_HUMAN_.pdf</v>
      </c>
      <c r="AA4558" t="s">
        <v>18673</v>
      </c>
      <c r="AB4558" t="s">
        <v>23368</v>
      </c>
    </row>
    <row r="4559" spans="1:28" x14ac:dyDescent="0.25">
      <c r="A4559" t="s">
        <v>4563</v>
      </c>
      <c r="B4559">
        <v>0.99904790336628502</v>
      </c>
      <c r="C4559">
        <v>0.82147520120055195</v>
      </c>
      <c r="D4559">
        <v>0.86181857829414599</v>
      </c>
      <c r="E4559">
        <v>0.85070504142981196</v>
      </c>
      <c r="F4559">
        <v>0.64000771084113295</v>
      </c>
      <c r="G4559">
        <v>0.16923340466700801</v>
      </c>
      <c r="H4559">
        <v>5.07075575997036E-2</v>
      </c>
      <c r="I4559">
        <v>2.0774593292429599E-2</v>
      </c>
      <c r="J4559">
        <v>2.3641007158134199E-2</v>
      </c>
      <c r="K4559">
        <v>3.2881364844286498E-2</v>
      </c>
      <c r="L4559">
        <v>1320.51719115879</v>
      </c>
      <c r="M4559">
        <v>24.5403581685982</v>
      </c>
      <c r="N4559">
        <v>53.841391186868599</v>
      </c>
      <c r="O4559">
        <v>53.456534279857003</v>
      </c>
      <c r="P4559">
        <v>-0.113954960973565</v>
      </c>
      <c r="Q4559">
        <v>7.0971762993820697E-3</v>
      </c>
      <c r="R4559">
        <v>0.967964671952111</v>
      </c>
      <c r="S4559" t="s">
        <v>9299</v>
      </c>
      <c r="T4559" t="s">
        <v>9478</v>
      </c>
      <c r="U4559" t="s">
        <v>9478</v>
      </c>
      <c r="V4559" t="s">
        <v>9478</v>
      </c>
      <c r="W4559">
        <v>30</v>
      </c>
      <c r="X4559" t="s">
        <v>14037</v>
      </c>
      <c r="Y4559">
        <v>0.47366302861287679</v>
      </c>
      <c r="Z4559" t="str">
        <f>HYPERLINK("Melting_Curves/meltCurve_tr_I3L0K7_I3L0K7_HUMAN_.pdf", "Melting_Curves/meltCurve_tr_I3L0K7_I3L0K7_HUMAN_.pdf")</f>
        <v>Melting_Curves/meltCurve_tr_I3L0K7_I3L0K7_HUMAN_.pdf</v>
      </c>
      <c r="AA4559" t="s">
        <v>18485</v>
      </c>
      <c r="AB4559" t="s">
        <v>23164</v>
      </c>
    </row>
    <row r="4560" spans="1:28" x14ac:dyDescent="0.25">
      <c r="A4560" t="s">
        <v>4564</v>
      </c>
      <c r="B4560">
        <v>0.99904790336628502</v>
      </c>
      <c r="C4560">
        <v>0.86596315428417803</v>
      </c>
      <c r="D4560">
        <v>0.828626028782811</v>
      </c>
      <c r="E4560">
        <v>0.74641961244837696</v>
      </c>
      <c r="F4560">
        <v>0.82985209367347701</v>
      </c>
      <c r="G4560">
        <v>0.34644272467714199</v>
      </c>
      <c r="H4560">
        <v>9.1561764924805306E-2</v>
      </c>
      <c r="I4560">
        <v>6.4997331229281599E-2</v>
      </c>
      <c r="J4560">
        <v>0</v>
      </c>
      <c r="K4560">
        <v>0</v>
      </c>
      <c r="L4560">
        <v>1047.4994968983001</v>
      </c>
      <c r="M4560">
        <v>18.9525815580126</v>
      </c>
      <c r="N4560">
        <v>55.2694891046254</v>
      </c>
      <c r="O4560">
        <v>54.665198167438497</v>
      </c>
      <c r="P4560">
        <v>-8.6679205129476397E-2</v>
      </c>
      <c r="Q4560">
        <v>0</v>
      </c>
      <c r="R4560">
        <v>0.94740835657212397</v>
      </c>
      <c r="S4560" t="s">
        <v>9300</v>
      </c>
      <c r="T4560" t="s">
        <v>9478</v>
      </c>
      <c r="U4560" t="s">
        <v>9478</v>
      </c>
      <c r="V4560" t="s">
        <v>9478</v>
      </c>
      <c r="W4560">
        <v>2</v>
      </c>
      <c r="X4560" t="s">
        <v>14038</v>
      </c>
      <c r="Y4560">
        <v>0.52325058686454395</v>
      </c>
      <c r="Z4560" t="str">
        <f>HYPERLINK("Melting_Curves/meltCurve_tr_I3L1H5_I3L1H5_HUMAN_.pdf", "Melting_Curves/meltCurve_tr_I3L1H5_I3L1H5_HUMAN_.pdf")</f>
        <v>Melting_Curves/meltCurve_tr_I3L1H5_I3L1H5_HUMAN_.pdf</v>
      </c>
      <c r="AA4560" t="s">
        <v>18674</v>
      </c>
      <c r="AB4560" t="s">
        <v>23369</v>
      </c>
    </row>
    <row r="4561" spans="1:28" x14ac:dyDescent="0.25">
      <c r="A4561" t="s">
        <v>4565</v>
      </c>
      <c r="B4561">
        <v>0.99904790336628502</v>
      </c>
      <c r="C4561">
        <v>1.09621796543524</v>
      </c>
      <c r="D4561">
        <v>0.955519576303823</v>
      </c>
      <c r="E4561">
        <v>0.94017344650277301</v>
      </c>
      <c r="F4561">
        <v>1.0679327692757801</v>
      </c>
      <c r="G4561">
        <v>0.66131721749112904</v>
      </c>
      <c r="H4561">
        <v>0.63555218785385803</v>
      </c>
      <c r="I4561">
        <v>0.66411774453097105</v>
      </c>
      <c r="J4561">
        <v>0.71547612993131704</v>
      </c>
      <c r="K4561">
        <v>0.72226690939938898</v>
      </c>
      <c r="L4561">
        <v>7565.0987294295101</v>
      </c>
      <c r="M4561">
        <v>137.16403655934701</v>
      </c>
      <c r="O4561">
        <v>55.141938739152501</v>
      </c>
      <c r="P4561">
        <v>-0.19947334469885</v>
      </c>
      <c r="Q4561">
        <v>0.67923525551729103</v>
      </c>
      <c r="R4561">
        <v>0.91543183676211903</v>
      </c>
      <c r="S4561" t="s">
        <v>9301</v>
      </c>
      <c r="T4561" t="s">
        <v>9478</v>
      </c>
      <c r="U4561" t="s">
        <v>9478</v>
      </c>
      <c r="V4561" t="s">
        <v>9478</v>
      </c>
      <c r="W4561">
        <v>3</v>
      </c>
      <c r="X4561" t="s">
        <v>14039</v>
      </c>
      <c r="Y4561">
        <v>0.84136378663594935</v>
      </c>
      <c r="Z4561" t="str">
        <f>HYPERLINK("Melting_Curves/meltCurve_tr_I3L1K7_I3L1K7_HUMAN_.pdf", "Melting_Curves/meltCurve_tr_I3L1K7_I3L1K7_HUMAN_.pdf")</f>
        <v>Melting_Curves/meltCurve_tr_I3L1K7_I3L1K7_HUMAN_.pdf</v>
      </c>
      <c r="AA4561" t="s">
        <v>18675</v>
      </c>
      <c r="AB4561" t="s">
        <v>23370</v>
      </c>
    </row>
    <row r="4562" spans="1:28" x14ac:dyDescent="0.25">
      <c r="A4562" t="s">
        <v>4566</v>
      </c>
      <c r="B4562">
        <v>0.99904790336628502</v>
      </c>
      <c r="C4562">
        <v>1.0158029092580501</v>
      </c>
      <c r="D4562">
        <v>0.96758465271143701</v>
      </c>
      <c r="E4562">
        <v>0.60893984336182505</v>
      </c>
      <c r="F4562">
        <v>0.36542113953746902</v>
      </c>
      <c r="G4562">
        <v>0.24743920064876501</v>
      </c>
      <c r="H4562">
        <v>0.22074771346935401</v>
      </c>
      <c r="I4562">
        <v>0.20204090676271999</v>
      </c>
      <c r="J4562">
        <v>0.21514263028115899</v>
      </c>
      <c r="K4562">
        <v>0.24273916544805699</v>
      </c>
      <c r="L4562">
        <v>1488.9157493494399</v>
      </c>
      <c r="M4562">
        <v>29.716454814124099</v>
      </c>
      <c r="N4562">
        <v>51.1125753659393</v>
      </c>
      <c r="O4562">
        <v>49.8788230975901</v>
      </c>
      <c r="P4562">
        <v>-0.115905917926267</v>
      </c>
      <c r="Q4562">
        <v>0.22181669852946301</v>
      </c>
      <c r="R4562">
        <v>0.99806790897875197</v>
      </c>
      <c r="S4562" t="s">
        <v>9302</v>
      </c>
      <c r="T4562" t="s">
        <v>9478</v>
      </c>
      <c r="U4562" t="s">
        <v>9478</v>
      </c>
      <c r="V4562" t="s">
        <v>9478</v>
      </c>
      <c r="W4562">
        <v>22</v>
      </c>
      <c r="X4562" t="s">
        <v>14040</v>
      </c>
      <c r="Y4562">
        <v>0.48882577161873092</v>
      </c>
      <c r="Z4562" t="str">
        <f>HYPERLINK("Melting_Curves/meltCurve_tr_I3L2B0_I3L2B0_HUMAN_.pdf", "Melting_Curves/meltCurve_tr_I3L2B0_I3L2B0_HUMAN_.pdf")</f>
        <v>Melting_Curves/meltCurve_tr_I3L2B0_I3L2B0_HUMAN_.pdf</v>
      </c>
      <c r="AA4562" t="s">
        <v>18676</v>
      </c>
      <c r="AB4562" t="s">
        <v>23371</v>
      </c>
    </row>
    <row r="4563" spans="1:28" x14ac:dyDescent="0.25">
      <c r="A4563" t="s">
        <v>4567</v>
      </c>
      <c r="B4563">
        <v>0.99904790336628502</v>
      </c>
      <c r="C4563">
        <v>1.02428222351639</v>
      </c>
      <c r="D4563">
        <v>1.0111988360208299</v>
      </c>
      <c r="E4563">
        <v>0.97243342463775895</v>
      </c>
      <c r="F4563">
        <v>0.75963841700294299</v>
      </c>
      <c r="G4563">
        <v>0.58313987443283199</v>
      </c>
      <c r="H4563">
        <v>0.51746805173657895</v>
      </c>
      <c r="I4563">
        <v>0.46101318015600101</v>
      </c>
      <c r="J4563">
        <v>0.44374909358360798</v>
      </c>
      <c r="K4563">
        <v>0.43084223452841902</v>
      </c>
      <c r="L4563">
        <v>1289.8455168383</v>
      </c>
      <c r="M4563">
        <v>23.8284583734786</v>
      </c>
      <c r="N4563">
        <v>59.817671533389003</v>
      </c>
      <c r="O4563">
        <v>53.7535602960034</v>
      </c>
      <c r="P4563">
        <v>-6.11628079145611E-2</v>
      </c>
      <c r="Q4563">
        <v>0.44811130135087202</v>
      </c>
      <c r="R4563">
        <v>0.99108105609277997</v>
      </c>
      <c r="S4563" t="s">
        <v>9303</v>
      </c>
      <c r="T4563" t="s">
        <v>9478</v>
      </c>
      <c r="U4563" t="s">
        <v>9478</v>
      </c>
      <c r="V4563" t="s">
        <v>9478</v>
      </c>
      <c r="W4563">
        <v>7</v>
      </c>
      <c r="X4563" t="s">
        <v>14041</v>
      </c>
      <c r="Y4563">
        <v>0.71362730097682148</v>
      </c>
      <c r="Z4563" t="str">
        <f>HYPERLINK("Melting_Curves/meltCurve_tr_I3L2J0_I3L2J0_HUMAN_.pdf", "Melting_Curves/meltCurve_tr_I3L2J0_I3L2J0_HUMAN_.pdf")</f>
        <v>Melting_Curves/meltCurve_tr_I3L2J0_I3L2J0_HUMAN_.pdf</v>
      </c>
      <c r="AA4563" t="s">
        <v>18677</v>
      </c>
      <c r="AB4563" t="s">
        <v>23372</v>
      </c>
    </row>
    <row r="4564" spans="1:28" x14ac:dyDescent="0.25">
      <c r="A4564" t="s">
        <v>4568</v>
      </c>
      <c r="B4564">
        <v>0.99904790336628502</v>
      </c>
      <c r="C4564">
        <v>0.82362359718860501</v>
      </c>
      <c r="D4564">
        <v>0.93254341589245504</v>
      </c>
      <c r="E4564">
        <v>0.78121123026846695</v>
      </c>
      <c r="F4564">
        <v>0.80140715551965902</v>
      </c>
      <c r="G4564">
        <v>0.50693159358101503</v>
      </c>
      <c r="H4564">
        <v>0.52726674644800398</v>
      </c>
      <c r="I4564">
        <v>0.37900921909006002</v>
      </c>
      <c r="J4564">
        <v>0.46129770236522699</v>
      </c>
      <c r="K4564">
        <v>0.42224471167231298</v>
      </c>
      <c r="L4564">
        <v>509.362285839327</v>
      </c>
      <c r="M4564">
        <v>9.3814518324114999</v>
      </c>
      <c r="N4564">
        <v>61.127048078912203</v>
      </c>
      <c r="O4564">
        <v>51.998993676144799</v>
      </c>
      <c r="P4564">
        <v>-3.04736880251643E-2</v>
      </c>
      <c r="Q4564">
        <v>0.32478741077912698</v>
      </c>
      <c r="R4564">
        <v>0.90793934696184297</v>
      </c>
      <c r="S4564" t="s">
        <v>9304</v>
      </c>
      <c r="T4564" t="s">
        <v>9478</v>
      </c>
      <c r="U4564" t="s">
        <v>9478</v>
      </c>
      <c r="V4564" t="s">
        <v>9478</v>
      </c>
      <c r="W4564">
        <v>2</v>
      </c>
      <c r="X4564" t="s">
        <v>14042</v>
      </c>
      <c r="Y4564">
        <v>0.66679011048247139</v>
      </c>
      <c r="Z4564" t="str">
        <f>HYPERLINK("Melting_Curves/meltCurve_tr_I3L2L5_I3L2L5_HUMAN_.pdf", "Melting_Curves/meltCurve_tr_I3L2L5_I3L2L5_HUMAN_.pdf")</f>
        <v>Melting_Curves/meltCurve_tr_I3L2L5_I3L2L5_HUMAN_.pdf</v>
      </c>
      <c r="AA4564" t="s">
        <v>18678</v>
      </c>
      <c r="AB4564" t="s">
        <v>23373</v>
      </c>
    </row>
    <row r="4565" spans="1:28" x14ac:dyDescent="0.25">
      <c r="A4565" t="s">
        <v>4569</v>
      </c>
      <c r="B4565">
        <v>0.99904790336628502</v>
      </c>
      <c r="C4565">
        <v>1.0084543360446401</v>
      </c>
      <c r="D4565">
        <v>0.98223030799812805</v>
      </c>
      <c r="E4565">
        <v>0.94191171208980196</v>
      </c>
      <c r="F4565">
        <v>0.89018835548525899</v>
      </c>
      <c r="G4565">
        <v>0.63202113365048496</v>
      </c>
      <c r="H4565">
        <v>0.50028712375681395</v>
      </c>
      <c r="I4565">
        <v>0.505348718386465</v>
      </c>
      <c r="J4565">
        <v>0.53415327421102898</v>
      </c>
      <c r="K4565">
        <v>0.56648672186150095</v>
      </c>
      <c r="L4565">
        <v>1816.0568747694299</v>
      </c>
      <c r="M4565">
        <v>33.1637795072077</v>
      </c>
      <c r="O4565">
        <v>54.562291304769097</v>
      </c>
      <c r="P4565">
        <v>-7.2449088311478199E-2</v>
      </c>
      <c r="Q4565">
        <v>0.52321827493515505</v>
      </c>
      <c r="R4565">
        <v>0.98709463296032995</v>
      </c>
      <c r="S4565" t="s">
        <v>9305</v>
      </c>
      <c r="T4565" t="s">
        <v>9478</v>
      </c>
      <c r="U4565" t="s">
        <v>9478</v>
      </c>
      <c r="V4565" t="s">
        <v>9478</v>
      </c>
      <c r="W4565">
        <v>10</v>
      </c>
      <c r="X4565" t="s">
        <v>14043</v>
      </c>
      <c r="Y4565">
        <v>0.7604017385122972</v>
      </c>
      <c r="Z4565" t="str">
        <f>HYPERLINK("Melting_Curves/meltCurve_tr_I3L397_I3L397_HUMAN_.pdf", "Melting_Curves/meltCurve_tr_I3L397_I3L397_HUMAN_.pdf")</f>
        <v>Melting_Curves/meltCurve_tr_I3L397_I3L397_HUMAN_.pdf</v>
      </c>
      <c r="AA4565" t="s">
        <v>18679</v>
      </c>
      <c r="AB4565" t="s">
        <v>23374</v>
      </c>
    </row>
    <row r="4566" spans="1:28" x14ac:dyDescent="0.25">
      <c r="A4566" t="s">
        <v>4570</v>
      </c>
      <c r="B4566">
        <v>0.99904790336628502</v>
      </c>
      <c r="C4566">
        <v>0.99273011992548199</v>
      </c>
      <c r="D4566">
        <v>1.04931669986117</v>
      </c>
      <c r="E4566">
        <v>0.96369385089343196</v>
      </c>
      <c r="F4566">
        <v>1.0902014090021399</v>
      </c>
      <c r="G4566">
        <v>0.64661882796274595</v>
      </c>
      <c r="H4566">
        <v>0.60174982928417198</v>
      </c>
      <c r="I4566">
        <v>0.59901703504966197</v>
      </c>
      <c r="J4566">
        <v>0.55584204334112397</v>
      </c>
      <c r="K4566">
        <v>0.59143755087810901</v>
      </c>
      <c r="L4566">
        <v>14148.5531185728</v>
      </c>
      <c r="M4566">
        <v>250</v>
      </c>
      <c r="O4566">
        <v>56.5905908173768</v>
      </c>
      <c r="P4566">
        <v>-0.456114245480159</v>
      </c>
      <c r="Q4566">
        <v>0.58701160635328897</v>
      </c>
      <c r="R4566">
        <v>0.97081499874763799</v>
      </c>
      <c r="S4566" t="s">
        <v>9306</v>
      </c>
      <c r="T4566" t="s">
        <v>9478</v>
      </c>
      <c r="U4566" t="s">
        <v>9478</v>
      </c>
      <c r="V4566" t="s">
        <v>9478</v>
      </c>
      <c r="W4566">
        <v>1</v>
      </c>
      <c r="X4566" t="s">
        <v>14044</v>
      </c>
      <c r="Y4566">
        <v>0.81549319695719125</v>
      </c>
      <c r="Z4566" t="str">
        <f>HYPERLINK("Melting_Curves/meltCurve_tr_I3L3G9_I3L3G9_HUMAN_.pdf", "Melting_Curves/meltCurve_tr_I3L3G9_I3L3G9_HUMAN_.pdf")</f>
        <v>Melting_Curves/meltCurve_tr_I3L3G9_I3L3G9_HUMAN_.pdf</v>
      </c>
      <c r="AA4566" t="s">
        <v>18680</v>
      </c>
      <c r="AB4566" t="s">
        <v>23375</v>
      </c>
    </row>
    <row r="4567" spans="1:28" x14ac:dyDescent="0.25">
      <c r="A4567" t="s">
        <v>4571</v>
      </c>
      <c r="B4567">
        <v>0.99904790336628502</v>
      </c>
      <c r="C4567">
        <v>0.76109487207446802</v>
      </c>
      <c r="D4567">
        <v>0.71181130245456503</v>
      </c>
      <c r="E4567">
        <v>0.45131956582711402</v>
      </c>
      <c r="F4567">
        <v>0.34942285222531699</v>
      </c>
      <c r="G4567">
        <v>0.152798887378293</v>
      </c>
      <c r="H4567">
        <v>8.1584117754922594E-2</v>
      </c>
      <c r="I4567">
        <v>6.6352206621447196E-2</v>
      </c>
      <c r="J4567">
        <v>2.96389615046007E-2</v>
      </c>
      <c r="K4567">
        <v>1.6507803514079902E-2</v>
      </c>
      <c r="L4567">
        <v>564.79573083271805</v>
      </c>
      <c r="M4567">
        <v>11.473277455506199</v>
      </c>
      <c r="N4567">
        <v>49.227080567502</v>
      </c>
      <c r="O4567">
        <v>47.802805000547899</v>
      </c>
      <c r="P4567">
        <v>-6.0020369052663301E-2</v>
      </c>
      <c r="Q4567">
        <v>0</v>
      </c>
      <c r="R4567">
        <v>0.98704985976725101</v>
      </c>
      <c r="S4567" t="s">
        <v>9307</v>
      </c>
      <c r="T4567" t="s">
        <v>9478</v>
      </c>
      <c r="U4567" t="s">
        <v>9478</v>
      </c>
      <c r="V4567" t="s">
        <v>9478</v>
      </c>
      <c r="W4567">
        <v>2</v>
      </c>
      <c r="X4567" t="s">
        <v>14045</v>
      </c>
      <c r="Y4567">
        <v>0.34655103941785848</v>
      </c>
      <c r="Z4567" t="str">
        <f>HYPERLINK("Melting_Curves/meltCurve_tr_I3L3P7_I3L3P7_HUMAN_.pdf", "Melting_Curves/meltCurve_tr_I3L3P7_I3L3P7_HUMAN_.pdf")</f>
        <v>Melting_Curves/meltCurve_tr_I3L3P7_I3L3P7_HUMAN_.pdf</v>
      </c>
      <c r="AA4567" t="s">
        <v>18681</v>
      </c>
      <c r="AB4567" t="s">
        <v>23376</v>
      </c>
    </row>
    <row r="4568" spans="1:28" x14ac:dyDescent="0.25">
      <c r="A4568" t="s">
        <v>4572</v>
      </c>
      <c r="B4568">
        <v>0.99904790336628502</v>
      </c>
      <c r="C4568">
        <v>0.86474150346132606</v>
      </c>
      <c r="D4568">
        <v>0.85485374587247298</v>
      </c>
      <c r="E4568">
        <v>0.86923714818518905</v>
      </c>
      <c r="F4568">
        <v>0.85259257226823204</v>
      </c>
      <c r="G4568">
        <v>0.74060841870184901</v>
      </c>
      <c r="H4568">
        <v>0.57022423346442397</v>
      </c>
      <c r="I4568">
        <v>0.52034900847342702</v>
      </c>
      <c r="J4568">
        <v>0.46500692745789102</v>
      </c>
      <c r="K4568">
        <v>0.49847509845937799</v>
      </c>
      <c r="L4568">
        <v>331.43881905207598</v>
      </c>
      <c r="M4568">
        <v>4.96508782805933</v>
      </c>
      <c r="N4568">
        <v>66.933021908425204</v>
      </c>
      <c r="O4568">
        <v>58.165277363298799</v>
      </c>
      <c r="P4568">
        <v>-2.13326255899438E-2</v>
      </c>
      <c r="Q4568">
        <v>6.6008126808273001E-3</v>
      </c>
      <c r="R4568">
        <v>0.92953392928328005</v>
      </c>
      <c r="S4568" t="s">
        <v>9308</v>
      </c>
      <c r="T4568" t="s">
        <v>9478</v>
      </c>
      <c r="U4568" t="s">
        <v>9478</v>
      </c>
      <c r="V4568" t="s">
        <v>9478</v>
      </c>
      <c r="W4568">
        <v>1</v>
      </c>
      <c r="X4568" t="s">
        <v>14046</v>
      </c>
      <c r="Y4568">
        <v>0.73146548487981977</v>
      </c>
      <c r="Z4568" t="str">
        <f>HYPERLINK("Melting_Curves/meltCurve_tr_I3L4B1_I3L4B1_HUMAN_.pdf", "Melting_Curves/meltCurve_tr_I3L4B1_I3L4B1_HUMAN_.pdf")</f>
        <v>Melting_Curves/meltCurve_tr_I3L4B1_I3L4B1_HUMAN_.pdf</v>
      </c>
      <c r="AA4568" t="s">
        <v>18682</v>
      </c>
      <c r="AB4568" t="s">
        <v>23377</v>
      </c>
    </row>
    <row r="4569" spans="1:28" x14ac:dyDescent="0.25">
      <c r="A4569" t="s">
        <v>4573</v>
      </c>
      <c r="B4569">
        <v>0.99904790336628502</v>
      </c>
      <c r="C4569">
        <v>0.95462863813808596</v>
      </c>
      <c r="D4569">
        <v>0.91961496255101705</v>
      </c>
      <c r="E4569">
        <v>0.87908374635287001</v>
      </c>
      <c r="F4569">
        <v>0.83506112603834404</v>
      </c>
      <c r="G4569">
        <v>0.64068178083817795</v>
      </c>
      <c r="H4569">
        <v>0.54050974898068804</v>
      </c>
      <c r="I4569">
        <v>0.51880273302046798</v>
      </c>
      <c r="J4569">
        <v>0.53391411350456996</v>
      </c>
      <c r="K4569">
        <v>0.51690952529924705</v>
      </c>
      <c r="L4569">
        <v>784.94050460614994</v>
      </c>
      <c r="M4569">
        <v>14.4544295292614</v>
      </c>
      <c r="O4569">
        <v>53.2968305551641</v>
      </c>
      <c r="P4569">
        <v>-3.5111825892546598E-2</v>
      </c>
      <c r="Q4569">
        <v>0.482198732048365</v>
      </c>
      <c r="R4569">
        <v>0.97921237218770796</v>
      </c>
      <c r="S4569" t="s">
        <v>9309</v>
      </c>
      <c r="T4569" t="s">
        <v>9478</v>
      </c>
      <c r="U4569" t="s">
        <v>9478</v>
      </c>
      <c r="V4569" t="s">
        <v>9478</v>
      </c>
      <c r="W4569">
        <v>6</v>
      </c>
      <c r="X4569" t="s">
        <v>14047</v>
      </c>
      <c r="Y4569">
        <v>0.73999799995694981</v>
      </c>
      <c r="Z4569" t="str">
        <f>HYPERLINK("Melting_Curves/meltCurve_tr_I3L4C3_I3L4C3_HUMAN_.pdf", "Melting_Curves/meltCurve_tr_I3L4C3_I3L4C3_HUMAN_.pdf")</f>
        <v>Melting_Curves/meltCurve_tr_I3L4C3_I3L4C3_HUMAN_.pdf</v>
      </c>
      <c r="AA4569" t="s">
        <v>18683</v>
      </c>
      <c r="AB4569" t="s">
        <v>23378</v>
      </c>
    </row>
    <row r="4570" spans="1:28" x14ac:dyDescent="0.25">
      <c r="A4570" t="s">
        <v>4574</v>
      </c>
      <c r="B4570">
        <v>0.99904790336628502</v>
      </c>
      <c r="C4570">
        <v>1.31985021331117</v>
      </c>
      <c r="D4570">
        <v>1.12698742930194</v>
      </c>
      <c r="E4570">
        <v>1.1262307222406001</v>
      </c>
      <c r="F4570">
        <v>0.852866587541806</v>
      </c>
      <c r="G4570">
        <v>0.32278866588940303</v>
      </c>
      <c r="H4570">
        <v>0.108587105858684</v>
      </c>
      <c r="I4570">
        <v>5.96850710886076E-2</v>
      </c>
      <c r="J4570">
        <v>3.55125897512601E-2</v>
      </c>
      <c r="K4570">
        <v>4.0926707725075097E-2</v>
      </c>
      <c r="L4570">
        <v>2132.8630055284202</v>
      </c>
      <c r="M4570">
        <v>38.3334620647721</v>
      </c>
      <c r="N4570">
        <v>55.795681413580198</v>
      </c>
      <c r="O4570">
        <v>55.4889448237683</v>
      </c>
      <c r="P4570">
        <v>-0.163934866888827</v>
      </c>
      <c r="Q4570">
        <v>5.0797929507973599E-2</v>
      </c>
      <c r="R4570">
        <v>0.94505531670353704</v>
      </c>
      <c r="S4570" t="s">
        <v>9310</v>
      </c>
      <c r="T4570" t="s">
        <v>9478</v>
      </c>
      <c r="U4570" t="s">
        <v>9478</v>
      </c>
      <c r="V4570" t="s">
        <v>9478</v>
      </c>
      <c r="W4570">
        <v>4</v>
      </c>
      <c r="X4570" t="s">
        <v>14048</v>
      </c>
      <c r="Y4570">
        <v>0.54958893596843528</v>
      </c>
      <c r="Z4570" t="str">
        <f>HYPERLINK("Melting_Curves/meltCurve_tr_I3L4X3_I3L4X3_HUMAN_.pdf", "Melting_Curves/meltCurve_tr_I3L4X3_I3L4X3_HUMAN_.pdf")</f>
        <v>Melting_Curves/meltCurve_tr_I3L4X3_I3L4X3_HUMAN_.pdf</v>
      </c>
      <c r="AA4570" t="s">
        <v>18684</v>
      </c>
      <c r="AB4570" t="s">
        <v>23379</v>
      </c>
    </row>
    <row r="4571" spans="1:28" x14ac:dyDescent="0.25">
      <c r="A4571" t="s">
        <v>4575</v>
      </c>
      <c r="B4571">
        <v>0.99904790336628502</v>
      </c>
      <c r="C4571">
        <v>1.0374189748153699</v>
      </c>
      <c r="D4571">
        <v>0.96989959831042705</v>
      </c>
      <c r="E4571">
        <v>0.84319338645118203</v>
      </c>
      <c r="F4571">
        <v>0.66619633434516401</v>
      </c>
      <c r="G4571">
        <v>0.44424288021098501</v>
      </c>
      <c r="H4571">
        <v>0.239562840504116</v>
      </c>
      <c r="I4571">
        <v>0.149159483041549</v>
      </c>
      <c r="J4571">
        <v>0.20333414869592101</v>
      </c>
      <c r="K4571">
        <v>0.12256219738853701</v>
      </c>
      <c r="L4571">
        <v>913.78481050823302</v>
      </c>
      <c r="M4571">
        <v>16.679083722445501</v>
      </c>
      <c r="N4571">
        <v>55.649009587466701</v>
      </c>
      <c r="O4571">
        <v>54.016894938792497</v>
      </c>
      <c r="P4571">
        <v>-6.8404163045856003E-2</v>
      </c>
      <c r="Q4571">
        <v>0.11392389452980201</v>
      </c>
      <c r="R4571">
        <v>0.99436348682571096</v>
      </c>
      <c r="S4571" t="s">
        <v>9311</v>
      </c>
      <c r="T4571" t="s">
        <v>9478</v>
      </c>
      <c r="U4571" t="s">
        <v>9478</v>
      </c>
      <c r="V4571" t="s">
        <v>9478</v>
      </c>
      <c r="W4571">
        <v>2</v>
      </c>
      <c r="X4571" t="s">
        <v>14049</v>
      </c>
      <c r="Y4571">
        <v>0.56593892352754771</v>
      </c>
      <c r="Z4571" t="str">
        <f>HYPERLINK("Melting_Curves/meltCurve_tr_I3L4X7_I3L4X7_HUMAN_.pdf", "Melting_Curves/meltCurve_tr_I3L4X7_I3L4X7_HUMAN_.pdf")</f>
        <v>Melting_Curves/meltCurve_tr_I3L4X7_I3L4X7_HUMAN_.pdf</v>
      </c>
      <c r="AA4571" t="s">
        <v>18685</v>
      </c>
      <c r="AB4571" t="s">
        <v>23380</v>
      </c>
    </row>
    <row r="4572" spans="1:28" x14ac:dyDescent="0.25">
      <c r="A4572" t="s">
        <v>4576</v>
      </c>
      <c r="B4572">
        <v>0.99904790336628502</v>
      </c>
      <c r="C4572">
        <v>0.97784346689272506</v>
      </c>
      <c r="D4572">
        <v>0.83755925844437096</v>
      </c>
      <c r="E4572">
        <v>0.58586856395315001</v>
      </c>
      <c r="F4572">
        <v>0.31759483195209798</v>
      </c>
      <c r="G4572">
        <v>0.184702212679071</v>
      </c>
      <c r="H4572">
        <v>0.102092315577705</v>
      </c>
      <c r="I4572">
        <v>0.107201105690216</v>
      </c>
      <c r="J4572">
        <v>7.8442383408750399E-2</v>
      </c>
      <c r="K4572">
        <v>0.102569534298677</v>
      </c>
      <c r="L4572">
        <v>935.55864134588103</v>
      </c>
      <c r="M4572">
        <v>18.6151012846267</v>
      </c>
      <c r="N4572">
        <v>50.751602726355799</v>
      </c>
      <c r="O4572">
        <v>49.688834953670302</v>
      </c>
      <c r="P4572">
        <v>-8.5907667305348198E-2</v>
      </c>
      <c r="Q4572">
        <v>8.2794887696862607E-2</v>
      </c>
      <c r="R4572">
        <v>0.998188182041714</v>
      </c>
      <c r="S4572" t="s">
        <v>9312</v>
      </c>
      <c r="T4572" t="s">
        <v>9478</v>
      </c>
      <c r="U4572" t="s">
        <v>9478</v>
      </c>
      <c r="V4572" t="s">
        <v>9478</v>
      </c>
      <c r="W4572">
        <v>3</v>
      </c>
      <c r="X4572" t="s">
        <v>14050</v>
      </c>
      <c r="Y4572">
        <v>0.41105336815323951</v>
      </c>
      <c r="Z4572" t="str">
        <f>HYPERLINK("Melting_Curves/meltCurve_tr_I3L521_I3L521_HUMAN_.pdf", "Melting_Curves/meltCurve_tr_I3L521_I3L521_HUMAN_.pdf")</f>
        <v>Melting_Curves/meltCurve_tr_I3L521_I3L521_HUMAN_.pdf</v>
      </c>
      <c r="AB4572" t="s">
        <v>23381</v>
      </c>
    </row>
    <row r="4573" spans="1:28" x14ac:dyDescent="0.25">
      <c r="A4573" t="s">
        <v>4577</v>
      </c>
      <c r="B4573">
        <v>0.99904790336628502</v>
      </c>
      <c r="C4573">
        <v>0.97649337597681996</v>
      </c>
      <c r="D4573">
        <v>0.91772058463265604</v>
      </c>
      <c r="E4573">
        <v>1.00710701164256</v>
      </c>
      <c r="F4573">
        <v>1.0014246242265099</v>
      </c>
      <c r="G4573">
        <v>0.86852680602349397</v>
      </c>
      <c r="H4573">
        <v>0.71184284270825005</v>
      </c>
      <c r="I4573">
        <v>0.57447497269635905</v>
      </c>
      <c r="J4573">
        <v>0.45891450484528601</v>
      </c>
      <c r="K4573">
        <v>0.36598773854126199</v>
      </c>
      <c r="L4573">
        <v>1043.2933184296701</v>
      </c>
      <c r="M4573">
        <v>16.625582048439401</v>
      </c>
      <c r="N4573">
        <v>65.650725061065103</v>
      </c>
      <c r="O4573">
        <v>61.865487196839503</v>
      </c>
      <c r="P4573">
        <v>-4.9719169226141002E-2</v>
      </c>
      <c r="Q4573">
        <v>0.26000941616296203</v>
      </c>
      <c r="R4573">
        <v>0.98336605578497105</v>
      </c>
      <c r="S4573" t="s">
        <v>9313</v>
      </c>
      <c r="T4573" t="s">
        <v>9478</v>
      </c>
      <c r="U4573" t="s">
        <v>9478</v>
      </c>
      <c r="V4573" t="s">
        <v>9478</v>
      </c>
      <c r="W4573">
        <v>9</v>
      </c>
      <c r="X4573" t="s">
        <v>14051</v>
      </c>
      <c r="Y4573">
        <v>0.81819667770389259</v>
      </c>
      <c r="Z4573" t="str">
        <f>HYPERLINK("Melting_Curves/meltCurve_tr_J3KMY5_J3KMY5_HUMAN_.pdf", "Melting_Curves/meltCurve_tr_J3KMY5_J3KMY5_HUMAN_.pdf")</f>
        <v>Melting_Curves/meltCurve_tr_J3KMY5_J3KMY5_HUMAN_.pdf</v>
      </c>
      <c r="AA4573" t="s">
        <v>18686</v>
      </c>
      <c r="AB4573" t="s">
        <v>23382</v>
      </c>
    </row>
    <row r="4574" spans="1:28" x14ac:dyDescent="0.25">
      <c r="A4574" t="s">
        <v>4578</v>
      </c>
      <c r="B4574">
        <v>0.99904790336628502</v>
      </c>
      <c r="C4574">
        <v>0.92473396757015702</v>
      </c>
      <c r="D4574">
        <v>0.81639585562136896</v>
      </c>
      <c r="E4574">
        <v>0.83683746087342403</v>
      </c>
      <c r="F4574">
        <v>1.00248612033525</v>
      </c>
      <c r="G4574">
        <v>0.79138681738398198</v>
      </c>
      <c r="H4574">
        <v>0.71079217070541501</v>
      </c>
      <c r="I4574">
        <v>0.72426138544456897</v>
      </c>
      <c r="J4574">
        <v>0.719509979951103</v>
      </c>
      <c r="K4574">
        <v>0.68669884058764996</v>
      </c>
      <c r="L4574">
        <v>209.85675663741199</v>
      </c>
      <c r="M4574">
        <v>2.2530810596282498</v>
      </c>
      <c r="O4574">
        <v>59.358088616847702</v>
      </c>
      <c r="P4574">
        <v>-1.0125135739401801E-2</v>
      </c>
      <c r="Q4574">
        <v>0</v>
      </c>
      <c r="R4574">
        <v>0.67993732524633299</v>
      </c>
      <c r="S4574" t="s">
        <v>9314</v>
      </c>
      <c r="T4574" t="s">
        <v>9478</v>
      </c>
      <c r="U4574" t="s">
        <v>9478</v>
      </c>
      <c r="V4574" t="s">
        <v>9478</v>
      </c>
      <c r="W4574">
        <v>13</v>
      </c>
      <c r="X4574" t="s">
        <v>14052</v>
      </c>
      <c r="Y4574">
        <v>0.82304429044228855</v>
      </c>
      <c r="Z4574" t="str">
        <f>HYPERLINK("Melting_Curves/meltCurve_tr_J3KN29_J3KN29_HUMAN_.pdf", "Melting_Curves/meltCurve_tr_J3KN29_J3KN29_HUMAN_.pdf")</f>
        <v>Melting_Curves/meltCurve_tr_J3KN29_J3KN29_HUMAN_.pdf</v>
      </c>
      <c r="AA4574" t="s">
        <v>18687</v>
      </c>
      <c r="AB4574" t="s">
        <v>23383</v>
      </c>
    </row>
    <row r="4575" spans="1:28" x14ac:dyDescent="0.25">
      <c r="A4575" t="s">
        <v>4579</v>
      </c>
      <c r="B4575">
        <v>0.99904790336628502</v>
      </c>
      <c r="C4575">
        <v>0.96944934886219802</v>
      </c>
      <c r="D4575">
        <v>0.92321285450991497</v>
      </c>
      <c r="E4575">
        <v>0.88026418580862598</v>
      </c>
      <c r="F4575">
        <v>0.85848582539346396</v>
      </c>
      <c r="G4575">
        <v>0.67138083355561395</v>
      </c>
      <c r="H4575">
        <v>0.54374730462600096</v>
      </c>
      <c r="I4575">
        <v>0.54534703080060198</v>
      </c>
      <c r="J4575">
        <v>0.54203992857428296</v>
      </c>
      <c r="K4575">
        <v>0.55914530363680603</v>
      </c>
      <c r="L4575">
        <v>848.78558673977295</v>
      </c>
      <c r="M4575">
        <v>15.5981302676641</v>
      </c>
      <c r="O4575">
        <v>53.544995691871101</v>
      </c>
      <c r="P4575">
        <v>-3.5502947514921203E-2</v>
      </c>
      <c r="Q4575">
        <v>0.51254659469630603</v>
      </c>
      <c r="R4575">
        <v>0.97217587387664794</v>
      </c>
      <c r="S4575" t="s">
        <v>9315</v>
      </c>
      <c r="T4575" t="s">
        <v>9478</v>
      </c>
      <c r="U4575" t="s">
        <v>9478</v>
      </c>
      <c r="V4575" t="s">
        <v>9478</v>
      </c>
      <c r="W4575">
        <v>9</v>
      </c>
      <c r="X4575" t="s">
        <v>14053</v>
      </c>
      <c r="Y4575">
        <v>0.75610141725097946</v>
      </c>
      <c r="Z4575" t="str">
        <f>HYPERLINK("Melting_Curves/meltCurve_tr_J3KN66_J3KN66_HUMAN_.pdf", "Melting_Curves/meltCurve_tr_J3KN66_J3KN66_HUMAN_.pdf")</f>
        <v>Melting_Curves/meltCurve_tr_J3KN66_J3KN66_HUMAN_.pdf</v>
      </c>
      <c r="AA4575" t="s">
        <v>16316</v>
      </c>
      <c r="AB4575" t="s">
        <v>20973</v>
      </c>
    </row>
    <row r="4576" spans="1:28" x14ac:dyDescent="0.25">
      <c r="A4576" t="s">
        <v>4580</v>
      </c>
      <c r="B4576">
        <v>0.99904790336628502</v>
      </c>
      <c r="C4576">
        <v>1.0131060691215099</v>
      </c>
      <c r="D4576">
        <v>1.0040037308419101</v>
      </c>
      <c r="E4576">
        <v>0.85195457077355097</v>
      </c>
      <c r="F4576">
        <v>0.52701802287773003</v>
      </c>
      <c r="G4576">
        <v>0.17909871174700101</v>
      </c>
      <c r="H4576">
        <v>8.9830291588579206E-2</v>
      </c>
      <c r="I4576">
        <v>4.3314453745624697E-2</v>
      </c>
      <c r="J4576">
        <v>3.7663853238568502E-2</v>
      </c>
      <c r="K4576">
        <v>3.4737887297819701E-2</v>
      </c>
      <c r="L4576">
        <v>1413.85502601025</v>
      </c>
      <c r="M4576">
        <v>26.6143979949765</v>
      </c>
      <c r="N4576">
        <v>53.290809155299499</v>
      </c>
      <c r="O4576">
        <v>52.826511621901801</v>
      </c>
      <c r="P4576">
        <v>-0.120910461733057</v>
      </c>
      <c r="Q4576">
        <v>4.0037199039587398E-2</v>
      </c>
      <c r="R4576">
        <v>0.99931711095076803</v>
      </c>
      <c r="S4576" t="s">
        <v>9316</v>
      </c>
      <c r="T4576" t="s">
        <v>9478</v>
      </c>
      <c r="U4576" t="s">
        <v>9478</v>
      </c>
      <c r="V4576" t="s">
        <v>9478</v>
      </c>
      <c r="W4576">
        <v>8</v>
      </c>
      <c r="X4576" t="s">
        <v>14054</v>
      </c>
      <c r="Y4576">
        <v>0.46783880177623738</v>
      </c>
      <c r="Z4576" t="str">
        <f>HYPERLINK("Melting_Curves/meltCurve_tr_J3KN75_J3KN75_HUMAN_.pdf", "Melting_Curves/meltCurve_tr_J3KN75_J3KN75_HUMAN_.pdf")</f>
        <v>Melting_Curves/meltCurve_tr_J3KN75_J3KN75_HUMAN_.pdf</v>
      </c>
      <c r="AA4576" t="s">
        <v>18688</v>
      </c>
      <c r="AB4576" t="s">
        <v>23384</v>
      </c>
    </row>
    <row r="4577" spans="1:28" x14ac:dyDescent="0.25">
      <c r="A4577" t="s">
        <v>4581</v>
      </c>
      <c r="B4577">
        <v>0.99904790336628502</v>
      </c>
      <c r="C4577">
        <v>1.0176063317991499</v>
      </c>
      <c r="D4577">
        <v>1.1137567864486999</v>
      </c>
      <c r="E4577">
        <v>0.76529963139650004</v>
      </c>
      <c r="F4577">
        <v>0.529107927913398</v>
      </c>
      <c r="G4577">
        <v>0.15298906949435201</v>
      </c>
      <c r="H4577">
        <v>0.152946828897527</v>
      </c>
      <c r="I4577">
        <v>0.119406882257965</v>
      </c>
      <c r="J4577">
        <v>0.14820818392801699</v>
      </c>
      <c r="K4577">
        <v>0.12885049418311201</v>
      </c>
      <c r="L4577">
        <v>1532.22866587974</v>
      </c>
      <c r="M4577">
        <v>29.2681565975615</v>
      </c>
      <c r="N4577">
        <v>52.874870496277197</v>
      </c>
      <c r="O4577">
        <v>52.108821334152999</v>
      </c>
      <c r="P4577">
        <v>-0.1227574100604</v>
      </c>
      <c r="Q4577">
        <v>0.12578055324189899</v>
      </c>
      <c r="R4577">
        <v>0.98436126820541803</v>
      </c>
      <c r="S4577" t="s">
        <v>9317</v>
      </c>
      <c r="T4577" t="s">
        <v>9478</v>
      </c>
      <c r="U4577" t="s">
        <v>9478</v>
      </c>
      <c r="V4577" t="s">
        <v>9478</v>
      </c>
      <c r="W4577">
        <v>4</v>
      </c>
      <c r="X4577" t="s">
        <v>14055</v>
      </c>
      <c r="Y4577">
        <v>0.49160422226084438</v>
      </c>
      <c r="Z4577" t="str">
        <f>HYPERLINK("Melting_Curves/meltCurve_tr_J3KN93_J3KN93_HUMAN_.pdf", "Melting_Curves/meltCurve_tr_J3KN93_J3KN93_HUMAN_.pdf")</f>
        <v>Melting_Curves/meltCurve_tr_J3KN93_J3KN93_HUMAN_.pdf</v>
      </c>
      <c r="AA4577" t="s">
        <v>18689</v>
      </c>
      <c r="AB4577" t="s">
        <v>23385</v>
      </c>
    </row>
    <row r="4578" spans="1:28" x14ac:dyDescent="0.25">
      <c r="A4578" t="s">
        <v>4582</v>
      </c>
      <c r="B4578">
        <v>0.99904790336628502</v>
      </c>
      <c r="C4578">
        <v>1.1891741055753899</v>
      </c>
      <c r="D4578">
        <v>1.0937153369689701</v>
      </c>
      <c r="E4578">
        <v>0.99657599227673299</v>
      </c>
      <c r="F4578">
        <v>0.80671924402727202</v>
      </c>
      <c r="G4578">
        <v>0.85857715392610701</v>
      </c>
      <c r="H4578">
        <v>0.51661431718626105</v>
      </c>
      <c r="I4578">
        <v>0.37743160802245501</v>
      </c>
      <c r="J4578">
        <v>0.42469861689998201</v>
      </c>
      <c r="K4578">
        <v>0.40504780310520799</v>
      </c>
      <c r="L4578">
        <v>1330.1270942547901</v>
      </c>
      <c r="M4578">
        <v>22.759150978426401</v>
      </c>
      <c r="N4578">
        <v>61.978832713606302</v>
      </c>
      <c r="O4578">
        <v>57.998010695404503</v>
      </c>
      <c r="P4578">
        <v>-6.2445516485429897E-2</v>
      </c>
      <c r="Q4578">
        <v>0.36348317243450601</v>
      </c>
      <c r="R4578">
        <v>0.91016980566816397</v>
      </c>
      <c r="S4578" t="s">
        <v>9318</v>
      </c>
      <c r="T4578" t="s">
        <v>9478</v>
      </c>
      <c r="U4578" t="s">
        <v>9478</v>
      </c>
      <c r="V4578" t="s">
        <v>9478</v>
      </c>
      <c r="W4578">
        <v>1</v>
      </c>
      <c r="X4578" t="s">
        <v>14056</v>
      </c>
      <c r="Y4578">
        <v>0.76087257913831996</v>
      </c>
      <c r="Z4578" t="str">
        <f>HYPERLINK("Melting_Curves/meltCurve_tr_J3KNC0_J3KNC0_HUMAN_.pdf", "Melting_Curves/meltCurve_tr_J3KNC0_J3KNC0_HUMAN_.pdf")</f>
        <v>Melting_Curves/meltCurve_tr_J3KNC0_J3KNC0_HUMAN_.pdf</v>
      </c>
      <c r="AA4578" t="s">
        <v>18690</v>
      </c>
      <c r="AB4578" t="s">
        <v>23386</v>
      </c>
    </row>
    <row r="4579" spans="1:28" x14ac:dyDescent="0.25">
      <c r="A4579" t="s">
        <v>4583</v>
      </c>
      <c r="B4579">
        <v>0.99904790336628502</v>
      </c>
      <c r="C4579">
        <v>0.98176655008601998</v>
      </c>
      <c r="D4579">
        <v>1.01644375798957</v>
      </c>
      <c r="E4579">
        <v>0.77153071355676595</v>
      </c>
      <c r="F4579">
        <v>0.68278146631018</v>
      </c>
      <c r="G4579">
        <v>0.28954146514699097</v>
      </c>
      <c r="H4579">
        <v>0.16788929634018401</v>
      </c>
      <c r="I4579">
        <v>9.9928838162404401E-2</v>
      </c>
      <c r="J4579">
        <v>6.8876609916880799E-2</v>
      </c>
      <c r="K4579">
        <v>9.0180583412926396E-2</v>
      </c>
      <c r="L4579">
        <v>1032.53956862326</v>
      </c>
      <c r="M4579">
        <v>19.0681392930389</v>
      </c>
      <c r="N4579">
        <v>54.505798277253</v>
      </c>
      <c r="O4579">
        <v>53.564974131178097</v>
      </c>
      <c r="P4579">
        <v>-8.3790794069646402E-2</v>
      </c>
      <c r="Q4579">
        <v>5.8518549603652097E-2</v>
      </c>
      <c r="R4579">
        <v>0.99212145266131102</v>
      </c>
      <c r="S4579" t="s">
        <v>9319</v>
      </c>
      <c r="T4579" t="s">
        <v>9478</v>
      </c>
      <c r="U4579" t="s">
        <v>9478</v>
      </c>
      <c r="V4579" t="s">
        <v>9478</v>
      </c>
      <c r="W4579">
        <v>1</v>
      </c>
      <c r="X4579" t="s">
        <v>14057</v>
      </c>
      <c r="Y4579">
        <v>0.51633897258443018</v>
      </c>
      <c r="Z4579" t="str">
        <f>HYPERLINK("Melting_Curves/meltCurve_tr_J3KND1_J3KND1_HUMAN_.pdf", "Melting_Curves/meltCurve_tr_J3KND1_J3KND1_HUMAN_.pdf")</f>
        <v>Melting_Curves/meltCurve_tr_J3KND1_J3KND1_HUMAN_.pdf</v>
      </c>
      <c r="AA4579" t="s">
        <v>18691</v>
      </c>
      <c r="AB4579" t="s">
        <v>23387</v>
      </c>
    </row>
    <row r="4580" spans="1:28" x14ac:dyDescent="0.25">
      <c r="A4580" t="s">
        <v>4584</v>
      </c>
      <c r="B4580">
        <v>0.99904790336628502</v>
      </c>
      <c r="C4580">
        <v>1.08981320986746</v>
      </c>
      <c r="D4580">
        <v>0.95392175821922698</v>
      </c>
      <c r="E4580">
        <v>0.90925784121235698</v>
      </c>
      <c r="F4580">
        <v>0.83925369520847104</v>
      </c>
      <c r="G4580">
        <v>0.599825243504579</v>
      </c>
      <c r="H4580">
        <v>0.60578124078032403</v>
      </c>
      <c r="I4580">
        <v>0.67681342785632104</v>
      </c>
      <c r="J4580">
        <v>0.65383091668566995</v>
      </c>
      <c r="K4580">
        <v>0.83903497747904898</v>
      </c>
      <c r="L4580">
        <v>1864.94556317365</v>
      </c>
      <c r="M4580">
        <v>35.713357414661701</v>
      </c>
      <c r="O4580">
        <v>52.056916518027201</v>
      </c>
      <c r="P4580">
        <v>-5.5482519140320298E-2</v>
      </c>
      <c r="Q4580">
        <v>0.67650878639618195</v>
      </c>
      <c r="R4580">
        <v>0.80372707602591997</v>
      </c>
      <c r="S4580" t="s">
        <v>9320</v>
      </c>
      <c r="T4580" t="s">
        <v>9478</v>
      </c>
      <c r="U4580" t="s">
        <v>9478</v>
      </c>
      <c r="V4580" t="s">
        <v>9478</v>
      </c>
      <c r="W4580">
        <v>1</v>
      </c>
      <c r="X4580" t="s">
        <v>14058</v>
      </c>
      <c r="Y4580">
        <v>0.80974093415288695</v>
      </c>
      <c r="Z4580" t="str">
        <f>HYPERLINK("Melting_Curves/meltCurve_tr_J3KNE2_J3KNE2_HUMAN_.pdf", "Melting_Curves/meltCurve_tr_J3KNE2_J3KNE2_HUMAN_.pdf")</f>
        <v>Melting_Curves/meltCurve_tr_J3KNE2_J3KNE2_HUMAN_.pdf</v>
      </c>
      <c r="AA4580" t="s">
        <v>18692</v>
      </c>
      <c r="AB4580" t="s">
        <v>23388</v>
      </c>
    </row>
    <row r="4581" spans="1:28" x14ac:dyDescent="0.25">
      <c r="A4581" t="s">
        <v>4585</v>
      </c>
      <c r="B4581">
        <v>0.99904790336628502</v>
      </c>
      <c r="C4581">
        <v>0.95930232365247203</v>
      </c>
      <c r="D4581">
        <v>0.94392254719539204</v>
      </c>
      <c r="E4581">
        <v>0.89565870698240102</v>
      </c>
      <c r="F4581">
        <v>0.90903368974062904</v>
      </c>
      <c r="G4581">
        <v>0.64438298011350303</v>
      </c>
      <c r="H4581">
        <v>0.47873318733257098</v>
      </c>
      <c r="I4581">
        <v>0.39577589437774802</v>
      </c>
      <c r="J4581">
        <v>0.39119185594182199</v>
      </c>
      <c r="K4581">
        <v>0.32092657096833399</v>
      </c>
      <c r="L4581">
        <v>947.59710882993704</v>
      </c>
      <c r="M4581">
        <v>16.5708042283967</v>
      </c>
      <c r="N4581">
        <v>60.603982038822302</v>
      </c>
      <c r="O4581">
        <v>56.371398576764904</v>
      </c>
      <c r="P4581">
        <v>-5.11749103025885E-2</v>
      </c>
      <c r="Q4581">
        <v>0.30369001071887602</v>
      </c>
      <c r="R4581">
        <v>0.98487263525286595</v>
      </c>
      <c r="S4581" t="s">
        <v>9321</v>
      </c>
      <c r="T4581" t="s">
        <v>9478</v>
      </c>
      <c r="U4581" t="s">
        <v>9478</v>
      </c>
      <c r="V4581" t="s">
        <v>9478</v>
      </c>
      <c r="W4581">
        <v>13</v>
      </c>
      <c r="X4581" t="s">
        <v>14059</v>
      </c>
      <c r="Y4581">
        <v>0.71263378025995139</v>
      </c>
      <c r="Z4581" t="str">
        <f>HYPERLINK("Melting_Curves/meltCurve_tr_J3KNF4_J3KNF4_HUMAN_.pdf", "Melting_Curves/meltCurve_tr_J3KNF4_J3KNF4_HUMAN_.pdf")</f>
        <v>Melting_Curves/meltCurve_tr_J3KNF4_J3KNF4_HUMAN_.pdf</v>
      </c>
      <c r="AA4581" t="s">
        <v>18693</v>
      </c>
      <c r="AB4581" t="s">
        <v>23389</v>
      </c>
    </row>
    <row r="4582" spans="1:28" x14ac:dyDescent="0.25">
      <c r="A4582" t="s">
        <v>4586</v>
      </c>
      <c r="B4582">
        <v>0.99904790336628502</v>
      </c>
      <c r="C4582">
        <v>0.94799239254766399</v>
      </c>
      <c r="D4582">
        <v>0.91163888006771598</v>
      </c>
      <c r="E4582">
        <v>0.83655893640325696</v>
      </c>
      <c r="F4582">
        <v>0.72244173463356098</v>
      </c>
      <c r="G4582">
        <v>0.49805195972993899</v>
      </c>
      <c r="H4582">
        <v>0.42721343899088898</v>
      </c>
      <c r="I4582">
        <v>0.40489505672074899</v>
      </c>
      <c r="J4582">
        <v>0.44284408043770002</v>
      </c>
      <c r="K4582">
        <v>0.4504703797022</v>
      </c>
      <c r="L4582">
        <v>937.85779193795497</v>
      </c>
      <c r="M4582">
        <v>17.833787504984301</v>
      </c>
      <c r="N4582">
        <v>58.113142140310003</v>
      </c>
      <c r="O4582">
        <v>51.940951763858997</v>
      </c>
      <c r="P4582">
        <v>-5.0798384580502197E-2</v>
      </c>
      <c r="Q4582">
        <v>0.40822858534870698</v>
      </c>
      <c r="R4582">
        <v>0.98231082084176202</v>
      </c>
      <c r="S4582" t="s">
        <v>9322</v>
      </c>
      <c r="T4582" t="s">
        <v>9478</v>
      </c>
      <c r="U4582" t="s">
        <v>9478</v>
      </c>
      <c r="V4582" t="s">
        <v>9478</v>
      </c>
      <c r="W4582">
        <v>24</v>
      </c>
      <c r="X4582" t="s">
        <v>14060</v>
      </c>
      <c r="Y4582">
        <v>0.66646232409030803</v>
      </c>
      <c r="Z4582" t="str">
        <f>HYPERLINK("Melting_Curves/meltCurve_tr_J3KNL6_J3KNL6_HUMAN_.pdf", "Melting_Curves/meltCurve_tr_J3KNL6_J3KNL6_HUMAN_.pdf")</f>
        <v>Melting_Curves/meltCurve_tr_J3KNL6_J3KNL6_HUMAN_.pdf</v>
      </c>
      <c r="AA4582" t="s">
        <v>18694</v>
      </c>
      <c r="AB4582" t="s">
        <v>23390</v>
      </c>
    </row>
    <row r="4583" spans="1:28" x14ac:dyDescent="0.25">
      <c r="A4583" t="s">
        <v>4587</v>
      </c>
      <c r="B4583">
        <v>0.99904790336628502</v>
      </c>
      <c r="C4583">
        <v>0.91301542384670498</v>
      </c>
      <c r="D4583">
        <v>0.92973958850736405</v>
      </c>
      <c r="E4583">
        <v>0.81758324196721799</v>
      </c>
      <c r="F4583">
        <v>0.70827802608336898</v>
      </c>
      <c r="G4583">
        <v>0.456891219342341</v>
      </c>
      <c r="H4583">
        <v>0.27554806364617701</v>
      </c>
      <c r="I4583">
        <v>0.21397545664874401</v>
      </c>
      <c r="J4583">
        <v>0.21627533979489699</v>
      </c>
      <c r="K4583">
        <v>0.18411257885433899</v>
      </c>
      <c r="L4583">
        <v>769.46876554861103</v>
      </c>
      <c r="M4583">
        <v>14.009467045362801</v>
      </c>
      <c r="N4583">
        <v>56.138297676946202</v>
      </c>
      <c r="O4583">
        <v>53.842106542260403</v>
      </c>
      <c r="P4583">
        <v>-5.6559200274155202E-2</v>
      </c>
      <c r="Q4583">
        <v>0.130626565727265</v>
      </c>
      <c r="R4583">
        <v>0.99177730718040702</v>
      </c>
      <c r="S4583" t="s">
        <v>9323</v>
      </c>
      <c r="T4583" t="s">
        <v>9478</v>
      </c>
      <c r="U4583" t="s">
        <v>9478</v>
      </c>
      <c r="V4583" t="s">
        <v>9478</v>
      </c>
      <c r="W4583">
        <v>3</v>
      </c>
      <c r="X4583" t="s">
        <v>14061</v>
      </c>
      <c r="Y4583">
        <v>0.58120844231532243</v>
      </c>
      <c r="Z4583" t="str">
        <f>HYPERLINK("Melting_Curves/meltCurve_tr_J3KNN7_J3KNN7_HUMAN_.pdf", "Melting_Curves/meltCurve_tr_J3KNN7_J3KNN7_HUMAN_.pdf")</f>
        <v>Melting_Curves/meltCurve_tr_J3KNN7_J3KNN7_HUMAN_.pdf</v>
      </c>
      <c r="AA4583" t="s">
        <v>18695</v>
      </c>
      <c r="AB4583" t="s">
        <v>23391</v>
      </c>
    </row>
    <row r="4584" spans="1:28" x14ac:dyDescent="0.25">
      <c r="A4584" t="s">
        <v>4588</v>
      </c>
      <c r="B4584">
        <v>0.99904790336628502</v>
      </c>
      <c r="C4584">
        <v>1.0848743839769299</v>
      </c>
      <c r="D4584">
        <v>1.00749560096332</v>
      </c>
      <c r="E4584">
        <v>1.00000343424909</v>
      </c>
      <c r="F4584">
        <v>0.94363354598323701</v>
      </c>
      <c r="G4584">
        <v>0.65653809026507703</v>
      </c>
      <c r="H4584">
        <v>0.59924719387523695</v>
      </c>
      <c r="I4584">
        <v>0.55667956075747305</v>
      </c>
      <c r="J4584">
        <v>0.64957864200963</v>
      </c>
      <c r="K4584">
        <v>0.61188024129356799</v>
      </c>
      <c r="L4584">
        <v>2811.72654088643</v>
      </c>
      <c r="M4584">
        <v>51.2368897810493</v>
      </c>
      <c r="O4584">
        <v>54.793589588650903</v>
      </c>
      <c r="P4584">
        <v>-9.2576461625815606E-2</v>
      </c>
      <c r="Q4584">
        <v>0.60398900599626304</v>
      </c>
      <c r="R4584">
        <v>0.97079757589017002</v>
      </c>
      <c r="S4584" t="s">
        <v>9324</v>
      </c>
      <c r="T4584" t="s">
        <v>9478</v>
      </c>
      <c r="U4584" t="s">
        <v>9478</v>
      </c>
      <c r="V4584" t="s">
        <v>9478</v>
      </c>
      <c r="W4584">
        <v>4</v>
      </c>
      <c r="X4584" t="s">
        <v>14062</v>
      </c>
      <c r="Y4584">
        <v>0.80128304755733126</v>
      </c>
      <c r="Z4584" t="str">
        <f>HYPERLINK("Melting_Curves/meltCurve_tr_J3KP15_J3KP15_HUMAN_.pdf", "Melting_Curves/meltCurve_tr_J3KP15_J3KP15_HUMAN_.pdf")</f>
        <v>Melting_Curves/meltCurve_tr_J3KP15_J3KP15_HUMAN_.pdf</v>
      </c>
      <c r="AA4584" t="s">
        <v>18696</v>
      </c>
      <c r="AB4584" t="s">
        <v>23392</v>
      </c>
    </row>
    <row r="4585" spans="1:28" x14ac:dyDescent="0.25">
      <c r="A4585" t="s">
        <v>4589</v>
      </c>
      <c r="B4585">
        <v>0.99904790336628502</v>
      </c>
      <c r="C4585">
        <v>0.69300523814747095</v>
      </c>
      <c r="D4585">
        <v>0.68778647691716099</v>
      </c>
      <c r="E4585">
        <v>0.61898187961273299</v>
      </c>
      <c r="F4585">
        <v>0.63780519997351104</v>
      </c>
      <c r="G4585">
        <v>0.41449306434685501</v>
      </c>
      <c r="H4585">
        <v>0.39915077362123202</v>
      </c>
      <c r="I4585">
        <v>0.31653778587508602</v>
      </c>
      <c r="J4585">
        <v>0.37038014348348097</v>
      </c>
      <c r="K4585">
        <v>0.36684729038776298</v>
      </c>
      <c r="L4585">
        <v>358.580817607612</v>
      </c>
      <c r="M4585">
        <v>7.3080469677427899</v>
      </c>
      <c r="N4585">
        <v>54.660412129818802</v>
      </c>
      <c r="O4585">
        <v>45.7931987158073</v>
      </c>
      <c r="P4585">
        <v>-2.9437925914764899E-2</v>
      </c>
      <c r="Q4585">
        <v>0.26331781823065598</v>
      </c>
      <c r="R4585">
        <v>0.88957044578940703</v>
      </c>
      <c r="S4585" t="s">
        <v>9325</v>
      </c>
      <c r="T4585" t="s">
        <v>9478</v>
      </c>
      <c r="U4585" t="s">
        <v>9478</v>
      </c>
      <c r="V4585" t="s">
        <v>9478</v>
      </c>
      <c r="W4585">
        <v>8</v>
      </c>
      <c r="X4585" t="s">
        <v>14063</v>
      </c>
      <c r="Y4585">
        <v>0.53959173614121403</v>
      </c>
      <c r="Z4585" t="str">
        <f>HYPERLINK("Melting_Curves/meltCurve_tr_J3KP19_J3KP19_HUMAN_.pdf", "Melting_Curves/meltCurve_tr_J3KP19_J3KP19_HUMAN_.pdf")</f>
        <v>Melting_Curves/meltCurve_tr_J3KP19_J3KP19_HUMAN_.pdf</v>
      </c>
      <c r="AA4585" t="s">
        <v>18697</v>
      </c>
      <c r="AB4585" t="s">
        <v>23393</v>
      </c>
    </row>
    <row r="4586" spans="1:28" x14ac:dyDescent="0.25">
      <c r="A4586" t="s">
        <v>4590</v>
      </c>
      <c r="B4586">
        <v>0.99904790336628502</v>
      </c>
      <c r="C4586">
        <v>0.87641682029163703</v>
      </c>
      <c r="D4586">
        <v>0.82388178187297401</v>
      </c>
      <c r="E4586">
        <v>0.80005197044395204</v>
      </c>
      <c r="F4586">
        <v>0.80389534925811401</v>
      </c>
      <c r="G4586">
        <v>0.59590048141603902</v>
      </c>
      <c r="H4586">
        <v>0.54568232413641804</v>
      </c>
      <c r="I4586">
        <v>0.46826209066063601</v>
      </c>
      <c r="J4586">
        <v>0.44799686231185998</v>
      </c>
      <c r="K4586">
        <v>0.46549398095656302</v>
      </c>
      <c r="L4586">
        <v>366.91967482396001</v>
      </c>
      <c r="M4586">
        <v>6.4089614384820699</v>
      </c>
      <c r="N4586">
        <v>64.191878582190895</v>
      </c>
      <c r="O4586">
        <v>52.439475089124898</v>
      </c>
      <c r="P4586">
        <v>-2.2975427102861799E-2</v>
      </c>
      <c r="Q4586">
        <v>0.249957857246216</v>
      </c>
      <c r="R4586">
        <v>0.95169744514074595</v>
      </c>
      <c r="S4586" t="s">
        <v>9326</v>
      </c>
      <c r="T4586" t="s">
        <v>9478</v>
      </c>
      <c r="U4586" t="s">
        <v>9478</v>
      </c>
      <c r="V4586" t="s">
        <v>9478</v>
      </c>
      <c r="W4586">
        <v>4</v>
      </c>
      <c r="X4586" t="s">
        <v>14064</v>
      </c>
      <c r="Y4586">
        <v>0.68344439773176802</v>
      </c>
      <c r="Z4586" t="str">
        <f>HYPERLINK("Melting_Curves/meltCurve_tr_J3KP30_J3KP30_HUMAN_.pdf", "Melting_Curves/meltCurve_tr_J3KP30_J3KP30_HUMAN_.pdf")</f>
        <v>Melting_Curves/meltCurve_tr_J3KP30_J3KP30_HUMAN_.pdf</v>
      </c>
      <c r="AA4586" t="s">
        <v>18698</v>
      </c>
      <c r="AB4586" t="s">
        <v>23394</v>
      </c>
    </row>
    <row r="4587" spans="1:28" x14ac:dyDescent="0.25">
      <c r="A4587" t="s">
        <v>4591</v>
      </c>
      <c r="B4587">
        <v>0.99904790336628502</v>
      </c>
      <c r="C4587">
        <v>0.89764365692768999</v>
      </c>
      <c r="D4587">
        <v>0.88323703765510897</v>
      </c>
      <c r="E4587">
        <v>0.82042110408541602</v>
      </c>
      <c r="F4587">
        <v>0.96849963965587405</v>
      </c>
      <c r="G4587">
        <v>0.65585261791254801</v>
      </c>
      <c r="H4587">
        <v>0.76787044864842402</v>
      </c>
      <c r="I4587">
        <v>0.56068995216523299</v>
      </c>
      <c r="J4587">
        <v>0.60999982969412703</v>
      </c>
      <c r="K4587">
        <v>0.58895902600162098</v>
      </c>
      <c r="L4587">
        <v>300.63456822623499</v>
      </c>
      <c r="M4587">
        <v>4.4382887218544402</v>
      </c>
      <c r="O4587">
        <v>57.351136277377996</v>
      </c>
      <c r="P4587">
        <v>-1.58479201221042E-2</v>
      </c>
      <c r="Q4587">
        <v>0.18829100080488401</v>
      </c>
      <c r="R4587">
        <v>0.78162891538941903</v>
      </c>
      <c r="S4587" t="s">
        <v>9327</v>
      </c>
      <c r="T4587" t="s">
        <v>9478</v>
      </c>
      <c r="U4587" t="s">
        <v>9478</v>
      </c>
      <c r="V4587" t="s">
        <v>9478</v>
      </c>
      <c r="W4587">
        <v>25</v>
      </c>
      <c r="X4587" t="s">
        <v>14065</v>
      </c>
      <c r="Y4587">
        <v>0.77920275135647643</v>
      </c>
      <c r="Z4587" t="str">
        <f>HYPERLINK("Melting_Curves/meltCurve_tr_J3KP36_J3KP36_HUMAN_.pdf", "Melting_Curves/meltCurve_tr_J3KP36_J3KP36_HUMAN_.pdf")</f>
        <v>Melting_Curves/meltCurve_tr_J3KP36_J3KP36_HUMAN_.pdf</v>
      </c>
      <c r="AA4587" t="s">
        <v>18699</v>
      </c>
      <c r="AB4587" t="s">
        <v>23395</v>
      </c>
    </row>
    <row r="4588" spans="1:28" x14ac:dyDescent="0.25">
      <c r="A4588" t="s">
        <v>4592</v>
      </c>
      <c r="B4588">
        <v>0.99904790336628502</v>
      </c>
      <c r="C4588">
        <v>1.00139032238113</v>
      </c>
      <c r="D4588">
        <v>0.91580192033963603</v>
      </c>
      <c r="E4588">
        <v>0.76504063120972898</v>
      </c>
      <c r="F4588">
        <v>0.75860933087132698</v>
      </c>
      <c r="G4588">
        <v>0.49896847113980403</v>
      </c>
      <c r="H4588">
        <v>0.37439233537601602</v>
      </c>
      <c r="I4588">
        <v>0.36793263506137702</v>
      </c>
      <c r="J4588">
        <v>0.41813590095568098</v>
      </c>
      <c r="K4588">
        <v>0.38770458496536803</v>
      </c>
      <c r="L4588">
        <v>809.88122337105597</v>
      </c>
      <c r="M4588">
        <v>15.2750532847248</v>
      </c>
      <c r="N4588">
        <v>57.5761106875349</v>
      </c>
      <c r="O4588">
        <v>52.136071681020702</v>
      </c>
      <c r="P4588">
        <v>-4.75617294978328E-2</v>
      </c>
      <c r="Q4588">
        <v>0.35071953061719702</v>
      </c>
      <c r="R4588">
        <v>0.97427503271584004</v>
      </c>
      <c r="S4588" t="s">
        <v>9328</v>
      </c>
      <c r="T4588" t="s">
        <v>9478</v>
      </c>
      <c r="U4588" t="s">
        <v>9478</v>
      </c>
      <c r="V4588" t="s">
        <v>9478</v>
      </c>
      <c r="W4588">
        <v>10</v>
      </c>
      <c r="X4588" t="s">
        <v>14066</v>
      </c>
      <c r="Y4588">
        <v>0.64611358893307558</v>
      </c>
      <c r="Z4588" t="str">
        <f>HYPERLINK("Melting_Curves/meltCurve_tr_J3KPS2_J3KPS2_HUMAN_.pdf", "Melting_Curves/meltCurve_tr_J3KPS2_J3KPS2_HUMAN_.pdf")</f>
        <v>Melting_Curves/meltCurve_tr_J3KPS2_J3KPS2_HUMAN_.pdf</v>
      </c>
      <c r="AA4588" t="s">
        <v>18700</v>
      </c>
      <c r="AB4588" t="s">
        <v>23396</v>
      </c>
    </row>
    <row r="4589" spans="1:28" x14ac:dyDescent="0.25">
      <c r="A4589" t="s">
        <v>4593</v>
      </c>
      <c r="B4589">
        <v>0.99904790336628502</v>
      </c>
      <c r="C4589">
        <v>0.98114437257962095</v>
      </c>
      <c r="D4589">
        <v>0.890955777977394</v>
      </c>
      <c r="E4589">
        <v>0.775576566267698</v>
      </c>
      <c r="F4589">
        <v>0.54908589524871698</v>
      </c>
      <c r="G4589">
        <v>0.20801154628409699</v>
      </c>
      <c r="H4589">
        <v>0.11857743025303299</v>
      </c>
      <c r="I4589">
        <v>7.3844213670681405E-2</v>
      </c>
      <c r="J4589">
        <v>5.3680373396248801E-2</v>
      </c>
      <c r="K4589">
        <v>3.9713173751236799E-2</v>
      </c>
      <c r="L4589">
        <v>967.35957915887002</v>
      </c>
      <c r="M4589">
        <v>18.210676827040199</v>
      </c>
      <c r="N4589">
        <v>53.2824582980424</v>
      </c>
      <c r="O4589">
        <v>52.492323828057998</v>
      </c>
      <c r="P4589">
        <v>-8.4398497585026794E-2</v>
      </c>
      <c r="Q4589">
        <v>2.6930182199442199E-2</v>
      </c>
      <c r="R4589">
        <v>0.996539636543334</v>
      </c>
      <c r="S4589" t="s">
        <v>9329</v>
      </c>
      <c r="T4589" t="s">
        <v>9478</v>
      </c>
      <c r="U4589" t="s">
        <v>9478</v>
      </c>
      <c r="V4589" t="s">
        <v>9478</v>
      </c>
      <c r="W4589">
        <v>21</v>
      </c>
      <c r="X4589" t="s">
        <v>14067</v>
      </c>
      <c r="Y4589">
        <v>0.46810450026270201</v>
      </c>
      <c r="Z4589" t="str">
        <f>HYPERLINK("Melting_Curves/meltCurve_tr_J3KPV7_J3KPV7_HUMAN_.pdf", "Melting_Curves/meltCurve_tr_J3KPV7_J3KPV7_HUMAN_.pdf")</f>
        <v>Melting_Curves/meltCurve_tr_J3KPV7_J3KPV7_HUMAN_.pdf</v>
      </c>
      <c r="AA4589" t="s">
        <v>18701</v>
      </c>
      <c r="AB4589" t="s">
        <v>23397</v>
      </c>
    </row>
    <row r="4590" spans="1:28" x14ac:dyDescent="0.25">
      <c r="A4590" t="s">
        <v>4594</v>
      </c>
      <c r="B4590">
        <v>0.99904790336628502</v>
      </c>
      <c r="C4590">
        <v>1.0809099921393499</v>
      </c>
      <c r="D4590">
        <v>1.2237030725665701</v>
      </c>
      <c r="E4590">
        <v>1.1885438267964801</v>
      </c>
      <c r="F4590">
        <v>0.91829064018415396</v>
      </c>
      <c r="G4590">
        <v>0.39478998544364802</v>
      </c>
      <c r="H4590">
        <v>0.15348954025540501</v>
      </c>
      <c r="I4590">
        <v>6.2097891627599801E-2</v>
      </c>
      <c r="J4590">
        <v>5.5725900784811301E-2</v>
      </c>
      <c r="K4590">
        <v>5.1448123785250599E-2</v>
      </c>
      <c r="L4590">
        <v>2321.17331457306</v>
      </c>
      <c r="M4590">
        <v>41.296515716822299</v>
      </c>
      <c r="N4590">
        <v>56.407921107513602</v>
      </c>
      <c r="O4590">
        <v>56.0761472204264</v>
      </c>
      <c r="P4590">
        <v>-0.17154562225751499</v>
      </c>
      <c r="Q4590">
        <v>6.8240710921593298E-2</v>
      </c>
      <c r="R4590">
        <v>0.95851044478602998</v>
      </c>
      <c r="S4590" t="s">
        <v>9330</v>
      </c>
      <c r="T4590" t="s">
        <v>9478</v>
      </c>
      <c r="U4590" t="s">
        <v>9478</v>
      </c>
      <c r="V4590" t="s">
        <v>9478</v>
      </c>
      <c r="W4590">
        <v>2</v>
      </c>
      <c r="X4590" t="s">
        <v>14068</v>
      </c>
      <c r="Y4590">
        <v>0.57499823099377756</v>
      </c>
      <c r="Z4590" t="str">
        <f>HYPERLINK("Melting_Curves/meltCurve_tr_J3KQ34_J3KQ34_HUMAN_.pdf", "Melting_Curves/meltCurve_tr_J3KQ34_J3KQ34_HUMAN_.pdf")</f>
        <v>Melting_Curves/meltCurve_tr_J3KQ34_J3KQ34_HUMAN_.pdf</v>
      </c>
      <c r="AA4590" t="s">
        <v>18702</v>
      </c>
      <c r="AB4590" t="s">
        <v>23398</v>
      </c>
    </row>
    <row r="4591" spans="1:28" x14ac:dyDescent="0.25">
      <c r="A4591" t="s">
        <v>4595</v>
      </c>
      <c r="B4591">
        <v>0.99904790336628502</v>
      </c>
      <c r="C4591">
        <v>0.74528781778531294</v>
      </c>
      <c r="D4591">
        <v>0.80674922162474805</v>
      </c>
      <c r="E4591">
        <v>0.75378779882989899</v>
      </c>
      <c r="F4591">
        <v>0.477898630643734</v>
      </c>
      <c r="G4591">
        <v>0.185923625850095</v>
      </c>
      <c r="H4591">
        <v>0.102238403483101</v>
      </c>
      <c r="I4591">
        <v>7.9434347902088406E-2</v>
      </c>
      <c r="J4591">
        <v>4.3656239711287598E-2</v>
      </c>
      <c r="K4591">
        <v>5.2084842238686202E-2</v>
      </c>
      <c r="L4591">
        <v>662.90114298345202</v>
      </c>
      <c r="M4591">
        <v>12.7021833403094</v>
      </c>
      <c r="N4591">
        <v>52.187947738668697</v>
      </c>
      <c r="O4591">
        <v>50.9451870154586</v>
      </c>
      <c r="P4591">
        <v>-6.2344648255901899E-2</v>
      </c>
      <c r="Q4591">
        <v>0</v>
      </c>
      <c r="R4591">
        <v>0.95135191947034004</v>
      </c>
      <c r="S4591" t="s">
        <v>9331</v>
      </c>
      <c r="T4591" t="s">
        <v>9478</v>
      </c>
      <c r="U4591" t="s">
        <v>9478</v>
      </c>
      <c r="V4591" t="s">
        <v>9478</v>
      </c>
      <c r="W4591">
        <v>4</v>
      </c>
      <c r="X4591" t="s">
        <v>14069</v>
      </c>
      <c r="Y4591">
        <v>0.43434955137665099</v>
      </c>
      <c r="Z4591" t="str">
        <f>HYPERLINK("Melting_Curves/meltCurve_tr_J3KQ72_J3KQ72_HUMAN_.pdf", "Melting_Curves/meltCurve_tr_J3KQ72_J3KQ72_HUMAN_.pdf")</f>
        <v>Melting_Curves/meltCurve_tr_J3KQ72_J3KQ72_HUMAN_.pdf</v>
      </c>
      <c r="AA4591" t="s">
        <v>18703</v>
      </c>
      <c r="AB4591" t="s">
        <v>23399</v>
      </c>
    </row>
    <row r="4592" spans="1:28" x14ac:dyDescent="0.25">
      <c r="A4592" t="s">
        <v>4596</v>
      </c>
      <c r="B4592">
        <v>0.99904790336628502</v>
      </c>
      <c r="C4592">
        <v>0.82742570214764</v>
      </c>
      <c r="D4592">
        <v>0.86924568486189102</v>
      </c>
      <c r="E4592">
        <v>0.72493383241616705</v>
      </c>
      <c r="F4592">
        <v>0.44109509558374799</v>
      </c>
      <c r="G4592">
        <v>0.27326552610316901</v>
      </c>
      <c r="H4592">
        <v>0.18813014017222099</v>
      </c>
      <c r="I4592">
        <v>9.7153373427468201E-2</v>
      </c>
      <c r="J4592">
        <v>5.6230449059541499E-2</v>
      </c>
      <c r="K4592">
        <v>4.1947702881712498E-2</v>
      </c>
      <c r="L4592">
        <v>636.38223808008695</v>
      </c>
      <c r="M4592">
        <v>12.0776259230805</v>
      </c>
      <c r="N4592">
        <v>52.691015098445497</v>
      </c>
      <c r="O4592">
        <v>51.308862012648397</v>
      </c>
      <c r="P4592">
        <v>-5.8861495530133701E-2</v>
      </c>
      <c r="Q4592">
        <v>0</v>
      </c>
      <c r="R4592">
        <v>0.98314690575865504</v>
      </c>
      <c r="S4592" t="s">
        <v>9332</v>
      </c>
      <c r="T4592" t="s">
        <v>9478</v>
      </c>
      <c r="U4592" t="s">
        <v>9478</v>
      </c>
      <c r="V4592" t="s">
        <v>9478</v>
      </c>
      <c r="W4592">
        <v>6</v>
      </c>
      <c r="X4592" t="s">
        <v>14070</v>
      </c>
      <c r="Y4592">
        <v>0.45196254825467069</v>
      </c>
      <c r="Z4592" t="str">
        <f>HYPERLINK("Melting_Curves/meltCurve_tr_J3KQG4_J3KQG4_HUMAN_.pdf", "Melting_Curves/meltCurve_tr_J3KQG4_J3KQG4_HUMAN_.pdf")</f>
        <v>Melting_Curves/meltCurve_tr_J3KQG4_J3KQG4_HUMAN_.pdf</v>
      </c>
      <c r="AA4592" t="s">
        <v>18704</v>
      </c>
      <c r="AB4592" t="s">
        <v>23400</v>
      </c>
    </row>
    <row r="4593" spans="1:28" x14ac:dyDescent="0.25">
      <c r="A4593" t="s">
        <v>4597</v>
      </c>
      <c r="B4593">
        <v>0.99904790336628502</v>
      </c>
      <c r="C4593">
        <v>1.0956546397965199</v>
      </c>
      <c r="D4593">
        <v>1.0913253183429401</v>
      </c>
      <c r="E4593">
        <v>1.0657259411892901</v>
      </c>
      <c r="F4593">
        <v>1.1009023887765299</v>
      </c>
      <c r="G4593">
        <v>0.71928998056111904</v>
      </c>
      <c r="H4593">
        <v>0.50806637588629899</v>
      </c>
      <c r="I4593">
        <v>0.34516004206768103</v>
      </c>
      <c r="J4593">
        <v>0.24331854081524401</v>
      </c>
      <c r="K4593">
        <v>0.190772446272574</v>
      </c>
      <c r="L4593">
        <v>1442.5255493352099</v>
      </c>
      <c r="M4593">
        <v>24.206390723867901</v>
      </c>
      <c r="N4593">
        <v>60.808932673101801</v>
      </c>
      <c r="O4593">
        <v>59.190520033290802</v>
      </c>
      <c r="P4593">
        <v>-8.2622647740260402E-2</v>
      </c>
      <c r="Q4593">
        <v>0.191882463070462</v>
      </c>
      <c r="R4593">
        <v>0.961762923122786</v>
      </c>
      <c r="S4593" t="s">
        <v>9333</v>
      </c>
      <c r="T4593" t="s">
        <v>9478</v>
      </c>
      <c r="U4593" t="s">
        <v>9478</v>
      </c>
      <c r="V4593" t="s">
        <v>9478</v>
      </c>
      <c r="W4593">
        <v>6</v>
      </c>
      <c r="X4593" t="s">
        <v>14071</v>
      </c>
      <c r="Y4593">
        <v>0.72614063480523816</v>
      </c>
      <c r="Z4593" t="str">
        <f>HYPERLINK("Melting_Curves/meltCurve_tr_J3KQS6_J3KQS6_HUMAN_.pdf", "Melting_Curves/meltCurve_tr_J3KQS6_J3KQS6_HUMAN_.pdf")</f>
        <v>Melting_Curves/meltCurve_tr_J3KQS6_J3KQS6_HUMAN_.pdf</v>
      </c>
      <c r="AA4593" t="s">
        <v>18705</v>
      </c>
      <c r="AB4593" t="s">
        <v>23401</v>
      </c>
    </row>
    <row r="4594" spans="1:28" x14ac:dyDescent="0.25">
      <c r="A4594" t="s">
        <v>4598</v>
      </c>
      <c r="B4594">
        <v>0.99904790336628502</v>
      </c>
      <c r="C4594">
        <v>0.95136752250888601</v>
      </c>
      <c r="D4594">
        <v>0.92753845654345601</v>
      </c>
      <c r="E4594">
        <v>0.77290115365093703</v>
      </c>
      <c r="F4594">
        <v>0.62067681767017302</v>
      </c>
      <c r="G4594">
        <v>0.34915257043898601</v>
      </c>
      <c r="H4594">
        <v>0.11005777869837099</v>
      </c>
      <c r="I4594">
        <v>3.70649718516258E-2</v>
      </c>
      <c r="J4594">
        <v>1.17015394151613E-2</v>
      </c>
      <c r="K4594">
        <v>2.1307778472213299E-2</v>
      </c>
      <c r="L4594">
        <v>899.29495055587097</v>
      </c>
      <c r="M4594">
        <v>16.5717790689277</v>
      </c>
      <c r="N4594">
        <v>54.266651080497297</v>
      </c>
      <c r="O4594">
        <v>53.4949034899224</v>
      </c>
      <c r="P4594">
        <v>-7.7450888887758806E-2</v>
      </c>
      <c r="Q4594">
        <v>0</v>
      </c>
      <c r="R4594">
        <v>0.99496978898454902</v>
      </c>
      <c r="S4594" t="s">
        <v>9334</v>
      </c>
      <c r="T4594" t="s">
        <v>9478</v>
      </c>
      <c r="U4594" t="s">
        <v>9478</v>
      </c>
      <c r="V4594" t="s">
        <v>9478</v>
      </c>
      <c r="W4594">
        <v>2</v>
      </c>
      <c r="X4594" t="s">
        <v>14072</v>
      </c>
      <c r="Y4594">
        <v>0.49337113245517039</v>
      </c>
      <c r="Z4594" t="str">
        <f>HYPERLINK("Melting_Curves/meltCurve_tr_J3KRP0_J3KRP0_HUMAN_.pdf", "Melting_Curves/meltCurve_tr_J3KRP0_J3KRP0_HUMAN_.pdf")</f>
        <v>Melting_Curves/meltCurve_tr_J3KRP0_J3KRP0_HUMAN_.pdf</v>
      </c>
      <c r="AA4594" t="s">
        <v>18706</v>
      </c>
      <c r="AB4594" t="s">
        <v>23402</v>
      </c>
    </row>
    <row r="4595" spans="1:28" x14ac:dyDescent="0.25">
      <c r="A4595" t="s">
        <v>4599</v>
      </c>
      <c r="B4595">
        <v>0.99904790336628502</v>
      </c>
      <c r="C4595">
        <v>1.01902891019599</v>
      </c>
      <c r="D4595">
        <v>0.85167991779364505</v>
      </c>
      <c r="E4595">
        <v>0.763767913996517</v>
      </c>
      <c r="F4595">
        <v>0.35517513887147401</v>
      </c>
      <c r="G4595">
        <v>0.117111426922723</v>
      </c>
      <c r="H4595">
        <v>0</v>
      </c>
      <c r="I4595">
        <v>0</v>
      </c>
      <c r="J4595">
        <v>0</v>
      </c>
      <c r="K4595">
        <v>6.8911254953051698E-2</v>
      </c>
      <c r="L4595">
        <v>1275.1678371478599</v>
      </c>
      <c r="M4595">
        <v>24.582132679267499</v>
      </c>
      <c r="N4595">
        <v>51.910676546649</v>
      </c>
      <c r="O4595">
        <v>51.534133285809197</v>
      </c>
      <c r="P4595">
        <v>-0.11822037925579799</v>
      </c>
      <c r="Q4595">
        <v>8.6625473876420899E-3</v>
      </c>
      <c r="R4595">
        <v>0.98864596164002305</v>
      </c>
      <c r="S4595" t="s">
        <v>9335</v>
      </c>
      <c r="T4595" t="s">
        <v>9478</v>
      </c>
      <c r="U4595" t="s">
        <v>9478</v>
      </c>
      <c r="V4595" t="s">
        <v>9478</v>
      </c>
      <c r="W4595">
        <v>3</v>
      </c>
      <c r="X4595" t="s">
        <v>14073</v>
      </c>
      <c r="Y4595">
        <v>0.41036325677440122</v>
      </c>
      <c r="Z4595" t="str">
        <f>HYPERLINK("Melting_Curves/meltCurve_tr_J3KRR7_J3KRR7_HUMAN_.pdf", "Melting_Curves/meltCurve_tr_J3KRR7_J3KRR7_HUMAN_.pdf")</f>
        <v>Melting_Curves/meltCurve_tr_J3KRR7_J3KRR7_HUMAN_.pdf</v>
      </c>
      <c r="AA4595" t="s">
        <v>18707</v>
      </c>
      <c r="AB4595" t="s">
        <v>23403</v>
      </c>
    </row>
    <row r="4596" spans="1:28" x14ac:dyDescent="0.25">
      <c r="A4596" t="s">
        <v>4600</v>
      </c>
      <c r="B4596">
        <v>0.99904790336628502</v>
      </c>
      <c r="C4596">
        <v>1.0479558119541801</v>
      </c>
      <c r="D4596">
        <v>1.0786852553795501</v>
      </c>
      <c r="E4596">
        <v>1.06319163601699</v>
      </c>
      <c r="F4596">
        <v>1.0584225138258401</v>
      </c>
      <c r="G4596">
        <v>0.86097058410526495</v>
      </c>
      <c r="H4596">
        <v>0.69281006445961002</v>
      </c>
      <c r="I4596">
        <v>0.60205516242608104</v>
      </c>
      <c r="J4596">
        <v>0.60983161444845002</v>
      </c>
      <c r="K4596">
        <v>0.580751477935326</v>
      </c>
      <c r="L4596">
        <v>2017.2184561864401</v>
      </c>
      <c r="M4596">
        <v>34.467078772431499</v>
      </c>
      <c r="O4596">
        <v>58.329987645836603</v>
      </c>
      <c r="P4596">
        <v>-6.0204614641727397E-2</v>
      </c>
      <c r="Q4596">
        <v>0.59245502652620596</v>
      </c>
      <c r="R4596">
        <v>0.95504918880414802</v>
      </c>
      <c r="S4596" t="s">
        <v>9336</v>
      </c>
      <c r="T4596" t="s">
        <v>9478</v>
      </c>
      <c r="U4596" t="s">
        <v>9478</v>
      </c>
      <c r="V4596" t="s">
        <v>9478</v>
      </c>
      <c r="W4596">
        <v>3</v>
      </c>
      <c r="X4596" t="s">
        <v>14074</v>
      </c>
      <c r="Y4596">
        <v>0.8462300741395532</v>
      </c>
      <c r="Z4596" t="str">
        <f>HYPERLINK("Melting_Curves/meltCurve_tr_J3KS05_J3KS05_HUMAN_.pdf", "Melting_Curves/meltCurve_tr_J3KS05_J3KS05_HUMAN_.pdf")</f>
        <v>Melting_Curves/meltCurve_tr_J3KS05_J3KS05_HUMAN_.pdf</v>
      </c>
      <c r="AA4596" t="s">
        <v>18708</v>
      </c>
      <c r="AB4596" t="s">
        <v>23404</v>
      </c>
    </row>
    <row r="4597" spans="1:28" x14ac:dyDescent="0.25">
      <c r="A4597" t="s">
        <v>4601</v>
      </c>
      <c r="B4597">
        <v>0.99904790336628502</v>
      </c>
      <c r="C4597">
        <v>1.2048413707718399</v>
      </c>
      <c r="D4597">
        <v>1.0414482981472399</v>
      </c>
      <c r="E4597">
        <v>1.1353180796481801</v>
      </c>
      <c r="F4597">
        <v>1.3307660671414401</v>
      </c>
      <c r="G4597">
        <v>0.89014127958810196</v>
      </c>
      <c r="H4597">
        <v>0.75861264746050905</v>
      </c>
      <c r="I4597">
        <v>0.83186167634886299</v>
      </c>
      <c r="J4597">
        <v>0.99161213135556303</v>
      </c>
      <c r="K4597">
        <v>1.0618075301793599</v>
      </c>
      <c r="L4597">
        <v>13815.7978400217</v>
      </c>
      <c r="M4597">
        <v>250</v>
      </c>
      <c r="O4597">
        <v>55.259638960586898</v>
      </c>
      <c r="P4597">
        <v>-0.10541024206859401</v>
      </c>
      <c r="Q4597">
        <v>0.90680106242369196</v>
      </c>
      <c r="R4597">
        <v>0.13960842915170399</v>
      </c>
      <c r="S4597" t="s">
        <v>9337</v>
      </c>
      <c r="T4597" t="s">
        <v>9478</v>
      </c>
      <c r="U4597" t="s">
        <v>9478</v>
      </c>
      <c r="V4597" t="s">
        <v>9478</v>
      </c>
      <c r="W4597">
        <v>1</v>
      </c>
      <c r="X4597" t="s">
        <v>14075</v>
      </c>
      <c r="Y4597">
        <v>0.95422720871244771</v>
      </c>
      <c r="Z4597" t="str">
        <f>HYPERLINK("Melting_Curves/meltCurve_tr_J3KS94_J3KS94_HUMAN_.pdf", "Melting_Curves/meltCurve_tr_J3KS94_J3KS94_HUMAN_.pdf")</f>
        <v>Melting_Curves/meltCurve_tr_J3KS94_J3KS94_HUMAN_.pdf</v>
      </c>
      <c r="AA4597" t="s">
        <v>18709</v>
      </c>
      <c r="AB4597" t="s">
        <v>23405</v>
      </c>
    </row>
    <row r="4598" spans="1:28" x14ac:dyDescent="0.25">
      <c r="A4598" t="s">
        <v>4602</v>
      </c>
      <c r="B4598">
        <v>0.99904790336628502</v>
      </c>
      <c r="C4598">
        <v>1.0888440177916801</v>
      </c>
      <c r="D4598">
        <v>1.04137788224303</v>
      </c>
      <c r="E4598">
        <v>0.97618572933190695</v>
      </c>
      <c r="F4598">
        <v>0.86795113257711898</v>
      </c>
      <c r="G4598">
        <v>0.59356102648726805</v>
      </c>
      <c r="H4598">
        <v>0.57286580057318903</v>
      </c>
      <c r="I4598">
        <v>0.52343969144179503</v>
      </c>
      <c r="J4598">
        <v>0.53949830354696005</v>
      </c>
      <c r="K4598">
        <v>0.455799627777209</v>
      </c>
      <c r="L4598">
        <v>1806.9824972531001</v>
      </c>
      <c r="M4598">
        <v>33.152868754360398</v>
      </c>
      <c r="O4598">
        <v>54.307395923309997</v>
      </c>
      <c r="P4598">
        <v>-7.3955159676683799E-2</v>
      </c>
      <c r="Q4598">
        <v>0.515421176452039</v>
      </c>
      <c r="R4598">
        <v>0.97161290080396301</v>
      </c>
      <c r="S4598" t="s">
        <v>9338</v>
      </c>
      <c r="T4598" t="s">
        <v>9478</v>
      </c>
      <c r="U4598" t="s">
        <v>9478</v>
      </c>
      <c r="V4598" t="s">
        <v>9478</v>
      </c>
      <c r="W4598">
        <v>6</v>
      </c>
      <c r="X4598" t="s">
        <v>14076</v>
      </c>
      <c r="Y4598">
        <v>0.7523463499476748</v>
      </c>
      <c r="Z4598" t="str">
        <f>HYPERLINK("Melting_Curves/meltCurve_tr_J3KSS7_J3KSS7_HUMAN_.pdf", "Melting_Curves/meltCurve_tr_J3KSS7_J3KSS7_HUMAN_.pdf")</f>
        <v>Melting_Curves/meltCurve_tr_J3KSS7_J3KSS7_HUMAN_.pdf</v>
      </c>
      <c r="AA4598" t="s">
        <v>18710</v>
      </c>
      <c r="AB4598" t="s">
        <v>23406</v>
      </c>
    </row>
    <row r="4599" spans="1:28" x14ac:dyDescent="0.25">
      <c r="A4599" t="s">
        <v>4603</v>
      </c>
      <c r="B4599">
        <v>0.99904790336628502</v>
      </c>
      <c r="C4599">
        <v>1.3101184358679001</v>
      </c>
      <c r="D4599">
        <v>1.37822232286545</v>
      </c>
      <c r="E4599">
        <v>1.07680387492406</v>
      </c>
      <c r="F4599">
        <v>1.0410867134108399</v>
      </c>
      <c r="G4599">
        <v>0.69758421918592095</v>
      </c>
      <c r="H4599">
        <v>0.66949331788264899</v>
      </c>
      <c r="I4599">
        <v>0.67126251490742195</v>
      </c>
      <c r="J4599">
        <v>0.36462948623835301</v>
      </c>
      <c r="K4599">
        <v>0.10386117296623</v>
      </c>
      <c r="L4599">
        <v>1005.88240700199</v>
      </c>
      <c r="M4599">
        <v>15.637193606716499</v>
      </c>
      <c r="N4599">
        <v>64.326274803374901</v>
      </c>
      <c r="O4599">
        <v>63.301813276272</v>
      </c>
      <c r="P4599">
        <v>-6.17617995821583E-2</v>
      </c>
      <c r="Q4599">
        <v>0</v>
      </c>
      <c r="R4599">
        <v>0.77941848245696399</v>
      </c>
      <c r="S4599" t="s">
        <v>9339</v>
      </c>
      <c r="T4599" t="s">
        <v>9478</v>
      </c>
      <c r="U4599" t="s">
        <v>9478</v>
      </c>
      <c r="V4599" t="s">
        <v>9478</v>
      </c>
      <c r="W4599">
        <v>2</v>
      </c>
      <c r="X4599" t="s">
        <v>14077</v>
      </c>
      <c r="Y4599">
        <v>0.79350509491845733</v>
      </c>
      <c r="Z4599" t="str">
        <f>HYPERLINK("Melting_Curves/meltCurve_tr_J3KSZ8_J3KSZ8_HUMAN_.pdf", "Melting_Curves/meltCurve_tr_J3KSZ8_J3KSZ8_HUMAN_.pdf")</f>
        <v>Melting_Curves/meltCurve_tr_J3KSZ8_J3KSZ8_HUMAN_.pdf</v>
      </c>
      <c r="AA4599" t="s">
        <v>18711</v>
      </c>
      <c r="AB4599" t="s">
        <v>23407</v>
      </c>
    </row>
    <row r="4600" spans="1:28" x14ac:dyDescent="0.25">
      <c r="A4600" t="s">
        <v>4604</v>
      </c>
      <c r="B4600">
        <v>0.99904790336628502</v>
      </c>
      <c r="C4600">
        <v>1.0106066990284299</v>
      </c>
      <c r="D4600">
        <v>1.0748126572080701</v>
      </c>
      <c r="E4600">
        <v>1.01715196715308</v>
      </c>
      <c r="F4600">
        <v>1.0762383611095501</v>
      </c>
      <c r="G4600">
        <v>0.78653643668040596</v>
      </c>
      <c r="H4600">
        <v>0.65225150030676804</v>
      </c>
      <c r="I4600">
        <v>0.63658209059624404</v>
      </c>
      <c r="J4600">
        <v>0.53101972751554305</v>
      </c>
      <c r="K4600">
        <v>0.74731329322803397</v>
      </c>
      <c r="L4600">
        <v>14227.855843562</v>
      </c>
      <c r="M4600">
        <v>250</v>
      </c>
      <c r="O4600">
        <v>56.907781811649699</v>
      </c>
      <c r="P4600">
        <v>-0.39340880129662698</v>
      </c>
      <c r="Q4600">
        <v>0.64179164724932602</v>
      </c>
      <c r="R4600">
        <v>0.90659382732109495</v>
      </c>
      <c r="S4600" t="s">
        <v>9340</v>
      </c>
      <c r="T4600" t="s">
        <v>9478</v>
      </c>
      <c r="U4600" t="s">
        <v>9478</v>
      </c>
      <c r="V4600" t="s">
        <v>9478</v>
      </c>
      <c r="W4600">
        <v>1</v>
      </c>
      <c r="X4600" t="s">
        <v>14078</v>
      </c>
      <c r="Y4600">
        <v>0.84375452827237185</v>
      </c>
      <c r="Z4600" t="str">
        <f>HYPERLINK("Melting_Curves/meltCurve_tr_J3KT51_J3KT51_HUMAN_.pdf", "Melting_Curves/meltCurve_tr_J3KT51_J3KT51_HUMAN_.pdf")</f>
        <v>Melting_Curves/meltCurve_tr_J3KT51_J3KT51_HUMAN_.pdf</v>
      </c>
      <c r="AA4600" t="s">
        <v>18712</v>
      </c>
      <c r="AB4600" t="s">
        <v>23408</v>
      </c>
    </row>
    <row r="4601" spans="1:28" x14ac:dyDescent="0.25">
      <c r="A4601" t="s">
        <v>4605</v>
      </c>
      <c r="B4601">
        <v>0.99904790336628502</v>
      </c>
      <c r="C4601">
        <v>1.21417122249539</v>
      </c>
      <c r="D4601">
        <v>1.19848972032333</v>
      </c>
      <c r="E4601">
        <v>0.97982740615256303</v>
      </c>
      <c r="F4601">
        <v>0.88926747999882905</v>
      </c>
      <c r="G4601">
        <v>0.48870375953145401</v>
      </c>
      <c r="H4601">
        <v>0.35790371309477198</v>
      </c>
      <c r="I4601">
        <v>0.26562264984512501</v>
      </c>
      <c r="J4601">
        <v>0.22508161936996901</v>
      </c>
      <c r="K4601">
        <v>0.17833134239104501</v>
      </c>
      <c r="L4601">
        <v>1544.52869190258</v>
      </c>
      <c r="M4601">
        <v>27.538384681393399</v>
      </c>
      <c r="N4601">
        <v>57.308826107553401</v>
      </c>
      <c r="O4601">
        <v>55.793135719819297</v>
      </c>
      <c r="P4601">
        <v>-9.5987686826310106E-2</v>
      </c>
      <c r="Q4601">
        <v>0.22211771965020999</v>
      </c>
      <c r="R4601">
        <v>0.93972120994917696</v>
      </c>
      <c r="S4601" t="s">
        <v>9341</v>
      </c>
      <c r="T4601" t="s">
        <v>9478</v>
      </c>
      <c r="U4601" t="s">
        <v>9478</v>
      </c>
      <c r="V4601" t="s">
        <v>9478</v>
      </c>
      <c r="W4601">
        <v>2</v>
      </c>
      <c r="X4601" t="s">
        <v>14079</v>
      </c>
      <c r="Y4601">
        <v>0.64527682416018306</v>
      </c>
      <c r="Z4601" t="str">
        <f>HYPERLINK("Melting_Curves/meltCurve_tr_J3KTJ8_J3KTJ8_HUMAN_.pdf", "Melting_Curves/meltCurve_tr_J3KTJ8_J3KTJ8_HUMAN_.pdf")</f>
        <v>Melting_Curves/meltCurve_tr_J3KTJ8_J3KTJ8_HUMAN_.pdf</v>
      </c>
      <c r="AA4601" t="s">
        <v>18713</v>
      </c>
      <c r="AB4601" t="s">
        <v>23409</v>
      </c>
    </row>
    <row r="4602" spans="1:28" x14ac:dyDescent="0.25">
      <c r="A4602" t="s">
        <v>4606</v>
      </c>
      <c r="B4602">
        <v>0.99904790336628502</v>
      </c>
      <c r="C4602">
        <v>1.1011829032221601</v>
      </c>
      <c r="D4602">
        <v>1.1034687538255299</v>
      </c>
      <c r="E4602">
        <v>0.75951756335129195</v>
      </c>
      <c r="F4602">
        <v>0.372632554555486</v>
      </c>
      <c r="G4602">
        <v>0.22994149513137199</v>
      </c>
      <c r="H4602">
        <v>0.19512945312659</v>
      </c>
      <c r="I4602">
        <v>9.9099485744891205E-2</v>
      </c>
      <c r="J4602">
        <v>5.3329293534799302E-2</v>
      </c>
      <c r="K4602">
        <v>5.6846505879802202E-2</v>
      </c>
      <c r="L4602">
        <v>1589.68169669809</v>
      </c>
      <c r="M4602">
        <v>30.744331706049302</v>
      </c>
      <c r="N4602">
        <v>52.131504455806997</v>
      </c>
      <c r="O4602">
        <v>51.489197585868503</v>
      </c>
      <c r="P4602">
        <v>-0.13272898949593101</v>
      </c>
      <c r="Q4602">
        <v>0.110851259041661</v>
      </c>
      <c r="R4602">
        <v>0.97551184494922505</v>
      </c>
      <c r="S4602" t="s">
        <v>9342</v>
      </c>
      <c r="T4602" t="s">
        <v>9478</v>
      </c>
      <c r="U4602" t="s">
        <v>9478</v>
      </c>
      <c r="V4602" t="s">
        <v>9478</v>
      </c>
      <c r="W4602">
        <v>9</v>
      </c>
      <c r="X4602" t="s">
        <v>14080</v>
      </c>
      <c r="Y4602">
        <v>0.46319735760332559</v>
      </c>
      <c r="Z4602" t="str">
        <f>HYPERLINK("Melting_Curves/meltCurve_tr_J3KTN0_J3KTN0_HUMAN_.pdf", "Melting_Curves/meltCurve_tr_J3KTN0_J3KTN0_HUMAN_.pdf")</f>
        <v>Melting_Curves/meltCurve_tr_J3KTN0_J3KTN0_HUMAN_.pdf</v>
      </c>
      <c r="AA4602" t="s">
        <v>15656</v>
      </c>
      <c r="AB4602" t="s">
        <v>23410</v>
      </c>
    </row>
    <row r="4603" spans="1:28" x14ac:dyDescent="0.25">
      <c r="A4603" t="s">
        <v>4607</v>
      </c>
      <c r="B4603">
        <v>0.99904790336628502</v>
      </c>
      <c r="C4603">
        <v>1.0145805397376499</v>
      </c>
      <c r="D4603">
        <v>0.96838157376174605</v>
      </c>
      <c r="E4603">
        <v>0.65744658616479701</v>
      </c>
      <c r="F4603">
        <v>0.45569554568851101</v>
      </c>
      <c r="G4603">
        <v>0.284826063952757</v>
      </c>
      <c r="H4603">
        <v>0.19927921342851401</v>
      </c>
      <c r="I4603">
        <v>0.17370746290961001</v>
      </c>
      <c r="J4603">
        <v>0.16757237814234899</v>
      </c>
      <c r="K4603">
        <v>0.16236157750643199</v>
      </c>
      <c r="L4603">
        <v>1056.4089280159101</v>
      </c>
      <c r="M4603">
        <v>20.604737176159901</v>
      </c>
      <c r="N4603">
        <v>52.3018897120185</v>
      </c>
      <c r="O4603">
        <v>50.794594347072703</v>
      </c>
      <c r="P4603">
        <v>-8.4479423914905594E-2</v>
      </c>
      <c r="Q4603">
        <v>0.16699266916454</v>
      </c>
      <c r="R4603">
        <v>0.996455258020287</v>
      </c>
      <c r="S4603" t="s">
        <v>9343</v>
      </c>
      <c r="T4603" t="s">
        <v>9478</v>
      </c>
      <c r="U4603" t="s">
        <v>9478</v>
      </c>
      <c r="V4603" t="s">
        <v>9478</v>
      </c>
      <c r="W4603">
        <v>5</v>
      </c>
      <c r="X4603" t="s">
        <v>14081</v>
      </c>
      <c r="Y4603">
        <v>0.4908640050602342</v>
      </c>
      <c r="Z4603" t="str">
        <f>HYPERLINK("Melting_Curves/meltCurve_tr_J3QKS7_J3QKS7_HUMAN_.pdf", "Melting_Curves/meltCurve_tr_J3QKS7_J3QKS7_HUMAN_.pdf")</f>
        <v>Melting_Curves/meltCurve_tr_J3QKS7_J3QKS7_HUMAN_.pdf</v>
      </c>
      <c r="AA4603" t="s">
        <v>18714</v>
      </c>
      <c r="AB4603" t="s">
        <v>23411</v>
      </c>
    </row>
    <row r="4604" spans="1:28" x14ac:dyDescent="0.25">
      <c r="A4604" t="s">
        <v>4608</v>
      </c>
      <c r="B4604">
        <v>0.99904790336628502</v>
      </c>
      <c r="C4604">
        <v>0.90845464030337197</v>
      </c>
      <c r="D4604">
        <v>0.89214744669143398</v>
      </c>
      <c r="E4604">
        <v>0.61453447232819303</v>
      </c>
      <c r="F4604">
        <v>0.18808328765846899</v>
      </c>
      <c r="G4604">
        <v>8.6841970587660994E-2</v>
      </c>
      <c r="H4604">
        <v>4.3313134155047603E-2</v>
      </c>
      <c r="I4604">
        <v>3.4556234064248799E-2</v>
      </c>
      <c r="J4604">
        <v>1.9582382513427799E-2</v>
      </c>
      <c r="K4604">
        <v>1.9226062915507099E-2</v>
      </c>
      <c r="L4604">
        <v>1348.48750064257</v>
      </c>
      <c r="M4604">
        <v>26.7253692706335</v>
      </c>
      <c r="N4604">
        <v>50.551866073234201</v>
      </c>
      <c r="O4604">
        <v>50.1772408251882</v>
      </c>
      <c r="P4604">
        <v>-0.12990645640132201</v>
      </c>
      <c r="Q4604">
        <v>2.44055811856984E-2</v>
      </c>
      <c r="R4604">
        <v>0.99173804164609602</v>
      </c>
      <c r="S4604" t="s">
        <v>9344</v>
      </c>
      <c r="T4604" t="s">
        <v>9478</v>
      </c>
      <c r="U4604" t="s">
        <v>9478</v>
      </c>
      <c r="V4604" t="s">
        <v>9478</v>
      </c>
      <c r="W4604">
        <v>3</v>
      </c>
      <c r="X4604" t="s">
        <v>14082</v>
      </c>
      <c r="Y4604">
        <v>0.37214043415985448</v>
      </c>
      <c r="Z4604" t="str">
        <f>HYPERLINK("Melting_Curves/meltCurve_tr_J3QL56_J3QL56_HUMAN_.pdf", "Melting_Curves/meltCurve_tr_J3QL56_J3QL56_HUMAN_.pdf")</f>
        <v>Melting_Curves/meltCurve_tr_J3QL56_J3QL56_HUMAN_.pdf</v>
      </c>
      <c r="AA4604" t="s">
        <v>18715</v>
      </c>
      <c r="AB4604" t="s">
        <v>23412</v>
      </c>
    </row>
    <row r="4605" spans="1:28" x14ac:dyDescent="0.25">
      <c r="A4605" t="s">
        <v>4609</v>
      </c>
      <c r="B4605">
        <v>0.99904790336628502</v>
      </c>
      <c r="C4605">
        <v>1.05517324140158</v>
      </c>
      <c r="D4605">
        <v>1.08637333112652</v>
      </c>
      <c r="E4605">
        <v>0.94967862151128901</v>
      </c>
      <c r="F4605">
        <v>0.80230533688543904</v>
      </c>
      <c r="G4605">
        <v>0.66765378652560603</v>
      </c>
      <c r="H4605">
        <v>0.50016256512927104</v>
      </c>
      <c r="I4605">
        <v>0.38614488937316999</v>
      </c>
      <c r="J4605">
        <v>0.28161734444610098</v>
      </c>
      <c r="K4605">
        <v>0.130629341907746</v>
      </c>
      <c r="L4605">
        <v>719.67857364871099</v>
      </c>
      <c r="M4605">
        <v>11.825807956786299</v>
      </c>
      <c r="N4605">
        <v>60.856609276505203</v>
      </c>
      <c r="O4605">
        <v>59.1946523402924</v>
      </c>
      <c r="P4605">
        <v>-4.99573205329144E-2</v>
      </c>
      <c r="Q4605">
        <v>0</v>
      </c>
      <c r="R4605">
        <v>0.97894115772808099</v>
      </c>
      <c r="S4605" t="s">
        <v>9345</v>
      </c>
      <c r="T4605" t="s">
        <v>9478</v>
      </c>
      <c r="U4605" t="s">
        <v>9478</v>
      </c>
      <c r="V4605" t="s">
        <v>9478</v>
      </c>
      <c r="W4605">
        <v>7</v>
      </c>
      <c r="X4605" t="s">
        <v>14083</v>
      </c>
      <c r="Y4605">
        <v>0.69163723005184041</v>
      </c>
      <c r="Z4605" t="str">
        <f>HYPERLINK("Melting_Curves/meltCurve_tr_J3QLE5_J3QLE5_HUMAN_.pdf", "Melting_Curves/meltCurve_tr_J3QLE5_J3QLE5_HUMAN_.pdf")</f>
        <v>Melting_Curves/meltCurve_tr_J3QLE5_J3QLE5_HUMAN_.pdf</v>
      </c>
      <c r="AA4605" t="s">
        <v>18716</v>
      </c>
      <c r="AB4605" t="s">
        <v>23413</v>
      </c>
    </row>
    <row r="4606" spans="1:28" x14ac:dyDescent="0.25">
      <c r="A4606" t="s">
        <v>4610</v>
      </c>
      <c r="B4606">
        <v>0.99904790336628502</v>
      </c>
      <c r="C4606">
        <v>0.98400083103110902</v>
      </c>
      <c r="D4606">
        <v>0.90455404995780597</v>
      </c>
      <c r="E4606">
        <v>0.62902142060523702</v>
      </c>
      <c r="F4606">
        <v>0.45061054684912899</v>
      </c>
      <c r="G4606">
        <v>0.21409024934447601</v>
      </c>
      <c r="H4606">
        <v>0.11029563390602901</v>
      </c>
      <c r="I4606">
        <v>9.2886180691769696E-2</v>
      </c>
      <c r="J4606">
        <v>8.0877346264321595E-2</v>
      </c>
      <c r="K4606">
        <v>5.3507476468447703E-2</v>
      </c>
      <c r="L4606">
        <v>859.74523064493701</v>
      </c>
      <c r="M4606">
        <v>16.6316333911257</v>
      </c>
      <c r="N4606">
        <v>52.0249878133449</v>
      </c>
      <c r="O4606">
        <v>50.963379692992198</v>
      </c>
      <c r="P4606">
        <v>-7.7488187905405098E-2</v>
      </c>
      <c r="Q4606">
        <v>5.0293172804782203E-2</v>
      </c>
      <c r="R4606">
        <v>0.99869074532477498</v>
      </c>
      <c r="S4606" t="s">
        <v>9346</v>
      </c>
      <c r="T4606" t="s">
        <v>9478</v>
      </c>
      <c r="U4606" t="s">
        <v>9478</v>
      </c>
      <c r="V4606" t="s">
        <v>9478</v>
      </c>
      <c r="W4606">
        <v>1</v>
      </c>
      <c r="X4606" t="s">
        <v>14084</v>
      </c>
      <c r="Y4606">
        <v>0.43862347204675251</v>
      </c>
      <c r="Z4606" t="str">
        <f>HYPERLINK("Melting_Curves/meltCurve_tr_J3QLP3_J3QLP3_HUMAN_.pdf", "Melting_Curves/meltCurve_tr_J3QLP3_J3QLP3_HUMAN_.pdf")</f>
        <v>Melting_Curves/meltCurve_tr_J3QLP3_J3QLP3_HUMAN_.pdf</v>
      </c>
      <c r="AA4606" t="s">
        <v>18717</v>
      </c>
      <c r="AB4606" t="s">
        <v>23414</v>
      </c>
    </row>
    <row r="4607" spans="1:28" x14ac:dyDescent="0.25">
      <c r="A4607" t="s">
        <v>4611</v>
      </c>
      <c r="B4607">
        <v>0.99904790336628502</v>
      </c>
      <c r="C4607">
        <v>1.0974941354485299</v>
      </c>
      <c r="D4607">
        <v>1.0241619593581699</v>
      </c>
      <c r="E4607">
        <v>0.90522443828103805</v>
      </c>
      <c r="F4607">
        <v>0.98724815642512698</v>
      </c>
      <c r="G4607">
        <v>0.69305178361595698</v>
      </c>
      <c r="H4607">
        <v>0.60284235267237596</v>
      </c>
      <c r="I4607">
        <v>0.58028666681725904</v>
      </c>
      <c r="J4607">
        <v>0.69888468222879896</v>
      </c>
      <c r="K4607">
        <v>0.77185401896004302</v>
      </c>
      <c r="L4607">
        <v>4204.34719583473</v>
      </c>
      <c r="M4607">
        <v>76.133789067412295</v>
      </c>
      <c r="O4607">
        <v>55.1850790038784</v>
      </c>
      <c r="P4607">
        <v>-0.11602815764555099</v>
      </c>
      <c r="Q4607">
        <v>0.66359104964999505</v>
      </c>
      <c r="R4607">
        <v>0.86710051040699299</v>
      </c>
      <c r="S4607" t="s">
        <v>9347</v>
      </c>
      <c r="T4607" t="s">
        <v>9478</v>
      </c>
      <c r="U4607" t="s">
        <v>9478</v>
      </c>
      <c r="V4607" t="s">
        <v>9478</v>
      </c>
      <c r="W4607">
        <v>1</v>
      </c>
      <c r="X4607" t="s">
        <v>14085</v>
      </c>
      <c r="Y4607">
        <v>0.8346500925063931</v>
      </c>
      <c r="Z4607" t="str">
        <f>HYPERLINK("Melting_Curves/meltCurve_tr_J3QLP6_J3QLP6_HUMAN_.pdf", "Melting_Curves/meltCurve_tr_J3QLP6_J3QLP6_HUMAN_.pdf")</f>
        <v>Melting_Curves/meltCurve_tr_J3QLP6_J3QLP6_HUMAN_.pdf</v>
      </c>
      <c r="AA4607" t="s">
        <v>18718</v>
      </c>
      <c r="AB4607" t="s">
        <v>23415</v>
      </c>
    </row>
    <row r="4608" spans="1:28" x14ac:dyDescent="0.25">
      <c r="A4608" t="s">
        <v>4612</v>
      </c>
      <c r="B4608">
        <v>0.99904790336628502</v>
      </c>
      <c r="C4608">
        <v>0.78770163151900696</v>
      </c>
      <c r="D4608">
        <v>0.80956716310381205</v>
      </c>
      <c r="E4608">
        <v>0.76121418849229705</v>
      </c>
      <c r="F4608">
        <v>0.67074968268150803</v>
      </c>
      <c r="G4608">
        <v>0.60138632661158098</v>
      </c>
      <c r="H4608">
        <v>0.43457020413831898</v>
      </c>
      <c r="I4608">
        <v>0.43876006600798201</v>
      </c>
      <c r="J4608">
        <v>0.44168294512023099</v>
      </c>
      <c r="K4608">
        <v>0.38523787786473301</v>
      </c>
      <c r="L4608">
        <v>323.202613527403</v>
      </c>
      <c r="M4608">
        <v>5.7829432677835602</v>
      </c>
      <c r="N4608">
        <v>60.8595474346792</v>
      </c>
      <c r="O4608">
        <v>50.2906244777067</v>
      </c>
      <c r="P4608">
        <v>-2.34228657484934E-2</v>
      </c>
      <c r="Q4608">
        <v>0.18822054456978701</v>
      </c>
      <c r="R4608">
        <v>0.94477673341995905</v>
      </c>
      <c r="S4608" t="s">
        <v>9348</v>
      </c>
      <c r="T4608" t="s">
        <v>9478</v>
      </c>
      <c r="U4608" t="s">
        <v>9478</v>
      </c>
      <c r="V4608" t="s">
        <v>9478</v>
      </c>
      <c r="W4608">
        <v>3</v>
      </c>
      <c r="X4608" t="s">
        <v>14086</v>
      </c>
      <c r="Y4608">
        <v>0.63070917020761474</v>
      </c>
      <c r="Z4608" t="str">
        <f>HYPERLINK("Melting_Curves/meltCurve_tr_J3QLU0_J3QLU0_HUMAN_.pdf", "Melting_Curves/meltCurve_tr_J3QLU0_J3QLU0_HUMAN_.pdf")</f>
        <v>Melting_Curves/meltCurve_tr_J3QLU0_J3QLU0_HUMAN_.pdf</v>
      </c>
      <c r="AA4608" t="s">
        <v>18719</v>
      </c>
      <c r="AB4608" t="s">
        <v>23416</v>
      </c>
    </row>
    <row r="4609" spans="1:28" x14ac:dyDescent="0.25">
      <c r="A4609" t="s">
        <v>4613</v>
      </c>
      <c r="B4609">
        <v>0.99904790336628502</v>
      </c>
      <c r="C4609">
        <v>1.02987765436847</v>
      </c>
      <c r="D4609">
        <v>1.04305952791876</v>
      </c>
      <c r="E4609">
        <v>0.647281584959987</v>
      </c>
      <c r="F4609">
        <v>0.282607232678658</v>
      </c>
      <c r="G4609">
        <v>0.148682881065936</v>
      </c>
      <c r="H4609">
        <v>8.5196971802611196E-2</v>
      </c>
      <c r="I4609">
        <v>6.5143467761753601E-2</v>
      </c>
      <c r="J4609">
        <v>6.2662275088918501E-2</v>
      </c>
      <c r="K4609">
        <v>5.4424436156150099E-2</v>
      </c>
      <c r="L4609">
        <v>1631.43962008583</v>
      </c>
      <c r="M4609">
        <v>32.055802530888201</v>
      </c>
      <c r="N4609">
        <v>51.155823611634297</v>
      </c>
      <c r="O4609">
        <v>50.696905839195502</v>
      </c>
      <c r="P4609">
        <v>-0.14610634691701099</v>
      </c>
      <c r="Q4609">
        <v>7.5724022242871003E-2</v>
      </c>
      <c r="R4609">
        <v>0.99454243595570202</v>
      </c>
      <c r="S4609" t="s">
        <v>9349</v>
      </c>
      <c r="T4609" t="s">
        <v>9478</v>
      </c>
      <c r="U4609" t="s">
        <v>9478</v>
      </c>
      <c r="V4609" t="s">
        <v>9478</v>
      </c>
      <c r="W4609">
        <v>10</v>
      </c>
      <c r="X4609" t="s">
        <v>14087</v>
      </c>
      <c r="Y4609">
        <v>0.41642965605514742</v>
      </c>
      <c r="Z4609" t="str">
        <f>HYPERLINK("Melting_Curves/meltCurve_tr_J3QQJ5_J3QQJ5_HUMAN_.pdf", "Melting_Curves/meltCurve_tr_J3QQJ5_J3QQJ5_HUMAN_.pdf")</f>
        <v>Melting_Curves/meltCurve_tr_J3QQJ5_J3QQJ5_HUMAN_.pdf</v>
      </c>
      <c r="AA4609" t="s">
        <v>18720</v>
      </c>
      <c r="AB4609" t="s">
        <v>23417</v>
      </c>
    </row>
    <row r="4610" spans="1:28" x14ac:dyDescent="0.25">
      <c r="A4610" t="s">
        <v>4614</v>
      </c>
      <c r="B4610">
        <v>0.99904790336628502</v>
      </c>
      <c r="C4610">
        <v>1.0874284430638701</v>
      </c>
      <c r="D4610">
        <v>0.99105403037418105</v>
      </c>
      <c r="E4610">
        <v>0.72220853378612504</v>
      </c>
      <c r="F4610">
        <v>0.55993702874185602</v>
      </c>
      <c r="G4610">
        <v>0.34340755103621601</v>
      </c>
      <c r="H4610">
        <v>0.25038920766474099</v>
      </c>
      <c r="I4610">
        <v>0.23371536130076601</v>
      </c>
      <c r="J4610">
        <v>0.25349612581187603</v>
      </c>
      <c r="K4610">
        <v>0.23579054784397399</v>
      </c>
      <c r="L4610">
        <v>1109.9245057406099</v>
      </c>
      <c r="M4610">
        <v>21.3719165696454</v>
      </c>
      <c r="N4610">
        <v>53.5090759629717</v>
      </c>
      <c r="O4610">
        <v>51.485515948833502</v>
      </c>
      <c r="P4610">
        <v>-7.9547741361065405E-2</v>
      </c>
      <c r="Q4610">
        <v>0.23348877182424299</v>
      </c>
      <c r="R4610">
        <v>0.98782140784216899</v>
      </c>
      <c r="S4610" t="s">
        <v>9350</v>
      </c>
      <c r="T4610" t="s">
        <v>9478</v>
      </c>
      <c r="U4610" t="s">
        <v>9478</v>
      </c>
      <c r="V4610" t="s">
        <v>9478</v>
      </c>
      <c r="W4610">
        <v>2</v>
      </c>
      <c r="X4610" t="s">
        <v>14088</v>
      </c>
      <c r="Y4610">
        <v>0.5478043381755725</v>
      </c>
      <c r="Z4610" t="str">
        <f>HYPERLINK("Melting_Curves/meltCurve_tr_J3QQT2_J3QQT2_HUMAN_.pdf", "Melting_Curves/meltCurve_tr_J3QQT2_J3QQT2_HUMAN_.pdf")</f>
        <v>Melting_Curves/meltCurve_tr_J3QQT2_J3QQT2_HUMAN_.pdf</v>
      </c>
      <c r="AA4610" t="s">
        <v>18721</v>
      </c>
      <c r="AB4610" t="s">
        <v>23418</v>
      </c>
    </row>
    <row r="4611" spans="1:28" x14ac:dyDescent="0.25">
      <c r="A4611" t="s">
        <v>4615</v>
      </c>
      <c r="B4611">
        <v>0.99904790336628502</v>
      </c>
      <c r="C4611">
        <v>1.3182249015334999</v>
      </c>
      <c r="D4611">
        <v>1.21460070244069</v>
      </c>
      <c r="E4611">
        <v>1.27204888645317</v>
      </c>
      <c r="F4611">
        <v>1.0731238048146501</v>
      </c>
      <c r="G4611">
        <v>0.99964594061999301</v>
      </c>
      <c r="H4611">
        <v>0.74857178451323203</v>
      </c>
      <c r="I4611">
        <v>0.80394207400255202</v>
      </c>
      <c r="J4611">
        <v>0.46721310516447001</v>
      </c>
      <c r="K4611">
        <v>0.115428692395646</v>
      </c>
      <c r="L4611">
        <v>1806.92661376928</v>
      </c>
      <c r="M4611">
        <v>27.253365000204401</v>
      </c>
      <c r="N4611">
        <v>66.301045050551494</v>
      </c>
      <c r="O4611">
        <v>65.947159317148802</v>
      </c>
      <c r="P4611">
        <v>-0.103316145162256</v>
      </c>
      <c r="Q4611">
        <v>0</v>
      </c>
      <c r="R4611">
        <v>0.79363203983919295</v>
      </c>
      <c r="S4611" t="s">
        <v>9351</v>
      </c>
      <c r="T4611" t="s">
        <v>9478</v>
      </c>
      <c r="U4611" t="s">
        <v>9478</v>
      </c>
      <c r="V4611" t="s">
        <v>9478</v>
      </c>
      <c r="W4611">
        <v>1</v>
      </c>
      <c r="X4611" t="s">
        <v>14089</v>
      </c>
      <c r="Y4611">
        <v>0.86566826886014525</v>
      </c>
      <c r="Z4611" t="str">
        <f>HYPERLINK("Melting_Curves/meltCurve_tr_J3QQU4_J3QQU4_HUMAN_.pdf", "Melting_Curves/meltCurve_tr_J3QQU4_J3QQU4_HUMAN_.pdf")</f>
        <v>Melting_Curves/meltCurve_tr_J3QQU4_J3QQU4_HUMAN_.pdf</v>
      </c>
      <c r="AB4611" t="s">
        <v>22851</v>
      </c>
    </row>
    <row r="4612" spans="1:28" x14ac:dyDescent="0.25">
      <c r="A4612" t="s">
        <v>4616</v>
      </c>
      <c r="B4612">
        <v>0.99904790336628502</v>
      </c>
      <c r="C4612">
        <v>0.69932221699996</v>
      </c>
      <c r="D4612">
        <v>0.33099074338435702</v>
      </c>
      <c r="E4612">
        <v>0.15700768697936199</v>
      </c>
      <c r="F4612">
        <v>8.4961204685891203E-2</v>
      </c>
      <c r="G4612">
        <v>5.7808396167183702E-2</v>
      </c>
      <c r="H4612">
        <v>4.3237194325596001E-2</v>
      </c>
      <c r="I4612">
        <v>3.3001184066550997E-2</v>
      </c>
      <c r="J4612">
        <v>3.0347358859715901E-2</v>
      </c>
      <c r="K4612">
        <v>3.5998558672305302E-2</v>
      </c>
      <c r="L4612">
        <v>1059.3686428979599</v>
      </c>
      <c r="M4612">
        <v>23.824470849635102</v>
      </c>
      <c r="N4612">
        <v>44.655175891215102</v>
      </c>
      <c r="O4612">
        <v>44.155846276604898</v>
      </c>
      <c r="P4612">
        <v>-0.12840174969930901</v>
      </c>
      <c r="Q4612">
        <v>4.8105549873603499E-2</v>
      </c>
      <c r="R4612">
        <v>0.99275164436304897</v>
      </c>
      <c r="S4612" t="s">
        <v>9352</v>
      </c>
      <c r="T4612" t="s">
        <v>9478</v>
      </c>
      <c r="U4612" t="s">
        <v>9478</v>
      </c>
      <c r="V4612" t="s">
        <v>9478</v>
      </c>
      <c r="W4612">
        <v>23</v>
      </c>
      <c r="X4612" t="s">
        <v>14090</v>
      </c>
      <c r="Y4612">
        <v>0.20117399978486991</v>
      </c>
      <c r="Z4612" t="str">
        <f>HYPERLINK("Melting_Curves/meltCurve_tr_J3QQX3_J3QQX3_HUMAN_.pdf", "Melting_Curves/meltCurve_tr_J3QQX3_J3QQX3_HUMAN_.pdf")</f>
        <v>Melting_Curves/meltCurve_tr_J3QQX3_J3QQX3_HUMAN_.pdf</v>
      </c>
      <c r="AA4612" t="s">
        <v>15106</v>
      </c>
      <c r="AB4612" t="s">
        <v>19741</v>
      </c>
    </row>
    <row r="4613" spans="1:28" x14ac:dyDescent="0.25">
      <c r="A4613" t="s">
        <v>4617</v>
      </c>
      <c r="B4613">
        <v>0.99904790336628502</v>
      </c>
      <c r="C4613">
        <v>1.0342466999981299</v>
      </c>
      <c r="D4613">
        <v>0.94971864564541597</v>
      </c>
      <c r="E4613">
        <v>0.95847196082846997</v>
      </c>
      <c r="F4613">
        <v>0.83531547192981304</v>
      </c>
      <c r="G4613">
        <v>0.603731914094081</v>
      </c>
      <c r="H4613">
        <v>0.54985417329487096</v>
      </c>
      <c r="I4613">
        <v>0.41610380174984302</v>
      </c>
      <c r="J4613">
        <v>0.41723426005806902</v>
      </c>
      <c r="K4613">
        <v>0.29006498086321297</v>
      </c>
      <c r="L4613">
        <v>775.78018568648099</v>
      </c>
      <c r="M4613">
        <v>13.4663221197294</v>
      </c>
      <c r="N4613">
        <v>61.2270198334162</v>
      </c>
      <c r="O4613">
        <v>56.383022129357101</v>
      </c>
      <c r="P4613">
        <v>-4.3332627605691398E-2</v>
      </c>
      <c r="Q4613">
        <v>0.274383076742028</v>
      </c>
      <c r="R4613">
        <v>0.98035809152265696</v>
      </c>
      <c r="S4613" t="s">
        <v>9353</v>
      </c>
      <c r="T4613" t="s">
        <v>9478</v>
      </c>
      <c r="U4613" t="s">
        <v>9478</v>
      </c>
      <c r="V4613" t="s">
        <v>9478</v>
      </c>
      <c r="W4613">
        <v>3</v>
      </c>
      <c r="X4613" t="s">
        <v>14091</v>
      </c>
      <c r="Y4613">
        <v>0.71097391873564986</v>
      </c>
      <c r="Z4613" t="str">
        <f>HYPERLINK("Melting_Curves/meltCurve_tr_J3QR09_J3QR09_HUMAN_.pdf", "Melting_Curves/meltCurve_tr_J3QR09_J3QR09_HUMAN_.pdf")</f>
        <v>Melting_Curves/meltCurve_tr_J3QR09_J3QR09_HUMAN_.pdf</v>
      </c>
      <c r="AA4613" t="s">
        <v>18722</v>
      </c>
      <c r="AB4613" t="s">
        <v>23419</v>
      </c>
    </row>
    <row r="4614" spans="1:28" x14ac:dyDescent="0.25">
      <c r="A4614" t="s">
        <v>4618</v>
      </c>
      <c r="B4614">
        <v>0.99904790336628502</v>
      </c>
      <c r="C4614">
        <v>1.04439123798834</v>
      </c>
      <c r="D4614">
        <v>0.87525142350033602</v>
      </c>
      <c r="E4614">
        <v>0.54268796383075801</v>
      </c>
      <c r="F4614">
        <v>0.32882819225798798</v>
      </c>
      <c r="G4614">
        <v>0.22043089538942501</v>
      </c>
      <c r="H4614">
        <v>0.16436502292522101</v>
      </c>
      <c r="I4614">
        <v>0.13404758953707599</v>
      </c>
      <c r="J4614">
        <v>9.9839081316481698E-2</v>
      </c>
      <c r="K4614">
        <v>9.5837716877171394E-2</v>
      </c>
      <c r="L4614">
        <v>1038.8768324810701</v>
      </c>
      <c r="M4614">
        <v>20.771400576952601</v>
      </c>
      <c r="N4614">
        <v>50.6889988087351</v>
      </c>
      <c r="O4614">
        <v>49.558108076377501</v>
      </c>
      <c r="P4614">
        <v>-9.2138234118416096E-2</v>
      </c>
      <c r="Q4614">
        <v>0.120700640697312</v>
      </c>
      <c r="R4614">
        <v>0.99349436574524197</v>
      </c>
      <c r="S4614" t="s">
        <v>9354</v>
      </c>
      <c r="T4614" t="s">
        <v>9478</v>
      </c>
      <c r="U4614" t="s">
        <v>9478</v>
      </c>
      <c r="V4614" t="s">
        <v>9478</v>
      </c>
      <c r="W4614">
        <v>8</v>
      </c>
      <c r="X4614" t="s">
        <v>14092</v>
      </c>
      <c r="Y4614">
        <v>0.42559983940079932</v>
      </c>
      <c r="Z4614" t="str">
        <f>HYPERLINK("Melting_Curves/meltCurve_tr_J3QRD1_J3QRD1_HUMAN_.pdf", "Melting_Curves/meltCurve_tr_J3QRD1_J3QRD1_HUMAN_.pdf")</f>
        <v>Melting_Curves/meltCurve_tr_J3QRD1_J3QRD1_HUMAN_.pdf</v>
      </c>
      <c r="AA4614" t="s">
        <v>18723</v>
      </c>
      <c r="AB4614" t="s">
        <v>23420</v>
      </c>
    </row>
    <row r="4615" spans="1:28" x14ac:dyDescent="0.25">
      <c r="A4615" t="s">
        <v>4619</v>
      </c>
      <c r="B4615">
        <v>0.99904790336628502</v>
      </c>
      <c r="C4615">
        <v>0.97084749117238101</v>
      </c>
      <c r="D4615">
        <v>0.93807051950561304</v>
      </c>
      <c r="E4615">
        <v>1.1584284950356001</v>
      </c>
      <c r="F4615">
        <v>0.98578108278434495</v>
      </c>
      <c r="G4615">
        <v>0.91827372265629803</v>
      </c>
      <c r="H4615">
        <v>0.70842990268183903</v>
      </c>
      <c r="I4615">
        <v>0.64878469407089301</v>
      </c>
      <c r="J4615">
        <v>0.45640709278927299</v>
      </c>
      <c r="K4615">
        <v>0.17313966653532201</v>
      </c>
      <c r="L4615">
        <v>1142.7707203735799</v>
      </c>
      <c r="M4615">
        <v>17.458336678270701</v>
      </c>
      <c r="N4615">
        <v>65.457021581746602</v>
      </c>
      <c r="O4615">
        <v>64.616326749299503</v>
      </c>
      <c r="P4615">
        <v>-6.7549921894721102E-2</v>
      </c>
      <c r="Q4615">
        <v>0</v>
      </c>
      <c r="R4615">
        <v>0.94138938195789901</v>
      </c>
      <c r="S4615" t="s">
        <v>9355</v>
      </c>
      <c r="T4615" t="s">
        <v>9478</v>
      </c>
      <c r="U4615" t="s">
        <v>9478</v>
      </c>
      <c r="V4615" t="s">
        <v>9478</v>
      </c>
      <c r="W4615">
        <v>1</v>
      </c>
      <c r="X4615" t="s">
        <v>14093</v>
      </c>
      <c r="Y4615">
        <v>0.82680323669839761</v>
      </c>
      <c r="Z4615" t="str">
        <f>HYPERLINK("Melting_Curves/meltCurve_tr_J3QRK2_J3QRK2_HUMAN_.pdf", "Melting_Curves/meltCurve_tr_J3QRK2_J3QRK2_HUMAN_.pdf")</f>
        <v>Melting_Curves/meltCurve_tr_J3QRK2_J3QRK2_HUMAN_.pdf</v>
      </c>
      <c r="AA4615" t="s">
        <v>18724</v>
      </c>
      <c r="AB4615" t="s">
        <v>23421</v>
      </c>
    </row>
    <row r="4616" spans="1:28" x14ac:dyDescent="0.25">
      <c r="A4616" t="s">
        <v>4620</v>
      </c>
      <c r="B4616">
        <v>0.99904790336628502</v>
      </c>
      <c r="C4616">
        <v>0.86027023211748799</v>
      </c>
      <c r="D4616">
        <v>0.91221233349066899</v>
      </c>
      <c r="E4616">
        <v>0.818621951499094</v>
      </c>
      <c r="F4616">
        <v>0.66824271876737495</v>
      </c>
      <c r="G4616">
        <v>0.36035993059902899</v>
      </c>
      <c r="H4616">
        <v>0.20116142027217301</v>
      </c>
      <c r="I4616">
        <v>0.19046653183644399</v>
      </c>
      <c r="J4616">
        <v>0.15525166753171499</v>
      </c>
      <c r="K4616">
        <v>0.10637339773320099</v>
      </c>
      <c r="L4616">
        <v>793.58262573169895</v>
      </c>
      <c r="M4616">
        <v>14.5857467201436</v>
      </c>
      <c r="N4616">
        <v>55.045000326357702</v>
      </c>
      <c r="O4616">
        <v>53.4160550380277</v>
      </c>
      <c r="P4616">
        <v>-6.2971371530954307E-2</v>
      </c>
      <c r="Q4616">
        <v>7.7646652300064595E-2</v>
      </c>
      <c r="R4616">
        <v>0.98203022730659195</v>
      </c>
      <c r="S4616" t="s">
        <v>9356</v>
      </c>
      <c r="T4616" t="s">
        <v>9478</v>
      </c>
      <c r="U4616" t="s">
        <v>9478</v>
      </c>
      <c r="V4616" t="s">
        <v>9478</v>
      </c>
      <c r="W4616">
        <v>2</v>
      </c>
      <c r="X4616" t="s">
        <v>14094</v>
      </c>
      <c r="Y4616">
        <v>0.53971954368644859</v>
      </c>
      <c r="Z4616" t="str">
        <f>HYPERLINK("Melting_Curves/meltCurve_tr_J3QSE5_J3QSE5_HUMAN_.pdf", "Melting_Curves/meltCurve_tr_J3QSE5_J3QSE5_HUMAN_.pdf")</f>
        <v>Melting_Curves/meltCurve_tr_J3QSE5_J3QSE5_HUMAN_.pdf</v>
      </c>
      <c r="AA4616" t="s">
        <v>18725</v>
      </c>
      <c r="AB4616" t="s">
        <v>23422</v>
      </c>
    </row>
    <row r="4617" spans="1:28" x14ac:dyDescent="0.25">
      <c r="A4617" t="s">
        <v>4621</v>
      </c>
      <c r="B4617">
        <v>0.99904790336628502</v>
      </c>
      <c r="C4617">
        <v>1.00910783183166</v>
      </c>
      <c r="D4617">
        <v>1.0501977928638</v>
      </c>
      <c r="E4617">
        <v>1.0184972468773299</v>
      </c>
      <c r="F4617">
        <v>1.12016874018083</v>
      </c>
      <c r="G4617">
        <v>0.84962126804404303</v>
      </c>
      <c r="H4617">
        <v>0.71832346947890302</v>
      </c>
      <c r="I4617">
        <v>0.77689794928700395</v>
      </c>
      <c r="J4617">
        <v>0.82738793227048002</v>
      </c>
      <c r="K4617">
        <v>0.93422291774101995</v>
      </c>
      <c r="L4617">
        <v>14167.573908185899</v>
      </c>
      <c r="M4617">
        <v>250</v>
      </c>
      <c r="O4617">
        <v>56.666667390917297</v>
      </c>
      <c r="P4617">
        <v>-0.20491756683047099</v>
      </c>
      <c r="Q4617">
        <v>0.81420806494548503</v>
      </c>
      <c r="R4617">
        <v>0.72499524180697195</v>
      </c>
      <c r="S4617" t="s">
        <v>9357</v>
      </c>
      <c r="T4617" t="s">
        <v>9478</v>
      </c>
      <c r="U4617" t="s">
        <v>9478</v>
      </c>
      <c r="V4617" t="s">
        <v>9478</v>
      </c>
      <c r="W4617">
        <v>7</v>
      </c>
      <c r="X4617" t="s">
        <v>14095</v>
      </c>
      <c r="Y4617">
        <v>0.91746675909078101</v>
      </c>
      <c r="Z4617" t="str">
        <f>HYPERLINK("Melting_Curves/meltCurve_tr_J3QSV6_J3QSV6_HUMAN_.pdf", "Melting_Curves/meltCurve_tr_J3QSV6_J3QSV6_HUMAN_.pdf")</f>
        <v>Melting_Curves/meltCurve_tr_J3QSV6_J3QSV6_HUMAN_.pdf</v>
      </c>
      <c r="AA4617" t="s">
        <v>18726</v>
      </c>
      <c r="AB4617" t="s">
        <v>23423</v>
      </c>
    </row>
    <row r="4618" spans="1:28" x14ac:dyDescent="0.25">
      <c r="A4618" t="s">
        <v>4622</v>
      </c>
      <c r="B4618">
        <v>0.99904790336628502</v>
      </c>
      <c r="C4618">
        <v>0.90973132382338695</v>
      </c>
      <c r="D4618">
        <v>1.0111644115112199</v>
      </c>
      <c r="E4618">
        <v>0.979024044279452</v>
      </c>
      <c r="F4618">
        <v>0.96508665974589003</v>
      </c>
      <c r="G4618">
        <v>0.58000257725044901</v>
      </c>
      <c r="H4618">
        <v>0.57091043685802401</v>
      </c>
      <c r="I4618">
        <v>0.42544280841656501</v>
      </c>
      <c r="J4618">
        <v>0.30128666514948399</v>
      </c>
      <c r="K4618">
        <v>0.22567222987492</v>
      </c>
      <c r="L4618">
        <v>827.97289496957706</v>
      </c>
      <c r="M4618">
        <v>13.848540298663799</v>
      </c>
      <c r="N4618">
        <v>61.357885436051099</v>
      </c>
      <c r="O4618">
        <v>58.582446384962701</v>
      </c>
      <c r="P4618">
        <v>-5.0288130915661797E-2</v>
      </c>
      <c r="Q4618">
        <v>0.14919724373288101</v>
      </c>
      <c r="R4618">
        <v>0.95472888772546405</v>
      </c>
      <c r="S4618" t="s">
        <v>9358</v>
      </c>
      <c r="T4618" t="s">
        <v>9478</v>
      </c>
      <c r="U4618" t="s">
        <v>9478</v>
      </c>
      <c r="V4618" t="s">
        <v>9478</v>
      </c>
      <c r="W4618">
        <v>2</v>
      </c>
      <c r="X4618" t="s">
        <v>14096</v>
      </c>
      <c r="Y4618">
        <v>0.71601129981737022</v>
      </c>
      <c r="Z4618" t="str">
        <f>HYPERLINK("Melting_Curves/meltCurve_tr_J3QSY4_J3QSY4_HUMAN_.pdf", "Melting_Curves/meltCurve_tr_J3QSY4_J3QSY4_HUMAN_.pdf")</f>
        <v>Melting_Curves/meltCurve_tr_J3QSY4_J3QSY4_HUMAN_.pdf</v>
      </c>
      <c r="AA4618" t="s">
        <v>18727</v>
      </c>
      <c r="AB4618" t="s">
        <v>23424</v>
      </c>
    </row>
    <row r="4619" spans="1:28" x14ac:dyDescent="0.25">
      <c r="A4619" t="s">
        <v>4623</v>
      </c>
      <c r="B4619">
        <v>0.99904790336628502</v>
      </c>
      <c r="C4619">
        <v>1.0298183472340099</v>
      </c>
      <c r="D4619">
        <v>1.0461106835992899</v>
      </c>
      <c r="E4619">
        <v>0.88725005341874097</v>
      </c>
      <c r="F4619">
        <v>0.76863166409241901</v>
      </c>
      <c r="G4619">
        <v>0.493834836278364</v>
      </c>
      <c r="H4619">
        <v>0.45326216344278702</v>
      </c>
      <c r="I4619">
        <v>0.42947790257657598</v>
      </c>
      <c r="J4619">
        <v>0.48808825962769098</v>
      </c>
      <c r="K4619">
        <v>0.31514829525030602</v>
      </c>
      <c r="L4619">
        <v>1333.31122122188</v>
      </c>
      <c r="M4619">
        <v>24.852571470064099</v>
      </c>
      <c r="N4619">
        <v>57.527910473475899</v>
      </c>
      <c r="O4619">
        <v>53.305088740572799</v>
      </c>
      <c r="P4619">
        <v>-6.9187445543067605E-2</v>
      </c>
      <c r="Q4619">
        <v>0.40642082706843702</v>
      </c>
      <c r="R4619">
        <v>0.97096158598714499</v>
      </c>
      <c r="S4619" t="s">
        <v>9359</v>
      </c>
      <c r="T4619" t="s">
        <v>9478</v>
      </c>
      <c r="U4619" t="s">
        <v>9478</v>
      </c>
      <c r="V4619" t="s">
        <v>9478</v>
      </c>
      <c r="W4619">
        <v>1</v>
      </c>
      <c r="X4619" t="s">
        <v>14097</v>
      </c>
      <c r="Y4619">
        <v>0.68202194933733307</v>
      </c>
      <c r="Z4619" t="str">
        <f>HYPERLINK("Melting_Curves/meltCurve_tr_J3QSY7_J3QSY7_HUMAN_.pdf", "Melting_Curves/meltCurve_tr_J3QSY7_J3QSY7_HUMAN_.pdf")</f>
        <v>Melting_Curves/meltCurve_tr_J3QSY7_J3QSY7_HUMAN_.pdf</v>
      </c>
      <c r="AA4619" t="s">
        <v>18728</v>
      </c>
      <c r="AB4619" t="s">
        <v>23425</v>
      </c>
    </row>
    <row r="4620" spans="1:28" x14ac:dyDescent="0.25">
      <c r="A4620" t="s">
        <v>4624</v>
      </c>
      <c r="B4620">
        <v>0.99904790336628502</v>
      </c>
      <c r="C4620">
        <v>1.1152299861807899</v>
      </c>
      <c r="D4620">
        <v>1.0682249740246501</v>
      </c>
      <c r="E4620">
        <v>0.95344614330954902</v>
      </c>
      <c r="F4620">
        <v>0.71148139019971801</v>
      </c>
      <c r="G4620">
        <v>0.38354501556241299</v>
      </c>
      <c r="H4620">
        <v>0.126888830108319</v>
      </c>
      <c r="I4620">
        <v>7.7562588052712197E-2</v>
      </c>
      <c r="J4620">
        <v>5.8817800033443002E-2</v>
      </c>
      <c r="K4620">
        <v>5.65092858596382E-2</v>
      </c>
      <c r="L4620">
        <v>1310.08329041664</v>
      </c>
      <c r="M4620">
        <v>23.698715786815601</v>
      </c>
      <c r="N4620">
        <v>55.5014153908865</v>
      </c>
      <c r="O4620">
        <v>54.891684314462402</v>
      </c>
      <c r="P4620">
        <v>-0.103083164636984</v>
      </c>
      <c r="Q4620">
        <v>4.4958807765226601E-2</v>
      </c>
      <c r="R4620">
        <v>0.98836944606555899</v>
      </c>
      <c r="S4620" t="s">
        <v>9360</v>
      </c>
      <c r="T4620" t="s">
        <v>9478</v>
      </c>
      <c r="U4620" t="s">
        <v>9478</v>
      </c>
      <c r="V4620" t="s">
        <v>9478</v>
      </c>
      <c r="W4620">
        <v>7</v>
      </c>
      <c r="X4620" t="s">
        <v>14098</v>
      </c>
      <c r="Y4620">
        <v>0.54108184560084704</v>
      </c>
      <c r="Z4620" t="str">
        <f>HYPERLINK("Melting_Curves/meltCurve_tr_J9JIC5_J9JIC5_HUMAN_.pdf", "Melting_Curves/meltCurve_tr_J9JIC5_J9JIC5_HUMAN_.pdf")</f>
        <v>Melting_Curves/meltCurve_tr_J9JIC5_J9JIC5_HUMAN_.pdf</v>
      </c>
      <c r="AA4620" t="s">
        <v>18729</v>
      </c>
      <c r="AB4620" t="s">
        <v>23426</v>
      </c>
    </row>
    <row r="4621" spans="1:28" x14ac:dyDescent="0.25">
      <c r="A4621" t="s">
        <v>4625</v>
      </c>
      <c r="B4621">
        <v>0.99904790336628502</v>
      </c>
      <c r="C4621">
        <v>1.1229264499795599</v>
      </c>
      <c r="D4621">
        <v>0.83306308252669803</v>
      </c>
      <c r="E4621">
        <v>0.958372147428176</v>
      </c>
      <c r="F4621">
        <v>0.84400186696871604</v>
      </c>
      <c r="G4621">
        <v>0.62556757394789997</v>
      </c>
      <c r="H4621">
        <v>0.55151296858596</v>
      </c>
      <c r="I4621">
        <v>0.52242273133072803</v>
      </c>
      <c r="J4621">
        <v>0.34848579238905503</v>
      </c>
      <c r="K4621">
        <v>0.52154882430946503</v>
      </c>
      <c r="L4621">
        <v>965.82362735089998</v>
      </c>
      <c r="M4621">
        <v>17.410923046265001</v>
      </c>
      <c r="N4621">
        <v>62.856620080639502</v>
      </c>
      <c r="O4621">
        <v>54.756013736812399</v>
      </c>
      <c r="P4621">
        <v>-4.4889361463452897E-2</v>
      </c>
      <c r="Q4621">
        <v>0.43533741088554301</v>
      </c>
      <c r="R4621">
        <v>0.89472483586519302</v>
      </c>
      <c r="S4621" t="s">
        <v>9361</v>
      </c>
      <c r="T4621" t="s">
        <v>9478</v>
      </c>
      <c r="U4621" t="s">
        <v>9478</v>
      </c>
      <c r="V4621" t="s">
        <v>9478</v>
      </c>
      <c r="W4621">
        <v>1</v>
      </c>
      <c r="X4621" t="s">
        <v>14099</v>
      </c>
      <c r="Y4621">
        <v>0.73547610569457722</v>
      </c>
      <c r="Z4621" t="str">
        <f>HYPERLINK("Melting_Curves/meltCurve_tr_J9JIE0_J9JIE0_HUMAN_.pdf", "Melting_Curves/meltCurve_tr_J9JIE0_J9JIE0_HUMAN_.pdf")</f>
        <v>Melting_Curves/meltCurve_tr_J9JIE0_J9JIE0_HUMAN_.pdf</v>
      </c>
      <c r="AA4621" t="s">
        <v>18730</v>
      </c>
      <c r="AB4621" t="s">
        <v>23427</v>
      </c>
    </row>
    <row r="4622" spans="1:28" x14ac:dyDescent="0.25">
      <c r="A4622" t="s">
        <v>4626</v>
      </c>
      <c r="B4622">
        <v>0.99904790336628502</v>
      </c>
      <c r="C4622">
        <v>1.01610151599053</v>
      </c>
      <c r="D4622">
        <v>1.0097175383006001</v>
      </c>
      <c r="E4622">
        <v>0.92476717201108705</v>
      </c>
      <c r="F4622">
        <v>0.79342575646820801</v>
      </c>
      <c r="G4622">
        <v>0.69081173252605099</v>
      </c>
      <c r="H4622">
        <v>0.51599380393835304</v>
      </c>
      <c r="I4622">
        <v>0.43284083769612203</v>
      </c>
      <c r="J4622">
        <v>0.40793057442216202</v>
      </c>
      <c r="K4622">
        <v>0.286366730822458</v>
      </c>
      <c r="L4622">
        <v>692.95523374173797</v>
      </c>
      <c r="M4622">
        <v>11.7890245389824</v>
      </c>
      <c r="N4622">
        <v>61.7457186963533</v>
      </c>
      <c r="O4622">
        <v>57.164892099133901</v>
      </c>
      <c r="P4622">
        <v>-4.04214894404255E-2</v>
      </c>
      <c r="Q4622">
        <v>0.216188618318639</v>
      </c>
      <c r="R4622">
        <v>0.99045009563405495</v>
      </c>
      <c r="S4622" t="s">
        <v>9362</v>
      </c>
      <c r="T4622" t="s">
        <v>9478</v>
      </c>
      <c r="U4622" t="s">
        <v>9478</v>
      </c>
      <c r="V4622" t="s">
        <v>9478</v>
      </c>
      <c r="W4622">
        <v>9</v>
      </c>
      <c r="X4622" t="s">
        <v>14100</v>
      </c>
      <c r="Y4622">
        <v>0.71368465415331706</v>
      </c>
      <c r="Z4622" t="str">
        <f>HYPERLINK("Melting_Curves/meltCurve_tr_J9JIE9_J9JIE9_HUMAN_.pdf", "Melting_Curves/meltCurve_tr_J9JIE9_J9JIE9_HUMAN_.pdf")</f>
        <v>Melting_Curves/meltCurve_tr_J9JIE9_J9JIE9_HUMAN_.pdf</v>
      </c>
      <c r="AA4622" t="s">
        <v>18731</v>
      </c>
      <c r="AB4622" t="s">
        <v>23428</v>
      </c>
    </row>
    <row r="4623" spans="1:28" x14ac:dyDescent="0.25">
      <c r="A4623" t="s">
        <v>4627</v>
      </c>
      <c r="B4623">
        <v>0.99904790336628502</v>
      </c>
      <c r="C4623">
        <v>0.82729495716824097</v>
      </c>
      <c r="D4623">
        <v>0.894602853242494</v>
      </c>
      <c r="E4623">
        <v>0.780577957077907</v>
      </c>
      <c r="F4623">
        <v>0.48741750783066201</v>
      </c>
      <c r="G4623">
        <v>0.29255821992709402</v>
      </c>
      <c r="H4623">
        <v>0.196026601298735</v>
      </c>
      <c r="I4623">
        <v>0.154696863474376</v>
      </c>
      <c r="J4623">
        <v>0.18996237782485501</v>
      </c>
      <c r="K4623">
        <v>0.173717799369658</v>
      </c>
      <c r="L4623">
        <v>856.79274598780205</v>
      </c>
      <c r="M4623">
        <v>16.447435697354202</v>
      </c>
      <c r="N4623">
        <v>53.1605594546606</v>
      </c>
      <c r="O4623">
        <v>51.340999722778399</v>
      </c>
      <c r="P4623">
        <v>-6.8828316261495395E-2</v>
      </c>
      <c r="Q4623">
        <v>0.14066496507374099</v>
      </c>
      <c r="R4623">
        <v>0.97164700871661602</v>
      </c>
      <c r="S4623" t="s">
        <v>9363</v>
      </c>
      <c r="T4623" t="s">
        <v>9478</v>
      </c>
      <c r="U4623" t="s">
        <v>9478</v>
      </c>
      <c r="V4623" t="s">
        <v>9478</v>
      </c>
      <c r="W4623">
        <v>1</v>
      </c>
      <c r="X4623" t="s">
        <v>14101</v>
      </c>
      <c r="Y4623">
        <v>0.5036367119790911</v>
      </c>
      <c r="Z4623" t="str">
        <f>HYPERLINK("Melting_Curves/meltCurve_tr_K4DI92_K4DI92_HUMAN_.pdf", "Melting_Curves/meltCurve_tr_K4DI92_K4DI92_HUMAN_.pdf")</f>
        <v>Melting_Curves/meltCurve_tr_K4DI92_K4DI92_HUMAN_.pdf</v>
      </c>
      <c r="AA4623" t="s">
        <v>18732</v>
      </c>
      <c r="AB4623" t="s">
        <v>23429</v>
      </c>
    </row>
    <row r="4624" spans="1:28" x14ac:dyDescent="0.25">
      <c r="A4624" t="s">
        <v>4628</v>
      </c>
      <c r="B4624">
        <v>0.99904790336628502</v>
      </c>
      <c r="C4624">
        <v>1.04555572327655</v>
      </c>
      <c r="D4624">
        <v>1.05830418093111</v>
      </c>
      <c r="E4624">
        <v>0.80039066197957998</v>
      </c>
      <c r="F4624">
        <v>0.50445402785279003</v>
      </c>
      <c r="G4624">
        <v>0.31250782245633801</v>
      </c>
      <c r="H4624">
        <v>0.21751577042359499</v>
      </c>
      <c r="I4624">
        <v>0.193141418401997</v>
      </c>
      <c r="J4624">
        <v>0.174142698511697</v>
      </c>
      <c r="K4624">
        <v>0.15383377449726501</v>
      </c>
      <c r="L4624">
        <v>1331.7150989945801</v>
      </c>
      <c r="M4624">
        <v>25.447595999642399</v>
      </c>
      <c r="N4624">
        <v>53.279718525998099</v>
      </c>
      <c r="O4624">
        <v>52.011711921672301</v>
      </c>
      <c r="P4624">
        <v>-0.100046345585042</v>
      </c>
      <c r="Q4624">
        <v>0.18208126934636601</v>
      </c>
      <c r="R4624">
        <v>0.99086299228590402</v>
      </c>
      <c r="S4624" t="s">
        <v>9364</v>
      </c>
      <c r="T4624" t="s">
        <v>9478</v>
      </c>
      <c r="U4624" t="s">
        <v>9478</v>
      </c>
      <c r="V4624" t="s">
        <v>9478</v>
      </c>
      <c r="W4624">
        <v>2</v>
      </c>
      <c r="X4624" t="s">
        <v>14102</v>
      </c>
      <c r="Y4624">
        <v>0.52553127609214345</v>
      </c>
      <c r="Z4624" t="str">
        <f>HYPERLINK("Melting_Curves/meltCurve_tr_K7EIE8_K7EIE8_HUMAN_.pdf", "Melting_Curves/meltCurve_tr_K7EIE8_K7EIE8_HUMAN_.pdf")</f>
        <v>Melting_Curves/meltCurve_tr_K7EIE8_K7EIE8_HUMAN_.pdf</v>
      </c>
      <c r="AA4624" t="s">
        <v>18733</v>
      </c>
      <c r="AB4624" t="s">
        <v>23430</v>
      </c>
    </row>
    <row r="4625" spans="1:28" x14ac:dyDescent="0.25">
      <c r="A4625" t="s">
        <v>4629</v>
      </c>
      <c r="B4625">
        <v>0.99904790336628502</v>
      </c>
      <c r="C4625">
        <v>1.01404338270771</v>
      </c>
      <c r="D4625">
        <v>0.95033473511036304</v>
      </c>
      <c r="E4625">
        <v>0.484767699308086</v>
      </c>
      <c r="F4625">
        <v>0.21406172972765</v>
      </c>
      <c r="G4625">
        <v>0.103549399957987</v>
      </c>
      <c r="H4625">
        <v>6.5318181522131494E-2</v>
      </c>
      <c r="I4625">
        <v>4.8952945662568803E-2</v>
      </c>
      <c r="J4625">
        <v>4.12674451358368E-2</v>
      </c>
      <c r="K4625">
        <v>3.90714318715761E-2</v>
      </c>
      <c r="L4625">
        <v>1453.10173430484</v>
      </c>
      <c r="M4625">
        <v>29.1563937462608</v>
      </c>
      <c r="N4625">
        <v>50.037515428460999</v>
      </c>
      <c r="O4625">
        <v>49.605502693401199</v>
      </c>
      <c r="P4625">
        <v>-0.13888581650833401</v>
      </c>
      <c r="Q4625">
        <v>5.4828210104542099E-2</v>
      </c>
      <c r="R4625">
        <v>0.99812044873529204</v>
      </c>
      <c r="S4625" t="s">
        <v>9365</v>
      </c>
      <c r="T4625" t="s">
        <v>9478</v>
      </c>
      <c r="U4625" t="s">
        <v>9478</v>
      </c>
      <c r="V4625" t="s">
        <v>9478</v>
      </c>
      <c r="W4625">
        <v>39</v>
      </c>
      <c r="X4625" t="s">
        <v>14103</v>
      </c>
      <c r="Y4625">
        <v>0.37096528140443702</v>
      </c>
      <c r="Z4625" t="str">
        <f>HYPERLINK("Melting_Curves/meltCurve_tr_K7EIG1_K7EIG1_HUMAN_.pdf", "Melting_Curves/meltCurve_tr_K7EIG1_K7EIG1_HUMAN_.pdf")</f>
        <v>Melting_Curves/meltCurve_tr_K7EIG1_K7EIG1_HUMAN_.pdf</v>
      </c>
      <c r="AA4625" t="s">
        <v>18676</v>
      </c>
      <c r="AB4625" t="s">
        <v>23371</v>
      </c>
    </row>
    <row r="4626" spans="1:28" x14ac:dyDescent="0.25">
      <c r="A4626" t="s">
        <v>4630</v>
      </c>
      <c r="B4626">
        <v>0.99904790336628502</v>
      </c>
      <c r="C4626">
        <v>0.86659699560459402</v>
      </c>
      <c r="D4626">
        <v>0.82870366647951499</v>
      </c>
      <c r="E4626">
        <v>0.79132454983007305</v>
      </c>
      <c r="F4626">
        <v>0.80167420261830402</v>
      </c>
      <c r="G4626">
        <v>0.50891848549012497</v>
      </c>
      <c r="H4626">
        <v>0.230515732035739</v>
      </c>
      <c r="I4626">
        <v>9.3521897828515693E-2</v>
      </c>
      <c r="J4626">
        <v>5.4007025474639501E-2</v>
      </c>
      <c r="K4626">
        <v>4.5311086512142898E-2</v>
      </c>
      <c r="L4626">
        <v>831.10189666184897</v>
      </c>
      <c r="M4626">
        <v>14.7335161876931</v>
      </c>
      <c r="N4626">
        <v>56.408920333336098</v>
      </c>
      <c r="O4626">
        <v>55.400335170388097</v>
      </c>
      <c r="P4626">
        <v>-6.6493789708046702E-2</v>
      </c>
      <c r="Q4626">
        <v>0</v>
      </c>
      <c r="R4626">
        <v>0.95910138084829499</v>
      </c>
      <c r="S4626" t="s">
        <v>9366</v>
      </c>
      <c r="T4626" t="s">
        <v>9478</v>
      </c>
      <c r="U4626" t="s">
        <v>9478</v>
      </c>
      <c r="V4626" t="s">
        <v>9478</v>
      </c>
      <c r="W4626">
        <v>8</v>
      </c>
      <c r="X4626" t="s">
        <v>14104</v>
      </c>
      <c r="Y4626">
        <v>0.56419356631139972</v>
      </c>
      <c r="Z4626" t="str">
        <f>HYPERLINK("Melting_Curves/meltCurve_tr_K7EIU8_K7EIU8_HUMAN_.pdf", "Melting_Curves/meltCurve_tr_K7EIU8_K7EIU8_HUMAN_.pdf")</f>
        <v>Melting_Curves/meltCurve_tr_K7EIU8_K7EIU8_HUMAN_.pdf</v>
      </c>
      <c r="AA4626" t="s">
        <v>18734</v>
      </c>
      <c r="AB4626" t="s">
        <v>23431</v>
      </c>
    </row>
    <row r="4627" spans="1:28" x14ac:dyDescent="0.25">
      <c r="A4627" t="s">
        <v>4631</v>
      </c>
      <c r="B4627">
        <v>0.99904790336628502</v>
      </c>
      <c r="C4627">
        <v>0.92511691111302496</v>
      </c>
      <c r="D4627">
        <v>0.79945202648785296</v>
      </c>
      <c r="E4627">
        <v>0.60622166107798403</v>
      </c>
      <c r="F4627">
        <v>0.44852400634809497</v>
      </c>
      <c r="G4627">
        <v>0.27880931803168402</v>
      </c>
      <c r="H4627">
        <v>0.14133453644277</v>
      </c>
      <c r="I4627">
        <v>0.14289721502811001</v>
      </c>
      <c r="J4627">
        <v>4.8314701913826898E-2</v>
      </c>
      <c r="K4627">
        <v>7.3161889510462597E-2</v>
      </c>
      <c r="L4627">
        <v>601.045823406924</v>
      </c>
      <c r="M4627">
        <v>11.599088930572</v>
      </c>
      <c r="N4627">
        <v>51.949145048098202</v>
      </c>
      <c r="O4627">
        <v>50.349989459640803</v>
      </c>
      <c r="P4627">
        <v>-5.67792342923856E-2</v>
      </c>
      <c r="Q4627">
        <v>1.4389036583255899E-2</v>
      </c>
      <c r="R4627">
        <v>0.99676595568120496</v>
      </c>
      <c r="S4627" t="s">
        <v>9367</v>
      </c>
      <c r="T4627" t="s">
        <v>9478</v>
      </c>
      <c r="U4627" t="s">
        <v>9478</v>
      </c>
      <c r="V4627" t="s">
        <v>9478</v>
      </c>
      <c r="W4627">
        <v>1</v>
      </c>
      <c r="X4627" t="s">
        <v>14105</v>
      </c>
      <c r="Y4627">
        <v>0.43456617189784008</v>
      </c>
      <c r="Z4627" t="str">
        <f>HYPERLINK("Melting_Curves/meltCurve_tr_K7EIV9_K7EIV9_HUMAN_.pdf", "Melting_Curves/meltCurve_tr_K7EIV9_K7EIV9_HUMAN_.pdf")</f>
        <v>Melting_Curves/meltCurve_tr_K7EIV9_K7EIV9_HUMAN_.pdf</v>
      </c>
      <c r="AA4627" t="s">
        <v>18735</v>
      </c>
      <c r="AB4627" t="s">
        <v>23432</v>
      </c>
    </row>
    <row r="4628" spans="1:28" x14ac:dyDescent="0.25">
      <c r="A4628" t="s">
        <v>4632</v>
      </c>
      <c r="B4628">
        <v>0.99904790336628502</v>
      </c>
      <c r="C4628">
        <v>1.0153701537580999</v>
      </c>
      <c r="D4628">
        <v>1.0255435952963099</v>
      </c>
      <c r="E4628">
        <v>0.78116121082155898</v>
      </c>
      <c r="F4628">
        <v>0.70529505021088301</v>
      </c>
      <c r="G4628">
        <v>0.56374998521152697</v>
      </c>
      <c r="H4628">
        <v>0.55019247249959902</v>
      </c>
      <c r="I4628">
        <v>0.46606126690967697</v>
      </c>
      <c r="J4628">
        <v>0.233891962214899</v>
      </c>
      <c r="K4628">
        <v>0.342176695913951</v>
      </c>
      <c r="L4628">
        <v>580.44102072647297</v>
      </c>
      <c r="M4628">
        <v>10.2685169518059</v>
      </c>
      <c r="N4628">
        <v>59.934580811825398</v>
      </c>
      <c r="O4628">
        <v>54.508323305032299</v>
      </c>
      <c r="P4628">
        <v>-3.6696813811720401E-2</v>
      </c>
      <c r="Q4628">
        <v>0.22115185311737101</v>
      </c>
      <c r="R4628">
        <v>0.94390744256764403</v>
      </c>
      <c r="S4628" t="s">
        <v>9368</v>
      </c>
      <c r="T4628" t="s">
        <v>9478</v>
      </c>
      <c r="U4628" t="s">
        <v>9478</v>
      </c>
      <c r="V4628" t="s">
        <v>9478</v>
      </c>
      <c r="W4628">
        <v>1</v>
      </c>
      <c r="X4628" t="s">
        <v>14106</v>
      </c>
      <c r="Y4628">
        <v>0.66462439901652337</v>
      </c>
      <c r="Z4628" t="str">
        <f>HYPERLINK("Melting_Curves/meltCurve_tr_K7EJ05_K7EJ05_HUMAN_.pdf", "Melting_Curves/meltCurve_tr_K7EJ05_K7EJ05_HUMAN_.pdf")</f>
        <v>Melting_Curves/meltCurve_tr_K7EJ05_K7EJ05_HUMAN_.pdf</v>
      </c>
      <c r="AA4628" t="s">
        <v>18736</v>
      </c>
      <c r="AB4628" t="s">
        <v>23433</v>
      </c>
    </row>
    <row r="4629" spans="1:28" x14ac:dyDescent="0.25">
      <c r="A4629" t="s">
        <v>4633</v>
      </c>
      <c r="B4629">
        <v>0.99904790336628502</v>
      </c>
      <c r="C4629">
        <v>1.10961476238904</v>
      </c>
      <c r="D4629">
        <v>0.99125210696209098</v>
      </c>
      <c r="E4629">
        <v>0.91944092303759895</v>
      </c>
      <c r="F4629">
        <v>1.06393349549967</v>
      </c>
      <c r="G4629">
        <v>0.80380574849729802</v>
      </c>
      <c r="H4629">
        <v>0.52555922008991995</v>
      </c>
      <c r="I4629">
        <v>0.64841913619089397</v>
      </c>
      <c r="J4629">
        <v>0.61379207471855002</v>
      </c>
      <c r="K4629">
        <v>0.54747321990772202</v>
      </c>
      <c r="L4629">
        <v>14256.526425137299</v>
      </c>
      <c r="M4629">
        <v>250</v>
      </c>
      <c r="O4629">
        <v>57.022455807083503</v>
      </c>
      <c r="P4629">
        <v>-0.45616797251639102</v>
      </c>
      <c r="Q4629">
        <v>0.583810907246196</v>
      </c>
      <c r="R4629">
        <v>0.92751837718867303</v>
      </c>
      <c r="S4629" t="s">
        <v>9369</v>
      </c>
      <c r="T4629" t="s">
        <v>9478</v>
      </c>
      <c r="U4629" t="s">
        <v>9478</v>
      </c>
      <c r="V4629" t="s">
        <v>9478</v>
      </c>
      <c r="W4629">
        <v>19</v>
      </c>
      <c r="X4629" t="s">
        <v>14107</v>
      </c>
      <c r="Y4629">
        <v>0.82005520890869044</v>
      </c>
      <c r="Z4629" t="str">
        <f>HYPERLINK("Melting_Curves/meltCurve_tr_K7EJB9_K7EJB9_HUMAN_.pdf", "Melting_Curves/meltCurve_tr_K7EJB9_K7EJB9_HUMAN_.pdf")</f>
        <v>Melting_Curves/meltCurve_tr_K7EJB9_K7EJB9_HUMAN_.pdf</v>
      </c>
      <c r="AA4629" t="s">
        <v>15173</v>
      </c>
      <c r="AB4629" t="s">
        <v>23434</v>
      </c>
    </row>
    <row r="4630" spans="1:28" x14ac:dyDescent="0.25">
      <c r="A4630" t="s">
        <v>4634</v>
      </c>
      <c r="B4630">
        <v>0.99904790336628502</v>
      </c>
      <c r="C4630">
        <v>0.93374842453231699</v>
      </c>
      <c r="D4630">
        <v>0.81178349987797405</v>
      </c>
      <c r="E4630">
        <v>0.70796951121193696</v>
      </c>
      <c r="F4630">
        <v>0.67180729940246298</v>
      </c>
      <c r="G4630">
        <v>0.45767611506393602</v>
      </c>
      <c r="H4630">
        <v>0.37934660257288599</v>
      </c>
      <c r="I4630">
        <v>0.36579257955370098</v>
      </c>
      <c r="J4630">
        <v>0.393963811032642</v>
      </c>
      <c r="K4630">
        <v>0.42961964937498898</v>
      </c>
      <c r="L4630">
        <v>607.02239383530605</v>
      </c>
      <c r="M4630">
        <v>11.938446792885401</v>
      </c>
      <c r="N4630">
        <v>56.532716905873897</v>
      </c>
      <c r="O4630">
        <v>49.482382130595703</v>
      </c>
      <c r="P4630">
        <v>-3.92433216131792E-2</v>
      </c>
      <c r="Q4630">
        <v>0.34953850641509698</v>
      </c>
      <c r="R4630">
        <v>0.96961018016669098</v>
      </c>
      <c r="S4630" t="s">
        <v>9370</v>
      </c>
      <c r="T4630" t="s">
        <v>9478</v>
      </c>
      <c r="U4630" t="s">
        <v>9478</v>
      </c>
      <c r="V4630" t="s">
        <v>9478</v>
      </c>
      <c r="W4630">
        <v>3</v>
      </c>
      <c r="X4630" t="s">
        <v>14108</v>
      </c>
      <c r="Y4630">
        <v>0.60627592207919234</v>
      </c>
      <c r="Z4630" t="str">
        <f>HYPERLINK("Melting_Curves/meltCurve_tr_K7EJG0_K7EJG0_HUMAN_.pdf", "Melting_Curves/meltCurve_tr_K7EJG0_K7EJG0_HUMAN_.pdf")</f>
        <v>Melting_Curves/meltCurve_tr_K7EJG0_K7EJG0_HUMAN_.pdf</v>
      </c>
      <c r="AA4630" t="s">
        <v>18737</v>
      </c>
      <c r="AB4630" t="s">
        <v>23435</v>
      </c>
    </row>
    <row r="4631" spans="1:28" x14ac:dyDescent="0.25">
      <c r="A4631" t="s">
        <v>4635</v>
      </c>
      <c r="B4631">
        <v>0.99904790336628502</v>
      </c>
      <c r="C4631">
        <v>1.13274656297662</v>
      </c>
      <c r="D4631">
        <v>1.21648959769673</v>
      </c>
      <c r="E4631">
        <v>1.15298915448772</v>
      </c>
      <c r="F4631">
        <v>1.01992731867075</v>
      </c>
      <c r="G4631">
        <v>0.97829788278837004</v>
      </c>
      <c r="H4631">
        <v>0.63403686626692102</v>
      </c>
      <c r="I4631">
        <v>0.18298010783886301</v>
      </c>
      <c r="J4631">
        <v>0.13286186196817301</v>
      </c>
      <c r="K4631">
        <v>9.3674294723509202E-2</v>
      </c>
      <c r="L4631">
        <v>3449.85895673704</v>
      </c>
      <c r="M4631">
        <v>56.197782426432802</v>
      </c>
      <c r="N4631">
        <v>61.650784174744899</v>
      </c>
      <c r="O4631">
        <v>61.310226256559503</v>
      </c>
      <c r="P4631">
        <v>-0.20473203361501</v>
      </c>
      <c r="Q4631">
        <v>0.106572534761102</v>
      </c>
      <c r="R4631">
        <v>0.95217107206276896</v>
      </c>
      <c r="S4631" t="s">
        <v>9371</v>
      </c>
      <c r="T4631" t="s">
        <v>9478</v>
      </c>
      <c r="U4631" t="s">
        <v>9478</v>
      </c>
      <c r="V4631" t="s">
        <v>9478</v>
      </c>
      <c r="W4631">
        <v>17</v>
      </c>
      <c r="X4631" t="s">
        <v>14109</v>
      </c>
      <c r="Y4631">
        <v>0.74539018090842901</v>
      </c>
      <c r="Z4631" t="str">
        <f>HYPERLINK("Melting_Curves/meltCurve_tr_K7EJH8_K7EJH8_HUMAN_.pdf", "Melting_Curves/meltCurve_tr_K7EJH8_K7EJH8_HUMAN_.pdf")</f>
        <v>Melting_Curves/meltCurve_tr_K7EJH8_K7EJH8_HUMAN_.pdf</v>
      </c>
      <c r="AA4631" t="s">
        <v>14416</v>
      </c>
      <c r="AB4631" t="s">
        <v>23436</v>
      </c>
    </row>
    <row r="4632" spans="1:28" x14ac:dyDescent="0.25">
      <c r="A4632" t="s">
        <v>4636</v>
      </c>
      <c r="B4632">
        <v>0.99904790336628502</v>
      </c>
      <c r="C4632">
        <v>0.81159315335179305</v>
      </c>
      <c r="D4632">
        <v>0.39534083244769302</v>
      </c>
      <c r="E4632">
        <v>0.113485564589965</v>
      </c>
      <c r="F4632">
        <v>7.9245124831582206E-2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1131.35737209786</v>
      </c>
      <c r="M4632">
        <v>24.962197432157101</v>
      </c>
      <c r="N4632">
        <v>45.353838135642903</v>
      </c>
      <c r="O4632">
        <v>45.034957462149897</v>
      </c>
      <c r="P4632">
        <v>-0.13740056186177901</v>
      </c>
      <c r="Q4632">
        <v>8.4615350434382904E-3</v>
      </c>
      <c r="R4632">
        <v>0.99651623209580298</v>
      </c>
      <c r="S4632" t="s">
        <v>9372</v>
      </c>
      <c r="T4632" t="s">
        <v>9478</v>
      </c>
      <c r="U4632" t="s">
        <v>9478</v>
      </c>
      <c r="V4632" t="s">
        <v>9478</v>
      </c>
      <c r="W4632">
        <v>1</v>
      </c>
      <c r="X4632" t="s">
        <v>14110</v>
      </c>
      <c r="Y4632">
        <v>0.1940069860935055</v>
      </c>
      <c r="Z4632" t="str">
        <f>HYPERLINK("Melting_Curves/meltCurve_tr_K7EK06_K7EK06_HUMAN_.pdf", "Melting_Curves/meltCurve_tr_K7EK06_K7EK06_HUMAN_.pdf")</f>
        <v>Melting_Curves/meltCurve_tr_K7EK06_K7EK06_HUMAN_.pdf</v>
      </c>
      <c r="AA4632" t="s">
        <v>18738</v>
      </c>
      <c r="AB4632" t="s">
        <v>23437</v>
      </c>
    </row>
    <row r="4633" spans="1:28" x14ac:dyDescent="0.25">
      <c r="A4633" t="s">
        <v>4637</v>
      </c>
      <c r="B4633">
        <v>0.99904790336628502</v>
      </c>
      <c r="C4633">
        <v>0.95786517709292895</v>
      </c>
      <c r="D4633">
        <v>0.93917953347789196</v>
      </c>
      <c r="E4633">
        <v>0.67069743519717395</v>
      </c>
      <c r="F4633">
        <v>0.48341314471466301</v>
      </c>
      <c r="G4633">
        <v>0.30430348476982699</v>
      </c>
      <c r="H4633">
        <v>0.20509381148655501</v>
      </c>
      <c r="I4633">
        <v>0.16009253178754099</v>
      </c>
      <c r="J4633">
        <v>9.4421578341137694E-2</v>
      </c>
      <c r="K4633">
        <v>6.4128904626393202E-2</v>
      </c>
      <c r="L4633">
        <v>749.87431771332501</v>
      </c>
      <c r="M4633">
        <v>14.2847878824844</v>
      </c>
      <c r="N4633">
        <v>53.034701164324197</v>
      </c>
      <c r="O4633">
        <v>51.497981365051302</v>
      </c>
      <c r="P4633">
        <v>-6.4659956615461506E-2</v>
      </c>
      <c r="Q4633">
        <v>6.7693540879878999E-2</v>
      </c>
      <c r="R4633">
        <v>0.99546043090590497</v>
      </c>
      <c r="S4633" t="s">
        <v>9373</v>
      </c>
      <c r="T4633" t="s">
        <v>9478</v>
      </c>
      <c r="U4633" t="s">
        <v>9478</v>
      </c>
      <c r="V4633" t="s">
        <v>9478</v>
      </c>
      <c r="W4633">
        <v>5</v>
      </c>
      <c r="X4633" t="s">
        <v>14111</v>
      </c>
      <c r="Y4633">
        <v>0.47794494990863889</v>
      </c>
      <c r="Z4633" t="str">
        <f>HYPERLINK("Melting_Curves/meltCurve_tr_K7EK07_K7EK07_HUMAN_.pdf", "Melting_Curves/meltCurve_tr_K7EK07_K7EK07_HUMAN_.pdf")</f>
        <v>Melting_Curves/meltCurve_tr_K7EK07_K7EK07_HUMAN_.pdf</v>
      </c>
      <c r="AA4633" t="s">
        <v>18739</v>
      </c>
      <c r="AB4633" t="s">
        <v>23438</v>
      </c>
    </row>
    <row r="4634" spans="1:28" x14ac:dyDescent="0.25">
      <c r="A4634" t="s">
        <v>4638</v>
      </c>
      <c r="B4634">
        <v>0.99904790336628502</v>
      </c>
      <c r="C4634">
        <v>0.93854258402734902</v>
      </c>
      <c r="D4634">
        <v>0.84296406825218695</v>
      </c>
      <c r="E4634">
        <v>0.53510719528032702</v>
      </c>
      <c r="F4634">
        <v>0.21543178266881699</v>
      </c>
      <c r="G4634">
        <v>0.101746868658757</v>
      </c>
      <c r="H4634">
        <v>5.9103747671914598E-2</v>
      </c>
      <c r="I4634">
        <v>4.8800695896441003E-2</v>
      </c>
      <c r="J4634">
        <v>3.1912053084354401E-2</v>
      </c>
      <c r="K4634">
        <v>2.5893545210263599E-2</v>
      </c>
      <c r="L4634">
        <v>1028.2987293389399</v>
      </c>
      <c r="M4634">
        <v>20.6163730911953</v>
      </c>
      <c r="N4634">
        <v>50.022678995547302</v>
      </c>
      <c r="O4634">
        <v>49.415588038708002</v>
      </c>
      <c r="P4634">
        <v>-0.101280471617461</v>
      </c>
      <c r="Q4634">
        <v>2.8987085941336199E-2</v>
      </c>
      <c r="R4634">
        <v>0.99762405752156103</v>
      </c>
      <c r="S4634" t="s">
        <v>9374</v>
      </c>
      <c r="T4634" t="s">
        <v>9478</v>
      </c>
      <c r="U4634" t="s">
        <v>9478</v>
      </c>
      <c r="V4634" t="s">
        <v>9478</v>
      </c>
      <c r="W4634">
        <v>13</v>
      </c>
      <c r="X4634" t="s">
        <v>14112</v>
      </c>
      <c r="Y4634">
        <v>0.36144274148464289</v>
      </c>
      <c r="Z4634" t="str">
        <f>HYPERLINK("Melting_Curves/meltCurve_tr_K7EK11_K7EK11_HUMAN_.pdf", "Melting_Curves/meltCurve_tr_K7EK11_K7EK11_HUMAN_.pdf")</f>
        <v>Melting_Curves/meltCurve_tr_K7EK11_K7EK11_HUMAN_.pdf</v>
      </c>
      <c r="AA4634" t="s">
        <v>18740</v>
      </c>
      <c r="AB4634" t="s">
        <v>23439</v>
      </c>
    </row>
    <row r="4635" spans="1:28" x14ac:dyDescent="0.25">
      <c r="A4635" t="s">
        <v>4639</v>
      </c>
      <c r="B4635">
        <v>0.99904790336628502</v>
      </c>
      <c r="C4635">
        <v>0.96723157075465704</v>
      </c>
      <c r="D4635">
        <v>0.932821133618709</v>
      </c>
      <c r="E4635">
        <v>0.49375425424111502</v>
      </c>
      <c r="F4635">
        <v>0.216711417703702</v>
      </c>
      <c r="G4635">
        <v>0.117554379200424</v>
      </c>
      <c r="H4635">
        <v>5.4046156701836698E-2</v>
      </c>
      <c r="I4635">
        <v>3.6060683638142903E-2</v>
      </c>
      <c r="J4635">
        <v>2.5980946773454298E-2</v>
      </c>
      <c r="K4635">
        <v>2.3263458923772799E-2</v>
      </c>
      <c r="L4635">
        <v>1282.2503467362001</v>
      </c>
      <c r="M4635">
        <v>25.686131352057298</v>
      </c>
      <c r="N4635">
        <v>50.080994743406997</v>
      </c>
      <c r="O4635">
        <v>49.6203240643678</v>
      </c>
      <c r="P4635">
        <v>-0.124284907070401</v>
      </c>
      <c r="Q4635">
        <v>3.9640063347667599E-2</v>
      </c>
      <c r="R4635">
        <v>0.99773039516041895</v>
      </c>
      <c r="S4635" t="s">
        <v>9375</v>
      </c>
      <c r="T4635" t="s">
        <v>9478</v>
      </c>
      <c r="U4635" t="s">
        <v>9478</v>
      </c>
      <c r="V4635" t="s">
        <v>9478</v>
      </c>
      <c r="W4635">
        <v>44</v>
      </c>
      <c r="X4635" t="s">
        <v>14113</v>
      </c>
      <c r="Y4635">
        <v>0.3653183561860347</v>
      </c>
      <c r="Z4635" t="str">
        <f>HYPERLINK("Melting_Curves/meltCurve_tr_K7EKE6_K7EKE6_HUMAN_.pdf", "Melting_Curves/meltCurve_tr_K7EKE6_K7EKE6_HUMAN_.pdf")</f>
        <v>Melting_Curves/meltCurve_tr_K7EKE6_K7EKE6_HUMAN_.pdf</v>
      </c>
      <c r="AA4635" t="s">
        <v>18741</v>
      </c>
      <c r="AB4635" t="s">
        <v>23440</v>
      </c>
    </row>
    <row r="4636" spans="1:28" x14ac:dyDescent="0.25">
      <c r="A4636" t="s">
        <v>4640</v>
      </c>
      <c r="B4636">
        <v>0.99904790336628502</v>
      </c>
      <c r="C4636">
        <v>0.81310139021487404</v>
      </c>
      <c r="D4636">
        <v>0.86858182454519195</v>
      </c>
      <c r="E4636">
        <v>0.80178098933952902</v>
      </c>
      <c r="F4636">
        <v>0.86759582700258497</v>
      </c>
      <c r="G4636">
        <v>0.54619958859584194</v>
      </c>
      <c r="H4636">
        <v>0.37185029407206499</v>
      </c>
      <c r="I4636">
        <v>0.21283614357453801</v>
      </c>
      <c r="J4636">
        <v>5.6513220562256897E-2</v>
      </c>
      <c r="K4636">
        <v>0.133515034582978</v>
      </c>
      <c r="L4636">
        <v>729.52744421770603</v>
      </c>
      <c r="M4636">
        <v>12.6101975063794</v>
      </c>
      <c r="N4636">
        <v>57.852183204221902</v>
      </c>
      <c r="O4636">
        <v>56.455145594789201</v>
      </c>
      <c r="P4636">
        <v>-5.5852771075392597E-2</v>
      </c>
      <c r="Q4636">
        <v>0</v>
      </c>
      <c r="R4636">
        <v>0.93792190358862704</v>
      </c>
      <c r="S4636" t="s">
        <v>9376</v>
      </c>
      <c r="T4636" t="s">
        <v>9478</v>
      </c>
      <c r="U4636" t="s">
        <v>9478</v>
      </c>
      <c r="V4636" t="s">
        <v>9478</v>
      </c>
      <c r="W4636">
        <v>13</v>
      </c>
      <c r="X4636" t="s">
        <v>14114</v>
      </c>
      <c r="Y4636">
        <v>0.60876005084783946</v>
      </c>
      <c r="Z4636" t="str">
        <f>HYPERLINK("Melting_Curves/meltCurve_tr_K7EL68_K7EL68_HUMAN_.pdf", "Melting_Curves/meltCurve_tr_K7EL68_K7EL68_HUMAN_.pdf")</f>
        <v>Melting_Curves/meltCurve_tr_K7EL68_K7EL68_HUMAN_.pdf</v>
      </c>
      <c r="AA4636" t="s">
        <v>16217</v>
      </c>
      <c r="AB4636" t="s">
        <v>23441</v>
      </c>
    </row>
    <row r="4637" spans="1:28" x14ac:dyDescent="0.25">
      <c r="A4637" t="s">
        <v>4641</v>
      </c>
      <c r="B4637">
        <v>0.99904790336628502</v>
      </c>
      <c r="C4637">
        <v>1.0849429617445101</v>
      </c>
      <c r="D4637">
        <v>1.1071754403307501</v>
      </c>
      <c r="E4637">
        <v>1.07459705858945</v>
      </c>
      <c r="F4637">
        <v>1.04125913473059</v>
      </c>
      <c r="G4637">
        <v>0.87497676351684905</v>
      </c>
      <c r="H4637">
        <v>0.79491912603787696</v>
      </c>
      <c r="I4637">
        <v>0.77980021296567503</v>
      </c>
      <c r="J4637">
        <v>0.85065642472110703</v>
      </c>
      <c r="K4637">
        <v>0.77203258811969</v>
      </c>
      <c r="L4637">
        <v>14221.345135089699</v>
      </c>
      <c r="M4637">
        <v>250</v>
      </c>
      <c r="O4637">
        <v>56.881740841728003</v>
      </c>
      <c r="P4637">
        <v>-0.22046608642870799</v>
      </c>
      <c r="Q4637">
        <v>0.79935208562841598</v>
      </c>
      <c r="R4637">
        <v>0.82281597658579197</v>
      </c>
      <c r="S4637" t="s">
        <v>9377</v>
      </c>
      <c r="T4637" t="s">
        <v>9478</v>
      </c>
      <c r="U4637" t="s">
        <v>9478</v>
      </c>
      <c r="V4637" t="s">
        <v>9478</v>
      </c>
      <c r="W4637">
        <v>18</v>
      </c>
      <c r="X4637" t="s">
        <v>14115</v>
      </c>
      <c r="Y4637">
        <v>0.91230599652957778</v>
      </c>
      <c r="Z4637" t="str">
        <f>HYPERLINK("Melting_Curves/meltCurve_tr_K7ELL7_K7ELL7_HUMAN_.pdf", "Melting_Curves/meltCurve_tr_K7ELL7_K7ELL7_HUMAN_.pdf")</f>
        <v>Melting_Curves/meltCurve_tr_K7ELL7_K7ELL7_HUMAN_.pdf</v>
      </c>
      <c r="AA4637" t="s">
        <v>18742</v>
      </c>
      <c r="AB4637" t="s">
        <v>23442</v>
      </c>
    </row>
    <row r="4638" spans="1:28" x14ac:dyDescent="0.25">
      <c r="A4638" t="s">
        <v>4642</v>
      </c>
      <c r="B4638">
        <v>0.99904790336628502</v>
      </c>
      <c r="C4638">
        <v>0.90930084636516795</v>
      </c>
      <c r="D4638">
        <v>0.964742715288193</v>
      </c>
      <c r="E4638">
        <v>0.953720841097911</v>
      </c>
      <c r="F4638">
        <v>0.85151143717297495</v>
      </c>
      <c r="G4638">
        <v>0.76604212383383397</v>
      </c>
      <c r="H4638">
        <v>0.611941328172662</v>
      </c>
      <c r="I4638">
        <v>0.52880349184977404</v>
      </c>
      <c r="J4638">
        <v>0.20475945785838001</v>
      </c>
      <c r="K4638">
        <v>4.82136992445521E-2</v>
      </c>
      <c r="L4638">
        <v>949.01924627632695</v>
      </c>
      <c r="M4638">
        <v>15.2210865239485</v>
      </c>
      <c r="N4638">
        <v>62.348981812869503</v>
      </c>
      <c r="O4638">
        <v>61.302529900901703</v>
      </c>
      <c r="P4638">
        <v>-6.2079594446853299E-2</v>
      </c>
      <c r="Q4638">
        <v>0</v>
      </c>
      <c r="R4638">
        <v>0.94983365826828703</v>
      </c>
      <c r="S4638" t="s">
        <v>9378</v>
      </c>
      <c r="T4638" t="s">
        <v>9478</v>
      </c>
      <c r="U4638" t="s">
        <v>9478</v>
      </c>
      <c r="V4638" t="s">
        <v>9478</v>
      </c>
      <c r="W4638">
        <v>1</v>
      </c>
      <c r="X4638" t="s">
        <v>14116</v>
      </c>
      <c r="Y4638">
        <v>0.74053862317168206</v>
      </c>
      <c r="Z4638" t="str">
        <f>HYPERLINK("Melting_Curves/meltCurve_tr_K7EM02_K7EM02_HUMAN_.pdf", "Melting_Curves/meltCurve_tr_K7EM02_K7EM02_HUMAN_.pdf")</f>
        <v>Melting_Curves/meltCurve_tr_K7EM02_K7EM02_HUMAN_.pdf</v>
      </c>
      <c r="AA4638" t="s">
        <v>18743</v>
      </c>
      <c r="AB4638" t="s">
        <v>23443</v>
      </c>
    </row>
    <row r="4639" spans="1:28" x14ac:dyDescent="0.25">
      <c r="A4639" t="s">
        <v>4643</v>
      </c>
      <c r="B4639">
        <v>0.99904790336628502</v>
      </c>
      <c r="C4639">
        <v>0.97357311373091004</v>
      </c>
      <c r="D4639">
        <v>0.74733551029852996</v>
      </c>
      <c r="E4639">
        <v>0.49052910980043102</v>
      </c>
      <c r="F4639">
        <v>0.26544392722285498</v>
      </c>
      <c r="G4639">
        <v>9.6367917212893006E-2</v>
      </c>
      <c r="H4639">
        <v>7.7242983961512801E-2</v>
      </c>
      <c r="I4639">
        <v>6.5614658645951604E-2</v>
      </c>
      <c r="J4639">
        <v>2.5003848319648098E-2</v>
      </c>
      <c r="K4639">
        <v>2.6704661563277301E-2</v>
      </c>
      <c r="L4639">
        <v>839.20611405804402</v>
      </c>
      <c r="M4639">
        <v>16.961095977628801</v>
      </c>
      <c r="N4639">
        <v>49.632689809510602</v>
      </c>
      <c r="O4639">
        <v>48.805858521635301</v>
      </c>
      <c r="P4639">
        <v>-8.4653147846123197E-2</v>
      </c>
      <c r="Q4639">
        <v>2.56969405583478E-2</v>
      </c>
      <c r="R4639">
        <v>0.99623255824564005</v>
      </c>
      <c r="S4639" t="s">
        <v>9379</v>
      </c>
      <c r="T4639" t="s">
        <v>9478</v>
      </c>
      <c r="U4639" t="s">
        <v>9478</v>
      </c>
      <c r="V4639" t="s">
        <v>9478</v>
      </c>
      <c r="W4639">
        <v>1</v>
      </c>
      <c r="X4639" t="s">
        <v>14117</v>
      </c>
      <c r="Y4639">
        <v>0.35229761341367299</v>
      </c>
      <c r="Z4639" t="str">
        <f>HYPERLINK("Melting_Curves/meltCurve_tr_K7EM09_K7EM09_HUMAN_.pdf", "Melting_Curves/meltCurve_tr_K7EM09_K7EM09_HUMAN_.pdf")</f>
        <v>Melting_Curves/meltCurve_tr_K7EM09_K7EM09_HUMAN_.pdf</v>
      </c>
      <c r="AA4639" t="s">
        <v>18744</v>
      </c>
      <c r="AB4639" t="s">
        <v>23444</v>
      </c>
    </row>
    <row r="4640" spans="1:28" x14ac:dyDescent="0.25">
      <c r="A4640" t="s">
        <v>4644</v>
      </c>
      <c r="B4640">
        <v>0.99904790336628502</v>
      </c>
      <c r="C4640">
        <v>0.95888014561747303</v>
      </c>
      <c r="D4640">
        <v>0.90353777145499403</v>
      </c>
      <c r="E4640">
        <v>0.74362918772597197</v>
      </c>
      <c r="F4640">
        <v>0.60143415160760505</v>
      </c>
      <c r="G4640">
        <v>0.40100869717190601</v>
      </c>
      <c r="H4640">
        <v>0.32845807728542198</v>
      </c>
      <c r="I4640">
        <v>0.27235298292354798</v>
      </c>
      <c r="J4640">
        <v>0.27908466986695202</v>
      </c>
      <c r="K4640">
        <v>0.25243323108853499</v>
      </c>
      <c r="L4640">
        <v>751.86900742218904</v>
      </c>
      <c r="M4640">
        <v>14.3419537131089</v>
      </c>
      <c r="N4640">
        <v>54.8162692792949</v>
      </c>
      <c r="O4640">
        <v>51.436828759701001</v>
      </c>
      <c r="P4640">
        <v>-5.3500696349341001E-2</v>
      </c>
      <c r="Q4640">
        <v>0.23258022220980501</v>
      </c>
      <c r="R4640">
        <v>0.99869350686369396</v>
      </c>
      <c r="S4640" t="s">
        <v>9380</v>
      </c>
      <c r="T4640" t="s">
        <v>9478</v>
      </c>
      <c r="U4640" t="s">
        <v>9478</v>
      </c>
      <c r="V4640" t="s">
        <v>9478</v>
      </c>
      <c r="W4640">
        <v>4</v>
      </c>
      <c r="X4640" t="s">
        <v>14118</v>
      </c>
      <c r="Y4640">
        <v>0.56843443167318219</v>
      </c>
      <c r="Z4640" t="str">
        <f>HYPERLINK("Melting_Curves/meltCurve_tr_K7EM11_K7EM11_HUMAN_.pdf", "Melting_Curves/meltCurve_tr_K7EM11_K7EM11_HUMAN_.pdf")</f>
        <v>Melting_Curves/meltCurve_tr_K7EM11_K7EM11_HUMAN_.pdf</v>
      </c>
      <c r="AA4640" t="s">
        <v>18745</v>
      </c>
      <c r="AB4640" t="s">
        <v>23445</v>
      </c>
    </row>
    <row r="4641" spans="1:28" x14ac:dyDescent="0.25">
      <c r="A4641" t="s">
        <v>4645</v>
      </c>
      <c r="B4641">
        <v>0.99904790336628502</v>
      </c>
      <c r="C4641">
        <v>0.36429572840401803</v>
      </c>
      <c r="D4641">
        <v>0.52143706782818</v>
      </c>
      <c r="E4641">
        <v>0.36569180046534</v>
      </c>
      <c r="F4641">
        <v>0.31753716789056902</v>
      </c>
      <c r="G4641">
        <v>0.42187480220482498</v>
      </c>
      <c r="H4641">
        <v>0.21266779753877599</v>
      </c>
      <c r="I4641">
        <v>0.29130037943420101</v>
      </c>
      <c r="J4641">
        <v>0.215727455033458</v>
      </c>
      <c r="K4641">
        <v>4.0842882867473403E-2</v>
      </c>
      <c r="L4641">
        <v>4279.2554994061302</v>
      </c>
      <c r="M4641">
        <v>102.00418413101499</v>
      </c>
      <c r="N4641">
        <v>42.328490722985698</v>
      </c>
      <c r="O4641">
        <v>41.935646929869399</v>
      </c>
      <c r="P4641">
        <v>-0.42670219853131303</v>
      </c>
      <c r="Q4641">
        <v>0.29830204432153301</v>
      </c>
      <c r="R4641">
        <v>0.74371168607334803</v>
      </c>
      <c r="S4641" t="s">
        <v>9381</v>
      </c>
      <c r="T4641" t="s">
        <v>9478</v>
      </c>
      <c r="U4641" t="s">
        <v>9478</v>
      </c>
      <c r="V4641" t="s">
        <v>9478</v>
      </c>
      <c r="W4641">
        <v>34</v>
      </c>
      <c r="X4641" t="s">
        <v>14119</v>
      </c>
      <c r="Y4641">
        <v>0.34432333419892858</v>
      </c>
      <c r="Z4641" t="str">
        <f>HYPERLINK("Melting_Curves/meltCurve_tr_K7EME0_K7EME0_HUMAN_.pdf", "Melting_Curves/meltCurve_tr_K7EME0_K7EME0_HUMAN_.pdf")</f>
        <v>Melting_Curves/meltCurve_tr_K7EME0_K7EME0_HUMAN_.pdf</v>
      </c>
      <c r="AA4641" t="s">
        <v>15373</v>
      </c>
      <c r="AB4641" t="s">
        <v>20013</v>
      </c>
    </row>
    <row r="4642" spans="1:28" x14ac:dyDescent="0.25">
      <c r="A4642" t="s">
        <v>4646</v>
      </c>
      <c r="B4642">
        <v>0.99904790336628502</v>
      </c>
      <c r="C4642">
        <v>0.89620374956674298</v>
      </c>
      <c r="D4642">
        <v>0.76452802868530301</v>
      </c>
      <c r="E4642">
        <v>1.37812061527233</v>
      </c>
      <c r="F4642">
        <v>0.87879806020571505</v>
      </c>
      <c r="G4642">
        <v>0.76752017199703004</v>
      </c>
      <c r="H4642">
        <v>0.12717364475823001</v>
      </c>
      <c r="I4642">
        <v>0.14004127639598801</v>
      </c>
      <c r="J4642">
        <v>8.0709009267035794E-2</v>
      </c>
      <c r="K4642">
        <v>0</v>
      </c>
      <c r="L4642">
        <v>2885.14422026692</v>
      </c>
      <c r="M4642">
        <v>49.566480929153897</v>
      </c>
      <c r="N4642">
        <v>58.365783478968503</v>
      </c>
      <c r="O4642">
        <v>58.113066068757597</v>
      </c>
      <c r="P4642">
        <v>-0.19982978637150001</v>
      </c>
      <c r="Q4642">
        <v>6.2857901341193401E-2</v>
      </c>
      <c r="R4642">
        <v>0.88693584385421298</v>
      </c>
      <c r="S4642" t="s">
        <v>9382</v>
      </c>
      <c r="T4642" t="s">
        <v>9478</v>
      </c>
      <c r="U4642" t="s">
        <v>9478</v>
      </c>
      <c r="V4642" t="s">
        <v>9478</v>
      </c>
      <c r="W4642">
        <v>17</v>
      </c>
      <c r="X4642" t="s">
        <v>14120</v>
      </c>
      <c r="Y4642">
        <v>0.63406261876312309</v>
      </c>
      <c r="Z4642" t="str">
        <f>HYPERLINK("Melting_Curves/meltCurve_tr_K7EMS3_K7EMS3_HUMAN_.pdf", "Melting_Curves/meltCurve_tr_K7EMS3_K7EMS3_HUMAN_.pdf")</f>
        <v>Melting_Curves/meltCurve_tr_K7EMS3_K7EMS3_HUMAN_.pdf</v>
      </c>
      <c r="AA4642" t="s">
        <v>14854</v>
      </c>
      <c r="AB4642" t="s">
        <v>23446</v>
      </c>
    </row>
    <row r="4643" spans="1:28" x14ac:dyDescent="0.25">
      <c r="A4643" t="s">
        <v>4647</v>
      </c>
      <c r="B4643">
        <v>0.99904790336628502</v>
      </c>
      <c r="C4643">
        <v>0.89381469264341595</v>
      </c>
      <c r="D4643">
        <v>0.933743860245554</v>
      </c>
      <c r="E4643">
        <v>0.92732545316809301</v>
      </c>
      <c r="F4643">
        <v>0.82812613510716504</v>
      </c>
      <c r="G4643">
        <v>0.61292076962541797</v>
      </c>
      <c r="H4643">
        <v>0.417707500761204</v>
      </c>
      <c r="I4643">
        <v>0.37334644313670201</v>
      </c>
      <c r="J4643">
        <v>0.38071602623863099</v>
      </c>
      <c r="K4643">
        <v>0.35841613959541202</v>
      </c>
      <c r="L4643">
        <v>1044.2378955576</v>
      </c>
      <c r="M4643">
        <v>18.736825140820201</v>
      </c>
      <c r="N4643">
        <v>59.231158304045699</v>
      </c>
      <c r="O4643">
        <v>55.108652260478898</v>
      </c>
      <c r="P4643">
        <v>-5.6551069161960801E-2</v>
      </c>
      <c r="Q4643">
        <v>0.33471718462517602</v>
      </c>
      <c r="R4643">
        <v>0.97645239987989996</v>
      </c>
      <c r="S4643" t="s">
        <v>9383</v>
      </c>
      <c r="T4643" t="s">
        <v>9478</v>
      </c>
      <c r="U4643" t="s">
        <v>9478</v>
      </c>
      <c r="V4643" t="s">
        <v>9478</v>
      </c>
      <c r="W4643">
        <v>1</v>
      </c>
      <c r="X4643" t="s">
        <v>14121</v>
      </c>
      <c r="Y4643">
        <v>0.69304382628030736</v>
      </c>
      <c r="Z4643" t="str">
        <f>HYPERLINK("Melting_Curves/meltCurve_tr_K7EN05_K7EN05_HUMAN_.pdf", "Melting_Curves/meltCurve_tr_K7EN05_K7EN05_HUMAN_.pdf")</f>
        <v>Melting_Curves/meltCurve_tr_K7EN05_K7EN05_HUMAN_.pdf</v>
      </c>
      <c r="AA4643" t="s">
        <v>18746</v>
      </c>
      <c r="AB4643" t="s">
        <v>23447</v>
      </c>
    </row>
    <row r="4644" spans="1:28" x14ac:dyDescent="0.25">
      <c r="A4644" t="s">
        <v>4648</v>
      </c>
      <c r="B4644">
        <v>0.99904790336628502</v>
      </c>
      <c r="C4644">
        <v>0.86265480685113405</v>
      </c>
      <c r="D4644">
        <v>1.0091603683013699</v>
      </c>
      <c r="E4644">
        <v>0.72072703931641802</v>
      </c>
      <c r="F4644">
        <v>0.40235454864222298</v>
      </c>
      <c r="G4644">
        <v>0.189085767138161</v>
      </c>
      <c r="H4644">
        <v>0.271735036904869</v>
      </c>
      <c r="I4644">
        <v>9.6956384722482095E-2</v>
      </c>
      <c r="J4644">
        <v>0.13846352167546699</v>
      </c>
      <c r="K4644">
        <v>2.3298281863517799E-2</v>
      </c>
      <c r="L4644">
        <v>1208.58347971382</v>
      </c>
      <c r="M4644">
        <v>23.431103245539301</v>
      </c>
      <c r="N4644">
        <v>52.1721109676404</v>
      </c>
      <c r="O4644">
        <v>51.209005653469198</v>
      </c>
      <c r="P4644">
        <v>-0.101042221506283</v>
      </c>
      <c r="Q4644">
        <v>0.116698584159627</v>
      </c>
      <c r="R4644">
        <v>0.96431359044364695</v>
      </c>
      <c r="S4644" t="s">
        <v>9384</v>
      </c>
      <c r="T4644" t="s">
        <v>9478</v>
      </c>
      <c r="U4644" t="s">
        <v>9478</v>
      </c>
      <c r="V4644" t="s">
        <v>9478</v>
      </c>
      <c r="W4644">
        <v>3</v>
      </c>
      <c r="X4644" t="s">
        <v>14122</v>
      </c>
      <c r="Y4644">
        <v>0.46676132255262842</v>
      </c>
      <c r="Z4644" t="str">
        <f>HYPERLINK("Melting_Curves/meltCurve_tr_K7ENL9_K7ENL9_HUMAN_.pdf", "Melting_Curves/meltCurve_tr_K7ENL9_K7ENL9_HUMAN_.pdf")</f>
        <v>Melting_Curves/meltCurve_tr_K7ENL9_K7ENL9_HUMAN_.pdf</v>
      </c>
      <c r="AA4644" t="s">
        <v>18747</v>
      </c>
      <c r="AB4644" t="s">
        <v>23448</v>
      </c>
    </row>
    <row r="4645" spans="1:28" x14ac:dyDescent="0.25">
      <c r="A4645" t="s">
        <v>4649</v>
      </c>
      <c r="B4645">
        <v>0.99904790336628502</v>
      </c>
      <c r="C4645">
        <v>1.0520603855785</v>
      </c>
      <c r="D4645">
        <v>1.01628755435735</v>
      </c>
      <c r="E4645">
        <v>1.0175493592953799</v>
      </c>
      <c r="F4645">
        <v>1.0610344665957701</v>
      </c>
      <c r="G4645">
        <v>0.668598715295879</v>
      </c>
      <c r="H4645">
        <v>0.47280870268360797</v>
      </c>
      <c r="I4645">
        <v>0.26053089852357197</v>
      </c>
      <c r="J4645">
        <v>5.9659197990082798E-2</v>
      </c>
      <c r="K4645">
        <v>3.75266978298694E-2</v>
      </c>
      <c r="L4645">
        <v>1259.5030682253</v>
      </c>
      <c r="M4645">
        <v>20.917690166587199</v>
      </c>
      <c r="N4645">
        <v>60.212345697149601</v>
      </c>
      <c r="O4645">
        <v>59.670137754022598</v>
      </c>
      <c r="P4645">
        <v>-8.76412523032854E-2</v>
      </c>
      <c r="Q4645">
        <v>0</v>
      </c>
      <c r="R4645">
        <v>0.98031296047248095</v>
      </c>
      <c r="S4645" t="s">
        <v>9385</v>
      </c>
      <c r="T4645" t="s">
        <v>9478</v>
      </c>
      <c r="U4645" t="s">
        <v>9478</v>
      </c>
      <c r="V4645" t="s">
        <v>9478</v>
      </c>
      <c r="W4645">
        <v>4</v>
      </c>
      <c r="X4645" t="s">
        <v>14123</v>
      </c>
      <c r="Y4645">
        <v>0.6816395770963154</v>
      </c>
      <c r="Z4645" t="str">
        <f>HYPERLINK("Melting_Curves/meltCurve_tr_K7ENR6_K7ENR6_HUMAN_.pdf", "Melting_Curves/meltCurve_tr_K7ENR6_K7ENR6_HUMAN_.pdf")</f>
        <v>Melting_Curves/meltCurve_tr_K7ENR6_K7ENR6_HUMAN_.pdf</v>
      </c>
      <c r="AA4645" t="s">
        <v>18748</v>
      </c>
      <c r="AB4645" t="s">
        <v>23449</v>
      </c>
    </row>
    <row r="4646" spans="1:28" x14ac:dyDescent="0.25">
      <c r="A4646" t="s">
        <v>4650</v>
      </c>
      <c r="B4646">
        <v>0.99904790336628502</v>
      </c>
      <c r="C4646">
        <v>0.99817078140488102</v>
      </c>
      <c r="D4646">
        <v>0.87906551706096903</v>
      </c>
      <c r="E4646">
        <v>0.59470488209440098</v>
      </c>
      <c r="F4646">
        <v>0.46531501304008499</v>
      </c>
      <c r="G4646">
        <v>0.28956257275854702</v>
      </c>
      <c r="H4646">
        <v>0.13822862827982599</v>
      </c>
      <c r="I4646">
        <v>9.9459492660864304E-2</v>
      </c>
      <c r="J4646">
        <v>0.108234805753994</v>
      </c>
      <c r="K4646">
        <v>0</v>
      </c>
      <c r="L4646">
        <v>690.72592374494798</v>
      </c>
      <c r="M4646">
        <v>13.2330238297503</v>
      </c>
      <c r="N4646">
        <v>52.337849015825</v>
      </c>
      <c r="O4646">
        <v>51.048316604245798</v>
      </c>
      <c r="P4646">
        <v>-6.3684288884978901E-2</v>
      </c>
      <c r="Q4646">
        <v>1.7476301479168E-2</v>
      </c>
      <c r="R4646">
        <v>0.99182416733990197</v>
      </c>
      <c r="S4646" t="s">
        <v>9386</v>
      </c>
      <c r="T4646" t="s">
        <v>9478</v>
      </c>
      <c r="U4646" t="s">
        <v>9478</v>
      </c>
      <c r="V4646" t="s">
        <v>9478</v>
      </c>
      <c r="W4646">
        <v>3</v>
      </c>
      <c r="X4646" t="s">
        <v>14124</v>
      </c>
      <c r="Y4646">
        <v>0.4430476309512657</v>
      </c>
      <c r="Z4646" t="str">
        <f>HYPERLINK("Melting_Curves/meltCurve_tr_K7ENT8_K7ENT8_HUMAN_.pdf", "Melting_Curves/meltCurve_tr_K7ENT8_K7ENT8_HUMAN_.pdf")</f>
        <v>Melting_Curves/meltCurve_tr_K7ENT8_K7ENT8_HUMAN_.pdf</v>
      </c>
      <c r="AA4646" t="s">
        <v>18749</v>
      </c>
      <c r="AB4646" t="s">
        <v>23450</v>
      </c>
    </row>
    <row r="4647" spans="1:28" x14ac:dyDescent="0.25">
      <c r="A4647" t="s">
        <v>4651</v>
      </c>
      <c r="B4647">
        <v>0.99904790336628502</v>
      </c>
      <c r="C4647">
        <v>0.895803409751877</v>
      </c>
      <c r="D4647">
        <v>0.93335843516648997</v>
      </c>
      <c r="E4647">
        <v>0.63795323956319105</v>
      </c>
      <c r="F4647">
        <v>0.63818499721706701</v>
      </c>
      <c r="G4647">
        <v>0.30517542255397401</v>
      </c>
      <c r="H4647">
        <v>0.40131351111973002</v>
      </c>
      <c r="I4647">
        <v>0.116924785718169</v>
      </c>
      <c r="J4647">
        <v>9.9697434983437097E-2</v>
      </c>
      <c r="K4647">
        <v>0.10440865749735601</v>
      </c>
      <c r="L4647">
        <v>550.83838309719204</v>
      </c>
      <c r="M4647">
        <v>10.1002085188201</v>
      </c>
      <c r="N4647">
        <v>54.537327759241002</v>
      </c>
      <c r="O4647">
        <v>52.528914598292303</v>
      </c>
      <c r="P4647">
        <v>-4.8092261978255703E-2</v>
      </c>
      <c r="Q4647">
        <v>0</v>
      </c>
      <c r="R4647">
        <v>0.95488155716692602</v>
      </c>
      <c r="S4647" t="s">
        <v>9387</v>
      </c>
      <c r="T4647" t="s">
        <v>9478</v>
      </c>
      <c r="U4647" t="s">
        <v>9478</v>
      </c>
      <c r="V4647" t="s">
        <v>9478</v>
      </c>
      <c r="W4647">
        <v>1</v>
      </c>
      <c r="X4647" t="s">
        <v>14125</v>
      </c>
      <c r="Y4647">
        <v>0.51235510590466515</v>
      </c>
      <c r="Z4647" t="str">
        <f>HYPERLINK("Melting_Curves/meltCurve_tr_K7ENY9_K7ENY9_HUMAN_.pdf", "Melting_Curves/meltCurve_tr_K7ENY9_K7ENY9_HUMAN_.pdf")</f>
        <v>Melting_Curves/meltCurve_tr_K7ENY9_K7ENY9_HUMAN_.pdf</v>
      </c>
      <c r="AA4647" t="s">
        <v>18750</v>
      </c>
      <c r="AB4647" t="s">
        <v>23451</v>
      </c>
    </row>
    <row r="4648" spans="1:28" x14ac:dyDescent="0.25">
      <c r="A4648" t="s">
        <v>4652</v>
      </c>
      <c r="B4648">
        <v>0.99904790336628502</v>
      </c>
      <c r="C4648">
        <v>0.92043160636875299</v>
      </c>
      <c r="D4648">
        <v>0.98736043536432605</v>
      </c>
      <c r="E4648">
        <v>0.74905900222983701</v>
      </c>
      <c r="F4648">
        <v>0.51174473855793501</v>
      </c>
      <c r="G4648">
        <v>0.22713363794214</v>
      </c>
      <c r="H4648">
        <v>0.12131343241670101</v>
      </c>
      <c r="I4648">
        <v>6.0756217531305501E-2</v>
      </c>
      <c r="J4648">
        <v>4.7037782406113698E-2</v>
      </c>
      <c r="K4648">
        <v>1.0225596550353599E-2</v>
      </c>
      <c r="L4648">
        <v>962.84878948010305</v>
      </c>
      <c r="M4648">
        <v>18.148898750034199</v>
      </c>
      <c r="N4648">
        <v>53.1572871284935</v>
      </c>
      <c r="O4648">
        <v>52.421216394423901</v>
      </c>
      <c r="P4648">
        <v>-8.5039802272578499E-2</v>
      </c>
      <c r="Q4648">
        <v>1.7532300928981899E-2</v>
      </c>
      <c r="R4648">
        <v>0.99533308697037304</v>
      </c>
      <c r="S4648" t="s">
        <v>9388</v>
      </c>
      <c r="T4648" t="s">
        <v>9478</v>
      </c>
      <c r="U4648" t="s">
        <v>9478</v>
      </c>
      <c r="V4648" t="s">
        <v>9478</v>
      </c>
      <c r="W4648">
        <v>7</v>
      </c>
      <c r="X4648" t="s">
        <v>14126</v>
      </c>
      <c r="Y4648">
        <v>0.46085557180107978</v>
      </c>
      <c r="Z4648" t="str">
        <f>HYPERLINK("Melting_Curves/meltCurve_tr_K7EP80_K7EP80_HUMAN_.pdf", "Melting_Curves/meltCurve_tr_K7EP80_K7EP80_HUMAN_.pdf")</f>
        <v>Melting_Curves/meltCurve_tr_K7EP80_K7EP80_HUMAN_.pdf</v>
      </c>
      <c r="AA4648" t="s">
        <v>14751</v>
      </c>
      <c r="AB4648" t="s">
        <v>23452</v>
      </c>
    </row>
    <row r="4649" spans="1:28" x14ac:dyDescent="0.25">
      <c r="A4649" t="s">
        <v>4653</v>
      </c>
      <c r="B4649">
        <v>0.99904790336628502</v>
      </c>
      <c r="C4649">
        <v>0.90083707460493001</v>
      </c>
      <c r="D4649">
        <v>0.76441513406060502</v>
      </c>
      <c r="E4649">
        <v>0.75641660740581496</v>
      </c>
      <c r="F4649">
        <v>0.50933037748885901</v>
      </c>
      <c r="G4649">
        <v>0.392480720591662</v>
      </c>
      <c r="H4649">
        <v>0.16825774985254899</v>
      </c>
      <c r="I4649">
        <v>0.17301666741535601</v>
      </c>
      <c r="J4649">
        <v>0.14698235924755701</v>
      </c>
      <c r="K4649">
        <v>7.3730114073420797E-2</v>
      </c>
      <c r="L4649">
        <v>534.34936473941696</v>
      </c>
      <c r="M4649">
        <v>9.9551694038931</v>
      </c>
      <c r="N4649">
        <v>53.675566776848697</v>
      </c>
      <c r="O4649">
        <v>51.644461591452398</v>
      </c>
      <c r="P4649">
        <v>-4.8214729820590697E-2</v>
      </c>
      <c r="Q4649">
        <v>0</v>
      </c>
      <c r="R4649">
        <v>0.980945042360305</v>
      </c>
      <c r="S4649" t="s">
        <v>9389</v>
      </c>
      <c r="T4649" t="s">
        <v>9478</v>
      </c>
      <c r="U4649" t="s">
        <v>9478</v>
      </c>
      <c r="V4649" t="s">
        <v>9478</v>
      </c>
      <c r="W4649">
        <v>1</v>
      </c>
      <c r="X4649" t="s">
        <v>14127</v>
      </c>
      <c r="Y4649">
        <v>0.48750001248221908</v>
      </c>
      <c r="Z4649" t="str">
        <f>HYPERLINK("Melting_Curves/meltCurve_tr_K7EQD9_K7EQD9_HUMAN_.pdf", "Melting_Curves/meltCurve_tr_K7EQD9_K7EQD9_HUMAN_.pdf")</f>
        <v>Melting_Curves/meltCurve_tr_K7EQD9_K7EQD9_HUMAN_.pdf</v>
      </c>
      <c r="AA4649" t="s">
        <v>18751</v>
      </c>
      <c r="AB4649" t="s">
        <v>23453</v>
      </c>
    </row>
    <row r="4650" spans="1:28" x14ac:dyDescent="0.25">
      <c r="A4650" t="s">
        <v>4654</v>
      </c>
      <c r="B4650">
        <v>0.99904790336628502</v>
      </c>
      <c r="C4650">
        <v>1.02096885322683</v>
      </c>
      <c r="D4650">
        <v>1.04567911373817</v>
      </c>
      <c r="E4650">
        <v>0.44726074403899402</v>
      </c>
      <c r="F4650">
        <v>0.41970453302740002</v>
      </c>
      <c r="G4650">
        <v>0.194459399116089</v>
      </c>
      <c r="H4650">
        <v>0.13476265549175001</v>
      </c>
      <c r="I4650">
        <v>7.9360028853977596E-2</v>
      </c>
      <c r="J4650">
        <v>7.4410189868760898E-2</v>
      </c>
      <c r="K4650">
        <v>7.1032325128631696E-2</v>
      </c>
      <c r="L4650">
        <v>1124.17415669045</v>
      </c>
      <c r="M4650">
        <v>22.3090648990812</v>
      </c>
      <c r="N4650">
        <v>50.879114722746301</v>
      </c>
      <c r="O4650">
        <v>49.991261640080502</v>
      </c>
      <c r="P4650">
        <v>-0.100817623078826</v>
      </c>
      <c r="Q4650">
        <v>9.6350531314979906E-2</v>
      </c>
      <c r="R4650">
        <v>0.96537241515181105</v>
      </c>
      <c r="S4650" t="s">
        <v>9390</v>
      </c>
      <c r="T4650" t="s">
        <v>9478</v>
      </c>
      <c r="U4650" t="s">
        <v>9478</v>
      </c>
      <c r="V4650" t="s">
        <v>9478</v>
      </c>
      <c r="W4650">
        <v>3</v>
      </c>
      <c r="X4650" t="s">
        <v>14128</v>
      </c>
      <c r="Y4650">
        <v>0.41950260447023369</v>
      </c>
      <c r="Z4650" t="str">
        <f>HYPERLINK("Melting_Curves/meltCurve_tr_K7ER46_K7ER46_HUMAN_.pdf", "Melting_Curves/meltCurve_tr_K7ER46_K7ER46_HUMAN_.pdf")</f>
        <v>Melting_Curves/meltCurve_tr_K7ER46_K7ER46_HUMAN_.pdf</v>
      </c>
      <c r="AA4650" t="s">
        <v>18752</v>
      </c>
      <c r="AB4650" t="s">
        <v>23454</v>
      </c>
    </row>
    <row r="4651" spans="1:28" x14ac:dyDescent="0.25">
      <c r="A4651" t="s">
        <v>4655</v>
      </c>
      <c r="B4651">
        <v>0.99904790336628502</v>
      </c>
      <c r="C4651">
        <v>1.0527717568241699</v>
      </c>
      <c r="D4651">
        <v>0.87079386813943505</v>
      </c>
      <c r="E4651">
        <v>0.60379346016514801</v>
      </c>
      <c r="F4651">
        <v>0.410214886529774</v>
      </c>
      <c r="G4651">
        <v>0.25653965899757097</v>
      </c>
      <c r="H4651">
        <v>0.168615718710526</v>
      </c>
      <c r="I4651">
        <v>0.128095540131068</v>
      </c>
      <c r="J4651">
        <v>0.111218264533595</v>
      </c>
      <c r="K4651">
        <v>0.120682305132582</v>
      </c>
      <c r="L4651">
        <v>900.54384952288399</v>
      </c>
      <c r="M4651">
        <v>17.700110598944899</v>
      </c>
      <c r="N4651">
        <v>51.639514424194601</v>
      </c>
      <c r="O4651">
        <v>50.2417892536821</v>
      </c>
      <c r="P4651">
        <v>-7.7960392214209306E-2</v>
      </c>
      <c r="Q4651">
        <v>0.114884230082878</v>
      </c>
      <c r="R4651">
        <v>0.99314507863949697</v>
      </c>
      <c r="S4651" t="s">
        <v>9391</v>
      </c>
      <c r="T4651" t="s">
        <v>9478</v>
      </c>
      <c r="U4651" t="s">
        <v>9478</v>
      </c>
      <c r="V4651" t="s">
        <v>9478</v>
      </c>
      <c r="W4651">
        <v>3</v>
      </c>
      <c r="X4651" t="s">
        <v>14129</v>
      </c>
      <c r="Y4651">
        <v>0.45121909311172848</v>
      </c>
      <c r="Z4651" t="str">
        <f>HYPERLINK("Melting_Curves/meltCurve_tr_K7ERI9_K7ERI9_HUMAN_.pdf", "Melting_Curves/meltCurve_tr_K7ERI9_K7ERI9_HUMAN_.pdf")</f>
        <v>Melting_Curves/meltCurve_tr_K7ERI9_K7ERI9_HUMAN_.pdf</v>
      </c>
      <c r="AA4651" t="s">
        <v>18753</v>
      </c>
      <c r="AB4651" t="s">
        <v>23455</v>
      </c>
    </row>
    <row r="4652" spans="1:28" x14ac:dyDescent="0.25">
      <c r="A4652" t="s">
        <v>4656</v>
      </c>
      <c r="B4652">
        <v>0.99904790336628502</v>
      </c>
      <c r="C4652">
        <v>1.0534144564816701</v>
      </c>
      <c r="D4652">
        <v>0.98135857460540399</v>
      </c>
      <c r="E4652">
        <v>0.79074216200907199</v>
      </c>
      <c r="F4652">
        <v>0.41127442264033298</v>
      </c>
      <c r="G4652">
        <v>0.108414585292296</v>
      </c>
      <c r="H4652">
        <v>5.1967284522167499E-2</v>
      </c>
      <c r="I4652">
        <v>4.9524199757055097E-2</v>
      </c>
      <c r="J4652">
        <v>3.1236485190555399E-2</v>
      </c>
      <c r="K4652">
        <v>1.4975603456355201E-2</v>
      </c>
      <c r="L4652">
        <v>1524.10114509301</v>
      </c>
      <c r="M4652">
        <v>29.191773431301499</v>
      </c>
      <c r="N4652">
        <v>52.326998845875401</v>
      </c>
      <c r="O4652">
        <v>51.966784148308797</v>
      </c>
      <c r="P4652">
        <v>-0.13599732154546301</v>
      </c>
      <c r="Q4652">
        <v>3.1604988171186198E-2</v>
      </c>
      <c r="R4652">
        <v>0.99809201031388195</v>
      </c>
      <c r="S4652" t="s">
        <v>9392</v>
      </c>
      <c r="T4652" t="s">
        <v>9478</v>
      </c>
      <c r="U4652" t="s">
        <v>9478</v>
      </c>
      <c r="V4652" t="s">
        <v>9478</v>
      </c>
      <c r="W4652">
        <v>4</v>
      </c>
      <c r="X4652" t="s">
        <v>14130</v>
      </c>
      <c r="Y4652">
        <v>0.43229176698284011</v>
      </c>
      <c r="Z4652" t="str">
        <f>HYPERLINK("Melting_Curves/meltCurve_tr_K7ES31_K7ES31_HUMAN_.pdf", "Melting_Curves/meltCurve_tr_K7ES31_K7ES31_HUMAN_.pdf")</f>
        <v>Melting_Curves/meltCurve_tr_K7ES31_K7ES31_HUMAN_.pdf</v>
      </c>
      <c r="AA4652" t="s">
        <v>18754</v>
      </c>
      <c r="AB4652" t="s">
        <v>23456</v>
      </c>
    </row>
    <row r="4653" spans="1:28" x14ac:dyDescent="0.25">
      <c r="A4653" t="s">
        <v>4657</v>
      </c>
      <c r="B4653">
        <v>0.99904790336628502</v>
      </c>
      <c r="C4653">
        <v>1.0571344060455801</v>
      </c>
      <c r="D4653">
        <v>0.97250533507133397</v>
      </c>
      <c r="E4653">
        <v>0.93572325974001103</v>
      </c>
      <c r="F4653">
        <v>0.93756346579957495</v>
      </c>
      <c r="G4653">
        <v>0.83784943656070299</v>
      </c>
      <c r="H4653">
        <v>0.68572880228669397</v>
      </c>
      <c r="I4653">
        <v>0.76175390282710298</v>
      </c>
      <c r="J4653">
        <v>0.75186933017551005</v>
      </c>
      <c r="K4653">
        <v>0.69336805466095497</v>
      </c>
      <c r="L4653">
        <v>1133.7866323022899</v>
      </c>
      <c r="M4653">
        <v>20.435794209292101</v>
      </c>
      <c r="O4653">
        <v>54.957367505304703</v>
      </c>
      <c r="P4653">
        <v>-2.6876266577437E-2</v>
      </c>
      <c r="Q4653">
        <v>0.71089851011358496</v>
      </c>
      <c r="R4653">
        <v>0.92153596171226204</v>
      </c>
      <c r="S4653" t="s">
        <v>9393</v>
      </c>
      <c r="T4653" t="s">
        <v>9478</v>
      </c>
      <c r="U4653" t="s">
        <v>9478</v>
      </c>
      <c r="V4653" t="s">
        <v>9478</v>
      </c>
      <c r="W4653">
        <v>10</v>
      </c>
      <c r="X4653" t="s">
        <v>14131</v>
      </c>
      <c r="Y4653">
        <v>0.86375783642735515</v>
      </c>
      <c r="Z4653" t="str">
        <f>HYPERLINK("Melting_Curves/meltCurve_tr_K7ESE3_K7ESE3_HUMAN_.pdf", "Melting_Curves/meltCurve_tr_K7ESE3_K7ESE3_HUMAN_.pdf")</f>
        <v>Melting_Curves/meltCurve_tr_K7ESE3_K7ESE3_HUMAN_.pdf</v>
      </c>
      <c r="AA4653" t="s">
        <v>18755</v>
      </c>
      <c r="AB4653" t="s">
        <v>23457</v>
      </c>
    </row>
    <row r="4654" spans="1:28" x14ac:dyDescent="0.25">
      <c r="A4654" t="s">
        <v>4658</v>
      </c>
      <c r="B4654">
        <v>0.99904790336628502</v>
      </c>
      <c r="C4654">
        <v>0.89594536326621799</v>
      </c>
      <c r="D4654">
        <v>0.83326102049987405</v>
      </c>
      <c r="E4654">
        <v>0.48854942206174601</v>
      </c>
      <c r="F4654">
        <v>0.191146374188359</v>
      </c>
      <c r="G4654">
        <v>9.0027719195213698E-2</v>
      </c>
      <c r="H4654">
        <v>5.4647080896895399E-2</v>
      </c>
      <c r="I4654">
        <v>3.5424307088607401E-2</v>
      </c>
      <c r="J4654">
        <v>2.83658025151729E-2</v>
      </c>
      <c r="K4654">
        <v>2.2371166105983002E-2</v>
      </c>
      <c r="L4654">
        <v>985.79038664247503</v>
      </c>
      <c r="M4654">
        <v>19.9190011803767</v>
      </c>
      <c r="N4654">
        <v>49.600237881368898</v>
      </c>
      <c r="O4654">
        <v>48.999242193687103</v>
      </c>
      <c r="P4654">
        <v>-9.9430936437690895E-2</v>
      </c>
      <c r="Q4654">
        <v>2.1661906593556299E-2</v>
      </c>
      <c r="R4654">
        <v>0.99587111898983705</v>
      </c>
      <c r="S4654" t="s">
        <v>9394</v>
      </c>
      <c r="T4654" t="s">
        <v>9478</v>
      </c>
      <c r="U4654" t="s">
        <v>9478</v>
      </c>
      <c r="V4654" t="s">
        <v>9478</v>
      </c>
      <c r="W4654">
        <v>20</v>
      </c>
      <c r="X4654" t="s">
        <v>14132</v>
      </c>
      <c r="Y4654">
        <v>0.34490548041516561</v>
      </c>
      <c r="Z4654" t="str">
        <f>HYPERLINK("Melting_Curves/meltCurve_tr_M0QWZ7_M0QWZ7_HUMAN_.pdf", "Melting_Curves/meltCurve_tr_M0QWZ7_M0QWZ7_HUMAN_.pdf")</f>
        <v>Melting_Curves/meltCurve_tr_M0QWZ7_M0QWZ7_HUMAN_.pdf</v>
      </c>
      <c r="AA4654" t="s">
        <v>18756</v>
      </c>
      <c r="AB4654" t="s">
        <v>23458</v>
      </c>
    </row>
    <row r="4655" spans="1:28" x14ac:dyDescent="0.25">
      <c r="A4655" t="s">
        <v>4659</v>
      </c>
      <c r="B4655">
        <v>0.99904790336628502</v>
      </c>
      <c r="C4655">
        <v>0.93180492565239703</v>
      </c>
      <c r="D4655">
        <v>0.89181118023558104</v>
      </c>
      <c r="E4655">
        <v>0.58997800336992701</v>
      </c>
      <c r="F4655">
        <v>0.40822527971676298</v>
      </c>
      <c r="G4655">
        <v>0.27820505317000599</v>
      </c>
      <c r="H4655">
        <v>0.248917664865553</v>
      </c>
      <c r="I4655">
        <v>0.243272379794546</v>
      </c>
      <c r="J4655">
        <v>0.26566813935280797</v>
      </c>
      <c r="K4655">
        <v>0.238683489428546</v>
      </c>
      <c r="L4655">
        <v>1023.83428825671</v>
      </c>
      <c r="M4655">
        <v>20.618230495095201</v>
      </c>
      <c r="N4655">
        <v>51.283960670390798</v>
      </c>
      <c r="O4655">
        <v>49.196704062627703</v>
      </c>
      <c r="P4655">
        <v>-7.9623277930915906E-2</v>
      </c>
      <c r="Q4655">
        <v>0.24007245155634699</v>
      </c>
      <c r="R4655">
        <v>0.99715680423896302</v>
      </c>
      <c r="S4655" t="s">
        <v>9395</v>
      </c>
      <c r="T4655" t="s">
        <v>9478</v>
      </c>
      <c r="U4655" t="s">
        <v>9478</v>
      </c>
      <c r="V4655" t="s">
        <v>9478</v>
      </c>
      <c r="W4655">
        <v>10</v>
      </c>
      <c r="X4655" t="s">
        <v>14133</v>
      </c>
      <c r="Y4655">
        <v>0.49466128915803098</v>
      </c>
      <c r="Z4655" t="str">
        <f>HYPERLINK("Melting_Curves/meltCurve_tr_M0QX35_M0QX35_HUMAN_.pdf", "Melting_Curves/meltCurve_tr_M0QX35_M0QX35_HUMAN_.pdf")</f>
        <v>Melting_Curves/meltCurve_tr_M0QX35_M0QX35_HUMAN_.pdf</v>
      </c>
      <c r="AA4655" t="s">
        <v>18757</v>
      </c>
      <c r="AB4655" t="s">
        <v>23459</v>
      </c>
    </row>
    <row r="4656" spans="1:28" x14ac:dyDescent="0.25">
      <c r="A4656" t="s">
        <v>4660</v>
      </c>
      <c r="B4656">
        <v>0.99904790336628502</v>
      </c>
      <c r="C4656">
        <v>1.0673232858180399</v>
      </c>
      <c r="D4656">
        <v>0.97740065853243097</v>
      </c>
      <c r="E4656">
        <v>0.65995361023975696</v>
      </c>
      <c r="F4656">
        <v>0.40181718968607599</v>
      </c>
      <c r="G4656">
        <v>0.206431725995914</v>
      </c>
      <c r="H4656">
        <v>0.13537142077811901</v>
      </c>
      <c r="I4656">
        <v>0.113707562372315</v>
      </c>
      <c r="J4656">
        <v>8.6263773840922806E-2</v>
      </c>
      <c r="K4656">
        <v>7.7366777944589904E-2</v>
      </c>
      <c r="L4656">
        <v>1168.3215106269199</v>
      </c>
      <c r="M4656">
        <v>22.733995993282299</v>
      </c>
      <c r="N4656">
        <v>51.882500493788598</v>
      </c>
      <c r="O4656">
        <v>50.998282185929099</v>
      </c>
      <c r="P4656">
        <v>-0.100649345291593</v>
      </c>
      <c r="Q4656">
        <v>9.6887115294904305E-2</v>
      </c>
      <c r="R4656">
        <v>0.99388551220288501</v>
      </c>
      <c r="S4656" t="s">
        <v>9396</v>
      </c>
      <c r="T4656" t="s">
        <v>9478</v>
      </c>
      <c r="U4656" t="s">
        <v>9478</v>
      </c>
      <c r="V4656" t="s">
        <v>9478</v>
      </c>
      <c r="W4656">
        <v>5</v>
      </c>
      <c r="X4656" t="s">
        <v>14134</v>
      </c>
      <c r="Y4656">
        <v>0.44964215058688178</v>
      </c>
      <c r="Z4656" t="str">
        <f>HYPERLINK("Melting_Curves/meltCurve_tr_M0QXL5_M0QXL5_HUMAN_.pdf", "Melting_Curves/meltCurve_tr_M0QXL5_M0QXL5_HUMAN_.pdf")</f>
        <v>Melting_Curves/meltCurve_tr_M0QXL5_M0QXL5_HUMAN_.pdf</v>
      </c>
      <c r="AA4656" t="s">
        <v>18758</v>
      </c>
      <c r="AB4656" t="s">
        <v>23460</v>
      </c>
    </row>
    <row r="4657" spans="1:28" x14ac:dyDescent="0.25">
      <c r="A4657" t="s">
        <v>4661</v>
      </c>
      <c r="B4657">
        <v>0.99904790336628502</v>
      </c>
      <c r="C4657">
        <v>0.51439106540245405</v>
      </c>
      <c r="D4657">
        <v>0.30767784691349997</v>
      </c>
      <c r="E4657">
        <v>0.178918025701613</v>
      </c>
      <c r="F4657">
        <v>0.17747798723794</v>
      </c>
      <c r="G4657">
        <v>0.10007285905973599</v>
      </c>
      <c r="H4657">
        <v>0.113186597817882</v>
      </c>
      <c r="I4657">
        <v>9.5002065129968796E-2</v>
      </c>
      <c r="J4657">
        <v>7.3509455886111505E-2</v>
      </c>
      <c r="K4657">
        <v>0.118253551522625</v>
      </c>
      <c r="L4657">
        <v>1200.1922094756201</v>
      </c>
      <c r="M4657">
        <v>27.878721857169701</v>
      </c>
      <c r="N4657">
        <v>43.490087445747598</v>
      </c>
      <c r="O4657">
        <v>42.830803679849403</v>
      </c>
      <c r="P4657">
        <v>-0.142745941442353</v>
      </c>
      <c r="Q4657">
        <v>0.12279063233173899</v>
      </c>
      <c r="R4657">
        <v>0.96742396201177705</v>
      </c>
      <c r="S4657" t="s">
        <v>9397</v>
      </c>
      <c r="T4657" t="s">
        <v>9478</v>
      </c>
      <c r="U4657" t="s">
        <v>9478</v>
      </c>
      <c r="V4657" t="s">
        <v>9478</v>
      </c>
      <c r="W4657">
        <v>1</v>
      </c>
      <c r="X4657" t="s">
        <v>14135</v>
      </c>
      <c r="Y4657">
        <v>0.2215309061078421</v>
      </c>
      <c r="Z4657" t="str">
        <f>HYPERLINK("Melting_Curves/meltCurve_tr_M0QYH2_M0QYH2_HUMAN_.pdf", "Melting_Curves/meltCurve_tr_M0QYH2_M0QYH2_HUMAN_.pdf")</f>
        <v>Melting_Curves/meltCurve_tr_M0QYH2_M0QYH2_HUMAN_.pdf</v>
      </c>
      <c r="AA4657" t="s">
        <v>18759</v>
      </c>
      <c r="AB4657" t="s">
        <v>23461</v>
      </c>
    </row>
    <row r="4658" spans="1:28" x14ac:dyDescent="0.25">
      <c r="A4658" t="s">
        <v>4662</v>
      </c>
      <c r="B4658">
        <v>0.99904790336628502</v>
      </c>
      <c r="C4658">
        <v>0.684767663048373</v>
      </c>
      <c r="D4658">
        <v>0.73746100441776596</v>
      </c>
      <c r="E4658">
        <v>0.86693624012771897</v>
      </c>
      <c r="F4658">
        <v>0.64538308353755303</v>
      </c>
      <c r="G4658">
        <v>0.66180467501071005</v>
      </c>
      <c r="H4658">
        <v>0.41253555255311197</v>
      </c>
      <c r="I4658">
        <v>0.35729547984836602</v>
      </c>
      <c r="J4658">
        <v>0.30624978521741097</v>
      </c>
      <c r="K4658">
        <v>0.22678953170048299</v>
      </c>
      <c r="L4658">
        <v>332.964223183895</v>
      </c>
      <c r="M4658">
        <v>5.6847779802172802</v>
      </c>
      <c r="N4658">
        <v>58.571177174987803</v>
      </c>
      <c r="O4658">
        <v>52.5331913939945</v>
      </c>
      <c r="P4658">
        <v>-2.7159366309999398E-2</v>
      </c>
      <c r="Q4658">
        <v>0</v>
      </c>
      <c r="R4658">
        <v>0.83860978622676396</v>
      </c>
      <c r="S4658" t="s">
        <v>9398</v>
      </c>
      <c r="T4658" t="s">
        <v>9478</v>
      </c>
      <c r="U4658" t="s">
        <v>9478</v>
      </c>
      <c r="V4658" t="s">
        <v>9478</v>
      </c>
      <c r="W4658">
        <v>2</v>
      </c>
      <c r="X4658" t="s">
        <v>14136</v>
      </c>
      <c r="Y4658">
        <v>0.60043158567867938</v>
      </c>
      <c r="Z4658" t="str">
        <f>HYPERLINK("Melting_Curves/meltCurve_tr_M0QZC7_M0QZC7_HUMAN_.pdf", "Melting_Curves/meltCurve_tr_M0QZC7_M0QZC7_HUMAN_.pdf")</f>
        <v>Melting_Curves/meltCurve_tr_M0QZC7_M0QZC7_HUMAN_.pdf</v>
      </c>
      <c r="AA4658" t="s">
        <v>18760</v>
      </c>
      <c r="AB4658" t="s">
        <v>23462</v>
      </c>
    </row>
    <row r="4659" spans="1:28" x14ac:dyDescent="0.25">
      <c r="A4659" t="s">
        <v>4663</v>
      </c>
      <c r="B4659">
        <v>0.99904790336628502</v>
      </c>
      <c r="C4659">
        <v>0.90139991905904104</v>
      </c>
      <c r="D4659">
        <v>0.808262736061232</v>
      </c>
      <c r="E4659">
        <v>0.69995244142337598</v>
      </c>
      <c r="F4659">
        <v>0.57919182336957398</v>
      </c>
      <c r="G4659">
        <v>0.39247139405931702</v>
      </c>
      <c r="H4659">
        <v>0.25862929968464998</v>
      </c>
      <c r="I4659">
        <v>0.27054936113629102</v>
      </c>
      <c r="J4659">
        <v>0.32217948046810002</v>
      </c>
      <c r="K4659">
        <v>0.26814602730332199</v>
      </c>
      <c r="L4659">
        <v>605.080972052589</v>
      </c>
      <c r="M4659">
        <v>11.779364812162701</v>
      </c>
      <c r="N4659">
        <v>54.0586453055829</v>
      </c>
      <c r="O4659">
        <v>49.954470167215803</v>
      </c>
      <c r="P4659">
        <v>-4.5886349952258397E-2</v>
      </c>
      <c r="Q4659">
        <v>0.22181383375793701</v>
      </c>
      <c r="R4659">
        <v>0.98202476984577403</v>
      </c>
      <c r="S4659" t="s">
        <v>9399</v>
      </c>
      <c r="T4659" t="s">
        <v>9478</v>
      </c>
      <c r="U4659" t="s">
        <v>9478</v>
      </c>
      <c r="V4659" t="s">
        <v>9478</v>
      </c>
      <c r="W4659">
        <v>2</v>
      </c>
      <c r="X4659" t="s">
        <v>14137</v>
      </c>
      <c r="Y4659">
        <v>0.54213979751078623</v>
      </c>
      <c r="Z4659" t="str">
        <f>HYPERLINK("Melting_Curves/meltCurve_tr_M0QZE0_M0QZE0_HUMAN_.pdf", "Melting_Curves/meltCurve_tr_M0QZE0_M0QZE0_HUMAN_.pdf")</f>
        <v>Melting_Curves/meltCurve_tr_M0QZE0_M0QZE0_HUMAN_.pdf</v>
      </c>
      <c r="AA4659" t="s">
        <v>18761</v>
      </c>
      <c r="AB4659" t="s">
        <v>23463</v>
      </c>
    </row>
    <row r="4660" spans="1:28" x14ac:dyDescent="0.25">
      <c r="A4660" t="s">
        <v>4664</v>
      </c>
      <c r="B4660">
        <v>0.99904790336628502</v>
      </c>
      <c r="C4660">
        <v>1.0347418836672699</v>
      </c>
      <c r="D4660">
        <v>1.11866117237695</v>
      </c>
      <c r="E4660">
        <v>1.0109944197026799</v>
      </c>
      <c r="F4660">
        <v>0.863211860652081</v>
      </c>
      <c r="G4660">
        <v>0.47257745764220299</v>
      </c>
      <c r="H4660">
        <v>0.28510595144505202</v>
      </c>
      <c r="I4660">
        <v>0.180066572633647</v>
      </c>
      <c r="J4660">
        <v>0.117966828036839</v>
      </c>
      <c r="K4660">
        <v>8.1548815860711193E-2</v>
      </c>
      <c r="L4660">
        <v>1383.7528492716301</v>
      </c>
      <c r="M4660">
        <v>24.4661249610852</v>
      </c>
      <c r="N4660">
        <v>57.129352178233603</v>
      </c>
      <c r="O4660">
        <v>56.184122621609497</v>
      </c>
      <c r="P4660">
        <v>-9.7051151909361394E-2</v>
      </c>
      <c r="Q4660">
        <v>0.108538178672188</v>
      </c>
      <c r="R4660">
        <v>0.985451180191662</v>
      </c>
      <c r="S4660" t="s">
        <v>9400</v>
      </c>
      <c r="T4660" t="s">
        <v>9478</v>
      </c>
      <c r="U4660" t="s">
        <v>9478</v>
      </c>
      <c r="V4660" t="s">
        <v>9478</v>
      </c>
      <c r="W4660">
        <v>2</v>
      </c>
      <c r="X4660" t="s">
        <v>14138</v>
      </c>
      <c r="Y4660">
        <v>0.60895667624785432</v>
      </c>
      <c r="Z4660" t="str">
        <f>HYPERLINK("Melting_Curves/meltCurve_tr_M0R0B4_M0R0B4_HUMAN_.pdf", "Melting_Curves/meltCurve_tr_M0R0B4_M0R0B4_HUMAN_.pdf")</f>
        <v>Melting_Curves/meltCurve_tr_M0R0B4_M0R0B4_HUMAN_.pdf</v>
      </c>
      <c r="AA4660" t="s">
        <v>18762</v>
      </c>
      <c r="AB4660" t="s">
        <v>23464</v>
      </c>
    </row>
    <row r="4661" spans="1:28" x14ac:dyDescent="0.25">
      <c r="A4661" t="s">
        <v>4665</v>
      </c>
      <c r="B4661">
        <v>0.99904790336628502</v>
      </c>
      <c r="C4661">
        <v>0.84144172959096097</v>
      </c>
      <c r="D4661">
        <v>0.55633416313261896</v>
      </c>
      <c r="E4661">
        <v>0.35846324151228998</v>
      </c>
      <c r="F4661">
        <v>0.29204864536717501</v>
      </c>
      <c r="G4661">
        <v>0.193782993699503</v>
      </c>
      <c r="H4661">
        <v>0.12673253998009301</v>
      </c>
      <c r="I4661">
        <v>0.101220059965915</v>
      </c>
      <c r="J4661">
        <v>2.0708780234295999E-2</v>
      </c>
      <c r="K4661">
        <v>8.0596812256893996E-2</v>
      </c>
      <c r="L4661">
        <v>636.69517421477201</v>
      </c>
      <c r="M4661">
        <v>13.4547918652638</v>
      </c>
      <c r="N4661">
        <v>47.848107389331297</v>
      </c>
      <c r="O4661">
        <v>46.312427562535298</v>
      </c>
      <c r="P4661">
        <v>-6.7638860923835795E-2</v>
      </c>
      <c r="Q4661">
        <v>6.8871279636635599E-2</v>
      </c>
      <c r="R4661">
        <v>0.98168953210740595</v>
      </c>
      <c r="S4661" t="s">
        <v>9401</v>
      </c>
      <c r="T4661" t="s">
        <v>9478</v>
      </c>
      <c r="U4661" t="s">
        <v>9478</v>
      </c>
      <c r="V4661" t="s">
        <v>9478</v>
      </c>
      <c r="W4661">
        <v>2</v>
      </c>
      <c r="X4661" t="s">
        <v>14139</v>
      </c>
      <c r="Y4661">
        <v>0.32690484230697492</v>
      </c>
      <c r="Z4661" t="str">
        <f>HYPERLINK("Melting_Curves/meltCurve_tr_M0R0F0_M0R0F0_HUMAN_.pdf", "Melting_Curves/meltCurve_tr_M0R0F0_M0R0F0_HUMAN_.pdf")</f>
        <v>Melting_Curves/meltCurve_tr_M0R0F0_M0R0F0_HUMAN_.pdf</v>
      </c>
      <c r="AA4661" t="s">
        <v>18763</v>
      </c>
      <c r="AB4661" t="s">
        <v>23465</v>
      </c>
    </row>
    <row r="4662" spans="1:28" x14ac:dyDescent="0.25">
      <c r="A4662" t="s">
        <v>4666</v>
      </c>
      <c r="B4662">
        <v>0.99904790336628502</v>
      </c>
      <c r="C4662">
        <v>0.66583264506221895</v>
      </c>
      <c r="D4662">
        <v>0.51860186632724303</v>
      </c>
      <c r="E4662">
        <v>0.26204191346723299</v>
      </c>
      <c r="F4662">
        <v>0.11653090129230401</v>
      </c>
      <c r="G4662">
        <v>0.120177310903851</v>
      </c>
      <c r="H4662">
        <v>5.8760746911309898E-2</v>
      </c>
      <c r="I4662">
        <v>3.7789798712651701E-2</v>
      </c>
      <c r="J4662">
        <v>2.43740496284796E-2</v>
      </c>
      <c r="K4662">
        <v>5.9819581255092201E-3</v>
      </c>
      <c r="L4662">
        <v>682.01936830900399</v>
      </c>
      <c r="M4662">
        <v>14.8686152317304</v>
      </c>
      <c r="N4662">
        <v>46.033659582930703</v>
      </c>
      <c r="O4662">
        <v>45.063972777295803</v>
      </c>
      <c r="P4662">
        <v>-8.0367596156579194E-2</v>
      </c>
      <c r="Q4662">
        <v>2.5785476353354601E-2</v>
      </c>
      <c r="R4662">
        <v>0.98093260600858101</v>
      </c>
      <c r="S4662" t="s">
        <v>9402</v>
      </c>
      <c r="T4662" t="s">
        <v>9478</v>
      </c>
      <c r="U4662" t="s">
        <v>9478</v>
      </c>
      <c r="V4662" t="s">
        <v>9478</v>
      </c>
      <c r="W4662">
        <v>1</v>
      </c>
      <c r="X4662" t="s">
        <v>14140</v>
      </c>
      <c r="Y4662">
        <v>0.24570206336335729</v>
      </c>
      <c r="Z4662" t="str">
        <f>HYPERLINK("Melting_Curves/meltCurve_tr_M0R210_M0R210_HUMAN_.pdf", "Melting_Curves/meltCurve_tr_M0R210_M0R210_HUMAN_.pdf")</f>
        <v>Melting_Curves/meltCurve_tr_M0R210_M0R210_HUMAN_.pdf</v>
      </c>
      <c r="AA4662" t="s">
        <v>18764</v>
      </c>
      <c r="AB4662" t="s">
        <v>23466</v>
      </c>
    </row>
    <row r="4663" spans="1:28" x14ac:dyDescent="0.25">
      <c r="A4663" t="s">
        <v>4667</v>
      </c>
      <c r="B4663">
        <v>0.99904790336628502</v>
      </c>
      <c r="C4663">
        <v>1.00492884159824</v>
      </c>
      <c r="D4663">
        <v>0.85396456218157701</v>
      </c>
      <c r="E4663">
        <v>0.56712081153970295</v>
      </c>
      <c r="F4663">
        <v>0.32794158840489002</v>
      </c>
      <c r="G4663">
        <v>0.15821849244415301</v>
      </c>
      <c r="H4663">
        <v>9.0236295465985605E-2</v>
      </c>
      <c r="I4663">
        <v>0.10893762891045999</v>
      </c>
      <c r="J4663">
        <v>7.3025312995511099E-2</v>
      </c>
      <c r="K4663">
        <v>8.3362100951700602E-2</v>
      </c>
      <c r="L4663">
        <v>987.99984494911496</v>
      </c>
      <c r="M4663">
        <v>19.645000031302999</v>
      </c>
      <c r="N4663">
        <v>50.719558177275999</v>
      </c>
      <c r="O4663">
        <v>49.780249111366203</v>
      </c>
      <c r="P4663">
        <v>-9.1144362451083705E-2</v>
      </c>
      <c r="Q4663">
        <v>7.6196381177085395E-2</v>
      </c>
      <c r="R4663">
        <v>0.99834364896513295</v>
      </c>
      <c r="S4663" t="s">
        <v>9403</v>
      </c>
      <c r="T4663" t="s">
        <v>9478</v>
      </c>
      <c r="U4663" t="s">
        <v>9478</v>
      </c>
      <c r="V4663" t="s">
        <v>9478</v>
      </c>
      <c r="W4663">
        <v>1</v>
      </c>
      <c r="X4663" t="s">
        <v>14141</v>
      </c>
      <c r="Y4663">
        <v>0.40644167769792311</v>
      </c>
      <c r="Z4663" t="str">
        <f>HYPERLINK("Melting_Curves/meltCurve_tr_M0R2L9_M0R2L9_HUMAN_.pdf", "Melting_Curves/meltCurve_tr_M0R2L9_M0R2L9_HUMAN_.pdf")</f>
        <v>Melting_Curves/meltCurve_tr_M0R2L9_M0R2L9_HUMAN_.pdf</v>
      </c>
      <c r="AA4663" t="s">
        <v>18765</v>
      </c>
      <c r="AB4663" t="s">
        <v>23467</v>
      </c>
    </row>
    <row r="4664" spans="1:28" x14ac:dyDescent="0.25">
      <c r="A4664" t="s">
        <v>4668</v>
      </c>
      <c r="B4664">
        <v>0.99904790336628502</v>
      </c>
      <c r="C4664">
        <v>0.98670939030153604</v>
      </c>
      <c r="D4664">
        <v>0.99487969401190202</v>
      </c>
      <c r="E4664">
        <v>0.828977382796657</v>
      </c>
      <c r="F4664">
        <v>0.62531255469872205</v>
      </c>
      <c r="G4664">
        <v>0.39499661437024602</v>
      </c>
      <c r="H4664">
        <v>0.34616178674203502</v>
      </c>
      <c r="I4664">
        <v>0.286784182918361</v>
      </c>
      <c r="J4664">
        <v>0.33929925383487203</v>
      </c>
      <c r="K4664">
        <v>0.375500496401516</v>
      </c>
      <c r="L4664">
        <v>1341.4208402495101</v>
      </c>
      <c r="M4664">
        <v>25.634900914429601</v>
      </c>
      <c r="N4664">
        <v>54.625245829576798</v>
      </c>
      <c r="O4664">
        <v>52.012591714908297</v>
      </c>
      <c r="P4664">
        <v>-8.2569675622234703E-2</v>
      </c>
      <c r="Q4664">
        <v>0.32988069727910602</v>
      </c>
      <c r="R4664">
        <v>0.99369570663165996</v>
      </c>
      <c r="S4664" t="s">
        <v>9404</v>
      </c>
      <c r="T4664" t="s">
        <v>9478</v>
      </c>
      <c r="U4664" t="s">
        <v>9478</v>
      </c>
      <c r="V4664" t="s">
        <v>9478</v>
      </c>
      <c r="W4664">
        <v>1</v>
      </c>
      <c r="X4664" t="s">
        <v>14142</v>
      </c>
      <c r="Y4664">
        <v>0.61110164427698477</v>
      </c>
      <c r="Z4664" t="str">
        <f>HYPERLINK("Melting_Curves/meltCurve_tr_M0R3D4_M0R3D4_HUMAN_.pdf", "Melting_Curves/meltCurve_tr_M0R3D4_M0R3D4_HUMAN_.pdf")</f>
        <v>Melting_Curves/meltCurve_tr_M0R3D4_M0R3D4_HUMAN_.pdf</v>
      </c>
      <c r="AA4664" t="s">
        <v>18766</v>
      </c>
      <c r="AB4664" t="s">
        <v>23468</v>
      </c>
    </row>
    <row r="4665" spans="1:28" x14ac:dyDescent="0.25">
      <c r="A4665" t="s">
        <v>4669</v>
      </c>
      <c r="B4665">
        <v>0.99904790336628502</v>
      </c>
      <c r="C4665">
        <v>0.85788434114314405</v>
      </c>
      <c r="D4665">
        <v>0.80766228429889597</v>
      </c>
      <c r="E4665">
        <v>0.74387392587180101</v>
      </c>
      <c r="F4665">
        <v>0.64857568387618902</v>
      </c>
      <c r="G4665">
        <v>0.427397249657745</v>
      </c>
      <c r="H4665">
        <v>0.28458330130972198</v>
      </c>
      <c r="I4665">
        <v>0.172292164032089</v>
      </c>
      <c r="J4665">
        <v>0.159097880489219</v>
      </c>
      <c r="K4665">
        <v>9.1981928351412501E-2</v>
      </c>
      <c r="L4665">
        <v>519.57066862812303</v>
      </c>
      <c r="M4665">
        <v>9.4348485282699208</v>
      </c>
      <c r="N4665">
        <v>55.069317425448602</v>
      </c>
      <c r="O4665">
        <v>52.765429751511903</v>
      </c>
      <c r="P4665">
        <v>-4.4728987564446702E-2</v>
      </c>
      <c r="Q4665">
        <v>0</v>
      </c>
      <c r="R4665">
        <v>0.98375625935555999</v>
      </c>
      <c r="S4665" t="s">
        <v>9405</v>
      </c>
      <c r="T4665" t="s">
        <v>9478</v>
      </c>
      <c r="U4665" t="s">
        <v>9478</v>
      </c>
      <c r="V4665" t="s">
        <v>9478</v>
      </c>
      <c r="W4665">
        <v>2</v>
      </c>
      <c r="X4665" t="s">
        <v>14143</v>
      </c>
      <c r="Y4665">
        <v>0.52834564346803503</v>
      </c>
      <c r="Z4665" t="str">
        <f>HYPERLINK("Melting_Curves/meltCurve_tr_M0R3H3_M0R3H3_HUMAN_.pdf", "Melting_Curves/meltCurve_tr_M0R3H3_M0R3H3_HUMAN_.pdf")</f>
        <v>Melting_Curves/meltCurve_tr_M0R3H3_M0R3H3_HUMAN_.pdf</v>
      </c>
      <c r="AA4665" t="s">
        <v>18767</v>
      </c>
      <c r="AB4665" t="s">
        <v>23469</v>
      </c>
    </row>
    <row r="4666" spans="1:28" x14ac:dyDescent="0.25">
      <c r="A4666" t="s">
        <v>4670</v>
      </c>
      <c r="B4666">
        <v>0.99904790336628502</v>
      </c>
      <c r="C4666">
        <v>1.05442968502431</v>
      </c>
      <c r="D4666">
        <v>0.98767848296938199</v>
      </c>
      <c r="E4666">
        <v>0.88721790211127105</v>
      </c>
      <c r="F4666">
        <v>0.89950835344698299</v>
      </c>
      <c r="G4666">
        <v>0.465809857109447</v>
      </c>
      <c r="H4666">
        <v>0.40344282391543601</v>
      </c>
      <c r="I4666">
        <v>0.441729722844107</v>
      </c>
      <c r="J4666">
        <v>0.53505273860455504</v>
      </c>
      <c r="K4666">
        <v>0.54468001834684698</v>
      </c>
      <c r="L4666">
        <v>5061.5198181291798</v>
      </c>
      <c r="M4666">
        <v>94.078485718088103</v>
      </c>
      <c r="N4666">
        <v>55.6390010665014</v>
      </c>
      <c r="O4666">
        <v>53.7767377529375</v>
      </c>
      <c r="P4666">
        <v>-0.22845348059277201</v>
      </c>
      <c r="Q4666">
        <v>0.47764966839505302</v>
      </c>
      <c r="R4666">
        <v>0.95142404052421303</v>
      </c>
      <c r="S4666" t="s">
        <v>9406</v>
      </c>
      <c r="T4666" t="s">
        <v>9478</v>
      </c>
      <c r="U4666" t="s">
        <v>9478</v>
      </c>
      <c r="V4666" t="s">
        <v>9478</v>
      </c>
      <c r="W4666">
        <v>7</v>
      </c>
      <c r="X4666" t="s">
        <v>14144</v>
      </c>
      <c r="Y4666">
        <v>0.7182975721216589</v>
      </c>
      <c r="Z4666" t="str">
        <f>HYPERLINK("Melting_Curves/meltCurve_tr_O95205_O95205_HUMAN_.pdf", "Melting_Curves/meltCurve_tr_O95205_O95205_HUMAN_.pdf")</f>
        <v>Melting_Curves/meltCurve_tr_O95205_O95205_HUMAN_.pdf</v>
      </c>
      <c r="AA4666" t="s">
        <v>18768</v>
      </c>
      <c r="AB4666" t="s">
        <v>23470</v>
      </c>
    </row>
    <row r="4667" spans="1:28" x14ac:dyDescent="0.25">
      <c r="A4667" t="s">
        <v>4671</v>
      </c>
      <c r="B4667">
        <v>0.99904790336628502</v>
      </c>
      <c r="C4667">
        <v>1.04391577091773</v>
      </c>
      <c r="D4667">
        <v>1.00829504620921</v>
      </c>
      <c r="E4667">
        <v>0.79586677699314801</v>
      </c>
      <c r="F4667">
        <v>0.46671425183357601</v>
      </c>
      <c r="G4667">
        <v>0.26983020670904501</v>
      </c>
      <c r="H4667">
        <v>0.16016656778331201</v>
      </c>
      <c r="I4667">
        <v>0.123688356498593</v>
      </c>
      <c r="J4667">
        <v>0.13256146708531499</v>
      </c>
      <c r="K4667">
        <v>0.13269993836636201</v>
      </c>
      <c r="L4667">
        <v>1325.08094281227</v>
      </c>
      <c r="M4667">
        <v>25.356677336688001</v>
      </c>
      <c r="N4667">
        <v>52.913060180699901</v>
      </c>
      <c r="O4667">
        <v>51.9358976760468</v>
      </c>
      <c r="P4667">
        <v>-0.105609654179853</v>
      </c>
      <c r="Q4667">
        <v>0.1347663761997</v>
      </c>
      <c r="R4667">
        <v>0.99575999726219799</v>
      </c>
      <c r="S4667" t="s">
        <v>9407</v>
      </c>
      <c r="T4667" t="s">
        <v>9478</v>
      </c>
      <c r="U4667" t="s">
        <v>9478</v>
      </c>
      <c r="V4667" t="s">
        <v>9478</v>
      </c>
      <c r="W4667">
        <v>3</v>
      </c>
      <c r="X4667" t="s">
        <v>14145</v>
      </c>
      <c r="Y4667">
        <v>0.4959973721612253</v>
      </c>
      <c r="Z4667" t="str">
        <f>HYPERLINK("Melting_Curves/meltCurve_tr_Q17RU2_Q17RU2_HUMAN_.pdf", "Melting_Curves/meltCurve_tr_Q17RU2_Q17RU2_HUMAN_.pdf")</f>
        <v>Melting_Curves/meltCurve_tr_Q17RU2_Q17RU2_HUMAN_.pdf</v>
      </c>
      <c r="AA4667" t="s">
        <v>18769</v>
      </c>
      <c r="AB4667" t="s">
        <v>23471</v>
      </c>
    </row>
    <row r="4668" spans="1:28" x14ac:dyDescent="0.25">
      <c r="A4668" t="s">
        <v>4672</v>
      </c>
      <c r="B4668">
        <v>0.99904790336628502</v>
      </c>
      <c r="C4668">
        <v>0.94806875799474299</v>
      </c>
      <c r="D4668">
        <v>0.95182803461026599</v>
      </c>
      <c r="E4668">
        <v>0.79848777647730595</v>
      </c>
      <c r="F4668">
        <v>0.53748639582011104</v>
      </c>
      <c r="G4668">
        <v>0.20091620666623899</v>
      </c>
      <c r="H4668">
        <v>8.5725686368200493E-2</v>
      </c>
      <c r="I4668">
        <v>4.6999940315982397E-2</v>
      </c>
      <c r="J4668">
        <v>3.7821683469804003E-2</v>
      </c>
      <c r="K4668">
        <v>3.4506979875934797E-2</v>
      </c>
      <c r="L4668">
        <v>1123.80507357276</v>
      </c>
      <c r="M4668">
        <v>21.137355186772702</v>
      </c>
      <c r="N4668">
        <v>53.287640777599002</v>
      </c>
      <c r="O4668">
        <v>52.697786685852201</v>
      </c>
      <c r="P4668">
        <v>-9.7931597717748606E-2</v>
      </c>
      <c r="Q4668">
        <v>2.34082312815539E-2</v>
      </c>
      <c r="R4668">
        <v>0.99842978125437398</v>
      </c>
      <c r="S4668" t="s">
        <v>9408</v>
      </c>
      <c r="T4668" t="s">
        <v>9478</v>
      </c>
      <c r="U4668" t="s">
        <v>9478</v>
      </c>
      <c r="V4668" t="s">
        <v>9478</v>
      </c>
      <c r="W4668">
        <v>15</v>
      </c>
      <c r="X4668" t="s">
        <v>14146</v>
      </c>
      <c r="Y4668">
        <v>0.46422338454253681</v>
      </c>
      <c r="Z4668" t="str">
        <f>HYPERLINK("Melting_Curves/meltCurve_tr_Q2TAM5_Q2TAM5_HUMAN_.pdf", "Melting_Curves/meltCurve_tr_Q2TAM5_Q2TAM5_HUMAN_.pdf")</f>
        <v>Melting_Curves/meltCurve_tr_Q2TAM5_Q2TAM5_HUMAN_.pdf</v>
      </c>
      <c r="AA4668" t="s">
        <v>18770</v>
      </c>
      <c r="AB4668" t="s">
        <v>23472</v>
      </c>
    </row>
    <row r="4669" spans="1:28" x14ac:dyDescent="0.25">
      <c r="A4669" t="s">
        <v>4673</v>
      </c>
      <c r="B4669">
        <v>0.99904790336628502</v>
      </c>
      <c r="C4669">
        <v>0.962565998936738</v>
      </c>
      <c r="D4669">
        <v>0.90480305220854695</v>
      </c>
      <c r="E4669">
        <v>0.750259617544624</v>
      </c>
      <c r="F4669">
        <v>0.75557260097609003</v>
      </c>
      <c r="G4669">
        <v>0.58074807058324995</v>
      </c>
      <c r="H4669">
        <v>0.53785579209675805</v>
      </c>
      <c r="I4669">
        <v>0.55249865160092504</v>
      </c>
      <c r="J4669">
        <v>0.58026148691313995</v>
      </c>
      <c r="K4669">
        <v>0.63879619407160804</v>
      </c>
      <c r="L4669">
        <v>794.45677145989703</v>
      </c>
      <c r="M4669">
        <v>15.9545873730784</v>
      </c>
      <c r="O4669">
        <v>49.032292603219801</v>
      </c>
      <c r="P4669">
        <v>-3.5208432169195898E-2</v>
      </c>
      <c r="Q4669">
        <v>0.56721831687609003</v>
      </c>
      <c r="R4669">
        <v>0.946790256169733</v>
      </c>
      <c r="S4669" t="s">
        <v>9409</v>
      </c>
      <c r="T4669" t="s">
        <v>9478</v>
      </c>
      <c r="U4669" t="s">
        <v>9478</v>
      </c>
      <c r="V4669" t="s">
        <v>9478</v>
      </c>
      <c r="W4669">
        <v>6</v>
      </c>
      <c r="X4669" t="s">
        <v>14147</v>
      </c>
      <c r="Y4669">
        <v>0.71780660101116922</v>
      </c>
      <c r="Z4669" t="str">
        <f>HYPERLINK("Melting_Curves/meltCurve_tr_Q32N00_Q32N00_HUMAN_.pdf", "Melting_Curves/meltCurve_tr_Q32N00_Q32N00_HUMAN_.pdf")</f>
        <v>Melting_Curves/meltCurve_tr_Q32N00_Q32N00_HUMAN_.pdf</v>
      </c>
      <c r="AA4669" t="s">
        <v>18771</v>
      </c>
      <c r="AB4669" t="s">
        <v>23473</v>
      </c>
    </row>
    <row r="4670" spans="1:28" x14ac:dyDescent="0.25">
      <c r="A4670" t="s">
        <v>4674</v>
      </c>
      <c r="B4670">
        <v>0.99904790336628502</v>
      </c>
      <c r="C4670">
        <v>1.05800821983448</v>
      </c>
      <c r="D4670">
        <v>1.03935026826807</v>
      </c>
      <c r="E4670">
        <v>0.93974343651757297</v>
      </c>
      <c r="F4670">
        <v>0.89873924201502697</v>
      </c>
      <c r="G4670">
        <v>0.30521685305679302</v>
      </c>
      <c r="H4670">
        <v>0.26608861633717201</v>
      </c>
      <c r="I4670">
        <v>0.26700805417419299</v>
      </c>
      <c r="J4670">
        <v>0.31960006733780899</v>
      </c>
      <c r="K4670">
        <v>0.65715433239320697</v>
      </c>
      <c r="L4670">
        <v>13338.2938892566</v>
      </c>
      <c r="M4670">
        <v>250</v>
      </c>
      <c r="N4670">
        <v>53.630937386005598</v>
      </c>
      <c r="O4670">
        <v>53.349762936163501</v>
      </c>
      <c r="P4670">
        <v>-0.74623860986610502</v>
      </c>
      <c r="Q4670">
        <v>0.36301357329863798</v>
      </c>
      <c r="R4670">
        <v>0.89206891658787801</v>
      </c>
      <c r="S4670" t="s">
        <v>9410</v>
      </c>
      <c r="T4670" t="s">
        <v>9478</v>
      </c>
      <c r="U4670" t="s">
        <v>9478</v>
      </c>
      <c r="V4670" t="s">
        <v>9478</v>
      </c>
      <c r="W4670">
        <v>11</v>
      </c>
      <c r="X4670" t="s">
        <v>14148</v>
      </c>
      <c r="Y4670">
        <v>0.64659960298729968</v>
      </c>
      <c r="Z4670" t="str">
        <f>HYPERLINK("Melting_Curves/meltCurve_tr_Q567Q0_Q567Q0_HUMAN_.pdf", "Melting_Curves/meltCurve_tr_Q567Q0_Q567Q0_HUMAN_.pdf")</f>
        <v>Melting_Curves/meltCurve_tr_Q567Q0_Q567Q0_HUMAN_.pdf</v>
      </c>
      <c r="AA4670" t="s">
        <v>18772</v>
      </c>
      <c r="AB4670" t="s">
        <v>23474</v>
      </c>
    </row>
    <row r="4671" spans="1:28" x14ac:dyDescent="0.25">
      <c r="A4671" t="s">
        <v>4675</v>
      </c>
      <c r="B4671">
        <v>0.99904790336628502</v>
      </c>
      <c r="C4671">
        <v>0.81898601150248895</v>
      </c>
      <c r="D4671">
        <v>0.705859851948342</v>
      </c>
      <c r="E4671">
        <v>0.446613991306608</v>
      </c>
      <c r="F4671">
        <v>0.205574720867853</v>
      </c>
      <c r="G4671">
        <v>0.13138803220686701</v>
      </c>
      <c r="H4671">
        <v>9.9509144191158902E-2</v>
      </c>
      <c r="I4671">
        <v>2.4379235775878302E-2</v>
      </c>
      <c r="J4671">
        <v>2.8975642806241798E-2</v>
      </c>
      <c r="K4671">
        <v>2.5428153040466799E-2</v>
      </c>
      <c r="L4671">
        <v>677.25583637091199</v>
      </c>
      <c r="M4671">
        <v>13.916191569232501</v>
      </c>
      <c r="N4671">
        <v>48.740048983548903</v>
      </c>
      <c r="O4671">
        <v>47.6948385239941</v>
      </c>
      <c r="P4671">
        <v>-7.2198147949288097E-2</v>
      </c>
      <c r="Q4671">
        <v>1.0357767363284601E-2</v>
      </c>
      <c r="R4671">
        <v>0.99248686137197495</v>
      </c>
      <c r="S4671" t="s">
        <v>9411</v>
      </c>
      <c r="T4671" t="s">
        <v>9478</v>
      </c>
      <c r="U4671" t="s">
        <v>9478</v>
      </c>
      <c r="V4671" t="s">
        <v>9478</v>
      </c>
      <c r="W4671">
        <v>1</v>
      </c>
      <c r="X4671" t="s">
        <v>14149</v>
      </c>
      <c r="Y4671">
        <v>0.32475474021948081</v>
      </c>
      <c r="Z4671" t="str">
        <f>HYPERLINK("Melting_Curves/meltCurve_tr_Q5H8W9_Q5H8W9_HUMAN_.pdf", "Melting_Curves/meltCurve_tr_Q5H8W9_Q5H8W9_HUMAN_.pdf")</f>
        <v>Melting_Curves/meltCurve_tr_Q5H8W9_Q5H8W9_HUMAN_.pdf</v>
      </c>
      <c r="AA4671" t="s">
        <v>18773</v>
      </c>
      <c r="AB4671" t="s">
        <v>23475</v>
      </c>
    </row>
    <row r="4672" spans="1:28" x14ac:dyDescent="0.25">
      <c r="A4672" t="s">
        <v>4676</v>
      </c>
      <c r="B4672">
        <v>0.99904790336628502</v>
      </c>
      <c r="C4672">
        <v>0.84651108203594805</v>
      </c>
      <c r="D4672">
        <v>0.94333613413506601</v>
      </c>
      <c r="E4672">
        <v>0.84228818768462099</v>
      </c>
      <c r="F4672">
        <v>0.88176038976381699</v>
      </c>
      <c r="G4672">
        <v>0.55543818816474799</v>
      </c>
      <c r="H4672">
        <v>0.42807151149636602</v>
      </c>
      <c r="I4672">
        <v>0.45985253203887799</v>
      </c>
      <c r="J4672">
        <v>0.42696852943917801</v>
      </c>
      <c r="K4672">
        <v>0.32880756936668198</v>
      </c>
      <c r="L4672">
        <v>694.59111118748297</v>
      </c>
      <c r="M4672">
        <v>12.4103626124306</v>
      </c>
      <c r="N4672">
        <v>60.479826551177403</v>
      </c>
      <c r="O4672">
        <v>54.575009257642101</v>
      </c>
      <c r="P4672">
        <v>-3.9697012624106097E-2</v>
      </c>
      <c r="Q4672">
        <v>0.30187164500541402</v>
      </c>
      <c r="R4672">
        <v>0.92467307750962702</v>
      </c>
      <c r="S4672" t="s">
        <v>9412</v>
      </c>
      <c r="T4672" t="s">
        <v>9478</v>
      </c>
      <c r="U4672" t="s">
        <v>9478</v>
      </c>
      <c r="V4672" t="s">
        <v>9478</v>
      </c>
      <c r="W4672">
        <v>1</v>
      </c>
      <c r="X4672" t="s">
        <v>14150</v>
      </c>
      <c r="Y4672">
        <v>0.68757196397171583</v>
      </c>
      <c r="Z4672" t="str">
        <f>HYPERLINK("Melting_Curves/meltCurve_tr_Q5H937_Q5H937_HUMAN_.pdf", "Melting_Curves/meltCurve_tr_Q5H937_Q5H937_HUMAN_.pdf")</f>
        <v>Melting_Curves/meltCurve_tr_Q5H937_Q5H937_HUMAN_.pdf</v>
      </c>
      <c r="AA4672" t="s">
        <v>18774</v>
      </c>
      <c r="AB4672" t="s">
        <v>23476</v>
      </c>
    </row>
    <row r="4673" spans="1:28" x14ac:dyDescent="0.25">
      <c r="A4673" t="s">
        <v>4677</v>
      </c>
      <c r="B4673">
        <v>0.99904790336628502</v>
      </c>
      <c r="C4673">
        <v>1.0223548862151199</v>
      </c>
      <c r="D4673">
        <v>1.0823864331642501</v>
      </c>
      <c r="E4673">
        <v>0.98609117001623403</v>
      </c>
      <c r="F4673">
        <v>0.73779141162987705</v>
      </c>
      <c r="G4673">
        <v>0.29151845400140802</v>
      </c>
      <c r="H4673">
        <v>0.16227537324990601</v>
      </c>
      <c r="I4673">
        <v>0.12586642974977399</v>
      </c>
      <c r="J4673">
        <v>0.110287729183771</v>
      </c>
      <c r="K4673">
        <v>8.4591046297963102E-2</v>
      </c>
      <c r="L4673">
        <v>1757.4818024041499</v>
      </c>
      <c r="M4673">
        <v>32.212410581921297</v>
      </c>
      <c r="N4673">
        <v>54.986025965643698</v>
      </c>
      <c r="O4673">
        <v>54.350173458792</v>
      </c>
      <c r="P4673">
        <v>-0.131779253570009</v>
      </c>
      <c r="Q4673">
        <v>0.11062972986274799</v>
      </c>
      <c r="R4673">
        <v>0.99418354666358699</v>
      </c>
      <c r="S4673" t="s">
        <v>9413</v>
      </c>
      <c r="T4673" t="s">
        <v>9478</v>
      </c>
      <c r="U4673" t="s">
        <v>9478</v>
      </c>
      <c r="V4673" t="s">
        <v>9478</v>
      </c>
      <c r="W4673">
        <v>63</v>
      </c>
      <c r="X4673" t="s">
        <v>14151</v>
      </c>
      <c r="Y4673">
        <v>0.54737048128126786</v>
      </c>
      <c r="Z4673" t="str">
        <f>HYPERLINK("Melting_Curves/meltCurve_tr_Q5HY54_Q5HY54_HUMAN_.pdf", "Melting_Curves/meltCurve_tr_Q5HY54_Q5HY54_HUMAN_.pdf")</f>
        <v>Melting_Curves/meltCurve_tr_Q5HY54_Q5HY54_HUMAN_.pdf</v>
      </c>
      <c r="AA4673" t="s">
        <v>18775</v>
      </c>
      <c r="AB4673" t="s">
        <v>23477</v>
      </c>
    </row>
    <row r="4674" spans="1:28" x14ac:dyDescent="0.25">
      <c r="A4674" t="s">
        <v>4678</v>
      </c>
      <c r="B4674">
        <v>0.99904790336628502</v>
      </c>
      <c r="C4674">
        <v>0.93261909722202296</v>
      </c>
      <c r="D4674">
        <v>0.87731799736704996</v>
      </c>
      <c r="E4674">
        <v>0.64664431582705995</v>
      </c>
      <c r="F4674">
        <v>0.47015264080643698</v>
      </c>
      <c r="G4674">
        <v>0.41213101794601098</v>
      </c>
      <c r="H4674">
        <v>0.34234984128865398</v>
      </c>
      <c r="I4674">
        <v>0.34574361197944098</v>
      </c>
      <c r="J4674">
        <v>0.355612791995226</v>
      </c>
      <c r="K4674">
        <v>0.41702513614860498</v>
      </c>
      <c r="L4674">
        <v>973.46922067640901</v>
      </c>
      <c r="M4674">
        <v>19.771410012424301</v>
      </c>
      <c r="N4674">
        <v>52.629583943936701</v>
      </c>
      <c r="O4674">
        <v>48.740804538558898</v>
      </c>
      <c r="P4674">
        <v>-6.4879284224350894E-2</v>
      </c>
      <c r="Q4674">
        <v>0.36025568119921703</v>
      </c>
      <c r="R4674">
        <v>0.98970836572147503</v>
      </c>
      <c r="S4674" t="s">
        <v>9414</v>
      </c>
      <c r="T4674" t="s">
        <v>9478</v>
      </c>
      <c r="U4674" t="s">
        <v>9478</v>
      </c>
      <c r="V4674" t="s">
        <v>9478</v>
      </c>
      <c r="W4674">
        <v>4</v>
      </c>
      <c r="X4674" t="s">
        <v>14152</v>
      </c>
      <c r="Y4674">
        <v>0.56636871496068941</v>
      </c>
      <c r="Z4674" t="str">
        <f>HYPERLINK("Melting_Curves/meltCurve_tr_Q5JB52_Q5JB52_HUMAN_.pdf", "Melting_Curves/meltCurve_tr_Q5JB52_Q5JB52_HUMAN_.pdf")</f>
        <v>Melting_Curves/meltCurve_tr_Q5JB52_Q5JB52_HUMAN_.pdf</v>
      </c>
      <c r="AA4674" t="s">
        <v>18776</v>
      </c>
      <c r="AB4674" t="s">
        <v>23478</v>
      </c>
    </row>
    <row r="4675" spans="1:28" x14ac:dyDescent="0.25">
      <c r="A4675" t="s">
        <v>4679</v>
      </c>
      <c r="B4675">
        <v>0.99904790336628502</v>
      </c>
      <c r="C4675">
        <v>0.49917260501969801</v>
      </c>
      <c r="D4675">
        <v>0.56372033014761802</v>
      </c>
      <c r="E4675">
        <v>0.337767060606248</v>
      </c>
      <c r="F4675">
        <v>0.21418729084260399</v>
      </c>
      <c r="G4675">
        <v>0.110131584530361</v>
      </c>
      <c r="H4675">
        <v>6.7099146882428906E-2</v>
      </c>
      <c r="I4675">
        <v>4.3121123149851802E-2</v>
      </c>
      <c r="J4675">
        <v>3.3636078357819899E-2</v>
      </c>
      <c r="K4675">
        <v>3.5648372098619797E-2</v>
      </c>
      <c r="L4675">
        <v>491.47321865935101</v>
      </c>
      <c r="M4675">
        <v>10.648635147712399</v>
      </c>
      <c r="N4675">
        <v>46.183951068111703</v>
      </c>
      <c r="O4675">
        <v>44.615194657737099</v>
      </c>
      <c r="P4675">
        <v>-5.9484243584276002E-2</v>
      </c>
      <c r="Q4675">
        <v>3.4822580714882101E-3</v>
      </c>
      <c r="R4675">
        <v>0.92526559294425303</v>
      </c>
      <c r="S4675" t="s">
        <v>9415</v>
      </c>
      <c r="T4675" t="s">
        <v>9478</v>
      </c>
      <c r="U4675" t="s">
        <v>9478</v>
      </c>
      <c r="V4675" t="s">
        <v>9478</v>
      </c>
      <c r="W4675">
        <v>16</v>
      </c>
      <c r="X4675" t="s">
        <v>14153</v>
      </c>
      <c r="Y4675">
        <v>0.26327969143023189</v>
      </c>
      <c r="Z4675" t="str">
        <f>HYPERLINK("Melting_Curves/meltCurve_tr_Q5JP53_Q5JP53_HUMAN_.pdf", "Melting_Curves/meltCurve_tr_Q5JP53_Q5JP53_HUMAN_.pdf")</f>
        <v>Melting_Curves/meltCurve_tr_Q5JP53_Q5JP53_HUMAN_.pdf</v>
      </c>
      <c r="AA4675" t="s">
        <v>18777</v>
      </c>
      <c r="AB4675" t="s">
        <v>23479</v>
      </c>
    </row>
    <row r="4676" spans="1:28" x14ac:dyDescent="0.25">
      <c r="A4676" t="s">
        <v>4680</v>
      </c>
      <c r="B4676">
        <v>0.99904790336628502</v>
      </c>
      <c r="C4676">
        <v>0.86606907859314097</v>
      </c>
      <c r="D4676">
        <v>0.69018604520353799</v>
      </c>
      <c r="E4676">
        <v>0.40228382719725497</v>
      </c>
      <c r="F4676">
        <v>0.22108796105787601</v>
      </c>
      <c r="G4676">
        <v>0.11495023999321199</v>
      </c>
      <c r="H4676">
        <v>6.4988425857944801E-2</v>
      </c>
      <c r="I4676">
        <v>5.0591559778795897E-2</v>
      </c>
      <c r="J4676">
        <v>3.6366064391411601E-2</v>
      </c>
      <c r="K4676">
        <v>4.46764749207198E-2</v>
      </c>
      <c r="L4676">
        <v>750.77765908262597</v>
      </c>
      <c r="M4676">
        <v>15.534962342845001</v>
      </c>
      <c r="N4676">
        <v>48.520683616299102</v>
      </c>
      <c r="O4676">
        <v>47.548687431450603</v>
      </c>
      <c r="P4676">
        <v>-7.9246290888589005E-2</v>
      </c>
      <c r="Q4676">
        <v>2.98720166224292E-2</v>
      </c>
      <c r="R4676">
        <v>0.99857170003453599</v>
      </c>
      <c r="S4676" t="s">
        <v>9416</v>
      </c>
      <c r="T4676" t="s">
        <v>9478</v>
      </c>
      <c r="U4676" t="s">
        <v>9478</v>
      </c>
      <c r="V4676" t="s">
        <v>9478</v>
      </c>
      <c r="W4676">
        <v>9</v>
      </c>
      <c r="X4676" t="s">
        <v>14154</v>
      </c>
      <c r="Y4676">
        <v>0.32215088903194522</v>
      </c>
      <c r="Z4676" t="str">
        <f>HYPERLINK("Melting_Curves/meltCurve_tr_Q5JR08_Q5JR08_HUMAN_.pdf", "Melting_Curves/meltCurve_tr_Q5JR08_Q5JR08_HUMAN_.pdf")</f>
        <v>Melting_Curves/meltCurve_tr_Q5JR08_Q5JR08_HUMAN_.pdf</v>
      </c>
      <c r="AA4676" t="s">
        <v>18778</v>
      </c>
      <c r="AB4676" t="s">
        <v>23480</v>
      </c>
    </row>
    <row r="4677" spans="1:28" x14ac:dyDescent="0.25">
      <c r="A4677" t="s">
        <v>4681</v>
      </c>
      <c r="B4677">
        <v>0.99904790336628502</v>
      </c>
      <c r="C4677">
        <v>1.0836293256884599</v>
      </c>
      <c r="D4677">
        <v>1.0029861649940599</v>
      </c>
      <c r="E4677">
        <v>1.23323873758118</v>
      </c>
      <c r="F4677">
        <v>0.88933031818855701</v>
      </c>
      <c r="G4677">
        <v>1.0317754118462401</v>
      </c>
      <c r="H4677">
        <v>0.97729674325397897</v>
      </c>
      <c r="I4677">
        <v>0.92137741877128798</v>
      </c>
      <c r="J4677">
        <v>0.97630386237952504</v>
      </c>
      <c r="K4677">
        <v>1.0264303528048799</v>
      </c>
      <c r="L4677">
        <v>15000</v>
      </c>
      <c r="M4677">
        <v>248.07169193216501</v>
      </c>
      <c r="O4677">
        <v>60.462461469129401</v>
      </c>
      <c r="P4677">
        <v>-2.59467072595248E-2</v>
      </c>
      <c r="Q4677">
        <v>0.97470405793835102</v>
      </c>
      <c r="R4677">
        <v>5.3990071839232802E-3</v>
      </c>
      <c r="S4677" t="s">
        <v>9417</v>
      </c>
      <c r="T4677" t="s">
        <v>9478</v>
      </c>
      <c r="U4677" t="s">
        <v>9478</v>
      </c>
      <c r="V4677" t="s">
        <v>9478</v>
      </c>
      <c r="W4677">
        <v>4</v>
      </c>
      <c r="X4677" t="s">
        <v>14155</v>
      </c>
      <c r="Y4677">
        <v>0.99196400582128841</v>
      </c>
      <c r="Z4677" t="str">
        <f>HYPERLINK("Melting_Curves/meltCurve_tr_Q5JSK9_Q5JSK9_HUMAN_.pdf", "Melting_Curves/meltCurve_tr_Q5JSK9_Q5JSK9_HUMAN_.pdf")</f>
        <v>Melting_Curves/meltCurve_tr_Q5JSK9_Q5JSK9_HUMAN_.pdf</v>
      </c>
      <c r="AA4677" t="s">
        <v>18779</v>
      </c>
      <c r="AB4677" t="s">
        <v>23481</v>
      </c>
    </row>
    <row r="4678" spans="1:28" x14ac:dyDescent="0.25">
      <c r="A4678" t="s">
        <v>4682</v>
      </c>
      <c r="B4678">
        <v>0.99904790336628502</v>
      </c>
      <c r="C4678">
        <v>0.99404526799895898</v>
      </c>
      <c r="D4678">
        <v>1.02614600238194</v>
      </c>
      <c r="E4678">
        <v>0.87966290586270501</v>
      </c>
      <c r="F4678">
        <v>0.704388734165318</v>
      </c>
      <c r="G4678">
        <v>0.44620212294651201</v>
      </c>
      <c r="H4678">
        <v>0.30840190815580099</v>
      </c>
      <c r="I4678">
        <v>0.18079612655496399</v>
      </c>
      <c r="J4678">
        <v>0.16151013061701899</v>
      </c>
      <c r="K4678">
        <v>0.14302456952835099</v>
      </c>
      <c r="L4678">
        <v>946.83006469805503</v>
      </c>
      <c r="M4678">
        <v>17.107600658162099</v>
      </c>
      <c r="N4678">
        <v>56.262538555207499</v>
      </c>
      <c r="O4678">
        <v>54.605946701029801</v>
      </c>
      <c r="P4678">
        <v>-6.8798309328404098E-2</v>
      </c>
      <c r="Q4678">
        <v>0.12166050080150501</v>
      </c>
      <c r="R4678">
        <v>0.99616600515067599</v>
      </c>
      <c r="S4678" t="s">
        <v>9418</v>
      </c>
      <c r="T4678" t="s">
        <v>9478</v>
      </c>
      <c r="U4678" t="s">
        <v>9478</v>
      </c>
      <c r="V4678" t="s">
        <v>9478</v>
      </c>
      <c r="W4678">
        <v>2</v>
      </c>
      <c r="X4678" t="s">
        <v>14156</v>
      </c>
      <c r="Y4678">
        <v>0.58521786314079527</v>
      </c>
      <c r="Z4678" t="str">
        <f>HYPERLINK("Melting_Curves/meltCurve_tr_Q5JTV1_Q5JTV1_HUMAN_.pdf", "Melting_Curves/meltCurve_tr_Q5JTV1_Q5JTV1_HUMAN_.pdf")</f>
        <v>Melting_Curves/meltCurve_tr_Q5JTV1_Q5JTV1_HUMAN_.pdf</v>
      </c>
      <c r="AA4678" t="s">
        <v>18780</v>
      </c>
      <c r="AB4678" t="s">
        <v>23482</v>
      </c>
    </row>
    <row r="4679" spans="1:28" x14ac:dyDescent="0.25">
      <c r="A4679" t="s">
        <v>4683</v>
      </c>
      <c r="B4679">
        <v>0.99904790336628502</v>
      </c>
      <c r="C4679">
        <v>0.96024223525554198</v>
      </c>
      <c r="D4679">
        <v>0.91393635234411297</v>
      </c>
      <c r="E4679">
        <v>0.89435305421690603</v>
      </c>
      <c r="F4679">
        <v>0.89017716874608899</v>
      </c>
      <c r="G4679">
        <v>0.76611194737000099</v>
      </c>
      <c r="H4679">
        <v>0.65670282657972201</v>
      </c>
      <c r="I4679">
        <v>0.63180695972387502</v>
      </c>
      <c r="J4679">
        <v>0.707598944191834</v>
      </c>
      <c r="K4679">
        <v>0.66851705540342399</v>
      </c>
      <c r="L4679">
        <v>618.99696730052199</v>
      </c>
      <c r="M4679">
        <v>11.419573111258901</v>
      </c>
      <c r="O4679">
        <v>52.622558367084302</v>
      </c>
      <c r="P4679">
        <v>-2.0426335324218801E-2</v>
      </c>
      <c r="Q4679">
        <v>0.62360336691955398</v>
      </c>
      <c r="R4679">
        <v>0.92705421257199305</v>
      </c>
      <c r="S4679" t="s">
        <v>9419</v>
      </c>
      <c r="T4679" t="s">
        <v>9478</v>
      </c>
      <c r="U4679" t="s">
        <v>9478</v>
      </c>
      <c r="V4679" t="s">
        <v>9478</v>
      </c>
      <c r="W4679">
        <v>5</v>
      </c>
      <c r="X4679" t="s">
        <v>14157</v>
      </c>
      <c r="Y4679">
        <v>0.81187327862186498</v>
      </c>
      <c r="Z4679" t="str">
        <f>HYPERLINK("Melting_Curves/meltCurve_tr_Q5JW30_Q5JW30_HUMAN_.pdf", "Melting_Curves/meltCurve_tr_Q5JW30_Q5JW30_HUMAN_.pdf")</f>
        <v>Melting_Curves/meltCurve_tr_Q5JW30_Q5JW30_HUMAN_.pdf</v>
      </c>
      <c r="AA4679" t="s">
        <v>18781</v>
      </c>
      <c r="AB4679" t="s">
        <v>23483</v>
      </c>
    </row>
    <row r="4680" spans="1:28" x14ac:dyDescent="0.25">
      <c r="A4680" t="s">
        <v>4684</v>
      </c>
      <c r="B4680">
        <v>0.99904790336628502</v>
      </c>
      <c r="C4680">
        <v>1.04072263278591</v>
      </c>
      <c r="D4680">
        <v>0.88678543590650205</v>
      </c>
      <c r="E4680">
        <v>0.88111395503879897</v>
      </c>
      <c r="F4680">
        <v>0.64619483896045404</v>
      </c>
      <c r="G4680">
        <v>0.52253733874866604</v>
      </c>
      <c r="H4680">
        <v>0.32266020459768102</v>
      </c>
      <c r="I4680">
        <v>0.26929901497590902</v>
      </c>
      <c r="J4680">
        <v>0.26191923080937002</v>
      </c>
      <c r="K4680">
        <v>0.37176101339848699</v>
      </c>
      <c r="L4680">
        <v>935.75480887318599</v>
      </c>
      <c r="M4680">
        <v>17.428920403356202</v>
      </c>
      <c r="N4680">
        <v>56.290089634452897</v>
      </c>
      <c r="O4680">
        <v>52.9979229170862</v>
      </c>
      <c r="P4680">
        <v>-5.9487242168812897E-2</v>
      </c>
      <c r="Q4680">
        <v>0.27648446684544598</v>
      </c>
      <c r="R4680">
        <v>0.97100659086094598</v>
      </c>
      <c r="S4680" t="s">
        <v>9420</v>
      </c>
      <c r="T4680" t="s">
        <v>9478</v>
      </c>
      <c r="U4680" t="s">
        <v>9478</v>
      </c>
      <c r="V4680" t="s">
        <v>9478</v>
      </c>
      <c r="W4680">
        <v>2</v>
      </c>
      <c r="X4680" t="s">
        <v>14158</v>
      </c>
      <c r="Y4680">
        <v>0.61889309887924882</v>
      </c>
      <c r="Z4680" t="str">
        <f>HYPERLINK("Melting_Curves/meltCurve_tr_Q5JW53_Q5JW53_HUMAN_.pdf", "Melting_Curves/meltCurve_tr_Q5JW53_Q5JW53_HUMAN_.pdf")</f>
        <v>Melting_Curves/meltCurve_tr_Q5JW53_Q5JW53_HUMAN_.pdf</v>
      </c>
      <c r="AA4680" t="s">
        <v>18782</v>
      </c>
      <c r="AB4680" t="s">
        <v>23484</v>
      </c>
    </row>
    <row r="4681" spans="1:28" x14ac:dyDescent="0.25">
      <c r="A4681" t="s">
        <v>4685</v>
      </c>
      <c r="B4681">
        <v>0.99904790336628502</v>
      </c>
      <c r="C4681">
        <v>1.1533389892786401</v>
      </c>
      <c r="D4681">
        <v>1.1400239236090399</v>
      </c>
      <c r="E4681">
        <v>1.0444388133852001</v>
      </c>
      <c r="F4681">
        <v>0.90748790562409498</v>
      </c>
      <c r="G4681">
        <v>0.55782516134393301</v>
      </c>
      <c r="H4681">
        <v>0.36267557389795801</v>
      </c>
      <c r="I4681">
        <v>0.34163700418669701</v>
      </c>
      <c r="J4681">
        <v>0.36258110753871198</v>
      </c>
      <c r="K4681">
        <v>0.38422881312220802</v>
      </c>
      <c r="L4681">
        <v>2173.1522484440702</v>
      </c>
      <c r="M4681">
        <v>38.980899936328697</v>
      </c>
      <c r="N4681">
        <v>57.602797601925701</v>
      </c>
      <c r="O4681">
        <v>55.603043222902798</v>
      </c>
      <c r="P4681">
        <v>-0.112629286435979</v>
      </c>
      <c r="Q4681">
        <v>0.35737590372424199</v>
      </c>
      <c r="R4681">
        <v>0.95748919136918398</v>
      </c>
      <c r="S4681" t="s">
        <v>9421</v>
      </c>
      <c r="T4681" t="s">
        <v>9478</v>
      </c>
      <c r="U4681" t="s">
        <v>9478</v>
      </c>
      <c r="V4681" t="s">
        <v>9478</v>
      </c>
      <c r="W4681">
        <v>2</v>
      </c>
      <c r="X4681" t="s">
        <v>14159</v>
      </c>
      <c r="Y4681">
        <v>0.69732649468395536</v>
      </c>
      <c r="Z4681" t="str">
        <f>HYPERLINK("Melting_Curves/meltCurve_tr_Q5JXX2_Q5JXX2_HUMAN_.pdf", "Melting_Curves/meltCurve_tr_Q5JXX2_Q5JXX2_HUMAN_.pdf")</f>
        <v>Melting_Curves/meltCurve_tr_Q5JXX2_Q5JXX2_HUMAN_.pdf</v>
      </c>
      <c r="AA4681" t="s">
        <v>18783</v>
      </c>
      <c r="AB4681" t="s">
        <v>23485</v>
      </c>
    </row>
    <row r="4682" spans="1:28" x14ac:dyDescent="0.25">
      <c r="A4682" t="s">
        <v>4686</v>
      </c>
      <c r="B4682">
        <v>0.99904790336628502</v>
      </c>
      <c r="C4682">
        <v>1.0644006768486101</v>
      </c>
      <c r="D4682">
        <v>0.98453726137727504</v>
      </c>
      <c r="E4682">
        <v>0.95456351441660403</v>
      </c>
      <c r="F4682">
        <v>0.94737037698533599</v>
      </c>
      <c r="G4682">
        <v>0.77249694490854004</v>
      </c>
      <c r="H4682">
        <v>0.67652641685848403</v>
      </c>
      <c r="I4682">
        <v>0.64777478323353799</v>
      </c>
      <c r="J4682">
        <v>0.67480343635351003</v>
      </c>
      <c r="K4682">
        <v>0.60687715065330405</v>
      </c>
      <c r="L4682">
        <v>1385.64924483806</v>
      </c>
      <c r="M4682">
        <v>24.718224924301101</v>
      </c>
      <c r="O4682">
        <v>55.694755186750101</v>
      </c>
      <c r="P4682">
        <v>-4.0647424597257703E-2</v>
      </c>
      <c r="Q4682">
        <v>0.63366033596480098</v>
      </c>
      <c r="R4682">
        <v>0.97183930345797798</v>
      </c>
      <c r="S4682" t="s">
        <v>9422</v>
      </c>
      <c r="T4682" t="s">
        <v>9478</v>
      </c>
      <c r="U4682" t="s">
        <v>9478</v>
      </c>
      <c r="V4682" t="s">
        <v>9478</v>
      </c>
      <c r="W4682">
        <v>18</v>
      </c>
      <c r="X4682" t="s">
        <v>14160</v>
      </c>
      <c r="Y4682">
        <v>0.83317103818675686</v>
      </c>
      <c r="Z4682" t="str">
        <f>HYPERLINK("Melting_Curves/meltCurve_tr_Q5QNY5_Q5QNY5_HUMAN_.pdf", "Melting_Curves/meltCurve_tr_Q5QNY5_Q5QNY5_HUMAN_.pdf")</f>
        <v>Melting_Curves/meltCurve_tr_Q5QNY5_Q5QNY5_HUMAN_.pdf</v>
      </c>
      <c r="AA4682" t="s">
        <v>18784</v>
      </c>
      <c r="AB4682" t="s">
        <v>23486</v>
      </c>
    </row>
    <row r="4683" spans="1:28" x14ac:dyDescent="0.25">
      <c r="A4683" t="s">
        <v>4687</v>
      </c>
      <c r="B4683">
        <v>0.99904790336628502</v>
      </c>
      <c r="C4683">
        <v>1.03738276905211</v>
      </c>
      <c r="D4683">
        <v>0.96382559285451896</v>
      </c>
      <c r="E4683">
        <v>0.94600460051864099</v>
      </c>
      <c r="F4683">
        <v>0.91078913413151397</v>
      </c>
      <c r="G4683">
        <v>0.59650312524698101</v>
      </c>
      <c r="H4683">
        <v>0.44960472826557302</v>
      </c>
      <c r="I4683">
        <v>0.44487168916691</v>
      </c>
      <c r="J4683">
        <v>0.49350020966310298</v>
      </c>
      <c r="K4683">
        <v>0.43184106705796699</v>
      </c>
      <c r="L4683">
        <v>1930.9916839298</v>
      </c>
      <c r="M4683">
        <v>34.902063132788697</v>
      </c>
      <c r="N4683">
        <v>59.193981798434102</v>
      </c>
      <c r="O4683">
        <v>55.145317583186397</v>
      </c>
      <c r="P4683">
        <v>-8.7201019929423501E-2</v>
      </c>
      <c r="Q4683">
        <v>0.44889091338295201</v>
      </c>
      <c r="R4683">
        <v>0.988628183381834</v>
      </c>
      <c r="S4683" t="s">
        <v>9423</v>
      </c>
      <c r="T4683" t="s">
        <v>9478</v>
      </c>
      <c r="U4683" t="s">
        <v>9478</v>
      </c>
      <c r="V4683" t="s">
        <v>9478</v>
      </c>
      <c r="W4683">
        <v>6</v>
      </c>
      <c r="X4683" t="s">
        <v>14161</v>
      </c>
      <c r="Y4683">
        <v>0.73317761576141982</v>
      </c>
      <c r="Z4683" t="str">
        <f>HYPERLINK("Melting_Curves/meltCurve_tr_Q5QPL9_Q5QPL9_HUMAN_.pdf", "Melting_Curves/meltCurve_tr_Q5QPL9_Q5QPL9_HUMAN_.pdf")</f>
        <v>Melting_Curves/meltCurve_tr_Q5QPL9_Q5QPL9_HUMAN_.pdf</v>
      </c>
      <c r="AA4683" t="s">
        <v>18785</v>
      </c>
      <c r="AB4683" t="s">
        <v>23487</v>
      </c>
    </row>
    <row r="4684" spans="1:28" x14ac:dyDescent="0.25">
      <c r="A4684" t="s">
        <v>4688</v>
      </c>
      <c r="B4684">
        <v>0.99904790336628502</v>
      </c>
      <c r="C4684">
        <v>1.0839470918432801</v>
      </c>
      <c r="D4684">
        <v>0.98978687519046804</v>
      </c>
      <c r="E4684">
        <v>0.95070750611518795</v>
      </c>
      <c r="F4684">
        <v>1.0706163267612701</v>
      </c>
      <c r="G4684">
        <v>0.73902349955814794</v>
      </c>
      <c r="H4684">
        <v>0.53299416220829399</v>
      </c>
      <c r="I4684">
        <v>0.29458762227348401</v>
      </c>
      <c r="J4684">
        <v>0.15233125070880699</v>
      </c>
      <c r="K4684">
        <v>0.11458733466679399</v>
      </c>
      <c r="L4684">
        <v>1264.35667915252</v>
      </c>
      <c r="M4684">
        <v>20.8226489158357</v>
      </c>
      <c r="N4684">
        <v>61.034278377216197</v>
      </c>
      <c r="O4684">
        <v>60.168552149728001</v>
      </c>
      <c r="P4684">
        <v>-8.2125495897431705E-2</v>
      </c>
      <c r="Q4684">
        <v>5.0796071467161599E-2</v>
      </c>
      <c r="R4684">
        <v>0.97979749917269998</v>
      </c>
      <c r="S4684" t="s">
        <v>9424</v>
      </c>
      <c r="T4684" t="s">
        <v>9478</v>
      </c>
      <c r="U4684" t="s">
        <v>9478</v>
      </c>
      <c r="V4684" t="s">
        <v>9478</v>
      </c>
      <c r="W4684">
        <v>4</v>
      </c>
      <c r="X4684" t="s">
        <v>14162</v>
      </c>
      <c r="Y4684">
        <v>0.71291484210195033</v>
      </c>
      <c r="Z4684" t="str">
        <f>HYPERLINK("Melting_Curves/meltCurve_tr_Q5QPM7_Q5QPM7_HUMAN_.pdf", "Melting_Curves/meltCurve_tr_Q5QPM7_Q5QPM7_HUMAN_.pdf")</f>
        <v>Melting_Curves/meltCurve_tr_Q5QPM7_Q5QPM7_HUMAN_.pdf</v>
      </c>
      <c r="AA4684" t="s">
        <v>18786</v>
      </c>
      <c r="AB4684" t="s">
        <v>23488</v>
      </c>
    </row>
    <row r="4685" spans="1:28" x14ac:dyDescent="0.25">
      <c r="A4685" t="s">
        <v>4689</v>
      </c>
      <c r="B4685">
        <v>0.99904790336628502</v>
      </c>
      <c r="C4685">
        <v>2.6056629296321199</v>
      </c>
      <c r="D4685">
        <v>2.6450100580673701</v>
      </c>
      <c r="E4685">
        <v>1.7642420603553901</v>
      </c>
      <c r="F4685">
        <v>1.6676114704243199</v>
      </c>
      <c r="G4685">
        <v>1.0375313970359601</v>
      </c>
      <c r="H4685">
        <v>0.69110021339602601</v>
      </c>
      <c r="I4685">
        <v>0.33876621523425299</v>
      </c>
      <c r="J4685">
        <v>0.20896091058750199</v>
      </c>
      <c r="K4685">
        <v>9.0654757339605999E-2</v>
      </c>
      <c r="L4685">
        <v>2513.47584870948</v>
      </c>
      <c r="M4685">
        <v>40.4644032894658</v>
      </c>
      <c r="N4685">
        <v>62.555282377946497</v>
      </c>
      <c r="O4685">
        <v>61.9645991661558</v>
      </c>
      <c r="P4685">
        <v>-0.14305499954643999</v>
      </c>
      <c r="Q4685">
        <v>0.12374065434140701</v>
      </c>
      <c r="R4685">
        <v>0.19768201344184999</v>
      </c>
      <c r="S4685" t="s">
        <v>9425</v>
      </c>
      <c r="T4685" t="s">
        <v>9478</v>
      </c>
      <c r="U4685" t="s">
        <v>9478</v>
      </c>
      <c r="V4685" t="s">
        <v>9478</v>
      </c>
      <c r="W4685">
        <v>1</v>
      </c>
      <c r="X4685" t="s">
        <v>14163</v>
      </c>
      <c r="Y4685">
        <v>0.77275749495996948</v>
      </c>
      <c r="Z4685" t="str">
        <f>HYPERLINK("Melting_Curves/meltCurve_tr_Q5SSZ3_Q5SSZ3_HUMAN_.pdf", "Melting_Curves/meltCurve_tr_Q5SSZ3_Q5SSZ3_HUMAN_.pdf")</f>
        <v>Melting_Curves/meltCurve_tr_Q5SSZ3_Q5SSZ3_HUMAN_.pdf</v>
      </c>
      <c r="AA4685" t="s">
        <v>18787</v>
      </c>
      <c r="AB4685" t="s">
        <v>23489</v>
      </c>
    </row>
    <row r="4686" spans="1:28" x14ac:dyDescent="0.25">
      <c r="A4686" t="s">
        <v>4690</v>
      </c>
      <c r="B4686">
        <v>0.99904790336628502</v>
      </c>
      <c r="C4686">
        <v>0.98393412177133199</v>
      </c>
      <c r="D4686">
        <v>0.93903291355540097</v>
      </c>
      <c r="E4686">
        <v>0.98520019404700898</v>
      </c>
      <c r="F4686">
        <v>0.99032173099251097</v>
      </c>
      <c r="G4686">
        <v>0.77098222131864003</v>
      </c>
      <c r="H4686">
        <v>0.75388453860652005</v>
      </c>
      <c r="I4686">
        <v>0.789627775486061</v>
      </c>
      <c r="J4686">
        <v>0.93242646924931105</v>
      </c>
      <c r="K4686">
        <v>1.11094231146044</v>
      </c>
      <c r="L4686">
        <v>13382.8758683255</v>
      </c>
      <c r="M4686">
        <v>250</v>
      </c>
      <c r="O4686">
        <v>53.528077790821698</v>
      </c>
      <c r="P4686">
        <v>-0.14995323311894901</v>
      </c>
      <c r="Q4686">
        <v>0.87157266686134904</v>
      </c>
      <c r="R4686">
        <v>0.22047950312338399</v>
      </c>
      <c r="S4686" t="s">
        <v>9426</v>
      </c>
      <c r="T4686" t="s">
        <v>9478</v>
      </c>
      <c r="U4686" t="s">
        <v>9478</v>
      </c>
      <c r="V4686" t="s">
        <v>9478</v>
      </c>
      <c r="W4686">
        <v>19</v>
      </c>
      <c r="X4686" t="s">
        <v>14164</v>
      </c>
      <c r="Y4686">
        <v>0.92951189569937975</v>
      </c>
      <c r="Z4686" t="str">
        <f>HYPERLINK("Melting_Curves/meltCurve_tr_Q5SZC6_Q5SZC6_HUMAN_.pdf", "Melting_Curves/meltCurve_tr_Q5SZC6_Q5SZC6_HUMAN_.pdf")</f>
        <v>Melting_Curves/meltCurve_tr_Q5SZC6_Q5SZC6_HUMAN_.pdf</v>
      </c>
      <c r="AA4686" t="s">
        <v>17969</v>
      </c>
      <c r="AB4686" t="s">
        <v>23490</v>
      </c>
    </row>
    <row r="4687" spans="1:28" x14ac:dyDescent="0.25">
      <c r="A4687" t="s">
        <v>4691</v>
      </c>
      <c r="B4687">
        <v>0.99904790336628502</v>
      </c>
      <c r="C4687">
        <v>1.1576623065516101</v>
      </c>
      <c r="D4687">
        <v>1.16506949869629</v>
      </c>
      <c r="E4687">
        <v>1.0871489261604299</v>
      </c>
      <c r="F4687">
        <v>1.2281476132276701</v>
      </c>
      <c r="G4687">
        <v>0.86301355918862099</v>
      </c>
      <c r="H4687">
        <v>0.95447282749147999</v>
      </c>
      <c r="I4687">
        <v>0.94235094476352999</v>
      </c>
      <c r="J4687">
        <v>1.2432053033678101</v>
      </c>
      <c r="K4687">
        <v>1.1054467014820299</v>
      </c>
      <c r="L4687">
        <v>10263.3822543399</v>
      </c>
      <c r="M4687">
        <v>250</v>
      </c>
      <c r="O4687">
        <v>41.050893824257102</v>
      </c>
      <c r="P4687">
        <v>0.12628569222620001</v>
      </c>
      <c r="Q4687">
        <v>1.0829462648866699</v>
      </c>
      <c r="R4687">
        <v>4.2057600531057601E-2</v>
      </c>
      <c r="S4687" t="s">
        <v>9427</v>
      </c>
      <c r="T4687" t="s">
        <v>9478</v>
      </c>
      <c r="U4687" t="s">
        <v>9478</v>
      </c>
      <c r="V4687" t="s">
        <v>9478</v>
      </c>
      <c r="W4687">
        <v>3</v>
      </c>
      <c r="X4687" t="s">
        <v>14165</v>
      </c>
      <c r="Y4687">
        <v>1.0800268216998969</v>
      </c>
      <c r="Z4687" t="str">
        <f>HYPERLINK("Melting_Curves/meltCurve_tr_Q5T123_Q5T123_HUMAN_.pdf", "Melting_Curves/meltCurve_tr_Q5T123_Q5T123_HUMAN_.pdf")</f>
        <v>Melting_Curves/meltCurve_tr_Q5T123_Q5T123_HUMAN_.pdf</v>
      </c>
      <c r="AA4687" t="s">
        <v>18788</v>
      </c>
      <c r="AB4687" t="s">
        <v>23491</v>
      </c>
    </row>
    <row r="4688" spans="1:28" x14ac:dyDescent="0.25">
      <c r="A4688" t="s">
        <v>4692</v>
      </c>
      <c r="B4688">
        <v>0.99904790336628502</v>
      </c>
      <c r="C4688">
        <v>0.57808403721602997</v>
      </c>
      <c r="D4688">
        <v>0.56829284819074499</v>
      </c>
      <c r="E4688">
        <v>0.69723181171909798</v>
      </c>
      <c r="F4688">
        <v>0.65067956659034998</v>
      </c>
      <c r="G4688">
        <v>0.52240104011279098</v>
      </c>
      <c r="H4688">
        <v>0.44603784131125801</v>
      </c>
      <c r="I4688">
        <v>0.40632398831980698</v>
      </c>
      <c r="J4688">
        <v>0.28164205693114502</v>
      </c>
      <c r="K4688">
        <v>0.23617536688273499</v>
      </c>
      <c r="L4688">
        <v>224.541478063033</v>
      </c>
      <c r="M4688">
        <v>4.0159944724200498</v>
      </c>
      <c r="N4688">
        <v>55.911799579236401</v>
      </c>
      <c r="O4688">
        <v>45.959109072451803</v>
      </c>
      <c r="P4688">
        <v>-2.2122695622292101E-2</v>
      </c>
      <c r="Q4688">
        <v>0</v>
      </c>
      <c r="R4688">
        <v>0.74399834613395999</v>
      </c>
      <c r="S4688" t="s">
        <v>9428</v>
      </c>
      <c r="T4688" t="s">
        <v>9478</v>
      </c>
      <c r="U4688" t="s">
        <v>9478</v>
      </c>
      <c r="V4688" t="s">
        <v>9478</v>
      </c>
      <c r="W4688">
        <v>1</v>
      </c>
      <c r="X4688" t="s">
        <v>14166</v>
      </c>
      <c r="Y4688">
        <v>0.53668056732709968</v>
      </c>
      <c r="Z4688" t="str">
        <f>HYPERLINK("Melting_Curves/meltCurve_tr_Q5T179_Q5T179_HUMAN_.pdf", "Melting_Curves/meltCurve_tr_Q5T179_Q5T179_HUMAN_.pdf")</f>
        <v>Melting_Curves/meltCurve_tr_Q5T179_Q5T179_HUMAN_.pdf</v>
      </c>
      <c r="AA4688" t="s">
        <v>18789</v>
      </c>
      <c r="AB4688" t="s">
        <v>23492</v>
      </c>
    </row>
    <row r="4689" spans="1:28" x14ac:dyDescent="0.25">
      <c r="A4689" t="s">
        <v>4693</v>
      </c>
      <c r="B4689">
        <v>0.99904790336628502</v>
      </c>
      <c r="C4689">
        <v>1.0690173531793601</v>
      </c>
      <c r="D4689">
        <v>0.82196430538149301</v>
      </c>
      <c r="E4689">
        <v>0.77768097655847102</v>
      </c>
      <c r="F4689">
        <v>0.74299049596288402</v>
      </c>
      <c r="G4689">
        <v>0.46412538067877201</v>
      </c>
      <c r="H4689">
        <v>0.12670071793784601</v>
      </c>
      <c r="I4689">
        <v>0.20268306769427299</v>
      </c>
      <c r="J4689">
        <v>0.25237676618631899</v>
      </c>
      <c r="K4689">
        <v>0.158036781714429</v>
      </c>
      <c r="L4689">
        <v>823.23995537267501</v>
      </c>
      <c r="M4689">
        <v>15.0843855428231</v>
      </c>
      <c r="N4689">
        <v>55.6067642516362</v>
      </c>
      <c r="O4689">
        <v>53.643422852881002</v>
      </c>
      <c r="P4689">
        <v>-6.17288353647161E-2</v>
      </c>
      <c r="Q4689">
        <v>0.12200101932482001</v>
      </c>
      <c r="R4689">
        <v>0.94794836840297703</v>
      </c>
      <c r="S4689" t="s">
        <v>9429</v>
      </c>
      <c r="T4689" t="s">
        <v>9478</v>
      </c>
      <c r="U4689" t="s">
        <v>9478</v>
      </c>
      <c r="V4689" t="s">
        <v>9478</v>
      </c>
      <c r="W4689">
        <v>1</v>
      </c>
      <c r="X4689" t="s">
        <v>14167</v>
      </c>
      <c r="Y4689">
        <v>0.56588849901656946</v>
      </c>
      <c r="Z4689" t="str">
        <f>HYPERLINK("Melting_Curves/meltCurve_tr_Q5T4K5_Q5T4K5_HUMAN_.pdf", "Melting_Curves/meltCurve_tr_Q5T4K5_Q5T4K5_HUMAN_.pdf")</f>
        <v>Melting_Curves/meltCurve_tr_Q5T4K5_Q5T4K5_HUMAN_.pdf</v>
      </c>
      <c r="AA4689" t="s">
        <v>18790</v>
      </c>
      <c r="AB4689" t="s">
        <v>23493</v>
      </c>
    </row>
    <row r="4690" spans="1:28" x14ac:dyDescent="0.25">
      <c r="A4690" t="s">
        <v>4694</v>
      </c>
      <c r="B4690">
        <v>0.99904790336628502</v>
      </c>
      <c r="C4690">
        <v>1.0475768597057999</v>
      </c>
      <c r="D4690">
        <v>0.99517964934172998</v>
      </c>
      <c r="E4690">
        <v>0.88883609977310896</v>
      </c>
      <c r="F4690">
        <v>0.82730226768461701</v>
      </c>
      <c r="G4690">
        <v>0.41786403126748101</v>
      </c>
      <c r="H4690">
        <v>0.145888998265541</v>
      </c>
      <c r="I4690">
        <v>0.11128566169041799</v>
      </c>
      <c r="J4690">
        <v>0.100626982624913</v>
      </c>
      <c r="K4690">
        <v>8.9927758448180198E-2</v>
      </c>
      <c r="L4690">
        <v>1407.2253020851099</v>
      </c>
      <c r="M4690">
        <v>25.246901636307101</v>
      </c>
      <c r="N4690">
        <v>56.111076678942098</v>
      </c>
      <c r="O4690">
        <v>55.392381351998601</v>
      </c>
      <c r="P4690">
        <v>-0.105154416081573</v>
      </c>
      <c r="Q4690">
        <v>7.7165719130407706E-2</v>
      </c>
      <c r="R4690">
        <v>0.99527198207850098</v>
      </c>
      <c r="S4690" t="s">
        <v>9430</v>
      </c>
      <c r="T4690" t="s">
        <v>9478</v>
      </c>
      <c r="U4690" t="s">
        <v>9478</v>
      </c>
      <c r="V4690" t="s">
        <v>9478</v>
      </c>
      <c r="W4690">
        <v>1</v>
      </c>
      <c r="X4690" t="s">
        <v>14168</v>
      </c>
      <c r="Y4690">
        <v>0.56965718913837005</v>
      </c>
      <c r="Z4690" t="str">
        <f>HYPERLINK("Melting_Curves/meltCurve_tr_Q5T6K7_Q5T6K7_HUMAN_.pdf", "Melting_Curves/meltCurve_tr_Q5T6K7_Q5T6K7_HUMAN_.pdf")</f>
        <v>Melting_Curves/meltCurve_tr_Q5T6K7_Q5T6K7_HUMAN_.pdf</v>
      </c>
      <c r="AA4690" t="s">
        <v>18791</v>
      </c>
      <c r="AB4690" t="s">
        <v>23494</v>
      </c>
    </row>
    <row r="4691" spans="1:28" x14ac:dyDescent="0.25">
      <c r="A4691" t="s">
        <v>4695</v>
      </c>
      <c r="B4691">
        <v>0.99904790336628502</v>
      </c>
      <c r="C4691">
        <v>0.870250263449032</v>
      </c>
      <c r="D4691">
        <v>0.84471385646568897</v>
      </c>
      <c r="E4691">
        <v>0.73753961465411699</v>
      </c>
      <c r="F4691">
        <v>0.40067850459119297</v>
      </c>
      <c r="G4691">
        <v>0.162124441901043</v>
      </c>
      <c r="H4691">
        <v>0.104978415563724</v>
      </c>
      <c r="I4691">
        <v>8.1412447992510101E-2</v>
      </c>
      <c r="J4691">
        <v>7.6219233917677806E-2</v>
      </c>
      <c r="K4691">
        <v>6.39348810400686E-2</v>
      </c>
      <c r="L4691">
        <v>885.61839952853802</v>
      </c>
      <c r="M4691">
        <v>17.129285483177998</v>
      </c>
      <c r="N4691">
        <v>51.970008828417399</v>
      </c>
      <c r="O4691">
        <v>51.012774368575897</v>
      </c>
      <c r="P4691">
        <v>-8.0402279533620002E-2</v>
      </c>
      <c r="Q4691">
        <v>4.2272408029589197E-2</v>
      </c>
      <c r="R4691">
        <v>0.98334907045495701</v>
      </c>
      <c r="S4691" t="s">
        <v>9431</v>
      </c>
      <c r="T4691" t="s">
        <v>9478</v>
      </c>
      <c r="U4691" t="s">
        <v>9478</v>
      </c>
      <c r="V4691" t="s">
        <v>9478</v>
      </c>
      <c r="W4691">
        <v>16</v>
      </c>
      <c r="X4691" t="s">
        <v>14169</v>
      </c>
      <c r="Y4691">
        <v>0.43327027388552658</v>
      </c>
      <c r="Z4691" t="str">
        <f>HYPERLINK("Melting_Curves/meltCurve_tr_Q5T7A4_Q5T7A4_HUMAN_.pdf", "Melting_Curves/meltCurve_tr_Q5T7A4_Q5T7A4_HUMAN_.pdf")</f>
        <v>Melting_Curves/meltCurve_tr_Q5T7A4_Q5T7A4_HUMAN_.pdf</v>
      </c>
      <c r="AA4691" t="s">
        <v>18792</v>
      </c>
      <c r="AB4691" t="s">
        <v>23495</v>
      </c>
    </row>
    <row r="4692" spans="1:28" x14ac:dyDescent="0.25">
      <c r="A4692" t="s">
        <v>4696</v>
      </c>
      <c r="B4692">
        <v>0.99904790336628502</v>
      </c>
      <c r="C4692">
        <v>0.95887107055805998</v>
      </c>
      <c r="D4692">
        <v>0.91789040444469705</v>
      </c>
      <c r="E4692">
        <v>0.78087089156212397</v>
      </c>
      <c r="F4692">
        <v>0.63227303456040995</v>
      </c>
      <c r="G4692">
        <v>0.36878828335361402</v>
      </c>
      <c r="H4692">
        <v>0.203086635809727</v>
      </c>
      <c r="I4692">
        <v>0.104906594513504</v>
      </c>
      <c r="J4692">
        <v>6.9831059620248895E-2</v>
      </c>
      <c r="K4692">
        <v>4.8245639202335801E-2</v>
      </c>
      <c r="L4692">
        <v>752.96890422676097</v>
      </c>
      <c r="M4692">
        <v>13.7420910543998</v>
      </c>
      <c r="N4692">
        <v>54.792891521835301</v>
      </c>
      <c r="O4692">
        <v>53.671674702855803</v>
      </c>
      <c r="P4692">
        <v>-6.4019084760679995E-2</v>
      </c>
      <c r="Q4692">
        <v>0</v>
      </c>
      <c r="R4692">
        <v>0.99902172045654203</v>
      </c>
      <c r="S4692" t="s">
        <v>9432</v>
      </c>
      <c r="T4692" t="s">
        <v>9478</v>
      </c>
      <c r="U4692" t="s">
        <v>9478</v>
      </c>
      <c r="V4692" t="s">
        <v>9478</v>
      </c>
      <c r="W4692">
        <v>19</v>
      </c>
      <c r="X4692" t="s">
        <v>14170</v>
      </c>
      <c r="Y4692">
        <v>0.51450818449681546</v>
      </c>
      <c r="Z4692" t="str">
        <f>HYPERLINK("Melting_Curves/meltCurve_tr_Q5T985_Q5T985_HUMAN_.pdf", "Melting_Curves/meltCurve_tr_Q5T985_Q5T985_HUMAN_.pdf")</f>
        <v>Melting_Curves/meltCurve_tr_Q5T985_Q5T985_HUMAN_.pdf</v>
      </c>
      <c r="AA4692" t="s">
        <v>18793</v>
      </c>
      <c r="AB4692" t="s">
        <v>23496</v>
      </c>
    </row>
    <row r="4693" spans="1:28" x14ac:dyDescent="0.25">
      <c r="A4693" t="s">
        <v>4697</v>
      </c>
      <c r="B4693">
        <v>0.99904790336628502</v>
      </c>
      <c r="C4693">
        <v>2.2801661845017498</v>
      </c>
      <c r="D4693">
        <v>2.40224453720097</v>
      </c>
      <c r="E4693">
        <v>1.67071335002189</v>
      </c>
      <c r="F4693">
        <v>1.7917455246724601</v>
      </c>
      <c r="G4693">
        <v>0.86642037330284205</v>
      </c>
      <c r="H4693">
        <v>0.80645802509309295</v>
      </c>
      <c r="I4693">
        <v>0.61266286725221797</v>
      </c>
      <c r="J4693">
        <v>0.66113761232888002</v>
      </c>
      <c r="K4693">
        <v>0.29753815510305498</v>
      </c>
      <c r="L4693">
        <v>1381.95974167346</v>
      </c>
      <c r="M4693">
        <v>21.126067295509699</v>
      </c>
      <c r="N4693">
        <v>67.143931404982993</v>
      </c>
      <c r="O4693">
        <v>64.837244451362906</v>
      </c>
      <c r="P4693">
        <v>-6.4370356493243297E-2</v>
      </c>
      <c r="Q4693">
        <v>0.20979383294251899</v>
      </c>
      <c r="R4693">
        <v>3.7458304183338398E-2</v>
      </c>
      <c r="S4693" t="s">
        <v>9433</v>
      </c>
      <c r="T4693" t="s">
        <v>9478</v>
      </c>
      <c r="U4693" t="s">
        <v>9478</v>
      </c>
      <c r="V4693" t="s">
        <v>9478</v>
      </c>
      <c r="W4693">
        <v>1</v>
      </c>
      <c r="X4693" t="s">
        <v>14171</v>
      </c>
      <c r="Y4693">
        <v>0.86878025108830959</v>
      </c>
      <c r="Z4693" t="str">
        <f>HYPERLINK("Melting_Curves/meltCurve_tr_Q5TA04_Q5TA04_HUMAN_.pdf", "Melting_Curves/meltCurve_tr_Q5TA04_Q5TA04_HUMAN_.pdf")</f>
        <v>Melting_Curves/meltCurve_tr_Q5TA04_Q5TA04_HUMAN_.pdf</v>
      </c>
      <c r="AA4693" t="s">
        <v>18794</v>
      </c>
      <c r="AB4693" t="s">
        <v>23497</v>
      </c>
    </row>
    <row r="4694" spans="1:28" x14ac:dyDescent="0.25">
      <c r="A4694" t="s">
        <v>4698</v>
      </c>
      <c r="B4694">
        <v>0.99904790336628502</v>
      </c>
      <c r="C4694">
        <v>0.98406056368477501</v>
      </c>
      <c r="D4694">
        <v>1.05503656295697</v>
      </c>
      <c r="E4694">
        <v>0.97626422495975795</v>
      </c>
      <c r="F4694">
        <v>0.84304197046055396</v>
      </c>
      <c r="G4694">
        <v>0.767602797370594</v>
      </c>
      <c r="H4694">
        <v>0.57577057267119802</v>
      </c>
      <c r="I4694">
        <v>0.58865267379800901</v>
      </c>
      <c r="J4694">
        <v>0.47329136167267</v>
      </c>
      <c r="K4694">
        <v>0.31978248306294499</v>
      </c>
      <c r="L4694">
        <v>612.98470216318299</v>
      </c>
      <c r="M4694">
        <v>9.6755970289091593</v>
      </c>
      <c r="N4694">
        <v>64.911744864114794</v>
      </c>
      <c r="O4694">
        <v>60.824980273577303</v>
      </c>
      <c r="P4694">
        <v>-3.5666957289539503E-2</v>
      </c>
      <c r="Q4694">
        <v>0.10362290754279201</v>
      </c>
      <c r="R4694">
        <v>0.96761827255713095</v>
      </c>
      <c r="S4694" t="s">
        <v>9434</v>
      </c>
      <c r="T4694" t="s">
        <v>9478</v>
      </c>
      <c r="U4694" t="s">
        <v>9478</v>
      </c>
      <c r="V4694" t="s">
        <v>9478</v>
      </c>
      <c r="W4694">
        <v>19</v>
      </c>
      <c r="X4694" t="s">
        <v>14172</v>
      </c>
      <c r="Y4694">
        <v>0.7678149210480949</v>
      </c>
      <c r="Z4694" t="str">
        <f>HYPERLINK("Melting_Curves/meltCurve_tr_Q5TA58_Q5TA58_HUMAN_.pdf", "Melting_Curves/meltCurve_tr_Q5TA58_Q5TA58_HUMAN_.pdf")</f>
        <v>Melting_Curves/meltCurve_tr_Q5TA58_Q5TA58_HUMAN_.pdf</v>
      </c>
      <c r="AA4694" t="s">
        <v>18795</v>
      </c>
      <c r="AB4694" t="s">
        <v>23498</v>
      </c>
    </row>
    <row r="4695" spans="1:28" x14ac:dyDescent="0.25">
      <c r="A4695" t="s">
        <v>4699</v>
      </c>
      <c r="B4695">
        <v>0.99904790336628502</v>
      </c>
      <c r="C4695">
        <v>0.97696655279873701</v>
      </c>
      <c r="D4695">
        <v>0.97784554999180995</v>
      </c>
      <c r="E4695">
        <v>0.80012044536027305</v>
      </c>
      <c r="F4695">
        <v>0.708756341169407</v>
      </c>
      <c r="G4695">
        <v>0.41622879640537902</v>
      </c>
      <c r="H4695">
        <v>0.365802415837578</v>
      </c>
      <c r="I4695">
        <v>0.27607197670427902</v>
      </c>
      <c r="J4695">
        <v>0.274184023459217</v>
      </c>
      <c r="K4695">
        <v>0.24747633247544401</v>
      </c>
      <c r="L4695">
        <v>892.28818804147102</v>
      </c>
      <c r="M4695">
        <v>16.573722325663599</v>
      </c>
      <c r="N4695">
        <v>56.0239485372609</v>
      </c>
      <c r="O4695">
        <v>53.072040018151498</v>
      </c>
      <c r="P4695">
        <v>-5.9483475496708398E-2</v>
      </c>
      <c r="Q4695">
        <v>0.23814465473365401</v>
      </c>
      <c r="R4695">
        <v>0.99333034899870998</v>
      </c>
      <c r="S4695" t="s">
        <v>9435</v>
      </c>
      <c r="T4695" t="s">
        <v>9478</v>
      </c>
      <c r="U4695" t="s">
        <v>9478</v>
      </c>
      <c r="V4695" t="s">
        <v>9478</v>
      </c>
      <c r="W4695">
        <v>3</v>
      </c>
      <c r="X4695" t="s">
        <v>14173</v>
      </c>
      <c r="Y4695">
        <v>0.60335365360411164</v>
      </c>
      <c r="Z4695" t="str">
        <f>HYPERLINK("Melting_Curves/meltCurve_tr_Q5TAQ0_Q5TAQ0_HUMAN_.pdf", "Melting_Curves/meltCurve_tr_Q5TAQ0_Q5TAQ0_HUMAN_.pdf")</f>
        <v>Melting_Curves/meltCurve_tr_Q5TAQ0_Q5TAQ0_HUMAN_.pdf</v>
      </c>
      <c r="AA4695" t="s">
        <v>18796</v>
      </c>
      <c r="AB4695" t="s">
        <v>23499</v>
      </c>
    </row>
    <row r="4696" spans="1:28" x14ac:dyDescent="0.25">
      <c r="A4696" t="s">
        <v>4700</v>
      </c>
      <c r="B4696">
        <v>0.99904790336628502</v>
      </c>
      <c r="C4696">
        <v>1.0829404496911901</v>
      </c>
      <c r="D4696">
        <v>0.94411920085605605</v>
      </c>
      <c r="E4696">
        <v>0.49988439994711698</v>
      </c>
      <c r="F4696">
        <v>0.24881403227055199</v>
      </c>
      <c r="G4696">
        <v>0.11010651244085599</v>
      </c>
      <c r="H4696">
        <v>5.7061947806695899E-2</v>
      </c>
      <c r="I4696">
        <v>4.4147528700526399E-2</v>
      </c>
      <c r="J4696">
        <v>3.4438020390137103E-2</v>
      </c>
      <c r="K4696">
        <v>2.7301326544423399E-2</v>
      </c>
      <c r="L4696">
        <v>1345.51509884384</v>
      </c>
      <c r="M4696">
        <v>26.875711674532202</v>
      </c>
      <c r="N4696">
        <v>50.2484160746939</v>
      </c>
      <c r="O4696">
        <v>49.789635180461303</v>
      </c>
      <c r="P4696">
        <v>-0.128621535774852</v>
      </c>
      <c r="Q4696">
        <v>4.6878467949681597E-2</v>
      </c>
      <c r="R4696">
        <v>0.99286533098274399</v>
      </c>
      <c r="S4696" t="s">
        <v>9436</v>
      </c>
      <c r="T4696" t="s">
        <v>9478</v>
      </c>
      <c r="U4696" t="s">
        <v>9478</v>
      </c>
      <c r="V4696" t="s">
        <v>9478</v>
      </c>
      <c r="W4696">
        <v>3</v>
      </c>
      <c r="X4696" t="s">
        <v>14174</v>
      </c>
      <c r="Y4696">
        <v>0.37399946863975159</v>
      </c>
      <c r="Z4696" t="str">
        <f>HYPERLINK("Melting_Curves/meltCurve_tr_Q5TAW7_Q5TAW7_HUMAN_.pdf", "Melting_Curves/meltCurve_tr_Q5TAW7_Q5TAW7_HUMAN_.pdf")</f>
        <v>Melting_Curves/meltCurve_tr_Q5TAW7_Q5TAW7_HUMAN_.pdf</v>
      </c>
      <c r="AA4696" t="s">
        <v>18797</v>
      </c>
      <c r="AB4696" t="s">
        <v>23500</v>
      </c>
    </row>
    <row r="4697" spans="1:28" x14ac:dyDescent="0.25">
      <c r="A4697" t="s">
        <v>4701</v>
      </c>
      <c r="B4697">
        <v>0.99904790336628502</v>
      </c>
      <c r="C4697">
        <v>1.0051764363718501</v>
      </c>
      <c r="D4697">
        <v>1.15066112906546</v>
      </c>
      <c r="E4697">
        <v>0.92060483215676803</v>
      </c>
      <c r="F4697">
        <v>0.67104768411851801</v>
      </c>
      <c r="G4697">
        <v>0.438717800692426</v>
      </c>
      <c r="H4697">
        <v>0.33363529683586202</v>
      </c>
      <c r="I4697">
        <v>0.17643853494814299</v>
      </c>
      <c r="J4697">
        <v>0.16717724986426399</v>
      </c>
      <c r="K4697">
        <v>0.116429733473742</v>
      </c>
      <c r="L4697">
        <v>1035.4655080652899</v>
      </c>
      <c r="M4697">
        <v>18.743438047404702</v>
      </c>
      <c r="N4697">
        <v>56.174797495243901</v>
      </c>
      <c r="O4697">
        <v>54.626846017500696</v>
      </c>
      <c r="P4697">
        <v>-7.4334063628078206E-2</v>
      </c>
      <c r="Q4697">
        <v>0.13346427720085699</v>
      </c>
      <c r="R4697">
        <v>0.97187309217140705</v>
      </c>
      <c r="S4697" t="s">
        <v>9437</v>
      </c>
      <c r="T4697" t="s">
        <v>9478</v>
      </c>
      <c r="U4697" t="s">
        <v>9478</v>
      </c>
      <c r="V4697" t="s">
        <v>9478</v>
      </c>
      <c r="W4697">
        <v>1</v>
      </c>
      <c r="X4697" t="s">
        <v>14175</v>
      </c>
      <c r="Y4697">
        <v>0.58635063374176488</v>
      </c>
      <c r="Z4697" t="str">
        <f>HYPERLINK("Melting_Curves/meltCurve_tr_Q5TBP5_Q5TBP5_HUMAN_.pdf", "Melting_Curves/meltCurve_tr_Q5TBP5_Q5TBP5_HUMAN_.pdf")</f>
        <v>Melting_Curves/meltCurve_tr_Q5TBP5_Q5TBP5_HUMAN_.pdf</v>
      </c>
      <c r="AA4697" t="s">
        <v>18798</v>
      </c>
      <c r="AB4697" t="s">
        <v>23501</v>
      </c>
    </row>
    <row r="4698" spans="1:28" x14ac:dyDescent="0.25">
      <c r="A4698" t="s">
        <v>4702</v>
      </c>
      <c r="B4698">
        <v>0.99904790336628502</v>
      </c>
      <c r="C4698">
        <v>0.864747874623221</v>
      </c>
      <c r="D4698">
        <v>0.84089712394835803</v>
      </c>
      <c r="E4698">
        <v>0.52394478846853698</v>
      </c>
      <c r="F4698">
        <v>0.38997616563687298</v>
      </c>
      <c r="G4698">
        <v>0.18494845274166899</v>
      </c>
      <c r="H4698">
        <v>0</v>
      </c>
      <c r="I4698">
        <v>0</v>
      </c>
      <c r="J4698">
        <v>0</v>
      </c>
      <c r="K4698">
        <v>0.22990085614943201</v>
      </c>
      <c r="L4698">
        <v>782.76949195445502</v>
      </c>
      <c r="M4698">
        <v>15.5530020654935</v>
      </c>
      <c r="N4698">
        <v>50.581796773226799</v>
      </c>
      <c r="O4698">
        <v>49.519145039001103</v>
      </c>
      <c r="P4698">
        <v>-7.5592418362351199E-2</v>
      </c>
      <c r="Q4698">
        <v>3.7370714261784399E-2</v>
      </c>
      <c r="R4698">
        <v>0.955499800567156</v>
      </c>
      <c r="S4698" t="s">
        <v>9438</v>
      </c>
      <c r="T4698" t="s">
        <v>9478</v>
      </c>
      <c r="U4698" t="s">
        <v>9478</v>
      </c>
      <c r="V4698" t="s">
        <v>9478</v>
      </c>
      <c r="W4698">
        <v>1</v>
      </c>
      <c r="X4698" t="s">
        <v>14176</v>
      </c>
      <c r="Y4698">
        <v>0.39013114169330382</v>
      </c>
      <c r="Z4698" t="str">
        <f>HYPERLINK("Melting_Curves/meltCurve_tr_Q5TBP9_Q5TBP9_HUMAN_.pdf", "Melting_Curves/meltCurve_tr_Q5TBP9_Q5TBP9_HUMAN_.pdf")</f>
        <v>Melting_Curves/meltCurve_tr_Q5TBP9_Q5TBP9_HUMAN_.pdf</v>
      </c>
      <c r="AA4698" t="s">
        <v>18799</v>
      </c>
      <c r="AB4698" t="s">
        <v>23502</v>
      </c>
    </row>
    <row r="4699" spans="1:28" x14ac:dyDescent="0.25">
      <c r="A4699" t="s">
        <v>4703</v>
      </c>
      <c r="B4699">
        <v>0.99904790336628502</v>
      </c>
      <c r="C4699">
        <v>1.0646882326604901</v>
      </c>
      <c r="D4699">
        <v>1.0538891834397901</v>
      </c>
      <c r="E4699">
        <v>1.14777189648205</v>
      </c>
      <c r="F4699">
        <v>1.33011517411431</v>
      </c>
      <c r="G4699">
        <v>1.00279093789408</v>
      </c>
      <c r="H4699">
        <v>0.94556722125708903</v>
      </c>
      <c r="I4699">
        <v>0.81500656122633797</v>
      </c>
      <c r="J4699">
        <v>0.95758659955079095</v>
      </c>
      <c r="K4699">
        <v>1.0474457131267401</v>
      </c>
      <c r="L4699">
        <v>15000</v>
      </c>
      <c r="M4699">
        <v>248.18442011224801</v>
      </c>
      <c r="O4699">
        <v>60.435001687579103</v>
      </c>
      <c r="P4699">
        <v>-6.1585718326614698E-2</v>
      </c>
      <c r="Q4699">
        <v>0.94001342995161397</v>
      </c>
      <c r="R4699">
        <v>3.1056883982350002E-3</v>
      </c>
      <c r="S4699" t="s">
        <v>9439</v>
      </c>
      <c r="T4699" t="s">
        <v>9478</v>
      </c>
      <c r="U4699" t="s">
        <v>9478</v>
      </c>
      <c r="V4699" t="s">
        <v>9478</v>
      </c>
      <c r="W4699">
        <v>2</v>
      </c>
      <c r="X4699" t="s">
        <v>14177</v>
      </c>
      <c r="Y4699">
        <v>0.98088858994989947</v>
      </c>
      <c r="Z4699" t="str">
        <f>HYPERLINK("Melting_Curves/meltCurve_tr_Q5TCT4_Q5TCT4_HUMAN_.pdf", "Melting_Curves/meltCurve_tr_Q5TCT4_Q5TCT4_HUMAN_.pdf")</f>
        <v>Melting_Curves/meltCurve_tr_Q5TCT4_Q5TCT4_HUMAN_.pdf</v>
      </c>
      <c r="AA4699" t="s">
        <v>18800</v>
      </c>
      <c r="AB4699" t="s">
        <v>23503</v>
      </c>
    </row>
    <row r="4700" spans="1:28" x14ac:dyDescent="0.25">
      <c r="A4700" t="s">
        <v>4704</v>
      </c>
      <c r="B4700">
        <v>0.99904790336628502</v>
      </c>
      <c r="C4700">
        <v>0.86738510854725603</v>
      </c>
      <c r="D4700">
        <v>0.77992128585798803</v>
      </c>
      <c r="E4700">
        <v>0.460390579996521</v>
      </c>
      <c r="F4700">
        <v>0.316364044481942</v>
      </c>
      <c r="G4700">
        <v>0.11126164278017101</v>
      </c>
      <c r="H4700">
        <v>9.6490962491211099E-2</v>
      </c>
      <c r="I4700">
        <v>9.6017217835314805E-2</v>
      </c>
      <c r="J4700">
        <v>0.105494121129501</v>
      </c>
      <c r="K4700">
        <v>0.10927128018290699</v>
      </c>
      <c r="L4700">
        <v>797.36408196882599</v>
      </c>
      <c r="M4700">
        <v>16.2769653459493</v>
      </c>
      <c r="N4700">
        <v>49.498893067703001</v>
      </c>
      <c r="O4700">
        <v>48.265756009185701</v>
      </c>
      <c r="P4700">
        <v>-7.7787196823687996E-2</v>
      </c>
      <c r="Q4700">
        <v>7.7424413803874201E-2</v>
      </c>
      <c r="R4700">
        <v>0.99317771438992897</v>
      </c>
      <c r="S4700" t="s">
        <v>9440</v>
      </c>
      <c r="T4700" t="s">
        <v>9478</v>
      </c>
      <c r="U4700" t="s">
        <v>9478</v>
      </c>
      <c r="V4700" t="s">
        <v>9478</v>
      </c>
      <c r="W4700">
        <v>2</v>
      </c>
      <c r="X4700" t="s">
        <v>14178</v>
      </c>
      <c r="Y4700">
        <v>0.37329142638639012</v>
      </c>
      <c r="Z4700" t="str">
        <f>HYPERLINK("Melting_Curves/meltCurve_tr_Q5TCW7_Q5TCW7_HUMAN_.pdf", "Melting_Curves/meltCurve_tr_Q5TCW7_Q5TCW7_HUMAN_.pdf")</f>
        <v>Melting_Curves/meltCurve_tr_Q5TCW7_Q5TCW7_HUMAN_.pdf</v>
      </c>
      <c r="AA4700" t="s">
        <v>18801</v>
      </c>
      <c r="AB4700" t="s">
        <v>23504</v>
      </c>
    </row>
    <row r="4701" spans="1:28" x14ac:dyDescent="0.25">
      <c r="A4701" t="s">
        <v>4705</v>
      </c>
      <c r="B4701">
        <v>0.99904790336628502</v>
      </c>
      <c r="C4701">
        <v>0.99585292396286895</v>
      </c>
      <c r="D4701">
        <v>1.01679510172682</v>
      </c>
      <c r="E4701">
        <v>0.768276598410641</v>
      </c>
      <c r="F4701">
        <v>0.629815900875488</v>
      </c>
      <c r="G4701">
        <v>0.32263742144204699</v>
      </c>
      <c r="H4701">
        <v>0.282279594344295</v>
      </c>
      <c r="I4701">
        <v>0.23882769381396099</v>
      </c>
      <c r="J4701">
        <v>0.25807338482754899</v>
      </c>
      <c r="K4701">
        <v>0.228714106688515</v>
      </c>
      <c r="L4701">
        <v>1148.3225081492999</v>
      </c>
      <c r="M4701">
        <v>21.815360969829001</v>
      </c>
      <c r="N4701">
        <v>54.194328830143697</v>
      </c>
      <c r="O4701">
        <v>52.201930906420799</v>
      </c>
      <c r="P4701">
        <v>-8.0162101213269499E-2</v>
      </c>
      <c r="Q4701">
        <v>0.23273881976291599</v>
      </c>
      <c r="R4701">
        <v>0.99256409877078</v>
      </c>
      <c r="S4701" t="s">
        <v>9441</v>
      </c>
      <c r="T4701" t="s">
        <v>9478</v>
      </c>
      <c r="U4701" t="s">
        <v>9478</v>
      </c>
      <c r="V4701" t="s">
        <v>9478</v>
      </c>
      <c r="W4701">
        <v>1</v>
      </c>
      <c r="X4701" t="s">
        <v>14179</v>
      </c>
      <c r="Y4701">
        <v>0.56503683336413368</v>
      </c>
      <c r="Z4701" t="str">
        <f>HYPERLINK("Melting_Curves/meltCurve_tr_Q5TIJ2_Q5TIJ2_HUMAN_.pdf", "Melting_Curves/meltCurve_tr_Q5TIJ2_Q5TIJ2_HUMAN_.pdf")</f>
        <v>Melting_Curves/meltCurve_tr_Q5TIJ2_Q5TIJ2_HUMAN_.pdf</v>
      </c>
      <c r="AA4701" t="s">
        <v>18802</v>
      </c>
      <c r="AB4701" t="s">
        <v>23505</v>
      </c>
    </row>
    <row r="4702" spans="1:28" x14ac:dyDescent="0.25">
      <c r="A4702" t="s">
        <v>4706</v>
      </c>
      <c r="B4702">
        <v>0.99904790336628502</v>
      </c>
      <c r="C4702">
        <v>1.0583889803091</v>
      </c>
      <c r="D4702">
        <v>0.964645074525187</v>
      </c>
      <c r="E4702">
        <v>0.86136245321228899</v>
      </c>
      <c r="F4702">
        <v>0.78713157501277198</v>
      </c>
      <c r="G4702">
        <v>0.59179059762049502</v>
      </c>
      <c r="H4702">
        <v>0.49342232947959203</v>
      </c>
      <c r="I4702">
        <v>0.468963882441219</v>
      </c>
      <c r="J4702">
        <v>0.46679812760343897</v>
      </c>
      <c r="K4702">
        <v>0.459657621618766</v>
      </c>
      <c r="L4702">
        <v>966.16337204089598</v>
      </c>
      <c r="M4702">
        <v>17.936240685064899</v>
      </c>
      <c r="N4702">
        <v>61.365415161618202</v>
      </c>
      <c r="O4702">
        <v>53.210346819129803</v>
      </c>
      <c r="P4702">
        <v>-4.6844668458402898E-2</v>
      </c>
      <c r="Q4702">
        <v>0.44414295705692802</v>
      </c>
      <c r="R4702">
        <v>0.98916875297003903</v>
      </c>
      <c r="S4702" t="s">
        <v>9442</v>
      </c>
      <c r="T4702" t="s">
        <v>9478</v>
      </c>
      <c r="U4702" t="s">
        <v>9478</v>
      </c>
      <c r="V4702" t="s">
        <v>9478</v>
      </c>
      <c r="W4702">
        <v>19</v>
      </c>
      <c r="X4702" t="s">
        <v>14180</v>
      </c>
      <c r="Y4702">
        <v>0.71004363011334304</v>
      </c>
      <c r="Z4702" t="str">
        <f>HYPERLINK("Melting_Curves/meltCurve_tr_Q5VTI5_Q5VTI5_HUMAN_.pdf", "Melting_Curves/meltCurve_tr_Q5VTI5_Q5VTI5_HUMAN_.pdf")</f>
        <v>Melting_Curves/meltCurve_tr_Q5VTI5_Q5VTI5_HUMAN_.pdf</v>
      </c>
      <c r="AA4702" t="s">
        <v>18803</v>
      </c>
      <c r="AB4702" t="s">
        <v>23506</v>
      </c>
    </row>
    <row r="4703" spans="1:28" x14ac:dyDescent="0.25">
      <c r="A4703" t="s">
        <v>4707</v>
      </c>
      <c r="B4703">
        <v>0.99904790336628502</v>
      </c>
      <c r="C4703">
        <v>0.93754360705805095</v>
      </c>
      <c r="D4703">
        <v>0.92490216562141403</v>
      </c>
      <c r="E4703">
        <v>0.57111627547264499</v>
      </c>
      <c r="F4703">
        <v>0.2933899241465</v>
      </c>
      <c r="G4703">
        <v>0.109523223281718</v>
      </c>
      <c r="H4703">
        <v>5.3879282953316399E-2</v>
      </c>
      <c r="I4703">
        <v>4.2468334720183E-2</v>
      </c>
      <c r="J4703">
        <v>2.66240830422615E-2</v>
      </c>
      <c r="K4703">
        <v>7.4344293367602701E-3</v>
      </c>
      <c r="L4703">
        <v>1083.68547948729</v>
      </c>
      <c r="M4703">
        <v>21.395550965001998</v>
      </c>
      <c r="N4703">
        <v>50.7566260912198</v>
      </c>
      <c r="O4703">
        <v>50.213796637370301</v>
      </c>
      <c r="P4703">
        <v>-0.10418480812655601</v>
      </c>
      <c r="Q4703">
        <v>2.1967815223672901E-2</v>
      </c>
      <c r="R4703">
        <v>0.99812806909829899</v>
      </c>
      <c r="S4703" t="s">
        <v>9443</v>
      </c>
      <c r="T4703" t="s">
        <v>9478</v>
      </c>
      <c r="U4703" t="s">
        <v>9478</v>
      </c>
      <c r="V4703" t="s">
        <v>9478</v>
      </c>
      <c r="W4703">
        <v>1</v>
      </c>
      <c r="X4703" t="s">
        <v>14181</v>
      </c>
      <c r="Y4703">
        <v>0.38111171044440167</v>
      </c>
      <c r="Z4703" t="str">
        <f>HYPERLINK("Melting_Curves/meltCurve_tr_Q5VTU3_Q5VTU3_HUMAN_.pdf", "Melting_Curves/meltCurve_tr_Q5VTU3_Q5VTU3_HUMAN_.pdf")</f>
        <v>Melting_Curves/meltCurve_tr_Q5VTU3_Q5VTU3_HUMAN_.pdf</v>
      </c>
      <c r="AA4703" t="s">
        <v>18804</v>
      </c>
      <c r="AB4703" t="s">
        <v>23507</v>
      </c>
    </row>
    <row r="4704" spans="1:28" x14ac:dyDescent="0.25">
      <c r="A4704" t="s">
        <v>4708</v>
      </c>
      <c r="B4704">
        <v>0.99904790336628502</v>
      </c>
      <c r="C4704">
        <v>0.88230474414075799</v>
      </c>
      <c r="D4704">
        <v>0.91981746752325599</v>
      </c>
      <c r="E4704">
        <v>0.91759204540084305</v>
      </c>
      <c r="F4704">
        <v>0.98756957605986295</v>
      </c>
      <c r="G4704">
        <v>0.82467960917625505</v>
      </c>
      <c r="H4704">
        <v>0.75888382110180996</v>
      </c>
      <c r="I4704">
        <v>0.72937078104466402</v>
      </c>
      <c r="J4704">
        <v>0.73048066936526102</v>
      </c>
      <c r="K4704">
        <v>0.71292320103196305</v>
      </c>
      <c r="L4704">
        <v>265.78669692830499</v>
      </c>
      <c r="M4704">
        <v>3.0883579608207201</v>
      </c>
      <c r="O4704">
        <v>64.171437268172795</v>
      </c>
      <c r="P4704">
        <v>-1.1550656384394601E-2</v>
      </c>
      <c r="Q4704">
        <v>6.6489551908686106E-2</v>
      </c>
      <c r="R4704">
        <v>0.80162934977831402</v>
      </c>
      <c r="S4704" t="s">
        <v>9444</v>
      </c>
      <c r="T4704" t="s">
        <v>9478</v>
      </c>
      <c r="U4704" t="s">
        <v>9478</v>
      </c>
      <c r="V4704" t="s">
        <v>9478</v>
      </c>
      <c r="W4704">
        <v>40</v>
      </c>
      <c r="X4704" t="s">
        <v>14182</v>
      </c>
      <c r="Y4704">
        <v>0.85153295198696854</v>
      </c>
      <c r="Z4704" t="str">
        <f>HYPERLINK("Melting_Curves/meltCurve_tr_Q5VU58_Q5VU58_HUMAN_.pdf", "Melting_Curves/meltCurve_tr_Q5VU58_Q5VU58_HUMAN_.pdf")</f>
        <v>Melting_Curves/meltCurve_tr_Q5VU58_Q5VU58_HUMAN_.pdf</v>
      </c>
      <c r="AA4704" t="s">
        <v>14797</v>
      </c>
      <c r="AB4704" t="s">
        <v>23508</v>
      </c>
    </row>
    <row r="4705" spans="1:28" x14ac:dyDescent="0.25">
      <c r="A4705" t="s">
        <v>4709</v>
      </c>
      <c r="B4705">
        <v>0.99904790336628502</v>
      </c>
      <c r="C4705">
        <v>0.66113407730261797</v>
      </c>
      <c r="D4705">
        <v>1.8461102734493899</v>
      </c>
      <c r="E4705">
        <v>0.85347069379658203</v>
      </c>
      <c r="F4705">
        <v>0.65600243057287699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2667.0234743225701</v>
      </c>
      <c r="M4705">
        <v>49.772886531407501</v>
      </c>
      <c r="N4705">
        <v>53.583864943141798</v>
      </c>
      <c r="O4705">
        <v>53.497576246543801</v>
      </c>
      <c r="P4705">
        <v>-0.23259432367885199</v>
      </c>
      <c r="Q4705">
        <v>0</v>
      </c>
      <c r="R4705">
        <v>0.75670418970480602</v>
      </c>
      <c r="S4705" t="s">
        <v>9445</v>
      </c>
      <c r="T4705" t="s">
        <v>9478</v>
      </c>
      <c r="U4705" t="s">
        <v>9478</v>
      </c>
      <c r="V4705" t="s">
        <v>9478</v>
      </c>
      <c r="W4705">
        <v>1</v>
      </c>
      <c r="X4705" t="s">
        <v>14183</v>
      </c>
      <c r="Y4705">
        <v>0.45518019366779988</v>
      </c>
      <c r="Z4705" t="str">
        <f>HYPERLINK("Melting_Curves/meltCurve_tr_Q5VW52_Q5VW52_HUMAN_.pdf", "Melting_Curves/meltCurve_tr_Q5VW52_Q5VW52_HUMAN_.pdf")</f>
        <v>Melting_Curves/meltCurve_tr_Q5VW52_Q5VW52_HUMAN_.pdf</v>
      </c>
      <c r="AA4705" t="s">
        <v>18805</v>
      </c>
      <c r="AB4705" t="s">
        <v>23509</v>
      </c>
    </row>
    <row r="4706" spans="1:28" x14ac:dyDescent="0.25">
      <c r="A4706" t="s">
        <v>4710</v>
      </c>
      <c r="B4706">
        <v>0.99904790336628502</v>
      </c>
      <c r="C4706">
        <v>1.1647184117515701</v>
      </c>
      <c r="D4706">
        <v>1.1384312742185601</v>
      </c>
      <c r="E4706">
        <v>0.83071889131385102</v>
      </c>
      <c r="F4706">
        <v>0.66234646783676199</v>
      </c>
      <c r="G4706">
        <v>0.77507171717755496</v>
      </c>
      <c r="H4706">
        <v>0.37329905066991698</v>
      </c>
      <c r="I4706">
        <v>0.229039789331587</v>
      </c>
      <c r="J4706">
        <v>0.39606259715862202</v>
      </c>
      <c r="K4706">
        <v>0.149250580264287</v>
      </c>
      <c r="L4706">
        <v>744.153117629706</v>
      </c>
      <c r="M4706">
        <v>12.813454495908401</v>
      </c>
      <c r="N4706">
        <v>59.323175804250504</v>
      </c>
      <c r="O4706">
        <v>56.715900342666103</v>
      </c>
      <c r="P4706">
        <v>-4.98208205089943E-2</v>
      </c>
      <c r="Q4706">
        <v>0.11808155178568799</v>
      </c>
      <c r="R4706">
        <v>0.88307253084132398</v>
      </c>
      <c r="S4706" t="s">
        <v>9446</v>
      </c>
      <c r="T4706" t="s">
        <v>9478</v>
      </c>
      <c r="U4706" t="s">
        <v>9478</v>
      </c>
      <c r="V4706" t="s">
        <v>9478</v>
      </c>
      <c r="W4706">
        <v>2</v>
      </c>
      <c r="X4706" t="s">
        <v>14184</v>
      </c>
      <c r="Y4706">
        <v>0.66084488997264834</v>
      </c>
      <c r="Z4706" t="str">
        <f>HYPERLINK("Melting_Curves/meltCurve_tr_Q5VZM0_Q5VZM0_HUMAN_.pdf", "Melting_Curves/meltCurve_tr_Q5VZM0_Q5VZM0_HUMAN_.pdf")</f>
        <v>Melting_Curves/meltCurve_tr_Q5VZM0_Q5VZM0_HUMAN_.pdf</v>
      </c>
      <c r="AA4706" t="s">
        <v>18806</v>
      </c>
      <c r="AB4706" t="s">
        <v>23510</v>
      </c>
    </row>
    <row r="4707" spans="1:28" x14ac:dyDescent="0.25">
      <c r="A4707" t="s">
        <v>4711</v>
      </c>
      <c r="B4707">
        <v>0.99904790336628502</v>
      </c>
      <c r="C4707">
        <v>0.55418848254988495</v>
      </c>
      <c r="D4707">
        <v>0.60070930856303695</v>
      </c>
      <c r="E4707">
        <v>0.51061729359664099</v>
      </c>
      <c r="F4707">
        <v>0.207677602896161</v>
      </c>
      <c r="G4707">
        <v>0.141540746765632</v>
      </c>
      <c r="H4707">
        <v>9.7020365542044698E-2</v>
      </c>
      <c r="I4707">
        <v>4.9141148858723602E-2</v>
      </c>
      <c r="J4707">
        <v>4.6108343862333798E-2</v>
      </c>
      <c r="K4707">
        <v>2.6401423751131699E-2</v>
      </c>
      <c r="L4707">
        <v>469.95084557978299</v>
      </c>
      <c r="M4707">
        <v>9.8961234637234199</v>
      </c>
      <c r="N4707">
        <v>47.4883784429014</v>
      </c>
      <c r="O4707">
        <v>45.671250823130897</v>
      </c>
      <c r="P4707">
        <v>-5.4197857658542001E-2</v>
      </c>
      <c r="Q4707">
        <v>0</v>
      </c>
      <c r="R4707">
        <v>0.92106009857556204</v>
      </c>
      <c r="S4707" t="s">
        <v>9447</v>
      </c>
      <c r="T4707" t="s">
        <v>9478</v>
      </c>
      <c r="U4707" t="s">
        <v>9478</v>
      </c>
      <c r="V4707" t="s">
        <v>9478</v>
      </c>
      <c r="W4707">
        <v>2</v>
      </c>
      <c r="X4707" t="s">
        <v>14185</v>
      </c>
      <c r="Y4707">
        <v>0.30571945473726791</v>
      </c>
      <c r="Z4707" t="str">
        <f>HYPERLINK("Melting_Curves/meltCurve_tr_Q5W125_Q5W125_HUMAN_.pdf", "Melting_Curves/meltCurve_tr_Q5W125_Q5W125_HUMAN_.pdf")</f>
        <v>Melting_Curves/meltCurve_tr_Q5W125_Q5W125_HUMAN_.pdf</v>
      </c>
      <c r="AA4707" t="s">
        <v>18807</v>
      </c>
      <c r="AB4707" t="s">
        <v>23511</v>
      </c>
    </row>
    <row r="4708" spans="1:28" x14ac:dyDescent="0.25">
      <c r="A4708" t="s">
        <v>4712</v>
      </c>
      <c r="B4708">
        <v>0.99904790336628502</v>
      </c>
      <c r="C4708">
        <v>0.93623332969685902</v>
      </c>
      <c r="D4708">
        <v>1.0431603216998</v>
      </c>
      <c r="E4708">
        <v>1.0512292805340699</v>
      </c>
      <c r="F4708">
        <v>1.0804470143517799</v>
      </c>
      <c r="G4708">
        <v>1.27383415853682</v>
      </c>
      <c r="H4708">
        <v>0.84101483643656305</v>
      </c>
      <c r="I4708">
        <v>0.81202837678649897</v>
      </c>
      <c r="J4708">
        <v>0.501729989973694</v>
      </c>
      <c r="K4708">
        <v>0.170231688494317</v>
      </c>
      <c r="L4708">
        <v>2085.44029697519</v>
      </c>
      <c r="M4708">
        <v>31.208080461391202</v>
      </c>
      <c r="N4708">
        <v>66.823730953214806</v>
      </c>
      <c r="O4708">
        <v>66.551154390680907</v>
      </c>
      <c r="P4708">
        <v>-0.117234096596666</v>
      </c>
      <c r="Q4708">
        <v>0</v>
      </c>
      <c r="R4708">
        <v>0.88472150763804303</v>
      </c>
      <c r="S4708" t="s">
        <v>9448</v>
      </c>
      <c r="T4708" t="s">
        <v>9478</v>
      </c>
      <c r="U4708" t="s">
        <v>9478</v>
      </c>
      <c r="V4708" t="s">
        <v>9478</v>
      </c>
      <c r="W4708">
        <v>7</v>
      </c>
      <c r="X4708" t="s">
        <v>14186</v>
      </c>
      <c r="Y4708">
        <v>0.88339163321066749</v>
      </c>
      <c r="Z4708" t="str">
        <f>HYPERLINK("Melting_Curves/meltCurve_tr_Q64EX5_Q64EX5_HUMAN_.pdf", "Melting_Curves/meltCurve_tr_Q64EX5_Q64EX5_HUMAN_.pdf")</f>
        <v>Melting_Curves/meltCurve_tr_Q64EX5_Q64EX5_HUMAN_.pdf</v>
      </c>
      <c r="AA4708" t="s">
        <v>18808</v>
      </c>
      <c r="AB4708" t="s">
        <v>23512</v>
      </c>
    </row>
    <row r="4709" spans="1:28" x14ac:dyDescent="0.25">
      <c r="A4709" t="s">
        <v>4713</v>
      </c>
      <c r="B4709">
        <v>0.99904790336628502</v>
      </c>
      <c r="C4709">
        <v>0.98040005550554199</v>
      </c>
      <c r="D4709">
        <v>0.94786341668822904</v>
      </c>
      <c r="E4709">
        <v>0.922994890605073</v>
      </c>
      <c r="F4709">
        <v>0.87967813904943404</v>
      </c>
      <c r="G4709">
        <v>0.71468432774300905</v>
      </c>
      <c r="H4709">
        <v>0.50694246964509804</v>
      </c>
      <c r="I4709">
        <v>0.37932501034224397</v>
      </c>
      <c r="J4709">
        <v>0.26853965578410999</v>
      </c>
      <c r="K4709">
        <v>0.133001869350406</v>
      </c>
      <c r="L4709">
        <v>761.86427089975405</v>
      </c>
      <c r="M4709">
        <v>12.4565875578066</v>
      </c>
      <c r="N4709">
        <v>61.161555532411597</v>
      </c>
      <c r="O4709">
        <v>59.649460320787902</v>
      </c>
      <c r="P4709">
        <v>-5.2218364760614297E-2</v>
      </c>
      <c r="Q4709">
        <v>0</v>
      </c>
      <c r="R4709">
        <v>0.99592702222794705</v>
      </c>
      <c r="S4709" t="s">
        <v>9449</v>
      </c>
      <c r="T4709" t="s">
        <v>9478</v>
      </c>
      <c r="U4709" t="s">
        <v>9478</v>
      </c>
      <c r="V4709" t="s">
        <v>9478</v>
      </c>
      <c r="W4709">
        <v>10</v>
      </c>
      <c r="X4709" t="s">
        <v>14187</v>
      </c>
      <c r="Y4709">
        <v>0.70165188921248567</v>
      </c>
      <c r="Z4709" t="str">
        <f>HYPERLINK("Melting_Curves/meltCurve_tr_Q6ICJ4_Q6ICJ4_HUMAN_.pdf", "Melting_Curves/meltCurve_tr_Q6ICJ4_Q6ICJ4_HUMAN_.pdf")</f>
        <v>Melting_Curves/meltCurve_tr_Q6ICJ4_Q6ICJ4_HUMAN_.pdf</v>
      </c>
      <c r="AA4709" t="s">
        <v>18809</v>
      </c>
      <c r="AB4709" t="s">
        <v>23513</v>
      </c>
    </row>
    <row r="4710" spans="1:28" x14ac:dyDescent="0.25">
      <c r="A4710" t="s">
        <v>4714</v>
      </c>
      <c r="B4710">
        <v>0.99904790336628502</v>
      </c>
      <c r="C4710">
        <v>1.0182187535542899</v>
      </c>
      <c r="D4710">
        <v>0.90260163256961301</v>
      </c>
      <c r="E4710">
        <v>0.66580430967511295</v>
      </c>
      <c r="F4710">
        <v>0.46436879636912998</v>
      </c>
      <c r="G4710">
        <v>0.183464805930249</v>
      </c>
      <c r="H4710">
        <v>0.11189814754837001</v>
      </c>
      <c r="I4710">
        <v>0.115680499931915</v>
      </c>
      <c r="J4710">
        <v>8.0841282604819598E-2</v>
      </c>
      <c r="K4710">
        <v>0.16031698827816801</v>
      </c>
      <c r="L4710">
        <v>1032.5745471599</v>
      </c>
      <c r="M4710">
        <v>20.044948005551301</v>
      </c>
      <c r="N4710">
        <v>52.081365937083703</v>
      </c>
      <c r="O4710">
        <v>51.008483600255801</v>
      </c>
      <c r="P4710">
        <v>-8.8593747066417997E-2</v>
      </c>
      <c r="Q4710">
        <v>9.8249198495979406E-2</v>
      </c>
      <c r="R4710">
        <v>0.99360810804994304</v>
      </c>
      <c r="S4710" t="s">
        <v>9450</v>
      </c>
      <c r="T4710" t="s">
        <v>9478</v>
      </c>
      <c r="U4710" t="s">
        <v>9478</v>
      </c>
      <c r="V4710" t="s">
        <v>9478</v>
      </c>
      <c r="W4710">
        <v>1</v>
      </c>
      <c r="X4710" t="s">
        <v>14188</v>
      </c>
      <c r="Y4710">
        <v>0.45675910535931458</v>
      </c>
      <c r="Z4710" t="str">
        <f>HYPERLINK("Melting_Curves/meltCurve_tr_Q6NZ53_Q6NZ53_HUMAN_.pdf", "Melting_Curves/meltCurve_tr_Q6NZ53_Q6NZ53_HUMAN_.pdf")</f>
        <v>Melting_Curves/meltCurve_tr_Q6NZ53_Q6NZ53_HUMAN_.pdf</v>
      </c>
      <c r="AA4710" t="s">
        <v>18810</v>
      </c>
      <c r="AB4710" t="s">
        <v>23514</v>
      </c>
    </row>
    <row r="4711" spans="1:28" x14ac:dyDescent="0.25">
      <c r="A4711" t="s">
        <v>4715</v>
      </c>
      <c r="B4711">
        <v>0.99904790336628502</v>
      </c>
      <c r="C4711">
        <v>0.94175837011744601</v>
      </c>
      <c r="D4711">
        <v>0.97867968381582204</v>
      </c>
      <c r="E4711">
        <v>0.87998302543726403</v>
      </c>
      <c r="F4711">
        <v>0.722757027613119</v>
      </c>
      <c r="G4711">
        <v>0.45714934035710197</v>
      </c>
      <c r="H4711">
        <v>0.41557217312438299</v>
      </c>
      <c r="I4711">
        <v>0.33993122970667</v>
      </c>
      <c r="J4711">
        <v>0.31523740148396501</v>
      </c>
      <c r="K4711">
        <v>0.27283926353814703</v>
      </c>
      <c r="L4711">
        <v>972.71583519072897</v>
      </c>
      <c r="M4711">
        <v>17.9562174548456</v>
      </c>
      <c r="N4711">
        <v>56.903627777026799</v>
      </c>
      <c r="O4711">
        <v>53.513056674759198</v>
      </c>
      <c r="P4711">
        <v>-5.9657743858354803E-2</v>
      </c>
      <c r="Q4711">
        <v>0.28886822488281699</v>
      </c>
      <c r="R4711">
        <v>0.99125087648608501</v>
      </c>
      <c r="S4711" t="s">
        <v>9451</v>
      </c>
      <c r="T4711" t="s">
        <v>9478</v>
      </c>
      <c r="U4711" t="s">
        <v>9478</v>
      </c>
      <c r="V4711" t="s">
        <v>9478</v>
      </c>
      <c r="W4711">
        <v>2</v>
      </c>
      <c r="X4711" t="s">
        <v>14189</v>
      </c>
      <c r="Y4711">
        <v>0.63615844611839367</v>
      </c>
      <c r="Z4711" t="str">
        <f>HYPERLINK("Melting_Curves/meltCurve_tr_Q6P275_Q6P275_HUMAN_.pdf", "Melting_Curves/meltCurve_tr_Q6P275_Q6P275_HUMAN_.pdf")</f>
        <v>Melting_Curves/meltCurve_tr_Q6P275_Q6P275_HUMAN_.pdf</v>
      </c>
      <c r="AA4711" t="s">
        <v>18811</v>
      </c>
      <c r="AB4711" t="s">
        <v>23515</v>
      </c>
    </row>
    <row r="4712" spans="1:28" x14ac:dyDescent="0.25">
      <c r="A4712" t="s">
        <v>4716</v>
      </c>
      <c r="B4712">
        <v>0.99904790336628502</v>
      </c>
      <c r="C4712">
        <v>0.93995791270859597</v>
      </c>
      <c r="D4712">
        <v>0.86849112031333198</v>
      </c>
      <c r="E4712">
        <v>0.85658551935703298</v>
      </c>
      <c r="F4712">
        <v>0.80936890839470799</v>
      </c>
      <c r="G4712">
        <v>0.55712047772651496</v>
      </c>
      <c r="H4712">
        <v>0.50045866045828402</v>
      </c>
      <c r="I4712">
        <v>0.51056331594417903</v>
      </c>
      <c r="J4712">
        <v>0.517002858062237</v>
      </c>
      <c r="K4712">
        <v>0.49678898311730302</v>
      </c>
      <c r="L4712">
        <v>686.19565101071203</v>
      </c>
      <c r="M4712">
        <v>12.907213490523599</v>
      </c>
      <c r="N4712">
        <v>65.408400051605099</v>
      </c>
      <c r="O4712">
        <v>51.936099474127403</v>
      </c>
      <c r="P4712">
        <v>-3.3843958870125999E-2</v>
      </c>
      <c r="Q4712">
        <v>0.45537308651842601</v>
      </c>
      <c r="R4712">
        <v>0.95156109590289295</v>
      </c>
      <c r="S4712" t="s">
        <v>9452</v>
      </c>
      <c r="T4712" t="s">
        <v>9478</v>
      </c>
      <c r="U4712" t="s">
        <v>9478</v>
      </c>
      <c r="V4712" t="s">
        <v>9478</v>
      </c>
      <c r="W4712">
        <v>4</v>
      </c>
      <c r="X4712" t="s">
        <v>14190</v>
      </c>
      <c r="Y4712">
        <v>0.70844325378194062</v>
      </c>
      <c r="Z4712" t="str">
        <f>HYPERLINK("Melting_Curves/meltCurve_tr_Q6PIR0_Q6PIR0_HUMAN_.pdf", "Melting_Curves/meltCurve_tr_Q6PIR0_Q6PIR0_HUMAN_.pdf")</f>
        <v>Melting_Curves/meltCurve_tr_Q6PIR0_Q6PIR0_HUMAN_.pdf</v>
      </c>
      <c r="AA4712" t="s">
        <v>18812</v>
      </c>
      <c r="AB4712" t="s">
        <v>23516</v>
      </c>
    </row>
    <row r="4713" spans="1:28" x14ac:dyDescent="0.25">
      <c r="A4713" t="s">
        <v>4717</v>
      </c>
      <c r="B4713">
        <v>0.99904790336628502</v>
      </c>
      <c r="C4713">
        <v>1.05350437698924</v>
      </c>
      <c r="D4713">
        <v>0.93098464644974399</v>
      </c>
      <c r="E4713">
        <v>0.53602674641590398</v>
      </c>
      <c r="F4713">
        <v>0.28116933767811803</v>
      </c>
      <c r="G4713">
        <v>0.15790390861495401</v>
      </c>
      <c r="H4713">
        <v>9.1353230438294505E-2</v>
      </c>
      <c r="I4713">
        <v>5.77500532705243E-2</v>
      </c>
      <c r="J4713">
        <v>4.17068239165247E-2</v>
      </c>
      <c r="K4713">
        <v>3.6430977118409098E-2</v>
      </c>
      <c r="L4713">
        <v>1195.41269403251</v>
      </c>
      <c r="M4713">
        <v>23.768235535934</v>
      </c>
      <c r="N4713">
        <v>50.566599192593699</v>
      </c>
      <c r="O4713">
        <v>49.942583651787103</v>
      </c>
      <c r="P4713">
        <v>-0.11183885521150699</v>
      </c>
      <c r="Q4713">
        <v>6.0017807036826097E-2</v>
      </c>
      <c r="R4713">
        <v>0.99425619641637897</v>
      </c>
      <c r="S4713" t="s">
        <v>9453</v>
      </c>
      <c r="T4713" t="s">
        <v>9478</v>
      </c>
      <c r="U4713" t="s">
        <v>9478</v>
      </c>
      <c r="V4713" t="s">
        <v>9478</v>
      </c>
      <c r="W4713">
        <v>3</v>
      </c>
      <c r="X4713" t="s">
        <v>14191</v>
      </c>
      <c r="Y4713">
        <v>0.39189388206538889</v>
      </c>
      <c r="Z4713" t="str">
        <f>HYPERLINK("Melting_Curves/meltCurve_tr_Q71TU5_Q71TU5_HUMAN_.pdf", "Melting_Curves/meltCurve_tr_Q71TU5_Q71TU5_HUMAN_.pdf")</f>
        <v>Melting_Curves/meltCurve_tr_Q71TU5_Q71TU5_HUMAN_.pdf</v>
      </c>
      <c r="AA4713" t="s">
        <v>18813</v>
      </c>
      <c r="AB4713" t="s">
        <v>23517</v>
      </c>
    </row>
    <row r="4714" spans="1:28" x14ac:dyDescent="0.25">
      <c r="A4714" t="s">
        <v>4718</v>
      </c>
      <c r="B4714">
        <v>0.99904790336628502</v>
      </c>
      <c r="C4714">
        <v>0.99336845996989798</v>
      </c>
      <c r="D4714">
        <v>0.90628335997643905</v>
      </c>
      <c r="E4714">
        <v>0.79274634952502399</v>
      </c>
      <c r="F4714">
        <v>0.446220883964843</v>
      </c>
      <c r="G4714">
        <v>0.15231906494177899</v>
      </c>
      <c r="H4714">
        <v>2.48037201093925E-2</v>
      </c>
      <c r="I4714">
        <v>1.2456330589229301E-2</v>
      </c>
      <c r="J4714">
        <v>1.2565367398267699E-2</v>
      </c>
      <c r="K4714">
        <v>9.8601002221330308E-3</v>
      </c>
      <c r="L4714">
        <v>1203.44289602145</v>
      </c>
      <c r="M4714">
        <v>22.878049003017999</v>
      </c>
      <c r="N4714">
        <v>52.602514118363203</v>
      </c>
      <c r="O4714">
        <v>52.205558323034701</v>
      </c>
      <c r="P4714">
        <v>-0.10955962900829901</v>
      </c>
      <c r="Q4714">
        <v>0</v>
      </c>
      <c r="R4714">
        <v>0.99745279156955402</v>
      </c>
      <c r="S4714" t="s">
        <v>9454</v>
      </c>
      <c r="T4714" t="s">
        <v>9478</v>
      </c>
      <c r="U4714" t="s">
        <v>9478</v>
      </c>
      <c r="V4714" t="s">
        <v>9478</v>
      </c>
      <c r="W4714">
        <v>1</v>
      </c>
      <c r="X4714" t="s">
        <v>14192</v>
      </c>
      <c r="Y4714">
        <v>0.43092055501061383</v>
      </c>
      <c r="Z4714" t="str">
        <f>HYPERLINK("Melting_Curves/meltCurve_tr_Q7Z721_Q7Z721_HUMAN_.pdf", "Melting_Curves/meltCurve_tr_Q7Z721_Q7Z721_HUMAN_.pdf")</f>
        <v>Melting_Curves/meltCurve_tr_Q7Z721_Q7Z721_HUMAN_.pdf</v>
      </c>
      <c r="AA4714" t="s">
        <v>18814</v>
      </c>
      <c r="AB4714" t="s">
        <v>23518</v>
      </c>
    </row>
    <row r="4715" spans="1:28" x14ac:dyDescent="0.25">
      <c r="A4715" t="s">
        <v>4719</v>
      </c>
      <c r="B4715">
        <v>0.99904790336628502</v>
      </c>
      <c r="C4715">
        <v>0.90583411254163604</v>
      </c>
      <c r="D4715">
        <v>0.91705292528661697</v>
      </c>
      <c r="E4715">
        <v>0.91547126226294295</v>
      </c>
      <c r="F4715">
        <v>0.90918935606054796</v>
      </c>
      <c r="G4715">
        <v>0.78347197081003395</v>
      </c>
      <c r="H4715">
        <v>0.64156316326557905</v>
      </c>
      <c r="I4715">
        <v>0.50810263581340498</v>
      </c>
      <c r="J4715">
        <v>0.34184068352881802</v>
      </c>
      <c r="K4715">
        <v>0.24450105938751901</v>
      </c>
      <c r="L4715">
        <v>703.10420686404802</v>
      </c>
      <c r="M4715">
        <v>11.0514010221356</v>
      </c>
      <c r="N4715">
        <v>63.621280496061203</v>
      </c>
      <c r="O4715">
        <v>61.644634001852801</v>
      </c>
      <c r="P4715">
        <v>-4.4833835133946703E-2</v>
      </c>
      <c r="Q4715">
        <v>0</v>
      </c>
      <c r="R4715">
        <v>0.97469993365826302</v>
      </c>
      <c r="S4715" t="s">
        <v>9455</v>
      </c>
      <c r="T4715" t="s">
        <v>9478</v>
      </c>
      <c r="U4715" t="s">
        <v>9478</v>
      </c>
      <c r="V4715" t="s">
        <v>9478</v>
      </c>
      <c r="W4715">
        <v>16</v>
      </c>
      <c r="X4715" t="s">
        <v>14193</v>
      </c>
      <c r="Y4715">
        <v>0.75658825626715143</v>
      </c>
      <c r="Z4715" t="str">
        <f>HYPERLINK("Melting_Curves/meltCurve_tr_Q86UY0_Q86UY0_HUMAN_.pdf", "Melting_Curves/meltCurve_tr_Q86UY0_Q86UY0_HUMAN_.pdf")</f>
        <v>Melting_Curves/meltCurve_tr_Q86UY0_Q86UY0_HUMAN_.pdf</v>
      </c>
      <c r="AA4715" t="s">
        <v>18815</v>
      </c>
      <c r="AB4715" t="s">
        <v>23519</v>
      </c>
    </row>
    <row r="4716" spans="1:28" x14ac:dyDescent="0.25">
      <c r="A4716" t="s">
        <v>4720</v>
      </c>
      <c r="B4716">
        <v>0.99904790336628502</v>
      </c>
      <c r="C4716">
        <v>1.0137596497238901</v>
      </c>
      <c r="D4716">
        <v>0.97833061718916403</v>
      </c>
      <c r="E4716">
        <v>0.63901101134373195</v>
      </c>
      <c r="F4716">
        <v>0.31860470194516699</v>
      </c>
      <c r="G4716">
        <v>0.191821059451493</v>
      </c>
      <c r="H4716">
        <v>9.6427905336182895E-2</v>
      </c>
      <c r="I4716">
        <v>3.82090062881731E-2</v>
      </c>
      <c r="J4716">
        <v>4.9697685847968402E-2</v>
      </c>
      <c r="K4716">
        <v>4.8685578267806E-2</v>
      </c>
      <c r="L4716">
        <v>1219.3018596746099</v>
      </c>
      <c r="M4716">
        <v>23.863394271666301</v>
      </c>
      <c r="N4716">
        <v>51.369768449172597</v>
      </c>
      <c r="O4716">
        <v>50.740319318596903</v>
      </c>
      <c r="P4716">
        <v>-0.110535019110786</v>
      </c>
      <c r="Q4716">
        <v>5.9900503220336299E-2</v>
      </c>
      <c r="R4716">
        <v>0.99525648095769603</v>
      </c>
      <c r="S4716" t="s">
        <v>9456</v>
      </c>
      <c r="T4716" t="s">
        <v>9478</v>
      </c>
      <c r="U4716" t="s">
        <v>9478</v>
      </c>
      <c r="V4716" t="s">
        <v>9478</v>
      </c>
      <c r="W4716">
        <v>1</v>
      </c>
      <c r="X4716" t="s">
        <v>14194</v>
      </c>
      <c r="Y4716">
        <v>0.41689460972931169</v>
      </c>
      <c r="Z4716" t="str">
        <f>HYPERLINK("Melting_Curves/meltCurve_tr_Q86V84_Q86V84_HUMAN_.pdf", "Melting_Curves/meltCurve_tr_Q86V84_Q86V84_HUMAN_.pdf")</f>
        <v>Melting_Curves/meltCurve_tr_Q86V84_Q86V84_HUMAN_.pdf</v>
      </c>
      <c r="AA4716" t="s">
        <v>18816</v>
      </c>
      <c r="AB4716" t="s">
        <v>23520</v>
      </c>
    </row>
    <row r="4717" spans="1:28" x14ac:dyDescent="0.25">
      <c r="A4717" t="s">
        <v>4721</v>
      </c>
      <c r="B4717">
        <v>0.99904790336628502</v>
      </c>
      <c r="C4717">
        <v>0.979362552910782</v>
      </c>
      <c r="D4717">
        <v>0.99586477002533302</v>
      </c>
      <c r="E4717">
        <v>0.65838808780939595</v>
      </c>
      <c r="F4717">
        <v>0.53532679856041199</v>
      </c>
      <c r="G4717">
        <v>0.351372238097999</v>
      </c>
      <c r="H4717">
        <v>0.24181288190768599</v>
      </c>
      <c r="I4717">
        <v>0.31797543296570802</v>
      </c>
      <c r="J4717">
        <v>0.36753345992840802</v>
      </c>
      <c r="K4717">
        <v>0.26398205499373301</v>
      </c>
      <c r="L4717">
        <v>1165.22133380686</v>
      </c>
      <c r="M4717">
        <v>22.955185920720702</v>
      </c>
      <c r="N4717">
        <v>52.830262070369798</v>
      </c>
      <c r="O4717">
        <v>50.380185368654899</v>
      </c>
      <c r="P4717">
        <v>-8.0130120588476406E-2</v>
      </c>
      <c r="Q4717">
        <v>0.29656088223917498</v>
      </c>
      <c r="R4717">
        <v>0.97912442859666005</v>
      </c>
      <c r="S4717" t="s">
        <v>9457</v>
      </c>
      <c r="T4717" t="s">
        <v>9478</v>
      </c>
      <c r="U4717" t="s">
        <v>9478</v>
      </c>
      <c r="V4717" t="s">
        <v>9478</v>
      </c>
      <c r="W4717">
        <v>4</v>
      </c>
      <c r="X4717" t="s">
        <v>14195</v>
      </c>
      <c r="Y4717">
        <v>0.5563731080452361</v>
      </c>
      <c r="Z4717" t="str">
        <f>HYPERLINK("Melting_Curves/meltCurve_tr_Q86VQ2_Q86VQ2_HUMAN_.pdf", "Melting_Curves/meltCurve_tr_Q86VQ2_Q86VQ2_HUMAN_.pdf")</f>
        <v>Melting_Curves/meltCurve_tr_Q86VQ2_Q86VQ2_HUMAN_.pdf</v>
      </c>
      <c r="AA4717" t="s">
        <v>18817</v>
      </c>
      <c r="AB4717" t="s">
        <v>23521</v>
      </c>
    </row>
    <row r="4718" spans="1:28" x14ac:dyDescent="0.25">
      <c r="A4718" t="s">
        <v>4722</v>
      </c>
      <c r="B4718">
        <v>0.99904790336628502</v>
      </c>
      <c r="C4718">
        <v>0.97932642159425298</v>
      </c>
      <c r="D4718">
        <v>0.95800918767705201</v>
      </c>
      <c r="E4718">
        <v>0.85974552888891798</v>
      </c>
      <c r="F4718">
        <v>0.685070960139606</v>
      </c>
      <c r="G4718">
        <v>0.413969078633599</v>
      </c>
      <c r="H4718">
        <v>0.30056912934093799</v>
      </c>
      <c r="I4718">
        <v>0.23358926305695701</v>
      </c>
      <c r="J4718">
        <v>0.185542751348308</v>
      </c>
      <c r="K4718">
        <v>0.15261804216312799</v>
      </c>
      <c r="L4718">
        <v>888.68510112778199</v>
      </c>
      <c r="M4718">
        <v>16.243190856089399</v>
      </c>
      <c r="N4718">
        <v>55.893045485692902</v>
      </c>
      <c r="O4718">
        <v>53.902168032038702</v>
      </c>
      <c r="P4718">
        <v>-6.4391866316871799E-2</v>
      </c>
      <c r="Q4718">
        <v>0.14533949279511599</v>
      </c>
      <c r="R4718">
        <v>0.99843778381654003</v>
      </c>
      <c r="S4718" t="s">
        <v>9458</v>
      </c>
      <c r="T4718" t="s">
        <v>9478</v>
      </c>
      <c r="U4718" t="s">
        <v>9478</v>
      </c>
      <c r="V4718" t="s">
        <v>9478</v>
      </c>
      <c r="W4718">
        <v>11</v>
      </c>
      <c r="X4718" t="s">
        <v>14196</v>
      </c>
      <c r="Y4718">
        <v>0.5797463484101113</v>
      </c>
      <c r="Z4718" t="str">
        <f>HYPERLINK("Melting_Curves/meltCurve_tr_Q8IYN9_Q8IYN9_HUMAN_.pdf", "Melting_Curves/meltCurve_tr_Q8IYN9_Q8IYN9_HUMAN_.pdf")</f>
        <v>Melting_Curves/meltCurve_tr_Q8IYN9_Q8IYN9_HUMAN_.pdf</v>
      </c>
      <c r="AA4718" t="s">
        <v>18818</v>
      </c>
      <c r="AB4718" t="s">
        <v>23522</v>
      </c>
    </row>
    <row r="4719" spans="1:28" x14ac:dyDescent="0.25">
      <c r="A4719" t="s">
        <v>4723</v>
      </c>
      <c r="B4719">
        <v>0.99904790336628502</v>
      </c>
      <c r="C4719">
        <v>0.97135918039397096</v>
      </c>
      <c r="D4719">
        <v>0.96584000079743104</v>
      </c>
      <c r="E4719">
        <v>0.89921201482466595</v>
      </c>
      <c r="F4719">
        <v>0.71201243932124803</v>
      </c>
      <c r="G4719">
        <v>0.41665952179210702</v>
      </c>
      <c r="H4719">
        <v>0.20549967535160699</v>
      </c>
      <c r="I4719">
        <v>0.102899939200827</v>
      </c>
      <c r="J4719">
        <v>8.3030712939573204E-2</v>
      </c>
      <c r="K4719">
        <v>6.6044082797382095E-2</v>
      </c>
      <c r="L4719">
        <v>1002.96401161202</v>
      </c>
      <c r="M4719">
        <v>18.038007271666601</v>
      </c>
      <c r="N4719">
        <v>55.840235460539198</v>
      </c>
      <c r="O4719">
        <v>54.932935269376699</v>
      </c>
      <c r="P4719">
        <v>-7.9064683374347897E-2</v>
      </c>
      <c r="Q4719">
        <v>3.6912989134204099E-2</v>
      </c>
      <c r="R4719">
        <v>0.99913290118570397</v>
      </c>
      <c r="S4719" t="s">
        <v>9459</v>
      </c>
      <c r="T4719" t="s">
        <v>9478</v>
      </c>
      <c r="U4719" t="s">
        <v>9478</v>
      </c>
      <c r="V4719" t="s">
        <v>9478</v>
      </c>
      <c r="W4719">
        <v>6</v>
      </c>
      <c r="X4719" t="s">
        <v>14197</v>
      </c>
      <c r="Y4719">
        <v>0.55226806934076345</v>
      </c>
      <c r="Z4719" t="str">
        <f>HYPERLINK("Melting_Curves/meltCurve_tr_Q8N749_Q8N749_HUMAN_.pdf", "Melting_Curves/meltCurve_tr_Q8N749_Q8N749_HUMAN_.pdf")</f>
        <v>Melting_Curves/meltCurve_tr_Q8N749_Q8N749_HUMAN_.pdf</v>
      </c>
      <c r="AA4719" t="s">
        <v>18819</v>
      </c>
      <c r="AB4719" t="s">
        <v>23523</v>
      </c>
    </row>
    <row r="4720" spans="1:28" x14ac:dyDescent="0.25">
      <c r="A4720" t="s">
        <v>4724</v>
      </c>
      <c r="B4720">
        <v>0.99904790336628502</v>
      </c>
      <c r="C4720">
        <v>0.98775551156387198</v>
      </c>
      <c r="D4720">
        <v>0.92694820922074195</v>
      </c>
      <c r="E4720">
        <v>0.77661790592769697</v>
      </c>
      <c r="F4720">
        <v>0.67481298655351996</v>
      </c>
      <c r="G4720">
        <v>0.50141172042406301</v>
      </c>
      <c r="H4720">
        <v>0.35932199053596298</v>
      </c>
      <c r="I4720">
        <v>0.27210457577452701</v>
      </c>
      <c r="J4720">
        <v>0.265551686231911</v>
      </c>
      <c r="K4720">
        <v>0.25725384021032899</v>
      </c>
      <c r="L4720">
        <v>680.73764821221801</v>
      </c>
      <c r="M4720">
        <v>12.507608530432901</v>
      </c>
      <c r="N4720">
        <v>56.647180074700302</v>
      </c>
      <c r="O4720">
        <v>53.090813005754697</v>
      </c>
      <c r="P4720">
        <v>-4.7491100733523903E-2</v>
      </c>
      <c r="Q4720">
        <v>0.19382713730441201</v>
      </c>
      <c r="R4720">
        <v>0.997319966714724</v>
      </c>
      <c r="S4720" t="s">
        <v>9460</v>
      </c>
      <c r="T4720" t="s">
        <v>9478</v>
      </c>
      <c r="U4720" t="s">
        <v>9478</v>
      </c>
      <c r="V4720" t="s">
        <v>9478</v>
      </c>
      <c r="W4720">
        <v>9</v>
      </c>
      <c r="X4720" t="s">
        <v>14198</v>
      </c>
      <c r="Y4720">
        <v>0.60095332261292966</v>
      </c>
      <c r="Z4720" t="str">
        <f>HYPERLINK("Melting_Curves/meltCurve_tr_Q8NBY1_Q8NBY1_HUMAN_.pdf", "Melting_Curves/meltCurve_tr_Q8NBY1_Q8NBY1_HUMAN_.pdf")</f>
        <v>Melting_Curves/meltCurve_tr_Q8NBY1_Q8NBY1_HUMAN_.pdf</v>
      </c>
      <c r="AA4720" t="s">
        <v>18820</v>
      </c>
      <c r="AB4720" t="s">
        <v>23524</v>
      </c>
    </row>
    <row r="4721" spans="1:28" x14ac:dyDescent="0.25">
      <c r="A4721" t="s">
        <v>4725</v>
      </c>
      <c r="B4721">
        <v>0.99904790336628502</v>
      </c>
      <c r="C4721">
        <v>1.0257078525477701</v>
      </c>
      <c r="D4721">
        <v>1.0255951543570201</v>
      </c>
      <c r="E4721">
        <v>0.70232277458205405</v>
      </c>
      <c r="F4721">
        <v>0.244507965795389</v>
      </c>
      <c r="G4721">
        <v>0.190486723377989</v>
      </c>
      <c r="H4721">
        <v>0.14054389848825799</v>
      </c>
      <c r="I4721">
        <v>0.109032399912073</v>
      </c>
      <c r="J4721">
        <v>6.7495289969922503E-2</v>
      </c>
      <c r="K4721">
        <v>9.2439556349203797E-2</v>
      </c>
      <c r="L4721">
        <v>2125.0883621417402</v>
      </c>
      <c r="M4721">
        <v>41.817130656305203</v>
      </c>
      <c r="N4721">
        <v>51.1437033038831</v>
      </c>
      <c r="O4721">
        <v>50.702825178221403</v>
      </c>
      <c r="P4721">
        <v>-0.18212356181824799</v>
      </c>
      <c r="Q4721">
        <v>0.116710390904309</v>
      </c>
      <c r="R4721">
        <v>0.99395415522406705</v>
      </c>
      <c r="S4721" t="s">
        <v>9461</v>
      </c>
      <c r="T4721" t="s">
        <v>9478</v>
      </c>
      <c r="U4721" t="s">
        <v>9478</v>
      </c>
      <c r="V4721" t="s">
        <v>9478</v>
      </c>
      <c r="W4721">
        <v>3</v>
      </c>
      <c r="X4721" t="s">
        <v>14199</v>
      </c>
      <c r="Y4721">
        <v>0.43807964140770311</v>
      </c>
      <c r="Z4721" t="str">
        <f>HYPERLINK("Melting_Curves/meltCurve_tr_Q8NEC6_Q8NEC6_HUMAN_.pdf", "Melting_Curves/meltCurve_tr_Q8NEC6_Q8NEC6_HUMAN_.pdf")</f>
        <v>Melting_Curves/meltCurve_tr_Q8NEC6_Q8NEC6_HUMAN_.pdf</v>
      </c>
      <c r="AA4721" t="s">
        <v>18821</v>
      </c>
      <c r="AB4721" t="s">
        <v>23525</v>
      </c>
    </row>
    <row r="4722" spans="1:28" x14ac:dyDescent="0.25">
      <c r="A4722" t="s">
        <v>4726</v>
      </c>
      <c r="B4722">
        <v>0.99904790336628502</v>
      </c>
      <c r="C4722">
        <v>1.0920036821382599</v>
      </c>
      <c r="D4722">
        <v>1.1841952421901201</v>
      </c>
      <c r="E4722">
        <v>0.87568334040558005</v>
      </c>
      <c r="F4722">
        <v>0.69175886517307394</v>
      </c>
      <c r="G4722">
        <v>0.459631034655967</v>
      </c>
      <c r="H4722">
        <v>0.43895032716271598</v>
      </c>
      <c r="I4722">
        <v>0.36311952653587198</v>
      </c>
      <c r="J4722">
        <v>0.414977886827682</v>
      </c>
      <c r="K4722">
        <v>0.42221473761807399</v>
      </c>
      <c r="L4722">
        <v>1666.39484049097</v>
      </c>
      <c r="M4722">
        <v>31.5897810778585</v>
      </c>
      <c r="N4722">
        <v>55.728994635303998</v>
      </c>
      <c r="O4722">
        <v>52.541029073422202</v>
      </c>
      <c r="P4722">
        <v>-8.9050524801449996E-2</v>
      </c>
      <c r="Q4722">
        <v>0.40755760240076999</v>
      </c>
      <c r="R4722">
        <v>0.94596930228043896</v>
      </c>
      <c r="S4722" t="s">
        <v>9462</v>
      </c>
      <c r="T4722" t="s">
        <v>9478</v>
      </c>
      <c r="U4722" t="s">
        <v>9478</v>
      </c>
      <c r="V4722" t="s">
        <v>9478</v>
      </c>
      <c r="W4722">
        <v>3</v>
      </c>
      <c r="X4722" t="s">
        <v>14200</v>
      </c>
      <c r="Y4722">
        <v>0.6628245221212653</v>
      </c>
      <c r="Z4722" t="str">
        <f>HYPERLINK("Melting_Curves/meltCurve_tr_Q8WVC2_Q8WVC2_HUMAN_.pdf", "Melting_Curves/meltCurve_tr_Q8WVC2_Q8WVC2_HUMAN_.pdf")</f>
        <v>Melting_Curves/meltCurve_tr_Q8WVC2_Q8WVC2_HUMAN_.pdf</v>
      </c>
      <c r="AA4722" t="s">
        <v>18822</v>
      </c>
      <c r="AB4722" t="s">
        <v>23526</v>
      </c>
    </row>
    <row r="4723" spans="1:28" x14ac:dyDescent="0.25">
      <c r="A4723" t="s">
        <v>4727</v>
      </c>
      <c r="B4723">
        <v>0.99904790336628502</v>
      </c>
      <c r="C4723">
        <v>1.0047263508087001</v>
      </c>
      <c r="D4723">
        <v>0.97377934494751806</v>
      </c>
      <c r="E4723">
        <v>0.88636131454020495</v>
      </c>
      <c r="F4723">
        <v>0.69844607917255097</v>
      </c>
      <c r="G4723">
        <v>0.35096597441586103</v>
      </c>
      <c r="H4723">
        <v>0.17406326286143201</v>
      </c>
      <c r="I4723">
        <v>9.5222990900045004E-2</v>
      </c>
      <c r="J4723">
        <v>8.5837185378866601E-2</v>
      </c>
      <c r="K4723">
        <v>7.2162145707981296E-2</v>
      </c>
      <c r="L4723">
        <v>1133.1808033408799</v>
      </c>
      <c r="M4723">
        <v>20.6553030315327</v>
      </c>
      <c r="N4723">
        <v>55.2037137619172</v>
      </c>
      <c r="O4723">
        <v>54.355037156396399</v>
      </c>
      <c r="P4723">
        <v>-8.9295354853722406E-2</v>
      </c>
      <c r="Q4723">
        <v>6.0093590046458603E-2</v>
      </c>
      <c r="R4723">
        <v>0.99971340201473702</v>
      </c>
      <c r="S4723" t="s">
        <v>9463</v>
      </c>
      <c r="T4723" t="s">
        <v>9478</v>
      </c>
      <c r="U4723" t="s">
        <v>9478</v>
      </c>
      <c r="V4723" t="s">
        <v>9478</v>
      </c>
      <c r="W4723">
        <v>5</v>
      </c>
      <c r="X4723" t="s">
        <v>14201</v>
      </c>
      <c r="Y4723">
        <v>0.53765951817694679</v>
      </c>
      <c r="Z4723" t="str">
        <f>HYPERLINK("Melting_Curves/meltCurve_tr_Q8WYQ7_Q8WYQ7_HUMAN_.pdf", "Melting_Curves/meltCurve_tr_Q8WYQ7_Q8WYQ7_HUMAN_.pdf")</f>
        <v>Melting_Curves/meltCurve_tr_Q8WYQ7_Q8WYQ7_HUMAN_.pdf</v>
      </c>
      <c r="AA4723" t="s">
        <v>18823</v>
      </c>
      <c r="AB4723" t="s">
        <v>23527</v>
      </c>
    </row>
    <row r="4724" spans="1:28" x14ac:dyDescent="0.25">
      <c r="A4724" t="s">
        <v>4728</v>
      </c>
      <c r="B4724">
        <v>0.99904790336628502</v>
      </c>
      <c r="C4724">
        <v>0.92989020913878595</v>
      </c>
      <c r="D4724">
        <v>0.893539395233648</v>
      </c>
      <c r="E4724">
        <v>0.82225601642289003</v>
      </c>
      <c r="F4724">
        <v>0.69105712352307802</v>
      </c>
      <c r="G4724">
        <v>0.48973628483356002</v>
      </c>
      <c r="H4724">
        <v>0.39702047995013301</v>
      </c>
      <c r="I4724">
        <v>0.344117687385328</v>
      </c>
      <c r="J4724">
        <v>0.30829477442376102</v>
      </c>
      <c r="K4724">
        <v>0.31452701363282698</v>
      </c>
      <c r="L4724">
        <v>657.06958814494101</v>
      </c>
      <c r="M4724">
        <v>12.1509970578963</v>
      </c>
      <c r="N4724">
        <v>57.356865245556797</v>
      </c>
      <c r="O4724">
        <v>52.673258355656898</v>
      </c>
      <c r="P4724">
        <v>-4.3234238555690203E-2</v>
      </c>
      <c r="Q4724">
        <v>0.25050911950015398</v>
      </c>
      <c r="R4724">
        <v>0.99362718523038795</v>
      </c>
      <c r="S4724" t="s">
        <v>9464</v>
      </c>
      <c r="T4724" t="s">
        <v>9478</v>
      </c>
      <c r="U4724" t="s">
        <v>9478</v>
      </c>
      <c r="V4724" t="s">
        <v>9478</v>
      </c>
      <c r="W4724">
        <v>6</v>
      </c>
      <c r="X4724" t="s">
        <v>14202</v>
      </c>
      <c r="Y4724">
        <v>0.62136620847974933</v>
      </c>
      <c r="Z4724" t="str">
        <f>HYPERLINK("Melting_Curves/meltCurve_tr_Q96G53_Q96G53_HUMAN_.pdf", "Melting_Curves/meltCurve_tr_Q96G53_Q96G53_HUMAN_.pdf")</f>
        <v>Melting_Curves/meltCurve_tr_Q96G53_Q96G53_HUMAN_.pdf</v>
      </c>
      <c r="AA4724" t="s">
        <v>18824</v>
      </c>
      <c r="AB4724" t="s">
        <v>23528</v>
      </c>
    </row>
    <row r="4725" spans="1:28" x14ac:dyDescent="0.25">
      <c r="A4725" t="s">
        <v>4729</v>
      </c>
      <c r="B4725">
        <v>0.99904790336628502</v>
      </c>
      <c r="C4725">
        <v>1.0263461784986401</v>
      </c>
      <c r="D4725">
        <v>1.0087645117574799</v>
      </c>
      <c r="E4725">
        <v>0.61693560225341304</v>
      </c>
      <c r="F4725">
        <v>0.45224015660358002</v>
      </c>
      <c r="G4725">
        <v>0.33820205982375301</v>
      </c>
      <c r="H4725">
        <v>0.20084173639783501</v>
      </c>
      <c r="I4725">
        <v>0.13609699103224601</v>
      </c>
      <c r="J4725">
        <v>0.15860232972053601</v>
      </c>
      <c r="K4725">
        <v>0.14461023634954401</v>
      </c>
      <c r="L4725">
        <v>986.09755775507904</v>
      </c>
      <c r="M4725">
        <v>19.197583016959001</v>
      </c>
      <c r="N4725">
        <v>52.368612474593697</v>
      </c>
      <c r="O4725">
        <v>50.818097903417801</v>
      </c>
      <c r="P4725">
        <v>-7.9918569184154298E-2</v>
      </c>
      <c r="Q4725">
        <v>0.15381965759393501</v>
      </c>
      <c r="R4725">
        <v>0.98298087834779502</v>
      </c>
      <c r="S4725" t="s">
        <v>9465</v>
      </c>
      <c r="T4725" t="s">
        <v>9478</v>
      </c>
      <c r="U4725" t="s">
        <v>9478</v>
      </c>
      <c r="V4725" t="s">
        <v>9478</v>
      </c>
      <c r="W4725">
        <v>4</v>
      </c>
      <c r="X4725" t="s">
        <v>14203</v>
      </c>
      <c r="Y4725">
        <v>0.48704925549092182</v>
      </c>
      <c r="Z4725" t="str">
        <f>HYPERLINK("Melting_Curves/meltCurve_tr_Q9H6Y6_Q9H6Y6_HUMAN_.pdf", "Melting_Curves/meltCurve_tr_Q9H6Y6_Q9H6Y6_HUMAN_.pdf")</f>
        <v>Melting_Curves/meltCurve_tr_Q9H6Y6_Q9H6Y6_HUMAN_.pdf</v>
      </c>
      <c r="AA4725" t="s">
        <v>18825</v>
      </c>
      <c r="AB4725" t="s">
        <v>23529</v>
      </c>
    </row>
    <row r="4726" spans="1:28" x14ac:dyDescent="0.25">
      <c r="A4726" t="s">
        <v>4730</v>
      </c>
      <c r="B4726">
        <v>0.99904790336628502</v>
      </c>
      <c r="C4726">
        <v>0.95925440511819104</v>
      </c>
      <c r="D4726">
        <v>0.92856893693593201</v>
      </c>
      <c r="E4726">
        <v>0.81029948897639104</v>
      </c>
      <c r="F4726">
        <v>0.63660766861794704</v>
      </c>
      <c r="G4726">
        <v>0.34395013358036503</v>
      </c>
      <c r="H4726">
        <v>0.19490130089371099</v>
      </c>
      <c r="I4726">
        <v>0.177918129634106</v>
      </c>
      <c r="J4726">
        <v>0.187616467589481</v>
      </c>
      <c r="K4726">
        <v>0.19711481894031799</v>
      </c>
      <c r="L4726">
        <v>1028.3386057129001</v>
      </c>
      <c r="M4726">
        <v>19.2666117604068</v>
      </c>
      <c r="N4726">
        <v>54.459327855550796</v>
      </c>
      <c r="O4726">
        <v>52.809100143298501</v>
      </c>
      <c r="P4726">
        <v>-7.6672435877578202E-2</v>
      </c>
      <c r="Q4726">
        <v>0.15940599824518201</v>
      </c>
      <c r="R4726">
        <v>0.995134557811297</v>
      </c>
      <c r="S4726" t="s">
        <v>9466</v>
      </c>
      <c r="T4726" t="s">
        <v>9478</v>
      </c>
      <c r="U4726" t="s">
        <v>9478</v>
      </c>
      <c r="V4726" t="s">
        <v>9478</v>
      </c>
      <c r="W4726">
        <v>5</v>
      </c>
      <c r="X4726" t="s">
        <v>14204</v>
      </c>
      <c r="Y4726">
        <v>0.54639976694132042</v>
      </c>
      <c r="Z4726" t="str">
        <f>HYPERLINK("Melting_Curves/meltCurve_tr_Q9H9M6_Q9H9M6_HUMAN_.pdf", "Melting_Curves/meltCurve_tr_Q9H9M6_Q9H9M6_HUMAN_.pdf")</f>
        <v>Melting_Curves/meltCurve_tr_Q9H9M6_Q9H9M6_HUMAN_.pdf</v>
      </c>
      <c r="AA4726" t="s">
        <v>16470</v>
      </c>
      <c r="AB4726" t="s">
        <v>21129</v>
      </c>
    </row>
    <row r="4727" spans="1:28" x14ac:dyDescent="0.25">
      <c r="A4727" t="s">
        <v>4731</v>
      </c>
      <c r="B4727">
        <v>0.99904790336628502</v>
      </c>
      <c r="C4727">
        <v>1.05454002758179</v>
      </c>
      <c r="D4727">
        <v>1.02774463257909</v>
      </c>
      <c r="E4727">
        <v>0.96505929385054301</v>
      </c>
      <c r="F4727">
        <v>0.782234635635638</v>
      </c>
      <c r="G4727">
        <v>0.56224580886764597</v>
      </c>
      <c r="H4727">
        <v>0.44981733384396699</v>
      </c>
      <c r="I4727">
        <v>0.411225019544805</v>
      </c>
      <c r="J4727">
        <v>0.42361658469308899</v>
      </c>
      <c r="K4727">
        <v>0.44838465458877302</v>
      </c>
      <c r="L4727">
        <v>1483.9122751590801</v>
      </c>
      <c r="M4727">
        <v>27.371205077802099</v>
      </c>
      <c r="N4727">
        <v>58.2792004434327</v>
      </c>
      <c r="O4727">
        <v>53.927448170266601</v>
      </c>
      <c r="P4727">
        <v>-7.2848725311322707E-2</v>
      </c>
      <c r="Q4727">
        <v>0.42589170490922801</v>
      </c>
      <c r="R4727">
        <v>0.991495687566328</v>
      </c>
      <c r="S4727" t="s">
        <v>9467</v>
      </c>
      <c r="T4727" t="s">
        <v>9478</v>
      </c>
      <c r="U4727" t="s">
        <v>9478</v>
      </c>
      <c r="V4727" t="s">
        <v>9478</v>
      </c>
      <c r="W4727">
        <v>5</v>
      </c>
      <c r="X4727" t="s">
        <v>14205</v>
      </c>
      <c r="Y4727">
        <v>0.70240965618366502</v>
      </c>
      <c r="Z4727" t="str">
        <f>HYPERLINK("Melting_Curves/meltCurve_tr_Q9UII8_Q9UII8_HUMAN_.pdf", "Melting_Curves/meltCurve_tr_Q9UII8_Q9UII8_HUMAN_.pdf")</f>
        <v>Melting_Curves/meltCurve_tr_Q9UII8_Q9UII8_HUMAN_.pdf</v>
      </c>
      <c r="AA4727" t="s">
        <v>18826</v>
      </c>
      <c r="AB4727" t="s">
        <v>23530</v>
      </c>
    </row>
    <row r="4728" spans="1:28" x14ac:dyDescent="0.25">
      <c r="A4728" t="s">
        <v>4732</v>
      </c>
      <c r="B4728">
        <v>0.99904790336628502</v>
      </c>
      <c r="C4728">
        <v>0.95614360821177802</v>
      </c>
      <c r="D4728">
        <v>0.86551058865958597</v>
      </c>
      <c r="E4728">
        <v>0.82379589288988897</v>
      </c>
      <c r="F4728">
        <v>0.55344357855464799</v>
      </c>
      <c r="G4728">
        <v>0.235574263742208</v>
      </c>
      <c r="H4728">
        <v>0.17787164233847699</v>
      </c>
      <c r="I4728">
        <v>0.105578039912095</v>
      </c>
      <c r="J4728">
        <v>5.4650192234605502E-2</v>
      </c>
      <c r="K4728">
        <v>9.7343806549703704E-2</v>
      </c>
      <c r="L4728">
        <v>969.90089838088898</v>
      </c>
      <c r="M4728">
        <v>18.231297005129399</v>
      </c>
      <c r="N4728">
        <v>53.596106854087502</v>
      </c>
      <c r="O4728">
        <v>52.572097225857298</v>
      </c>
      <c r="P4728">
        <v>-8.1233194910924095E-2</v>
      </c>
      <c r="Q4728">
        <v>6.3061902722145999E-2</v>
      </c>
      <c r="R4728">
        <v>0.98965730538364105</v>
      </c>
      <c r="S4728" t="s">
        <v>9468</v>
      </c>
      <c r="T4728" t="s">
        <v>9478</v>
      </c>
      <c r="U4728" t="s">
        <v>9478</v>
      </c>
      <c r="V4728" t="s">
        <v>9478</v>
      </c>
      <c r="W4728">
        <v>1</v>
      </c>
      <c r="X4728" t="s">
        <v>14206</v>
      </c>
      <c r="Y4728">
        <v>0.49028213021021622</v>
      </c>
      <c r="Z4728" t="str">
        <f>HYPERLINK("Melting_Curves/meltCurve_tr_R4GMN1_R4GMN1_HUMAN_.pdf", "Melting_Curves/meltCurve_tr_R4GMN1_R4GMN1_HUMAN_.pdf")</f>
        <v>Melting_Curves/meltCurve_tr_R4GMN1_R4GMN1_HUMAN_.pdf</v>
      </c>
      <c r="AA4728" t="s">
        <v>18827</v>
      </c>
      <c r="AB4728" t="s">
        <v>23531</v>
      </c>
    </row>
    <row r="4729" spans="1:28" x14ac:dyDescent="0.25">
      <c r="A4729" t="s">
        <v>4733</v>
      </c>
      <c r="B4729">
        <v>0.99904790336628502</v>
      </c>
      <c r="C4729">
        <v>0.91726491522164999</v>
      </c>
      <c r="D4729">
        <v>0.72614766477956805</v>
      </c>
      <c r="E4729">
        <v>0.359441375312885</v>
      </c>
      <c r="F4729">
        <v>0.170507971701543</v>
      </c>
      <c r="G4729">
        <v>0.10169817722706199</v>
      </c>
      <c r="H4729">
        <v>5.54751150877748E-2</v>
      </c>
      <c r="I4729">
        <v>3.8827838970347597E-2</v>
      </c>
      <c r="J4729">
        <v>2.27285451812155E-2</v>
      </c>
      <c r="K4729">
        <v>1.9017758520165799E-2</v>
      </c>
      <c r="L4729">
        <v>915.68394642385897</v>
      </c>
      <c r="M4729">
        <v>18.9692317832667</v>
      </c>
      <c r="N4729">
        <v>48.422443998948403</v>
      </c>
      <c r="O4729">
        <v>47.745190285084199</v>
      </c>
      <c r="P4729">
        <v>-9.6488218760576602E-2</v>
      </c>
      <c r="Q4729">
        <v>2.8603038830974498E-2</v>
      </c>
      <c r="R4729">
        <v>0.99908596433205499</v>
      </c>
      <c r="S4729" t="s">
        <v>9469</v>
      </c>
      <c r="T4729" t="s">
        <v>9478</v>
      </c>
      <c r="U4729" t="s">
        <v>9478</v>
      </c>
      <c r="V4729" t="s">
        <v>9478</v>
      </c>
      <c r="W4729">
        <v>4</v>
      </c>
      <c r="X4729" t="s">
        <v>14207</v>
      </c>
      <c r="Y4729">
        <v>0.31179203464443622</v>
      </c>
      <c r="Z4729" t="str">
        <f>HYPERLINK("Melting_Curves/meltCurve_tr_R4GMR5_R4GMR5_HUMAN_.pdf", "Melting_Curves/meltCurve_tr_R4GMR5_R4GMR5_HUMAN_.pdf")</f>
        <v>Melting_Curves/meltCurve_tr_R4GMR5_R4GMR5_HUMAN_.pdf</v>
      </c>
      <c r="AA4729" t="s">
        <v>18828</v>
      </c>
      <c r="AB4729" t="s">
        <v>23532</v>
      </c>
    </row>
    <row r="4730" spans="1:28" x14ac:dyDescent="0.25">
      <c r="A4730" t="s">
        <v>4734</v>
      </c>
      <c r="B4730">
        <v>0.99904790336628502</v>
      </c>
      <c r="C4730">
        <v>0.96509848110057805</v>
      </c>
      <c r="D4730">
        <v>0.97214724537748298</v>
      </c>
      <c r="E4730">
        <v>0.92455628323572803</v>
      </c>
      <c r="F4730">
        <v>0.91800178189350201</v>
      </c>
      <c r="G4730">
        <v>0.59985980098771097</v>
      </c>
      <c r="H4730">
        <v>0.45635113481134898</v>
      </c>
      <c r="I4730">
        <v>0.42395194654713902</v>
      </c>
      <c r="J4730">
        <v>0.37911746292044801</v>
      </c>
      <c r="K4730">
        <v>0.32395766648587099</v>
      </c>
      <c r="L4730">
        <v>1257.7463958916501</v>
      </c>
      <c r="M4730">
        <v>22.335846995853402</v>
      </c>
      <c r="N4730">
        <v>59.532638375940799</v>
      </c>
      <c r="O4730">
        <v>55.8651149450804</v>
      </c>
      <c r="P4730">
        <v>-6.48989481754534E-2</v>
      </c>
      <c r="Q4730">
        <v>0.35072777738066502</v>
      </c>
      <c r="R4730">
        <v>0.98774290686650601</v>
      </c>
      <c r="S4730" t="s">
        <v>9470</v>
      </c>
      <c r="T4730" t="s">
        <v>9478</v>
      </c>
      <c r="U4730" t="s">
        <v>9478</v>
      </c>
      <c r="V4730" t="s">
        <v>9478</v>
      </c>
      <c r="W4730">
        <v>2</v>
      </c>
      <c r="X4730" t="s">
        <v>14208</v>
      </c>
      <c r="Y4730">
        <v>0.7108008876392814</v>
      </c>
      <c r="Z4730" t="str">
        <f>HYPERLINK("Melting_Curves/meltCurve_tr_R4GMU8_R4GMU8_HUMAN_.pdf", "Melting_Curves/meltCurve_tr_R4GMU8_R4GMU8_HUMAN_.pdf")</f>
        <v>Melting_Curves/meltCurve_tr_R4GMU8_R4GMU8_HUMAN_.pdf</v>
      </c>
      <c r="AA4730" t="s">
        <v>18829</v>
      </c>
      <c r="AB4730" t="s">
        <v>23533</v>
      </c>
    </row>
    <row r="4731" spans="1:28" x14ac:dyDescent="0.25">
      <c r="A4731" t="s">
        <v>4735</v>
      </c>
      <c r="B4731">
        <v>0.99904790336628502</v>
      </c>
      <c r="C4731">
        <v>0.95310887957498303</v>
      </c>
      <c r="D4731">
        <v>0.98821354513437698</v>
      </c>
      <c r="E4731">
        <v>0.75499431330170796</v>
      </c>
      <c r="F4731">
        <v>0.43706081083647103</v>
      </c>
      <c r="G4731">
        <v>0.20595280939364499</v>
      </c>
      <c r="H4731">
        <v>0.133837728326518</v>
      </c>
      <c r="I4731">
        <v>8.5159809879643597E-2</v>
      </c>
      <c r="J4731">
        <v>7.2736320705989704E-2</v>
      </c>
      <c r="K4731">
        <v>5.73553164175227E-2</v>
      </c>
      <c r="L4731">
        <v>1187.3621651015301</v>
      </c>
      <c r="M4731">
        <v>22.7583514240435</v>
      </c>
      <c r="N4731">
        <v>52.543496030295401</v>
      </c>
      <c r="O4731">
        <v>51.774796642889001</v>
      </c>
      <c r="P4731">
        <v>-0.10173860585384099</v>
      </c>
      <c r="Q4731">
        <v>7.4205154997481801E-2</v>
      </c>
      <c r="R4731">
        <v>0.99721328658045905</v>
      </c>
      <c r="S4731" t="s">
        <v>9471</v>
      </c>
      <c r="T4731" t="s">
        <v>9478</v>
      </c>
      <c r="U4731" t="s">
        <v>9478</v>
      </c>
      <c r="V4731" t="s">
        <v>9478</v>
      </c>
      <c r="W4731">
        <v>10</v>
      </c>
      <c r="X4731" t="s">
        <v>14209</v>
      </c>
      <c r="Y4731">
        <v>0.45996266757166071</v>
      </c>
      <c r="Z4731" t="str">
        <f>HYPERLINK("Melting_Curves/meltCurve_tr_R4GMX3_R4GMX3_HUMAN_.pdf", "Melting_Curves/meltCurve_tr_R4GMX3_R4GMX3_HUMAN_.pdf")</f>
        <v>Melting_Curves/meltCurve_tr_R4GMX3_R4GMX3_HUMAN_.pdf</v>
      </c>
      <c r="AA4731" t="s">
        <v>18830</v>
      </c>
      <c r="AB4731" t="s">
        <v>23534</v>
      </c>
    </row>
    <row r="4732" spans="1:28" x14ac:dyDescent="0.25">
      <c r="A4732" t="s">
        <v>4736</v>
      </c>
      <c r="B4732">
        <v>0.99904790336628502</v>
      </c>
      <c r="C4732">
        <v>1.07062097454607</v>
      </c>
      <c r="D4732">
        <v>0.93322353012871695</v>
      </c>
      <c r="E4732">
        <v>0.78066286855488098</v>
      </c>
      <c r="F4732">
        <v>0.77474079936047502</v>
      </c>
      <c r="G4732">
        <v>0.36765018333050398</v>
      </c>
      <c r="H4732">
        <v>0.29603814824140101</v>
      </c>
      <c r="I4732">
        <v>0.265985877492945</v>
      </c>
      <c r="J4732">
        <v>0.34567559663120601</v>
      </c>
      <c r="K4732">
        <v>0.32758010499676599</v>
      </c>
      <c r="L4732">
        <v>1178.0845292368299</v>
      </c>
      <c r="M4732">
        <v>22.0723310113362</v>
      </c>
      <c r="N4732">
        <v>55.520206363534001</v>
      </c>
      <c r="O4732">
        <v>52.941516091339302</v>
      </c>
      <c r="P4732">
        <v>-7.4317676643392394E-2</v>
      </c>
      <c r="Q4732">
        <v>0.28699826732879902</v>
      </c>
      <c r="R4732">
        <v>0.96179049427962804</v>
      </c>
      <c r="S4732" t="s">
        <v>9472</v>
      </c>
      <c r="T4732" t="s">
        <v>9478</v>
      </c>
      <c r="U4732" t="s">
        <v>9478</v>
      </c>
      <c r="V4732" t="s">
        <v>9478</v>
      </c>
      <c r="W4732">
        <v>9</v>
      </c>
      <c r="X4732" t="s">
        <v>14210</v>
      </c>
      <c r="Y4732">
        <v>0.61309753006138257</v>
      </c>
      <c r="Z4732" t="str">
        <f>HYPERLINK("Melting_Curves/meltCurve_tr_R4GN55_R4GN55_HUMAN_.pdf", "Melting_Curves/meltCurve_tr_R4GN55_R4GN55_HUMAN_.pdf")</f>
        <v>Melting_Curves/meltCurve_tr_R4GN55_R4GN55_HUMAN_.pdf</v>
      </c>
      <c r="AA4732" t="s">
        <v>18831</v>
      </c>
      <c r="AB4732" t="s">
        <v>23535</v>
      </c>
    </row>
    <row r="4733" spans="1:28" x14ac:dyDescent="0.25">
      <c r="A4733" t="s">
        <v>4737</v>
      </c>
      <c r="B4733">
        <v>0.99904790336628502</v>
      </c>
      <c r="C4733">
        <v>0.79712629380393696</v>
      </c>
      <c r="D4733">
        <v>0.76598464141469302</v>
      </c>
      <c r="E4733">
        <v>0.57352949411285004</v>
      </c>
      <c r="F4733">
        <v>0.30681558786183799</v>
      </c>
      <c r="G4733">
        <v>0.25373774231114599</v>
      </c>
      <c r="H4733">
        <v>0.12101369579931601</v>
      </c>
      <c r="I4733">
        <v>8.0579457944025296E-2</v>
      </c>
      <c r="J4733">
        <v>8.2487337727325E-2</v>
      </c>
      <c r="K4733">
        <v>0.12638333264500301</v>
      </c>
      <c r="L4733">
        <v>597.90593248737298</v>
      </c>
      <c r="M4733">
        <v>11.9885316037784</v>
      </c>
      <c r="N4733">
        <v>50.307051682956697</v>
      </c>
      <c r="O4733">
        <v>48.546247736437302</v>
      </c>
      <c r="P4733">
        <v>-5.8719500653534901E-2</v>
      </c>
      <c r="Q4733">
        <v>4.9116873444806898E-2</v>
      </c>
      <c r="R4733">
        <v>0.98042133181326796</v>
      </c>
      <c r="S4733" t="s">
        <v>9473</v>
      </c>
      <c r="T4733" t="s">
        <v>9478</v>
      </c>
      <c r="U4733" t="s">
        <v>9478</v>
      </c>
      <c r="V4733" t="s">
        <v>9478</v>
      </c>
      <c r="W4733">
        <v>3</v>
      </c>
      <c r="X4733" t="s">
        <v>14211</v>
      </c>
      <c r="Y4733">
        <v>0.39527038524097868</v>
      </c>
      <c r="Z4733" t="str">
        <f>HYPERLINK("Melting_Curves/meltCurve_tr_R4GN72_R4GN72_HUMAN_.pdf", "Melting_Curves/meltCurve_tr_R4GN72_R4GN72_HUMAN_.pdf")</f>
        <v>Melting_Curves/meltCurve_tr_R4GN72_R4GN72_HUMAN_.pdf</v>
      </c>
      <c r="AA4733" t="s">
        <v>18832</v>
      </c>
      <c r="AB4733" t="s">
        <v>23536</v>
      </c>
    </row>
    <row r="4734" spans="1:28" x14ac:dyDescent="0.25">
      <c r="A4734" t="s">
        <v>4738</v>
      </c>
      <c r="B4734">
        <v>0.99904790336628502</v>
      </c>
      <c r="C4734">
        <v>0.988834787410378</v>
      </c>
      <c r="D4734">
        <v>0.94588693899855303</v>
      </c>
      <c r="E4734">
        <v>0.90801636484357395</v>
      </c>
      <c r="F4734">
        <v>0.85674933584551205</v>
      </c>
      <c r="G4734">
        <v>0.61184427980004596</v>
      </c>
      <c r="H4734">
        <v>0.47201349503495998</v>
      </c>
      <c r="I4734">
        <v>0.415128457538119</v>
      </c>
      <c r="J4734">
        <v>0.39231220784829601</v>
      </c>
      <c r="K4734">
        <v>0.34416157084380999</v>
      </c>
      <c r="L4734">
        <v>923.65590611338496</v>
      </c>
      <c r="M4734">
        <v>16.415947396133099</v>
      </c>
      <c r="N4734">
        <v>60.236004410836699</v>
      </c>
      <c r="O4734">
        <v>55.450676896995603</v>
      </c>
      <c r="P4734">
        <v>-4.9551154348166503E-2</v>
      </c>
      <c r="Q4734">
        <v>0.33054097082356598</v>
      </c>
      <c r="R4734">
        <v>0.99434840004617897</v>
      </c>
      <c r="S4734" t="s">
        <v>9474</v>
      </c>
      <c r="T4734" t="s">
        <v>9478</v>
      </c>
      <c r="U4734" t="s">
        <v>9478</v>
      </c>
      <c r="V4734" t="s">
        <v>9478</v>
      </c>
      <c r="W4734">
        <v>2</v>
      </c>
      <c r="X4734" t="s">
        <v>14212</v>
      </c>
      <c r="Y4734">
        <v>0.70420367703674536</v>
      </c>
      <c r="Z4734" t="str">
        <f>HYPERLINK("Melting_Curves/meltCurve_tr_R4GN98_R4GN98_HUMAN_.pdf", "Melting_Curves/meltCurve_tr_R4GN98_R4GN98_HUMAN_.pdf")</f>
        <v>Melting_Curves/meltCurve_tr_R4GN98_R4GN98_HUMAN_.pdf</v>
      </c>
      <c r="AA4734" t="s">
        <v>18833</v>
      </c>
      <c r="AB4734" t="s">
        <v>23537</v>
      </c>
    </row>
    <row r="4735" spans="1:28" x14ac:dyDescent="0.25">
      <c r="A4735" t="s">
        <v>4739</v>
      </c>
      <c r="B4735">
        <v>0.99904790336628502</v>
      </c>
      <c r="C4735">
        <v>0.99499080704670795</v>
      </c>
      <c r="D4735">
        <v>0.976358772056094</v>
      </c>
      <c r="E4735">
        <v>0.90820447395901105</v>
      </c>
      <c r="F4735">
        <v>0.63498495022180801</v>
      </c>
      <c r="G4735">
        <v>0.46951022823627098</v>
      </c>
      <c r="H4735">
        <v>0.26777860419225602</v>
      </c>
      <c r="I4735">
        <v>0.19372289760569</v>
      </c>
      <c r="J4735">
        <v>0.14643469439170601</v>
      </c>
      <c r="K4735">
        <v>0.12431026478021399</v>
      </c>
      <c r="L4735">
        <v>881.189023170577</v>
      </c>
      <c r="M4735">
        <v>15.9458787399081</v>
      </c>
      <c r="N4735">
        <v>56.040576509576297</v>
      </c>
      <c r="O4735">
        <v>54.4140371411495</v>
      </c>
      <c r="P4735">
        <v>-6.59816157689221E-2</v>
      </c>
      <c r="Q4735">
        <v>9.9443611271940402E-2</v>
      </c>
      <c r="R4735">
        <v>0.99422592041527003</v>
      </c>
      <c r="S4735" t="s">
        <v>9475</v>
      </c>
      <c r="T4735" t="s">
        <v>9478</v>
      </c>
      <c r="U4735" t="s">
        <v>9478</v>
      </c>
      <c r="V4735" t="s">
        <v>9478</v>
      </c>
      <c r="W4735">
        <v>8</v>
      </c>
      <c r="X4735" t="s">
        <v>14213</v>
      </c>
      <c r="Y4735">
        <v>0.57352372153648401</v>
      </c>
      <c r="Z4735" t="str">
        <f>HYPERLINK("Melting_Curves/meltCurve_tr_R4GNB2_R4GNB2_HUMAN_.pdf", "Melting_Curves/meltCurve_tr_R4GNB2_R4GNB2_HUMAN_.pdf")</f>
        <v>Melting_Curves/meltCurve_tr_R4GNB2_R4GNB2_HUMAN_.pdf</v>
      </c>
      <c r="AA4735" t="s">
        <v>18834</v>
      </c>
      <c r="AB4735" t="s">
        <v>23538</v>
      </c>
    </row>
    <row r="4736" spans="1:28" x14ac:dyDescent="0.25">
      <c r="A4736" t="s">
        <v>4740</v>
      </c>
      <c r="B4736">
        <v>0.99904790336628502</v>
      </c>
      <c r="C4736">
        <v>0.834445740266054</v>
      </c>
      <c r="D4736">
        <v>0.64610072650515105</v>
      </c>
      <c r="E4736">
        <v>0.37847055289414699</v>
      </c>
      <c r="F4736">
        <v>0.198081382095525</v>
      </c>
      <c r="G4736">
        <v>8.6785560112539004E-2</v>
      </c>
      <c r="H4736">
        <v>5.9776039818912198E-2</v>
      </c>
      <c r="I4736">
        <v>3.7260612787986903E-2</v>
      </c>
      <c r="J4736">
        <v>3.2756415949072797E-2</v>
      </c>
      <c r="K4736">
        <v>2.91966475654666E-2</v>
      </c>
      <c r="L4736">
        <v>723.72856704913602</v>
      </c>
      <c r="M4736">
        <v>15.1108254711323</v>
      </c>
      <c r="N4736">
        <v>48.011865852503</v>
      </c>
      <c r="O4736">
        <v>47.079368307246902</v>
      </c>
      <c r="P4736">
        <v>-7.8796503979580601E-2</v>
      </c>
      <c r="Q4736">
        <v>1.81006777619344E-2</v>
      </c>
      <c r="R4736">
        <v>0.99723686903838005</v>
      </c>
      <c r="S4736" t="s">
        <v>9476</v>
      </c>
      <c r="T4736" t="s">
        <v>9478</v>
      </c>
      <c r="U4736" t="s">
        <v>9478</v>
      </c>
      <c r="V4736" t="s">
        <v>9478</v>
      </c>
      <c r="W4736">
        <v>19</v>
      </c>
      <c r="X4736" t="s">
        <v>14214</v>
      </c>
      <c r="Y4736">
        <v>0.30151988833923771</v>
      </c>
      <c r="Z4736" t="str">
        <f>HYPERLINK("Melting_Curves/meltCurve_tr_R4GNH3_R4GNH3_HUMAN_.pdf", "Melting_Curves/meltCurve_tr_R4GNH3_R4GNH3_HUMAN_.pdf")</f>
        <v>Melting_Curves/meltCurve_tr_R4GNH3_R4GNH3_HUMAN_.pdf</v>
      </c>
      <c r="AA4736" t="s">
        <v>18835</v>
      </c>
      <c r="AB4736" t="s">
        <v>23539</v>
      </c>
    </row>
    <row r="4737" spans="1:28" x14ac:dyDescent="0.25">
      <c r="A4737" t="s">
        <v>4741</v>
      </c>
      <c r="B4737">
        <v>0.99904790336628502</v>
      </c>
      <c r="C4737">
        <v>0.68082938595908304</v>
      </c>
      <c r="D4737">
        <v>0.63809233325317205</v>
      </c>
      <c r="E4737">
        <v>0.33558387141331403</v>
      </c>
      <c r="F4737">
        <v>0.220240838864116</v>
      </c>
      <c r="G4737">
        <v>0.15586683679837601</v>
      </c>
      <c r="H4737">
        <v>0.129285631696716</v>
      </c>
      <c r="I4737">
        <v>9.9489290610780295E-2</v>
      </c>
      <c r="J4737">
        <v>9.0677829595482595E-2</v>
      </c>
      <c r="K4737">
        <v>7.0581546277903903E-2</v>
      </c>
      <c r="L4737">
        <v>624.424596653393</v>
      </c>
      <c r="M4737">
        <v>13.370970970811401</v>
      </c>
      <c r="N4737">
        <v>47.2701199844158</v>
      </c>
      <c r="O4737">
        <v>45.692532932755</v>
      </c>
      <c r="P4737">
        <v>-6.7720375535340493E-2</v>
      </c>
      <c r="Q4737">
        <v>7.4464853314678101E-2</v>
      </c>
      <c r="R4737">
        <v>0.97633982530404995</v>
      </c>
      <c r="S4737" t="s">
        <v>9477</v>
      </c>
      <c r="T4737" t="s">
        <v>9478</v>
      </c>
      <c r="U4737" t="s">
        <v>9478</v>
      </c>
      <c r="V4737" t="s">
        <v>9478</v>
      </c>
      <c r="W4737">
        <v>1</v>
      </c>
      <c r="X4737" t="s">
        <v>14215</v>
      </c>
      <c r="Y4737">
        <v>0.313521417958118</v>
      </c>
      <c r="Z4737" t="str">
        <f>HYPERLINK("Melting_Curves/meltCurve_tr_R4GNH9_R4GNH9_HUMAN_.pdf", "Melting_Curves/meltCurve_tr_R4GNH9_R4GNH9_HUMAN_.pdf")</f>
        <v>Melting_Curves/meltCurve_tr_R4GNH9_R4GNH9_HUMAN_.pdf</v>
      </c>
      <c r="AA4737" t="s">
        <v>18836</v>
      </c>
      <c r="AB4737" t="s">
        <v>23540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2017-09-28T11:26:17Z</dcterms:created>
  <dcterms:modified xsi:type="dcterms:W3CDTF">2018-08-21T08:57:36Z</dcterms:modified>
</cp:coreProperties>
</file>